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updateLinks="never" codeName="ThisWorkbook" defaultThemeVersion="124226"/>
  <bookViews>
    <workbookView xWindow="12585" yWindow="-15" windowWidth="12630" windowHeight="12345" tabRatio="650"/>
  </bookViews>
  <sheets>
    <sheet name="Toel. wijziging NG5R (aug.2016)" sheetId="99" r:id="rId1"/>
    <sheet name="Aanpassing gegevens (aug. 2016)" sheetId="98" r:id="rId2"/>
    <sheet name="Toel. herstel NG5R (sep. 2014)" sheetId="1" r:id="rId3"/>
    <sheet name="Aanpassing gegevens (sep.2014)" sheetId="97" r:id="rId4"/>
    <sheet name="Input transportdienst --&gt;" sheetId="35" r:id="rId5"/>
    <sheet name="PRD OPEX TD (2009-2012)" sheetId="39" r:id="rId6"/>
    <sheet name="PRD Ov.Opbrengst TD (2009-2012)" sheetId="40" r:id="rId7"/>
    <sheet name="PRD Volumes TD (2009-2012)" sheetId="41" r:id="rId8"/>
    <sheet name="TAR2013 Tarieven TD" sheetId="42" r:id="rId9"/>
    <sheet name="Input aansluitdienst --&gt;" sheetId="51" r:id="rId10"/>
    <sheet name="PRD OPEX AD (2009-2012)" sheetId="50" r:id="rId11"/>
    <sheet name="PRD Ov.Opbrengst AD (2009-2012)" sheetId="52" r:id="rId12"/>
    <sheet name="PRD Volumes AD (2009-2012)" sheetId="58" r:id="rId13"/>
    <sheet name="TAR2013 Tarieven AD" sheetId="55" r:id="rId14"/>
    <sheet name="Overige input --&gt;" sheetId="57" r:id="rId15"/>
    <sheet name="Import GAW-sheet" sheetId="7" r:id="rId16"/>
    <sheet name="Data marktmodel" sheetId="12" r:id="rId17"/>
    <sheet name="Data Netverliezen" sheetId="65" r:id="rId18"/>
    <sheet name="Data dubieuze debiteuren" sheetId="92" r:id="rId19"/>
    <sheet name="WACC" sheetId="3" r:id="rId20"/>
    <sheet name="CPI" sheetId="16" r:id="rId21"/>
    <sheet name="Tussenberekeningen --&gt;" sheetId="67" r:id="rId22"/>
    <sheet name="Aggregatie Volumes TD" sheetId="59" r:id="rId23"/>
    <sheet name="Berekening rekenvolumes" sheetId="30" r:id="rId24"/>
    <sheet name="Berekeningen netverliezen" sheetId="62" r:id="rId25"/>
    <sheet name="Berekening vergoedingen EAV" sheetId="48" r:id="rId26"/>
    <sheet name="Berekening OPEX TD" sheetId="17" r:id="rId27"/>
    <sheet name="Berekening OPEX AD" sheetId="60" r:id="rId28"/>
    <sheet name="Berekening kapitaalkosten TD" sheetId="47" r:id="rId29"/>
    <sheet name="Berekening kapitaalkosten AD" sheetId="61" r:id="rId30"/>
    <sheet name="Berekening kosten dub. deb." sheetId="93" r:id="rId31"/>
    <sheet name="Berekeningen --&gt;" sheetId="63" r:id="rId32"/>
    <sheet name="Genormaliseerde totale kosten" sheetId="49" r:id="rId33"/>
    <sheet name="Berekening wegingsfactoren" sheetId="21" r:id="rId34"/>
    <sheet name="Standaardisatie Output" sheetId="20" r:id="rId35"/>
    <sheet name="Productiviteitsverandering" sheetId="26" r:id="rId36"/>
    <sheet name="berekeningen one-off --&gt;" sheetId="70" r:id="rId37"/>
    <sheet name="BeginInkomsten (obv RV&amp;Tar2013)" sheetId="76" r:id="rId38"/>
    <sheet name="Kostenbasis Eff.Kosten 2013" sheetId="78" r:id="rId39"/>
    <sheet name="Efficiënte kosten 2013" sheetId="79" r:id="rId40"/>
    <sheet name="Inschatting kosten 2013" sheetId="74" r:id="rId41"/>
    <sheet name="Toetsen toepassing one-off" sheetId="75" r:id="rId42"/>
    <sheet name="Output --&gt;" sheetId="66" r:id="rId43"/>
    <sheet name="X-factorberekening" sheetId="37" r:id="rId44"/>
    <sheet name="TI bedragen 2014-2016" sheetId="38" r:id="rId45"/>
    <sheet name="Bijlage 1 - Resultaten" sheetId="100" r:id="rId46"/>
    <sheet name="Bijlage 1 - Resultaten Oorspr." sheetId="95" r:id="rId47"/>
    <sheet name="Rekenvolumes --&gt;" sheetId="80" r:id="rId48"/>
    <sheet name="Rekenvolumes Cogas NG5R" sheetId="83" r:id="rId49"/>
    <sheet name="Rekenvolumes DNWB NG5R" sheetId="84" r:id="rId50"/>
    <sheet name="Rekenvolumes Endinet NG5R" sheetId="85" r:id="rId51"/>
    <sheet name="Rekenvolumes Enexis NG5R" sheetId="86" r:id="rId52"/>
    <sheet name="Rekenvolumes Liander NG5R" sheetId="87" r:id="rId53"/>
    <sheet name="Rekenvolumes RENDO NG5R" sheetId="88" r:id="rId54"/>
    <sheet name="Rekenvolumes Stedin NG5R" sheetId="89" r:id="rId55"/>
    <sheet name="Rekenvolumes Westland NG5R" sheetId="90" r:id="rId56"/>
    <sheet name="Rekenvolumes Zebra NG5R" sheetId="91" r:id="rId57"/>
  </sheets>
  <definedNames>
    <definedName name="_xlnm.Print_Area" localSheetId="45">'Bijlage 1 - Resultaten'!$A$1:$N$25</definedName>
    <definedName name="_xlnm.Print_Area" localSheetId="46">'Bijlage 1 - Resultaten Oorspr.'!$A$1:$N$29</definedName>
    <definedName name="AS2DocOpenMode" hidden="1">"AS2DocumentEdit"</definedName>
  </definedNames>
  <calcPr calcId="145621"/>
</workbook>
</file>

<file path=xl/calcChain.xml><?xml version="1.0" encoding="utf-8"?>
<calcChain xmlns="http://schemas.openxmlformats.org/spreadsheetml/2006/main">
  <c r="F32" i="98" l="1"/>
  <c r="G23" i="100" l="1"/>
  <c r="F16" i="100"/>
  <c r="O9" i="100"/>
  <c r="N9" i="100"/>
  <c r="M9" i="100"/>
  <c r="L9" i="100"/>
  <c r="K9" i="100"/>
  <c r="J9" i="100"/>
  <c r="I9" i="100"/>
  <c r="H9" i="100"/>
  <c r="J22" i="26" l="1"/>
  <c r="I21" i="26"/>
  <c r="H20" i="26"/>
  <c r="F205" i="98"/>
  <c r="F206" i="98"/>
  <c r="F204" i="98"/>
  <c r="I211" i="52" l="1"/>
  <c r="J32" i="98"/>
  <c r="J29" i="98" l="1"/>
  <c r="J38" i="98"/>
  <c r="I221" i="50" s="1"/>
  <c r="J36" i="98" l="1"/>
  <c r="I205" i="39" s="1"/>
  <c r="J35" i="98"/>
  <c r="S85" i="39" s="1"/>
  <c r="H34" i="98"/>
  <c r="J34" i="98" s="1"/>
  <c r="S25" i="39" s="1"/>
  <c r="H28" i="98"/>
  <c r="J28" i="98" s="1"/>
  <c r="S55" i="52" s="1"/>
  <c r="J30" i="98"/>
  <c r="S107" i="52"/>
  <c r="I107" i="52" s="1"/>
  <c r="H24" i="98"/>
  <c r="J24" i="98" s="1"/>
  <c r="S53" i="40" s="1"/>
  <c r="J26" i="98"/>
  <c r="I200" i="40" s="1"/>
  <c r="J25" i="98"/>
  <c r="S102" i="40" s="1"/>
  <c r="G478" i="58" l="1"/>
  <c r="G475" i="58"/>
  <c r="G474" i="58"/>
  <c r="G473" i="58"/>
  <c r="G472" i="58"/>
  <c r="G471" i="58"/>
  <c r="G470" i="58"/>
  <c r="G469" i="58"/>
  <c r="G468" i="58"/>
  <c r="G467" i="58"/>
  <c r="G466" i="58"/>
  <c r="G455" i="58"/>
  <c r="G456" i="58"/>
  <c r="G457" i="58"/>
  <c r="G458" i="58"/>
  <c r="G459" i="58"/>
  <c r="G460" i="58"/>
  <c r="G461" i="58"/>
  <c r="G462" i="58"/>
  <c r="G463" i="58"/>
  <c r="G454" i="58"/>
  <c r="G448" i="58"/>
  <c r="G445" i="58"/>
  <c r="G444" i="58"/>
  <c r="G443" i="58"/>
  <c r="G442" i="58"/>
  <c r="G437" i="58"/>
  <c r="G438" i="58"/>
  <c r="G439" i="58"/>
  <c r="G436" i="58"/>
  <c r="G430" i="58"/>
  <c r="G427" i="58"/>
  <c r="G426" i="58"/>
  <c r="G425" i="58"/>
  <c r="G424" i="58"/>
  <c r="G419" i="58"/>
  <c r="G420" i="58"/>
  <c r="G421" i="58"/>
  <c r="G418" i="58"/>
  <c r="G360" i="58"/>
  <c r="G357" i="58"/>
  <c r="G356" i="58"/>
  <c r="G355" i="58"/>
  <c r="G354" i="58"/>
  <c r="G353" i="58"/>
  <c r="G352" i="58"/>
  <c r="G351" i="58"/>
  <c r="G350" i="58"/>
  <c r="G349" i="58"/>
  <c r="G348" i="58"/>
  <c r="G337" i="58"/>
  <c r="G338" i="58"/>
  <c r="G339" i="58"/>
  <c r="G340" i="58"/>
  <c r="G341" i="58"/>
  <c r="G342" i="58"/>
  <c r="G343" i="58"/>
  <c r="G344" i="58"/>
  <c r="G345" i="58"/>
  <c r="G336" i="58"/>
  <c r="G330" i="58"/>
  <c r="G325" i="58"/>
  <c r="G326" i="58"/>
  <c r="G327" i="58"/>
  <c r="G324" i="58"/>
  <c r="G319" i="58"/>
  <c r="G320" i="58"/>
  <c r="G321" i="58"/>
  <c r="G318" i="58"/>
  <c r="G301" i="58"/>
  <c r="G302" i="58"/>
  <c r="G303" i="58"/>
  <c r="G306" i="58"/>
  <c r="G307" i="58"/>
  <c r="G308" i="58"/>
  <c r="G309" i="58"/>
  <c r="G300" i="58"/>
  <c r="G312" i="58"/>
  <c r="H69" i="98"/>
  <c r="H184" i="98"/>
  <c r="H181" i="98"/>
  <c r="H180" i="98"/>
  <c r="H179" i="98"/>
  <c r="H178" i="98"/>
  <c r="H177" i="98"/>
  <c r="H176" i="98"/>
  <c r="H175" i="98"/>
  <c r="H174" i="98"/>
  <c r="H173" i="98"/>
  <c r="H172" i="98"/>
  <c r="H169" i="98"/>
  <c r="H168" i="98"/>
  <c r="H167" i="98"/>
  <c r="H166" i="98"/>
  <c r="H165" i="98"/>
  <c r="H164" i="98"/>
  <c r="H163" i="98"/>
  <c r="H162" i="98"/>
  <c r="H161" i="98"/>
  <c r="H160" i="98"/>
  <c r="H156" i="98"/>
  <c r="H153" i="98"/>
  <c r="H152" i="98"/>
  <c r="H151" i="98"/>
  <c r="H150" i="98"/>
  <c r="H147" i="98"/>
  <c r="H146" i="98"/>
  <c r="H145" i="98"/>
  <c r="H144" i="98"/>
  <c r="H140" i="98"/>
  <c r="H137" i="98"/>
  <c r="H136" i="98"/>
  <c r="H135" i="98"/>
  <c r="H134" i="98"/>
  <c r="H131" i="98"/>
  <c r="H130" i="98"/>
  <c r="H129" i="98"/>
  <c r="H128" i="98"/>
  <c r="H96" i="98"/>
  <c r="H124" i="98"/>
  <c r="H93" i="98"/>
  <c r="H92" i="98"/>
  <c r="H91" i="98"/>
  <c r="H90" i="98"/>
  <c r="H87" i="98"/>
  <c r="H86" i="98"/>
  <c r="H85" i="98"/>
  <c r="H84" i="98"/>
  <c r="H121" i="98"/>
  <c r="H120" i="98"/>
  <c r="H119" i="98"/>
  <c r="H118" i="98"/>
  <c r="H117" i="98"/>
  <c r="H116" i="98"/>
  <c r="H115" i="98"/>
  <c r="H114" i="98"/>
  <c r="H113" i="98"/>
  <c r="H112" i="98"/>
  <c r="H109" i="98"/>
  <c r="H108" i="98"/>
  <c r="H107" i="98"/>
  <c r="H106" i="98"/>
  <c r="H105" i="98"/>
  <c r="H104" i="98"/>
  <c r="H103" i="98"/>
  <c r="H102" i="98"/>
  <c r="H101" i="98"/>
  <c r="H100" i="98"/>
  <c r="H68" i="98"/>
  <c r="H80" i="98" l="1"/>
  <c r="H77" i="98"/>
  <c r="H76" i="98"/>
  <c r="H75" i="98"/>
  <c r="H74" i="98"/>
  <c r="H71" i="98"/>
  <c r="H70" i="98"/>
  <c r="R223" i="7" l="1"/>
  <c r="R222" i="7"/>
  <c r="R165" i="7"/>
  <c r="R164" i="7"/>
  <c r="R107" i="7"/>
  <c r="R106" i="7"/>
  <c r="R49" i="7"/>
  <c r="R48" i="7"/>
  <c r="H52" i="95" l="1"/>
  <c r="I52" i="95"/>
  <c r="J52" i="95"/>
  <c r="K52" i="95"/>
  <c r="L52" i="95"/>
  <c r="M52" i="95"/>
  <c r="N52" i="95"/>
  <c r="O52" i="95"/>
  <c r="G52" i="95"/>
  <c r="H98" i="97" l="1"/>
  <c r="H97" i="97"/>
  <c r="H96" i="97"/>
  <c r="H95" i="97"/>
  <c r="H94" i="97"/>
  <c r="H93" i="97"/>
  <c r="H92" i="97"/>
  <c r="H89" i="97"/>
  <c r="H88" i="97"/>
  <c r="H87" i="97"/>
  <c r="H86" i="97"/>
  <c r="H85" i="97"/>
  <c r="H84" i="97"/>
  <c r="H83" i="97"/>
  <c r="H80" i="97"/>
  <c r="H79" i="97"/>
  <c r="H78" i="97"/>
  <c r="H77" i="97"/>
  <c r="H76" i="97"/>
  <c r="H75" i="97"/>
  <c r="H74" i="97"/>
  <c r="H138" i="97" l="1"/>
  <c r="H139" i="97"/>
  <c r="U35" i="39" l="1"/>
  <c r="U15" i="39"/>
  <c r="H129" i="97" l="1"/>
  <c r="H128" i="97"/>
  <c r="J131" i="97"/>
  <c r="J130" i="97"/>
  <c r="U77" i="40"/>
  <c r="U65" i="40"/>
  <c r="H30" i="97" l="1"/>
  <c r="O195" i="7" s="1"/>
  <c r="H29" i="97"/>
  <c r="O194" i="7" s="1"/>
  <c r="H28" i="97"/>
  <c r="O137" i="7" s="1"/>
  <c r="H27" i="97"/>
  <c r="O136" i="7" s="1"/>
  <c r="H26" i="97"/>
  <c r="O79" i="7" s="1"/>
  <c r="H25" i="97"/>
  <c r="O78" i="7" s="1"/>
  <c r="H24" i="97"/>
  <c r="O21" i="7" s="1"/>
  <c r="H23" i="97"/>
  <c r="O20" i="7" s="1"/>
  <c r="J129" i="97" l="1"/>
  <c r="U75" i="39"/>
  <c r="J128" i="97" l="1"/>
  <c r="U95" i="39"/>
  <c r="H114" i="97" l="1"/>
  <c r="H115" i="97"/>
  <c r="M16" i="39" l="1"/>
  <c r="M20" i="50"/>
  <c r="M40" i="50"/>
  <c r="J106" i="97"/>
  <c r="J107" i="97"/>
  <c r="J105" i="97" l="1"/>
  <c r="H122" i="97" l="1"/>
  <c r="H121" i="97"/>
  <c r="J106" i="92" l="1"/>
  <c r="J105" i="92"/>
  <c r="K95" i="92" l="1"/>
  <c r="J95" i="92"/>
  <c r="I95" i="92"/>
  <c r="K94" i="92"/>
  <c r="J94" i="92"/>
  <c r="I94" i="92"/>
  <c r="J98" i="97" l="1"/>
  <c r="J97" i="97"/>
  <c r="J96" i="97"/>
  <c r="J95" i="97"/>
  <c r="J94" i="97"/>
  <c r="J93" i="97"/>
  <c r="J92" i="97"/>
  <c r="J89" i="97"/>
  <c r="J88" i="97"/>
  <c r="J87" i="97"/>
  <c r="J86" i="97"/>
  <c r="J85" i="97"/>
  <c r="J84" i="97"/>
  <c r="J83" i="97"/>
  <c r="J80" i="97"/>
  <c r="J79" i="97"/>
  <c r="J78" i="97"/>
  <c r="J77" i="97"/>
  <c r="J76" i="97"/>
  <c r="J75" i="97"/>
  <c r="J74" i="97"/>
  <c r="N114" i="93"/>
  <c r="M114" i="93"/>
  <c r="L114" i="93"/>
  <c r="K114" i="93"/>
  <c r="J114" i="93"/>
  <c r="I114" i="93"/>
  <c r="H114" i="93"/>
  <c r="N113" i="93"/>
  <c r="M113" i="93"/>
  <c r="L113" i="93"/>
  <c r="K113" i="93"/>
  <c r="I113" i="93"/>
  <c r="H113" i="93"/>
  <c r="N112" i="93"/>
  <c r="M112" i="93"/>
  <c r="L112" i="93"/>
  <c r="H112" i="93"/>
  <c r="W35" i="39" l="1"/>
  <c r="W15" i="39"/>
  <c r="J139" i="97" l="1"/>
  <c r="J138" i="97"/>
  <c r="J114" i="97" l="1"/>
  <c r="J15" i="39"/>
  <c r="J115" i="97"/>
  <c r="F122" i="97" s="1"/>
  <c r="J122" i="97" s="1"/>
  <c r="I31" i="92"/>
  <c r="F121" i="97" l="1"/>
  <c r="J121" i="97" s="1"/>
  <c r="F50" i="95" l="1"/>
  <c r="N82" i="93" l="1"/>
  <c r="N78" i="93"/>
  <c r="H106" i="93"/>
  <c r="H104" i="93"/>
  <c r="G23" i="95" l="1"/>
  <c r="F16" i="95"/>
  <c r="H9" i="95"/>
  <c r="I9" i="95"/>
  <c r="J9" i="95"/>
  <c r="K9" i="95"/>
  <c r="L9" i="95"/>
  <c r="M9" i="95"/>
  <c r="N9" i="95"/>
  <c r="O9" i="95"/>
  <c r="F151" i="49" l="1"/>
  <c r="F152" i="49"/>
  <c r="F153" i="49"/>
  <c r="F44" i="37"/>
  <c r="F45" i="37"/>
  <c r="F221" i="52" l="1"/>
  <c r="F222" i="52"/>
  <c r="F223" i="52"/>
  <c r="F226" i="52"/>
  <c r="F227" i="52"/>
  <c r="F228" i="52"/>
  <c r="F231" i="52"/>
  <c r="F232" i="52"/>
  <c r="F233" i="52"/>
  <c r="F236" i="52"/>
  <c r="F237" i="52"/>
  <c r="F238" i="52"/>
  <c r="F215" i="52"/>
  <c r="F211" i="52"/>
  <c r="F210" i="40"/>
  <c r="F211" i="40"/>
  <c r="F212" i="40"/>
  <c r="F213" i="40"/>
  <c r="F216" i="40"/>
  <c r="F217" i="40"/>
  <c r="F218" i="40"/>
  <c r="F219" i="40"/>
  <c r="F222" i="40"/>
  <c r="F223" i="40"/>
  <c r="F224" i="40"/>
  <c r="F225" i="40"/>
  <c r="F228" i="40"/>
  <c r="F229" i="40"/>
  <c r="F230" i="40"/>
  <c r="F231" i="40"/>
  <c r="F204" i="40"/>
  <c r="F200" i="40"/>
  <c r="N231" i="50" l="1"/>
  <c r="N167" i="50"/>
  <c r="G240" i="50" l="1"/>
  <c r="M240" i="50"/>
  <c r="M219" i="50"/>
  <c r="M155" i="50"/>
  <c r="M176" i="50"/>
  <c r="M112" i="50"/>
  <c r="M91" i="50" l="1"/>
  <c r="M27" i="50"/>
  <c r="M48" i="50"/>
  <c r="G27" i="50"/>
  <c r="H37" i="93" l="1"/>
  <c r="L37" i="93"/>
  <c r="M37" i="93"/>
  <c r="H38" i="93"/>
  <c r="L38" i="93"/>
  <c r="M38" i="93"/>
  <c r="N38" i="93"/>
  <c r="H39" i="93"/>
  <c r="L39" i="93"/>
  <c r="M39" i="93"/>
  <c r="N39" i="93"/>
  <c r="G38" i="93"/>
  <c r="G39" i="93"/>
  <c r="G37" i="93"/>
  <c r="H33" i="93"/>
  <c r="L33" i="93"/>
  <c r="M33" i="93"/>
  <c r="H34" i="93"/>
  <c r="L34" i="93"/>
  <c r="M34" i="93"/>
  <c r="N34" i="93"/>
  <c r="H35" i="93"/>
  <c r="L35" i="93"/>
  <c r="M35" i="93"/>
  <c r="N35" i="93"/>
  <c r="G34" i="93"/>
  <c r="G35" i="93"/>
  <c r="G33" i="93"/>
  <c r="H24" i="93"/>
  <c r="L24" i="93"/>
  <c r="M24" i="93"/>
  <c r="N24" i="93"/>
  <c r="H25" i="93"/>
  <c r="L25" i="93"/>
  <c r="M25" i="93"/>
  <c r="M92" i="93" s="1"/>
  <c r="N25" i="93"/>
  <c r="H26" i="93"/>
  <c r="H93" i="93" s="1"/>
  <c r="L26" i="93"/>
  <c r="L93" i="93" s="1"/>
  <c r="M26" i="93"/>
  <c r="M93" i="93" s="1"/>
  <c r="N26" i="93"/>
  <c r="G25" i="93"/>
  <c r="G26" i="93"/>
  <c r="G24" i="93"/>
  <c r="H19" i="93"/>
  <c r="L19" i="93"/>
  <c r="M19" i="93"/>
  <c r="N19" i="93"/>
  <c r="H20" i="93"/>
  <c r="L20" i="93"/>
  <c r="M20" i="93"/>
  <c r="N20" i="93"/>
  <c r="H21" i="93"/>
  <c r="L21" i="93"/>
  <c r="M21" i="93"/>
  <c r="N21" i="93"/>
  <c r="G20" i="93"/>
  <c r="G21" i="93"/>
  <c r="G19" i="93"/>
  <c r="H14" i="93"/>
  <c r="L14" i="93"/>
  <c r="M14" i="93"/>
  <c r="N14" i="93"/>
  <c r="H15" i="93"/>
  <c r="L15" i="93"/>
  <c r="M15" i="93"/>
  <c r="N15" i="93"/>
  <c r="H16" i="93"/>
  <c r="L16" i="93"/>
  <c r="M16" i="93"/>
  <c r="N16" i="93"/>
  <c r="G15" i="93"/>
  <c r="G16" i="93"/>
  <c r="G14" i="93"/>
  <c r="H9" i="93"/>
  <c r="L9" i="93"/>
  <c r="M9" i="93"/>
  <c r="N9" i="93"/>
  <c r="H10" i="93"/>
  <c r="L10" i="93"/>
  <c r="M10" i="93"/>
  <c r="N10" i="93"/>
  <c r="H11" i="93"/>
  <c r="L11" i="93"/>
  <c r="M11" i="93"/>
  <c r="N11" i="93"/>
  <c r="G10" i="93"/>
  <c r="G11" i="93"/>
  <c r="G9" i="93"/>
  <c r="F125" i="92"/>
  <c r="F124" i="92"/>
  <c r="N130" i="92" s="1"/>
  <c r="N131" i="92" s="1"/>
  <c r="G93" i="93"/>
  <c r="L92" i="93"/>
  <c r="H92" i="93"/>
  <c r="G92" i="93"/>
  <c r="M91" i="93"/>
  <c r="L91" i="93"/>
  <c r="H91" i="93"/>
  <c r="G91" i="93"/>
  <c r="N142" i="92"/>
  <c r="M142" i="92"/>
  <c r="L142" i="92"/>
  <c r="K142" i="92"/>
  <c r="J142" i="92"/>
  <c r="I142" i="92"/>
  <c r="H142" i="92"/>
  <c r="G142" i="92"/>
  <c r="N136" i="92"/>
  <c r="M136" i="92"/>
  <c r="L136" i="92"/>
  <c r="K136" i="92"/>
  <c r="J136" i="92"/>
  <c r="H136" i="92"/>
  <c r="G136" i="92"/>
  <c r="G137" i="92" s="1"/>
  <c r="F126" i="92"/>
  <c r="N144" i="92" s="1"/>
  <c r="N145" i="92" s="1"/>
  <c r="N53" i="93" s="1"/>
  <c r="M128" i="92"/>
  <c r="M129" i="92" s="1"/>
  <c r="N118" i="92"/>
  <c r="N48" i="93" s="1"/>
  <c r="M118" i="92"/>
  <c r="M48" i="93" s="1"/>
  <c r="L118" i="92"/>
  <c r="L48" i="93" s="1"/>
  <c r="K118" i="92"/>
  <c r="K48" i="93" s="1"/>
  <c r="J118" i="92"/>
  <c r="J48" i="93" s="1"/>
  <c r="I118" i="92"/>
  <c r="I48" i="93" s="1"/>
  <c r="H118" i="92"/>
  <c r="H48" i="93" s="1"/>
  <c r="G118" i="92"/>
  <c r="G48" i="93" s="1"/>
  <c r="F117" i="92"/>
  <c r="F116" i="92"/>
  <c r="N113" i="92"/>
  <c r="M113" i="92"/>
  <c r="M44" i="93" s="1"/>
  <c r="L113" i="92"/>
  <c r="L44" i="93" s="1"/>
  <c r="K113" i="92"/>
  <c r="K44" i="93" s="1"/>
  <c r="J113" i="92"/>
  <c r="J44" i="93" s="1"/>
  <c r="I113" i="92"/>
  <c r="I44" i="93" s="1"/>
  <c r="H113" i="92"/>
  <c r="H44" i="93" s="1"/>
  <c r="G113" i="92"/>
  <c r="G44" i="93" s="1"/>
  <c r="F113" i="92"/>
  <c r="F112" i="92"/>
  <c r="F111" i="92"/>
  <c r="N107" i="92"/>
  <c r="N47" i="93" s="1"/>
  <c r="M107" i="92"/>
  <c r="M47" i="93" s="1"/>
  <c r="L107" i="92"/>
  <c r="L47" i="93" s="1"/>
  <c r="K107" i="92"/>
  <c r="K47" i="93" s="1"/>
  <c r="J107" i="92"/>
  <c r="J47" i="93" s="1"/>
  <c r="I107" i="92"/>
  <c r="I47" i="93" s="1"/>
  <c r="H107" i="92"/>
  <c r="H47" i="93" s="1"/>
  <c r="G107" i="92"/>
  <c r="F106" i="92"/>
  <c r="F105" i="92"/>
  <c r="N102" i="92"/>
  <c r="N43" i="93" s="1"/>
  <c r="M102" i="92"/>
  <c r="M43" i="93" s="1"/>
  <c r="L102" i="92"/>
  <c r="L43" i="93" s="1"/>
  <c r="K102" i="92"/>
  <c r="K43" i="93" s="1"/>
  <c r="J102" i="92"/>
  <c r="J43" i="93" s="1"/>
  <c r="I102" i="92"/>
  <c r="I43" i="93" s="1"/>
  <c r="H102" i="92"/>
  <c r="H43" i="93" s="1"/>
  <c r="G102" i="92"/>
  <c r="G43" i="93" s="1"/>
  <c r="F101" i="92"/>
  <c r="F100" i="92"/>
  <c r="N96" i="92"/>
  <c r="N46" i="93" s="1"/>
  <c r="M96" i="92"/>
  <c r="M46" i="93" s="1"/>
  <c r="L96" i="92"/>
  <c r="L46" i="93" s="1"/>
  <c r="K96" i="92"/>
  <c r="K46" i="93" s="1"/>
  <c r="J96" i="92"/>
  <c r="J46" i="93" s="1"/>
  <c r="I96" i="92"/>
  <c r="I46" i="93" s="1"/>
  <c r="H96" i="92"/>
  <c r="H46" i="93" s="1"/>
  <c r="G96" i="92"/>
  <c r="F95" i="92"/>
  <c r="F94" i="92"/>
  <c r="N91" i="92"/>
  <c r="N42" i="93" s="1"/>
  <c r="M91" i="92"/>
  <c r="M42" i="93" s="1"/>
  <c r="L91" i="92"/>
  <c r="L42" i="93" s="1"/>
  <c r="K91" i="92"/>
  <c r="K42" i="93" s="1"/>
  <c r="J91" i="92"/>
  <c r="J42" i="93" s="1"/>
  <c r="I91" i="92"/>
  <c r="I42" i="93" s="1"/>
  <c r="H91" i="92"/>
  <c r="H42" i="93" s="1"/>
  <c r="G91" i="92"/>
  <c r="G42" i="93" s="1"/>
  <c r="F90" i="92"/>
  <c r="F89" i="92"/>
  <c r="K83" i="92"/>
  <c r="K39" i="93" s="1"/>
  <c r="J83" i="92"/>
  <c r="J39" i="93" s="1"/>
  <c r="I83" i="92"/>
  <c r="I39" i="93" s="1"/>
  <c r="K82" i="92"/>
  <c r="K38" i="93" s="1"/>
  <c r="J82" i="92"/>
  <c r="J38" i="93" s="1"/>
  <c r="I82" i="92"/>
  <c r="I38" i="93" s="1"/>
  <c r="N81" i="92"/>
  <c r="N37" i="93" s="1"/>
  <c r="K81" i="92"/>
  <c r="K37" i="93" s="1"/>
  <c r="J81" i="92"/>
  <c r="J37" i="93" s="1"/>
  <c r="I81" i="92"/>
  <c r="I37" i="93" s="1"/>
  <c r="K78" i="92"/>
  <c r="K35" i="93" s="1"/>
  <c r="J78" i="92"/>
  <c r="J35" i="93" s="1"/>
  <c r="I78" i="92"/>
  <c r="I35" i="93" s="1"/>
  <c r="K77" i="92"/>
  <c r="K34" i="93" s="1"/>
  <c r="J77" i="92"/>
  <c r="J34" i="93" s="1"/>
  <c r="I77" i="92"/>
  <c r="I34" i="93" s="1"/>
  <c r="N76" i="92"/>
  <c r="N33" i="93" s="1"/>
  <c r="K76" i="92"/>
  <c r="K33" i="93" s="1"/>
  <c r="J76" i="92"/>
  <c r="J33" i="93" s="1"/>
  <c r="I76" i="92"/>
  <c r="I33" i="93" s="1"/>
  <c r="N66" i="92"/>
  <c r="N30" i="93" s="1"/>
  <c r="M66" i="92"/>
  <c r="M30" i="93" s="1"/>
  <c r="M97" i="93" s="1"/>
  <c r="L66" i="92"/>
  <c r="L30" i="93" s="1"/>
  <c r="L97" i="93" s="1"/>
  <c r="H66" i="92"/>
  <c r="H30" i="93" s="1"/>
  <c r="H97" i="93" s="1"/>
  <c r="G66" i="92"/>
  <c r="G30" i="93" s="1"/>
  <c r="G97" i="93" s="1"/>
  <c r="K65" i="92"/>
  <c r="J65" i="92"/>
  <c r="I65" i="92"/>
  <c r="K64" i="92"/>
  <c r="K66" i="92" s="1"/>
  <c r="K30" i="93" s="1"/>
  <c r="K97" i="93" s="1"/>
  <c r="J64" i="92"/>
  <c r="I64" i="92"/>
  <c r="I66" i="92" s="1"/>
  <c r="I30" i="93" s="1"/>
  <c r="N63" i="92"/>
  <c r="N29" i="93" s="1"/>
  <c r="M63" i="92"/>
  <c r="M29" i="93" s="1"/>
  <c r="M96" i="93" s="1"/>
  <c r="L63" i="92"/>
  <c r="L29" i="93" s="1"/>
  <c r="L96" i="93" s="1"/>
  <c r="H63" i="92"/>
  <c r="H29" i="93" s="1"/>
  <c r="H96" i="93" s="1"/>
  <c r="G63" i="92"/>
  <c r="G29" i="93" s="1"/>
  <c r="G96" i="93" s="1"/>
  <c r="K62" i="92"/>
  <c r="J62" i="92"/>
  <c r="I62" i="92"/>
  <c r="K61" i="92"/>
  <c r="J61" i="92"/>
  <c r="J63" i="92" s="1"/>
  <c r="J29" i="93" s="1"/>
  <c r="I61" i="92"/>
  <c r="N60" i="92"/>
  <c r="N28" i="93" s="1"/>
  <c r="M60" i="92"/>
  <c r="M28" i="93" s="1"/>
  <c r="M95" i="93" s="1"/>
  <c r="L60" i="92"/>
  <c r="L28" i="93" s="1"/>
  <c r="L95" i="93" s="1"/>
  <c r="H60" i="92"/>
  <c r="H28" i="93" s="1"/>
  <c r="H95" i="93" s="1"/>
  <c r="G60" i="92"/>
  <c r="G28" i="93" s="1"/>
  <c r="G95" i="93" s="1"/>
  <c r="K59" i="92"/>
  <c r="J59" i="92"/>
  <c r="I59" i="92"/>
  <c r="K58" i="92"/>
  <c r="K60" i="92" s="1"/>
  <c r="K28" i="93" s="1"/>
  <c r="J58" i="92"/>
  <c r="I58" i="92"/>
  <c r="I60" i="92" s="1"/>
  <c r="I28" i="93" s="1"/>
  <c r="K55" i="92"/>
  <c r="K26" i="93" s="1"/>
  <c r="K93" i="93" s="1"/>
  <c r="J55" i="92"/>
  <c r="J26" i="93" s="1"/>
  <c r="I55" i="92"/>
  <c r="I26" i="93" s="1"/>
  <c r="K54" i="92"/>
  <c r="K25" i="93" s="1"/>
  <c r="K92" i="93" s="1"/>
  <c r="J54" i="92"/>
  <c r="J25" i="93" s="1"/>
  <c r="I54" i="92"/>
  <c r="I25" i="93" s="1"/>
  <c r="K53" i="92"/>
  <c r="K24" i="93" s="1"/>
  <c r="J53" i="92"/>
  <c r="J24" i="93" s="1"/>
  <c r="I53" i="92"/>
  <c r="I24" i="93" s="1"/>
  <c r="K44" i="92"/>
  <c r="K21" i="93" s="1"/>
  <c r="J44" i="92"/>
  <c r="J21" i="93" s="1"/>
  <c r="J79" i="93" s="1"/>
  <c r="I44" i="92"/>
  <c r="I21" i="93" s="1"/>
  <c r="I83" i="93" s="1"/>
  <c r="K43" i="92"/>
  <c r="K20" i="93" s="1"/>
  <c r="J43" i="92"/>
  <c r="J20" i="93" s="1"/>
  <c r="J82" i="93" s="1"/>
  <c r="I43" i="92"/>
  <c r="I20" i="93" s="1"/>
  <c r="I78" i="93" s="1"/>
  <c r="K42" i="92"/>
  <c r="K19" i="93" s="1"/>
  <c r="J42" i="92"/>
  <c r="J19" i="93" s="1"/>
  <c r="I42" i="92"/>
  <c r="I19" i="93" s="1"/>
  <c r="K33" i="92"/>
  <c r="K16" i="93" s="1"/>
  <c r="J33" i="92"/>
  <c r="J16" i="93" s="1"/>
  <c r="I33" i="92"/>
  <c r="I16" i="93" s="1"/>
  <c r="K32" i="92"/>
  <c r="K15" i="93" s="1"/>
  <c r="J32" i="92"/>
  <c r="J15" i="93" s="1"/>
  <c r="I32" i="92"/>
  <c r="I15" i="93" s="1"/>
  <c r="K31" i="92"/>
  <c r="K14" i="93" s="1"/>
  <c r="J31" i="92"/>
  <c r="J14" i="93" s="1"/>
  <c r="I14" i="93"/>
  <c r="K22" i="92"/>
  <c r="K11" i="93" s="1"/>
  <c r="J22" i="92"/>
  <c r="J11" i="93" s="1"/>
  <c r="I22" i="92"/>
  <c r="I11" i="93" s="1"/>
  <c r="K21" i="92"/>
  <c r="K10" i="93" s="1"/>
  <c r="J21" i="92"/>
  <c r="J10" i="93" s="1"/>
  <c r="I21" i="92"/>
  <c r="I10" i="93" s="1"/>
  <c r="K20" i="92"/>
  <c r="K9" i="93" s="1"/>
  <c r="J20" i="92"/>
  <c r="J9" i="93" s="1"/>
  <c r="I20" i="92"/>
  <c r="I9" i="93" s="1"/>
  <c r="I81" i="93" l="1"/>
  <c r="J77" i="93"/>
  <c r="J60" i="92"/>
  <c r="J28" i="93" s="1"/>
  <c r="I63" i="92"/>
  <c r="I29" i="93" s="1"/>
  <c r="K63" i="92"/>
  <c r="K29" i="93" s="1"/>
  <c r="K96" i="93" s="1"/>
  <c r="J66" i="92"/>
  <c r="J30" i="93" s="1"/>
  <c r="F91" i="92"/>
  <c r="N81" i="93"/>
  <c r="F96" i="92"/>
  <c r="G46" i="93"/>
  <c r="F107" i="92"/>
  <c r="G47" i="93"/>
  <c r="N151" i="92"/>
  <c r="N58" i="93" s="1"/>
  <c r="N44" i="93"/>
  <c r="N71" i="93"/>
  <c r="N97" i="93" s="1"/>
  <c r="N83" i="93"/>
  <c r="F118" i="92"/>
  <c r="J137" i="92"/>
  <c r="L137" i="92"/>
  <c r="N137" i="92"/>
  <c r="H137" i="92"/>
  <c r="K137" i="92"/>
  <c r="M137" i="92"/>
  <c r="I77" i="93"/>
  <c r="N77" i="93"/>
  <c r="J78" i="93"/>
  <c r="I79" i="93"/>
  <c r="J81" i="93"/>
  <c r="I82" i="93"/>
  <c r="J83" i="93"/>
  <c r="F102" i="92"/>
  <c r="H128" i="92"/>
  <c r="H129" i="92" s="1"/>
  <c r="J128" i="92"/>
  <c r="J129" i="92" s="1"/>
  <c r="L128" i="92"/>
  <c r="L129" i="92" s="1"/>
  <c r="N128" i="92"/>
  <c r="N129" i="92" s="1"/>
  <c r="N132" i="92" s="1"/>
  <c r="G130" i="92"/>
  <c r="G131" i="92" s="1"/>
  <c r="I130" i="92"/>
  <c r="I131" i="92" s="1"/>
  <c r="K130" i="92"/>
  <c r="K131" i="92" s="1"/>
  <c r="M130" i="92"/>
  <c r="M131" i="92" s="1"/>
  <c r="M132" i="92" s="1"/>
  <c r="G135" i="92"/>
  <c r="G138" i="92" s="1"/>
  <c r="I135" i="92"/>
  <c r="K135" i="92"/>
  <c r="K138" i="92" s="1"/>
  <c r="M135" i="92"/>
  <c r="M138" i="92" s="1"/>
  <c r="I136" i="92"/>
  <c r="I137" i="92" s="1"/>
  <c r="G144" i="92"/>
  <c r="G145" i="92" s="1"/>
  <c r="I144" i="92"/>
  <c r="I145" i="92" s="1"/>
  <c r="K144" i="92"/>
  <c r="K145" i="92" s="1"/>
  <c r="M144" i="92"/>
  <c r="M145" i="92" s="1"/>
  <c r="G128" i="92"/>
  <c r="G129" i="92" s="1"/>
  <c r="I128" i="92"/>
  <c r="I129" i="92" s="1"/>
  <c r="K128" i="92"/>
  <c r="K129" i="92" s="1"/>
  <c r="F130" i="92"/>
  <c r="H130" i="92"/>
  <c r="H131" i="92" s="1"/>
  <c r="J130" i="92"/>
  <c r="J131" i="92" s="1"/>
  <c r="L130" i="92"/>
  <c r="L131" i="92" s="1"/>
  <c r="H135" i="92"/>
  <c r="H138" i="92" s="1"/>
  <c r="J135" i="92"/>
  <c r="J138" i="92" s="1"/>
  <c r="L135" i="92"/>
  <c r="L138" i="92" s="1"/>
  <c r="N135" i="92"/>
  <c r="N138" i="92" s="1"/>
  <c r="H144" i="92"/>
  <c r="H145" i="92" s="1"/>
  <c r="J144" i="92"/>
  <c r="J145" i="92" s="1"/>
  <c r="L144" i="92"/>
  <c r="L145" i="92" s="1"/>
  <c r="G155" i="50"/>
  <c r="N67" i="93" l="1"/>
  <c r="N79" i="93"/>
  <c r="H151" i="92"/>
  <c r="H58" i="93" s="1"/>
  <c r="H53" i="93"/>
  <c r="J151" i="92"/>
  <c r="J58" i="93" s="1"/>
  <c r="J53" i="93"/>
  <c r="N150" i="92"/>
  <c r="N57" i="93" s="1"/>
  <c r="N52" i="93"/>
  <c r="J150" i="92"/>
  <c r="J57" i="93" s="1"/>
  <c r="J52" i="93"/>
  <c r="K151" i="92"/>
  <c r="K58" i="93" s="1"/>
  <c r="K53" i="93"/>
  <c r="G151" i="92"/>
  <c r="G58" i="93" s="1"/>
  <c r="G53" i="93"/>
  <c r="M150" i="92"/>
  <c r="M57" i="93" s="1"/>
  <c r="M52" i="93"/>
  <c r="L151" i="92"/>
  <c r="L58" i="93" s="1"/>
  <c r="L53" i="93"/>
  <c r="L150" i="92"/>
  <c r="L57" i="93" s="1"/>
  <c r="L52" i="93"/>
  <c r="H150" i="92"/>
  <c r="H57" i="93" s="1"/>
  <c r="H52" i="93"/>
  <c r="M151" i="92"/>
  <c r="M58" i="93" s="1"/>
  <c r="M53" i="93"/>
  <c r="I151" i="92"/>
  <c r="I58" i="93" s="1"/>
  <c r="I53" i="93"/>
  <c r="K150" i="92"/>
  <c r="K57" i="93" s="1"/>
  <c r="K52" i="93"/>
  <c r="G150" i="92"/>
  <c r="G57" i="93" s="1"/>
  <c r="G52" i="93"/>
  <c r="N149" i="92"/>
  <c r="N56" i="93" s="1"/>
  <c r="N51" i="93"/>
  <c r="M149" i="92"/>
  <c r="M56" i="93" s="1"/>
  <c r="M51" i="93"/>
  <c r="K132" i="92"/>
  <c r="G132" i="92"/>
  <c r="I138" i="92"/>
  <c r="J132" i="92"/>
  <c r="I132" i="92"/>
  <c r="L132" i="92"/>
  <c r="H132" i="92"/>
  <c r="K155" i="50"/>
  <c r="K176" i="50"/>
  <c r="W112" i="50"/>
  <c r="W91" i="50"/>
  <c r="W48" i="50"/>
  <c r="W27" i="50"/>
  <c r="N93" i="93" l="1"/>
  <c r="I71" i="93"/>
  <c r="I97" i="93" s="1"/>
  <c r="I67" i="93"/>
  <c r="I93" i="93" s="1"/>
  <c r="J70" i="93"/>
  <c r="J96" i="93" s="1"/>
  <c r="J66" i="93"/>
  <c r="J92" i="93" s="1"/>
  <c r="N70" i="93"/>
  <c r="N96" i="93" s="1"/>
  <c r="N66" i="93"/>
  <c r="N92" i="93" s="1"/>
  <c r="J67" i="93"/>
  <c r="J71" i="93"/>
  <c r="J106" i="93" s="1"/>
  <c r="I149" i="92"/>
  <c r="I56" i="93" s="1"/>
  <c r="I51" i="93"/>
  <c r="K149" i="92"/>
  <c r="K56" i="93" s="1"/>
  <c r="K51" i="93"/>
  <c r="L149" i="92"/>
  <c r="L56" i="93" s="1"/>
  <c r="L51" i="93"/>
  <c r="J149" i="92"/>
  <c r="J56" i="93" s="1"/>
  <c r="J51" i="93"/>
  <c r="G149" i="92"/>
  <c r="G56" i="93" s="1"/>
  <c r="G51" i="93"/>
  <c r="H149" i="92"/>
  <c r="H56" i="93" s="1"/>
  <c r="H51" i="93"/>
  <c r="I150" i="92"/>
  <c r="I57" i="93" s="1"/>
  <c r="I52" i="93"/>
  <c r="N69" i="93"/>
  <c r="N95" i="93" s="1"/>
  <c r="N65" i="93"/>
  <c r="N91" i="93" s="1"/>
  <c r="U270" i="58"/>
  <c r="K65" i="93" l="1"/>
  <c r="K91" i="93" s="1"/>
  <c r="K69" i="93"/>
  <c r="K95" i="93" s="1"/>
  <c r="I70" i="93"/>
  <c r="I96" i="93" s="1"/>
  <c r="I66" i="93"/>
  <c r="I92" i="93" s="1"/>
  <c r="J65" i="93"/>
  <c r="J91" i="93" s="1"/>
  <c r="J69" i="93"/>
  <c r="J95" i="93" s="1"/>
  <c r="I69" i="93"/>
  <c r="I95" i="93" s="1"/>
  <c r="I65" i="93"/>
  <c r="I91" i="93" s="1"/>
  <c r="J63" i="83" l="1"/>
  <c r="E25" i="90" l="1"/>
  <c r="E24" i="90"/>
  <c r="E25" i="89"/>
  <c r="E24" i="89"/>
  <c r="E25" i="88"/>
  <c r="E24" i="88"/>
  <c r="E25" i="87"/>
  <c r="E24" i="87"/>
  <c r="E25" i="85"/>
  <c r="E24" i="85"/>
  <c r="E25" i="83"/>
  <c r="E24" i="83"/>
  <c r="E97" i="90"/>
  <c r="J80" i="90"/>
  <c r="E80" i="90"/>
  <c r="J63" i="90"/>
  <c r="E97" i="89"/>
  <c r="J80" i="89"/>
  <c r="E80" i="89"/>
  <c r="J63" i="89"/>
  <c r="E97" i="88"/>
  <c r="J80" i="88"/>
  <c r="E80" i="88"/>
  <c r="J63" i="88"/>
  <c r="E97" i="87"/>
  <c r="J80" i="87"/>
  <c r="E80" i="87"/>
  <c r="J63" i="87"/>
  <c r="E97" i="85"/>
  <c r="J80" i="85"/>
  <c r="E80" i="85"/>
  <c r="J63" i="85"/>
  <c r="J80" i="83"/>
  <c r="E97" i="83"/>
  <c r="E75" i="83"/>
  <c r="E80" i="83"/>
  <c r="F16" i="79" l="1"/>
  <c r="F11" i="61" l="1"/>
  <c r="G237" i="76" l="1"/>
  <c r="N222" i="76"/>
  <c r="M222" i="76"/>
  <c r="L222" i="76"/>
  <c r="K222" i="76"/>
  <c r="I222" i="76"/>
  <c r="G222" i="76"/>
  <c r="N242" i="76"/>
  <c r="M242" i="76"/>
  <c r="L242" i="76"/>
  <c r="K242" i="76"/>
  <c r="I242" i="76"/>
  <c r="G242" i="76"/>
  <c r="N260" i="76"/>
  <c r="M260" i="76"/>
  <c r="L260" i="76"/>
  <c r="K260" i="76"/>
  <c r="I260" i="76"/>
  <c r="G260" i="76"/>
  <c r="N290" i="76"/>
  <c r="M290" i="76"/>
  <c r="L290" i="76"/>
  <c r="K290" i="76"/>
  <c r="I290" i="76"/>
  <c r="G290" i="76"/>
  <c r="N192" i="76"/>
  <c r="M192" i="76"/>
  <c r="L192" i="76"/>
  <c r="K192" i="76"/>
  <c r="I192" i="76"/>
  <c r="G192" i="76"/>
  <c r="N171" i="76"/>
  <c r="M171" i="76"/>
  <c r="L171" i="76"/>
  <c r="K171" i="76"/>
  <c r="I171" i="76"/>
  <c r="G171" i="76"/>
  <c r="N170" i="76"/>
  <c r="M170" i="76"/>
  <c r="L170" i="76"/>
  <c r="K170" i="76"/>
  <c r="I170" i="76"/>
  <c r="G170" i="76"/>
  <c r="I27" i="76"/>
  <c r="K27" i="76"/>
  <c r="L27" i="76"/>
  <c r="M27" i="76"/>
  <c r="N27" i="76"/>
  <c r="I28" i="76"/>
  <c r="K28" i="76"/>
  <c r="L28" i="76"/>
  <c r="M28" i="76"/>
  <c r="N28" i="76"/>
  <c r="G28" i="76"/>
  <c r="G27" i="76"/>
  <c r="F73" i="62" l="1"/>
  <c r="O18" i="12" l="1"/>
  <c r="F23" i="12"/>
  <c r="F24" i="12" s="1"/>
  <c r="F25" i="12" s="1"/>
  <c r="F26" i="12"/>
  <c r="W99" i="39" l="1"/>
  <c r="J48" i="26" l="1"/>
  <c r="I48" i="26"/>
  <c r="H48" i="26"/>
  <c r="G48" i="26"/>
  <c r="H23" i="95" l="1"/>
  <c r="H23" i="100"/>
  <c r="J23" i="95"/>
  <c r="J23" i="100"/>
  <c r="I23" i="95"/>
  <c r="I23" i="100"/>
  <c r="H373" i="61"/>
  <c r="I373" i="61"/>
  <c r="J373" i="61"/>
  <c r="K373" i="61"/>
  <c r="L373" i="61"/>
  <c r="M373" i="61"/>
  <c r="N373" i="61"/>
  <c r="O373" i="61"/>
  <c r="G373" i="61"/>
  <c r="H269" i="61"/>
  <c r="I269" i="61"/>
  <c r="K269" i="61"/>
  <c r="L269" i="61"/>
  <c r="M269" i="61"/>
  <c r="N269" i="61"/>
  <c r="O269" i="61"/>
  <c r="G269" i="61"/>
  <c r="H165" i="61"/>
  <c r="L165" i="61"/>
  <c r="M165" i="61"/>
  <c r="N165" i="61"/>
  <c r="O165" i="61"/>
  <c r="G165" i="61"/>
  <c r="H65" i="61"/>
  <c r="L65" i="61"/>
  <c r="M65" i="61"/>
  <c r="N65" i="61"/>
  <c r="O65" i="61"/>
  <c r="G65" i="61"/>
  <c r="H518" i="47"/>
  <c r="I518" i="47"/>
  <c r="J518" i="47"/>
  <c r="K518" i="47"/>
  <c r="L518" i="47"/>
  <c r="M518" i="47"/>
  <c r="N518" i="47"/>
  <c r="O518" i="47"/>
  <c r="G518" i="47"/>
  <c r="H374" i="47"/>
  <c r="I374" i="47"/>
  <c r="K374" i="47"/>
  <c r="L374" i="47"/>
  <c r="M374" i="47"/>
  <c r="N374" i="47"/>
  <c r="O374" i="47"/>
  <c r="G374" i="47"/>
  <c r="H230" i="47"/>
  <c r="L230" i="47"/>
  <c r="M230" i="47"/>
  <c r="N230" i="47"/>
  <c r="O230" i="47"/>
  <c r="G230" i="47"/>
  <c r="H92" i="47"/>
  <c r="L92" i="47"/>
  <c r="M92" i="47"/>
  <c r="N92" i="47"/>
  <c r="O92" i="47"/>
  <c r="G92" i="47"/>
  <c r="J93" i="55" l="1"/>
  <c r="J111" i="55"/>
  <c r="J141" i="55"/>
  <c r="J138" i="55"/>
  <c r="J137" i="55"/>
  <c r="J136" i="55"/>
  <c r="J135" i="55"/>
  <c r="J134" i="55"/>
  <c r="J133" i="55"/>
  <c r="J132" i="55"/>
  <c r="J131" i="55"/>
  <c r="J130" i="55"/>
  <c r="J129" i="55"/>
  <c r="J126" i="55"/>
  <c r="J125" i="55"/>
  <c r="J124" i="55"/>
  <c r="J123" i="55"/>
  <c r="J122" i="55"/>
  <c r="J121" i="55"/>
  <c r="J120" i="55"/>
  <c r="J119" i="55"/>
  <c r="J118" i="55"/>
  <c r="J117" i="55"/>
  <c r="J108" i="55"/>
  <c r="J107" i="55"/>
  <c r="J106" i="55"/>
  <c r="J105" i="55"/>
  <c r="J102" i="55"/>
  <c r="J101" i="55"/>
  <c r="J100" i="55"/>
  <c r="J99" i="55"/>
  <c r="J90" i="55"/>
  <c r="J89" i="55"/>
  <c r="J88" i="55"/>
  <c r="J87" i="55"/>
  <c r="J82" i="55"/>
  <c r="J83" i="55"/>
  <c r="J84" i="55"/>
  <c r="J81" i="55"/>
  <c r="J25" i="55"/>
  <c r="J43" i="55"/>
  <c r="J73" i="55"/>
  <c r="K70" i="55"/>
  <c r="J70" i="55"/>
  <c r="I70" i="55"/>
  <c r="K69" i="55"/>
  <c r="J69" i="55"/>
  <c r="I69" i="55"/>
  <c r="K68" i="55"/>
  <c r="J68" i="55"/>
  <c r="I68" i="55"/>
  <c r="K67" i="55"/>
  <c r="J67" i="55"/>
  <c r="I67" i="55"/>
  <c r="K66" i="55"/>
  <c r="J66" i="55"/>
  <c r="I66" i="55"/>
  <c r="K65" i="55"/>
  <c r="J65" i="55"/>
  <c r="I65" i="55"/>
  <c r="K64" i="55"/>
  <c r="J64" i="55"/>
  <c r="I64" i="55"/>
  <c r="K63" i="55"/>
  <c r="J63" i="55"/>
  <c r="I63" i="55"/>
  <c r="K62" i="55"/>
  <c r="J62" i="55"/>
  <c r="I62" i="55"/>
  <c r="K61" i="55"/>
  <c r="J61" i="55"/>
  <c r="I61" i="55"/>
  <c r="K58" i="55"/>
  <c r="J58" i="55"/>
  <c r="I58" i="55"/>
  <c r="K57" i="55"/>
  <c r="J57" i="55"/>
  <c r="I57" i="55"/>
  <c r="K56" i="55"/>
  <c r="J56" i="55"/>
  <c r="I56" i="55"/>
  <c r="K55" i="55"/>
  <c r="J55" i="55"/>
  <c r="I55" i="55"/>
  <c r="K54" i="55"/>
  <c r="J54" i="55"/>
  <c r="I54" i="55"/>
  <c r="K53" i="55"/>
  <c r="J53" i="55"/>
  <c r="I53" i="55"/>
  <c r="K52" i="55"/>
  <c r="J52" i="55"/>
  <c r="I52" i="55"/>
  <c r="K51" i="55"/>
  <c r="J51" i="55"/>
  <c r="I51" i="55"/>
  <c r="K50" i="55"/>
  <c r="J50" i="55"/>
  <c r="I50" i="55"/>
  <c r="K49" i="55"/>
  <c r="J49" i="55"/>
  <c r="I49" i="55"/>
  <c r="K40" i="55"/>
  <c r="J40" i="55"/>
  <c r="I40" i="55"/>
  <c r="K39" i="55"/>
  <c r="J39" i="55"/>
  <c r="I39" i="55"/>
  <c r="K38" i="55"/>
  <c r="J38" i="55"/>
  <c r="I38" i="55"/>
  <c r="K37" i="55"/>
  <c r="J37" i="55"/>
  <c r="I37" i="55"/>
  <c r="K34" i="55"/>
  <c r="J34" i="55"/>
  <c r="I34" i="55"/>
  <c r="K33" i="55"/>
  <c r="J33" i="55"/>
  <c r="I33" i="55"/>
  <c r="K32" i="55"/>
  <c r="J32" i="55"/>
  <c r="I32" i="55"/>
  <c r="K31" i="55"/>
  <c r="J31" i="55"/>
  <c r="I31" i="55"/>
  <c r="K22" i="55"/>
  <c r="J22" i="55"/>
  <c r="I22" i="55"/>
  <c r="K21" i="55"/>
  <c r="J21" i="55"/>
  <c r="I21" i="55"/>
  <c r="K20" i="55"/>
  <c r="J20" i="55"/>
  <c r="I20" i="55"/>
  <c r="K19" i="55"/>
  <c r="J19" i="55"/>
  <c r="I19" i="55"/>
  <c r="I14" i="55"/>
  <c r="J14" i="55"/>
  <c r="K14" i="55"/>
  <c r="I15" i="55"/>
  <c r="J15" i="55"/>
  <c r="K15" i="55"/>
  <c r="I16" i="55"/>
  <c r="J16" i="55"/>
  <c r="K16" i="55"/>
  <c r="K13" i="55"/>
  <c r="J13" i="55"/>
  <c r="I13" i="55"/>
  <c r="J360" i="58" l="1"/>
  <c r="J357" i="58"/>
  <c r="J356" i="58"/>
  <c r="J355" i="58"/>
  <c r="J354" i="58"/>
  <c r="J353" i="58"/>
  <c r="J352" i="58"/>
  <c r="J351" i="58"/>
  <c r="J350" i="58"/>
  <c r="J349" i="58"/>
  <c r="J348" i="58"/>
  <c r="J345" i="58"/>
  <c r="J344" i="58"/>
  <c r="J343" i="58"/>
  <c r="J342" i="58"/>
  <c r="J341" i="58"/>
  <c r="J340" i="58"/>
  <c r="J339" i="58"/>
  <c r="J338" i="58"/>
  <c r="J337" i="58"/>
  <c r="J336" i="58"/>
  <c r="J330" i="58"/>
  <c r="J327" i="58"/>
  <c r="J326" i="58"/>
  <c r="J325" i="58"/>
  <c r="J324" i="58"/>
  <c r="J321" i="58"/>
  <c r="J320" i="58"/>
  <c r="J319" i="58"/>
  <c r="J318" i="58"/>
  <c r="J312" i="58"/>
  <c r="J309" i="58"/>
  <c r="J308" i="58"/>
  <c r="J307" i="58"/>
  <c r="J306" i="58"/>
  <c r="J303" i="58"/>
  <c r="J302" i="58"/>
  <c r="J301" i="58"/>
  <c r="J300" i="58"/>
  <c r="J292" i="58"/>
  <c r="J289" i="58"/>
  <c r="J288" i="58"/>
  <c r="J287" i="58"/>
  <c r="J286" i="58"/>
  <c r="J285" i="58"/>
  <c r="J284" i="58"/>
  <c r="J283" i="58"/>
  <c r="J282" i="58"/>
  <c r="J281" i="58"/>
  <c r="J280" i="58"/>
  <c r="J277" i="58"/>
  <c r="J276" i="58"/>
  <c r="J275" i="58"/>
  <c r="J274" i="58"/>
  <c r="J273" i="58"/>
  <c r="J272" i="58"/>
  <c r="J271" i="58"/>
  <c r="J270" i="58"/>
  <c r="J269" i="58"/>
  <c r="J268" i="58"/>
  <c r="J262" i="58"/>
  <c r="J259" i="58"/>
  <c r="J258" i="58"/>
  <c r="J257" i="58"/>
  <c r="J256" i="58"/>
  <c r="J253" i="58"/>
  <c r="J252" i="58"/>
  <c r="J251" i="58"/>
  <c r="J250" i="58"/>
  <c r="J242" i="58"/>
  <c r="K239" i="58"/>
  <c r="J239" i="58"/>
  <c r="I239" i="58"/>
  <c r="K238" i="58"/>
  <c r="J238" i="58"/>
  <c r="I238" i="58"/>
  <c r="K237" i="58"/>
  <c r="J237" i="58"/>
  <c r="I237" i="58"/>
  <c r="K236" i="58"/>
  <c r="J236" i="58"/>
  <c r="I236" i="58"/>
  <c r="K235" i="58"/>
  <c r="J235" i="58"/>
  <c r="I235" i="58"/>
  <c r="K234" i="58"/>
  <c r="J234" i="58"/>
  <c r="I234" i="58"/>
  <c r="K233" i="58"/>
  <c r="J233" i="58"/>
  <c r="I233" i="58"/>
  <c r="K232" i="58"/>
  <c r="J232" i="58"/>
  <c r="I232" i="58"/>
  <c r="K231" i="58"/>
  <c r="J231" i="58"/>
  <c r="I231" i="58"/>
  <c r="K230" i="58"/>
  <c r="J230" i="58"/>
  <c r="I230" i="58"/>
  <c r="K227" i="58"/>
  <c r="J227" i="58"/>
  <c r="I227" i="58"/>
  <c r="K226" i="58"/>
  <c r="J226" i="58"/>
  <c r="I226" i="58"/>
  <c r="K225" i="58"/>
  <c r="J225" i="58"/>
  <c r="I225" i="58"/>
  <c r="K224" i="58"/>
  <c r="J224" i="58"/>
  <c r="I224" i="58"/>
  <c r="K223" i="58"/>
  <c r="J223" i="58"/>
  <c r="I223" i="58"/>
  <c r="K222" i="58"/>
  <c r="J222" i="58"/>
  <c r="I222" i="58"/>
  <c r="K221" i="58"/>
  <c r="J221" i="58"/>
  <c r="I221" i="58"/>
  <c r="K220" i="58"/>
  <c r="J220" i="58"/>
  <c r="I220" i="58"/>
  <c r="K219" i="58"/>
  <c r="J219" i="58"/>
  <c r="I219" i="58"/>
  <c r="K218" i="58"/>
  <c r="J218" i="58"/>
  <c r="I218" i="58"/>
  <c r="J212" i="58"/>
  <c r="K209" i="58"/>
  <c r="J209" i="58"/>
  <c r="I209" i="58"/>
  <c r="K208" i="58"/>
  <c r="J208" i="58"/>
  <c r="I208" i="58"/>
  <c r="K207" i="58"/>
  <c r="J207" i="58"/>
  <c r="I207" i="58"/>
  <c r="K206" i="58"/>
  <c r="J206" i="58"/>
  <c r="I206" i="58"/>
  <c r="K203" i="58"/>
  <c r="J203" i="58"/>
  <c r="I203" i="58"/>
  <c r="K202" i="58"/>
  <c r="J202" i="58"/>
  <c r="I202" i="58"/>
  <c r="K201" i="58"/>
  <c r="J201" i="58"/>
  <c r="I201" i="58"/>
  <c r="K200" i="58"/>
  <c r="J200" i="58"/>
  <c r="I200" i="58"/>
  <c r="J194" i="58"/>
  <c r="K191" i="58"/>
  <c r="J191" i="58"/>
  <c r="I191" i="58"/>
  <c r="K190" i="58"/>
  <c r="J190" i="58"/>
  <c r="I190" i="58"/>
  <c r="K189" i="58"/>
  <c r="J189" i="58"/>
  <c r="I189" i="58"/>
  <c r="K188" i="58"/>
  <c r="J188" i="58"/>
  <c r="I188" i="58"/>
  <c r="K185" i="58"/>
  <c r="J185" i="58"/>
  <c r="I185" i="58"/>
  <c r="K184" i="58"/>
  <c r="J184" i="58"/>
  <c r="I184" i="58"/>
  <c r="K183" i="58"/>
  <c r="J183" i="58"/>
  <c r="I183" i="58"/>
  <c r="K182" i="58"/>
  <c r="J182" i="58"/>
  <c r="I182" i="58"/>
  <c r="J174" i="58"/>
  <c r="K171" i="58"/>
  <c r="J171" i="58"/>
  <c r="I171" i="58"/>
  <c r="K170" i="58"/>
  <c r="J170" i="58"/>
  <c r="I170" i="58"/>
  <c r="K169" i="58"/>
  <c r="J169" i="58"/>
  <c r="I169" i="58"/>
  <c r="K168" i="58"/>
  <c r="J168" i="58"/>
  <c r="I168" i="58"/>
  <c r="K167" i="58"/>
  <c r="J167" i="58"/>
  <c r="I167" i="58"/>
  <c r="K166" i="58"/>
  <c r="J166" i="58"/>
  <c r="I166" i="58"/>
  <c r="K165" i="58"/>
  <c r="J165" i="58"/>
  <c r="I165" i="58"/>
  <c r="K164" i="58"/>
  <c r="J164" i="58"/>
  <c r="I164" i="58"/>
  <c r="K163" i="58"/>
  <c r="J163" i="58"/>
  <c r="I163" i="58"/>
  <c r="K162" i="58"/>
  <c r="J162" i="58"/>
  <c r="I162" i="58"/>
  <c r="K159" i="58"/>
  <c r="J159" i="58"/>
  <c r="I159" i="58"/>
  <c r="K158" i="58"/>
  <c r="J158" i="58"/>
  <c r="I158" i="58"/>
  <c r="K157" i="58"/>
  <c r="J157" i="58"/>
  <c r="I157" i="58"/>
  <c r="K156" i="58"/>
  <c r="J156" i="58"/>
  <c r="I156" i="58"/>
  <c r="K155" i="58"/>
  <c r="J155" i="58"/>
  <c r="I155" i="58"/>
  <c r="K154" i="58"/>
  <c r="J154" i="58"/>
  <c r="I154" i="58"/>
  <c r="K153" i="58"/>
  <c r="J153" i="58"/>
  <c r="I153" i="58"/>
  <c r="K152" i="58"/>
  <c r="J152" i="58"/>
  <c r="I152" i="58"/>
  <c r="K151" i="58"/>
  <c r="J151" i="58"/>
  <c r="I151" i="58"/>
  <c r="K150" i="58"/>
  <c r="J150" i="58"/>
  <c r="I150" i="58"/>
  <c r="J144" i="58"/>
  <c r="K141" i="58"/>
  <c r="J141" i="58"/>
  <c r="I141" i="58"/>
  <c r="K140" i="58"/>
  <c r="J140" i="58"/>
  <c r="I140" i="58"/>
  <c r="K139" i="58"/>
  <c r="J139" i="58"/>
  <c r="I139" i="58"/>
  <c r="K138" i="58"/>
  <c r="J138" i="58"/>
  <c r="I138" i="58"/>
  <c r="K135" i="58"/>
  <c r="J135" i="58"/>
  <c r="I135" i="58"/>
  <c r="K134" i="58"/>
  <c r="J134" i="58"/>
  <c r="I134" i="58"/>
  <c r="K133" i="58"/>
  <c r="J133" i="58"/>
  <c r="I133" i="58"/>
  <c r="K132" i="58"/>
  <c r="J132" i="58"/>
  <c r="I132" i="58"/>
  <c r="J124" i="58"/>
  <c r="K121" i="58"/>
  <c r="J121" i="58"/>
  <c r="I121" i="58"/>
  <c r="K120" i="58"/>
  <c r="J120" i="58"/>
  <c r="I120" i="58"/>
  <c r="K119" i="58"/>
  <c r="J119" i="58"/>
  <c r="I119" i="58"/>
  <c r="K118" i="58"/>
  <c r="J118" i="58"/>
  <c r="I118" i="58"/>
  <c r="K117" i="58"/>
  <c r="J117" i="58"/>
  <c r="I117" i="58"/>
  <c r="K116" i="58"/>
  <c r="J116" i="58"/>
  <c r="I116" i="58"/>
  <c r="K115" i="58"/>
  <c r="J115" i="58"/>
  <c r="I115" i="58"/>
  <c r="K114" i="58"/>
  <c r="J114" i="58"/>
  <c r="I114" i="58"/>
  <c r="K113" i="58"/>
  <c r="J113" i="58"/>
  <c r="I113" i="58"/>
  <c r="K112" i="58"/>
  <c r="J112" i="58"/>
  <c r="I112" i="58"/>
  <c r="K109" i="58"/>
  <c r="J109" i="58"/>
  <c r="I109" i="58"/>
  <c r="K108" i="58"/>
  <c r="J108" i="58"/>
  <c r="I108" i="58"/>
  <c r="K107" i="58"/>
  <c r="J107" i="58"/>
  <c r="I107" i="58"/>
  <c r="K106" i="58"/>
  <c r="J106" i="58"/>
  <c r="I106" i="58"/>
  <c r="K105" i="58"/>
  <c r="J105" i="58"/>
  <c r="I105" i="58"/>
  <c r="K104" i="58"/>
  <c r="J104" i="58"/>
  <c r="I104" i="58"/>
  <c r="K103" i="58"/>
  <c r="J103" i="58"/>
  <c r="I103" i="58"/>
  <c r="K102" i="58"/>
  <c r="J102" i="58"/>
  <c r="I102" i="58"/>
  <c r="K101" i="58"/>
  <c r="J101" i="58"/>
  <c r="I101" i="58"/>
  <c r="K100" i="58"/>
  <c r="J100" i="58"/>
  <c r="I100" i="58"/>
  <c r="J94" i="58"/>
  <c r="K91" i="58"/>
  <c r="J91" i="58"/>
  <c r="I91" i="58"/>
  <c r="K90" i="58"/>
  <c r="J90" i="58"/>
  <c r="I90" i="58"/>
  <c r="K89" i="58"/>
  <c r="J89" i="58"/>
  <c r="I89" i="58"/>
  <c r="K88" i="58"/>
  <c r="J88" i="58"/>
  <c r="I88" i="58"/>
  <c r="K85" i="58"/>
  <c r="J85" i="58"/>
  <c r="I85" i="58"/>
  <c r="K84" i="58"/>
  <c r="J84" i="58"/>
  <c r="I84" i="58"/>
  <c r="K83" i="58"/>
  <c r="J83" i="58"/>
  <c r="I83" i="58"/>
  <c r="K82" i="58"/>
  <c r="J82" i="58"/>
  <c r="I82" i="58"/>
  <c r="J76" i="58"/>
  <c r="K73" i="58"/>
  <c r="J73" i="58"/>
  <c r="I73" i="58"/>
  <c r="K72" i="58"/>
  <c r="J72" i="58"/>
  <c r="I72" i="58"/>
  <c r="K71" i="58"/>
  <c r="J71" i="58"/>
  <c r="I71" i="58"/>
  <c r="K70" i="58"/>
  <c r="J70" i="58"/>
  <c r="I70" i="58"/>
  <c r="K67" i="58"/>
  <c r="J67" i="58"/>
  <c r="I67" i="58"/>
  <c r="K66" i="58"/>
  <c r="J66" i="58"/>
  <c r="I66" i="58"/>
  <c r="K65" i="58"/>
  <c r="J65" i="58"/>
  <c r="I65" i="58"/>
  <c r="K64" i="58"/>
  <c r="J64" i="58"/>
  <c r="I64" i="58"/>
  <c r="J56" i="58"/>
  <c r="K53" i="58"/>
  <c r="J53" i="58"/>
  <c r="I53" i="58"/>
  <c r="K52" i="58"/>
  <c r="J52" i="58"/>
  <c r="I52" i="58"/>
  <c r="K51" i="58"/>
  <c r="J51" i="58"/>
  <c r="I51" i="58"/>
  <c r="K50" i="58"/>
  <c r="J50" i="58"/>
  <c r="I50" i="58"/>
  <c r="K49" i="58"/>
  <c r="J49" i="58"/>
  <c r="I49" i="58"/>
  <c r="K48" i="58"/>
  <c r="J48" i="58"/>
  <c r="I48" i="58"/>
  <c r="K47" i="58"/>
  <c r="J47" i="58"/>
  <c r="I47" i="58"/>
  <c r="K46" i="58"/>
  <c r="J46" i="58"/>
  <c r="I46" i="58"/>
  <c r="K45" i="58"/>
  <c r="J45" i="58"/>
  <c r="I45" i="58"/>
  <c r="K44" i="58"/>
  <c r="J44" i="58"/>
  <c r="I44" i="58"/>
  <c r="K41" i="58"/>
  <c r="J41" i="58"/>
  <c r="I41" i="58"/>
  <c r="K40" i="58"/>
  <c r="J40" i="58"/>
  <c r="I40" i="58"/>
  <c r="K39" i="58"/>
  <c r="J39" i="58"/>
  <c r="I39" i="58"/>
  <c r="K38" i="58"/>
  <c r="J38" i="58"/>
  <c r="I38" i="58"/>
  <c r="K37" i="58"/>
  <c r="J37" i="58"/>
  <c r="I37" i="58"/>
  <c r="K36" i="58"/>
  <c r="J36" i="58"/>
  <c r="I36" i="58"/>
  <c r="K35" i="58"/>
  <c r="J35" i="58"/>
  <c r="I35" i="58"/>
  <c r="K34" i="58"/>
  <c r="J34" i="58"/>
  <c r="I34" i="58"/>
  <c r="K33" i="58"/>
  <c r="J33" i="58"/>
  <c r="I33" i="58"/>
  <c r="K32" i="58"/>
  <c r="J32" i="58"/>
  <c r="I32" i="58"/>
  <c r="J26" i="58"/>
  <c r="K23" i="58"/>
  <c r="J23" i="58"/>
  <c r="I23" i="58"/>
  <c r="K22" i="58"/>
  <c r="J22" i="58"/>
  <c r="I22" i="58"/>
  <c r="K21" i="58"/>
  <c r="J21" i="58"/>
  <c r="I21" i="58"/>
  <c r="K20" i="58"/>
  <c r="J20" i="58"/>
  <c r="I20" i="58"/>
  <c r="K17" i="58"/>
  <c r="J17" i="58"/>
  <c r="I17" i="58"/>
  <c r="K16" i="58"/>
  <c r="J16" i="58"/>
  <c r="I16" i="58"/>
  <c r="K15" i="58"/>
  <c r="J15" i="58"/>
  <c r="I15" i="58"/>
  <c r="K14" i="58"/>
  <c r="J14" i="58"/>
  <c r="I14" i="58"/>
  <c r="J129" i="41"/>
  <c r="J127" i="41"/>
  <c r="J122" i="41"/>
  <c r="J120" i="41"/>
  <c r="J119" i="41"/>
  <c r="J116" i="41"/>
  <c r="J111" i="41"/>
  <c r="J110" i="41"/>
  <c r="J109" i="41"/>
  <c r="J108" i="41"/>
  <c r="J107" i="41"/>
  <c r="J104" i="41"/>
  <c r="J103" i="41"/>
  <c r="J102" i="41"/>
  <c r="J101" i="41"/>
  <c r="J100" i="41"/>
  <c r="J99" i="41"/>
  <c r="J91" i="41"/>
  <c r="K89" i="41"/>
  <c r="J89" i="41"/>
  <c r="I89" i="41"/>
  <c r="K87" i="41"/>
  <c r="J87" i="41"/>
  <c r="I87" i="41"/>
  <c r="K86" i="41"/>
  <c r="J86" i="41"/>
  <c r="I86" i="41"/>
  <c r="J80" i="41"/>
  <c r="K78" i="41"/>
  <c r="J78" i="41"/>
  <c r="I78" i="41"/>
  <c r="K76" i="41"/>
  <c r="J76" i="41"/>
  <c r="I76" i="41"/>
  <c r="K75" i="41"/>
  <c r="J75" i="41"/>
  <c r="I75" i="41"/>
  <c r="K69" i="41"/>
  <c r="J69" i="41"/>
  <c r="I69" i="41"/>
  <c r="K68" i="41"/>
  <c r="J68" i="41"/>
  <c r="I68" i="41"/>
  <c r="K67" i="41"/>
  <c r="J67" i="41"/>
  <c r="I67" i="41"/>
  <c r="K66" i="41"/>
  <c r="J66" i="41"/>
  <c r="I66" i="41"/>
  <c r="K65" i="41"/>
  <c r="J65" i="41"/>
  <c r="I65" i="41"/>
  <c r="K62" i="41"/>
  <c r="J62" i="41"/>
  <c r="I62" i="41"/>
  <c r="K61" i="41"/>
  <c r="J61" i="41"/>
  <c r="I61" i="41"/>
  <c r="K60" i="41"/>
  <c r="J60" i="41"/>
  <c r="I60" i="41"/>
  <c r="K59" i="41"/>
  <c r="J59" i="41"/>
  <c r="I59" i="41"/>
  <c r="K58" i="41"/>
  <c r="J58" i="41"/>
  <c r="I58" i="41"/>
  <c r="K57" i="41"/>
  <c r="J57" i="41"/>
  <c r="I57" i="41"/>
  <c r="J48" i="41"/>
  <c r="K46" i="41"/>
  <c r="J46" i="41"/>
  <c r="I46" i="41"/>
  <c r="K44" i="41"/>
  <c r="J44" i="41"/>
  <c r="I44" i="41"/>
  <c r="K43" i="41"/>
  <c r="J43" i="41"/>
  <c r="I43" i="41"/>
  <c r="J37" i="41"/>
  <c r="K35" i="41"/>
  <c r="J35" i="41"/>
  <c r="I35" i="41"/>
  <c r="K33" i="41"/>
  <c r="J33" i="41"/>
  <c r="I33" i="41"/>
  <c r="K32" i="41"/>
  <c r="J32" i="41"/>
  <c r="I32" i="41"/>
  <c r="K26" i="41"/>
  <c r="J26" i="41"/>
  <c r="I26" i="41"/>
  <c r="K25" i="41"/>
  <c r="J25" i="41"/>
  <c r="I25" i="41"/>
  <c r="K24" i="41"/>
  <c r="J24" i="41"/>
  <c r="I24" i="41"/>
  <c r="K23" i="41"/>
  <c r="J23" i="41"/>
  <c r="I23" i="41"/>
  <c r="K22" i="41"/>
  <c r="J22" i="41"/>
  <c r="I22" i="41"/>
  <c r="K19" i="41"/>
  <c r="J19" i="41"/>
  <c r="I19" i="41"/>
  <c r="K18" i="41"/>
  <c r="J18" i="41"/>
  <c r="I18" i="41"/>
  <c r="K17" i="41"/>
  <c r="J17" i="41"/>
  <c r="I17" i="41"/>
  <c r="K16" i="41"/>
  <c r="J16" i="41"/>
  <c r="I16" i="41"/>
  <c r="K15" i="41"/>
  <c r="J15" i="41"/>
  <c r="I15" i="41"/>
  <c r="K14" i="41"/>
  <c r="J14" i="41"/>
  <c r="I14" i="41"/>
  <c r="K59" i="52" l="1"/>
  <c r="K65" i="61" s="1"/>
  <c r="J59" i="52"/>
  <c r="J65" i="61" s="1"/>
  <c r="I59" i="52"/>
  <c r="K55" i="52"/>
  <c r="J55" i="52"/>
  <c r="I55" i="52"/>
  <c r="K111" i="52"/>
  <c r="K165" i="61" s="1"/>
  <c r="J111" i="52"/>
  <c r="J165" i="61" s="1"/>
  <c r="I111" i="52"/>
  <c r="K107" i="52"/>
  <c r="J107" i="52"/>
  <c r="F107" i="52"/>
  <c r="J163" i="52"/>
  <c r="J159" i="52"/>
  <c r="F159" i="52" s="1"/>
  <c r="J155" i="40"/>
  <c r="J151" i="40"/>
  <c r="F151" i="40" s="1"/>
  <c r="K106" i="40"/>
  <c r="K230" i="47" s="1"/>
  <c r="J106" i="40"/>
  <c r="J230" i="47" s="1"/>
  <c r="I106" i="40"/>
  <c r="K102" i="40"/>
  <c r="J102" i="40"/>
  <c r="I102" i="40"/>
  <c r="F102" i="40" s="1"/>
  <c r="K57" i="40"/>
  <c r="K92" i="47" s="1"/>
  <c r="J57" i="40"/>
  <c r="J92" i="47" s="1"/>
  <c r="I57" i="40"/>
  <c r="I92" i="47" s="1"/>
  <c r="K53" i="40"/>
  <c r="J53" i="40"/>
  <c r="I53" i="40"/>
  <c r="O207" i="52"/>
  <c r="N207" i="52"/>
  <c r="M207" i="52"/>
  <c r="L207" i="52"/>
  <c r="K207" i="52"/>
  <c r="J207" i="52"/>
  <c r="I207" i="52"/>
  <c r="H207" i="52"/>
  <c r="G207" i="52"/>
  <c r="F205" i="52"/>
  <c r="F204" i="52"/>
  <c r="F203" i="52"/>
  <c r="F202" i="52"/>
  <c r="F201" i="52"/>
  <c r="F200" i="52"/>
  <c r="F199" i="52"/>
  <c r="F198" i="52"/>
  <c r="F197" i="52"/>
  <c r="F207" i="52" s="1"/>
  <c r="O192" i="52"/>
  <c r="O318" i="60" s="1"/>
  <c r="N192" i="52"/>
  <c r="N318" i="60" s="1"/>
  <c r="M192" i="52"/>
  <c r="M318" i="60" s="1"/>
  <c r="L192" i="52"/>
  <c r="L318" i="60" s="1"/>
  <c r="K192" i="52"/>
  <c r="K318" i="60" s="1"/>
  <c r="J192" i="52"/>
  <c r="J318" i="60" s="1"/>
  <c r="I192" i="52"/>
  <c r="I318" i="60" s="1"/>
  <c r="H192" i="52"/>
  <c r="H318" i="60" s="1"/>
  <c r="G192" i="52"/>
  <c r="G318" i="60" s="1"/>
  <c r="F190" i="52"/>
  <c r="F189" i="52"/>
  <c r="F188" i="52"/>
  <c r="F187" i="52"/>
  <c r="F186" i="52"/>
  <c r="F185" i="52"/>
  <c r="F184" i="52"/>
  <c r="F183" i="52"/>
  <c r="O179" i="52"/>
  <c r="N179" i="52"/>
  <c r="M179" i="52"/>
  <c r="L179" i="52"/>
  <c r="K179" i="52"/>
  <c r="J179" i="52"/>
  <c r="I179" i="52"/>
  <c r="H179" i="52"/>
  <c r="G179" i="52"/>
  <c r="F177" i="52"/>
  <c r="F176" i="52"/>
  <c r="F175" i="52"/>
  <c r="F174" i="52"/>
  <c r="F173" i="52"/>
  <c r="F172" i="52"/>
  <c r="F171" i="52"/>
  <c r="F170" i="52"/>
  <c r="F179" i="52" s="1"/>
  <c r="O155" i="52"/>
  <c r="N155" i="52"/>
  <c r="M155" i="52"/>
  <c r="L155" i="52"/>
  <c r="K155" i="52"/>
  <c r="I155" i="52"/>
  <c r="H155" i="52"/>
  <c r="G155" i="52"/>
  <c r="J153" i="52"/>
  <c r="F153" i="52" s="1"/>
  <c r="J152" i="52"/>
  <c r="F152" i="52" s="1"/>
  <c r="J151" i="52"/>
  <c r="F151" i="52" s="1"/>
  <c r="J150" i="52"/>
  <c r="F150" i="52" s="1"/>
  <c r="J149" i="52"/>
  <c r="F149" i="52" s="1"/>
  <c r="J148" i="52"/>
  <c r="F148" i="52" s="1"/>
  <c r="J147" i="52"/>
  <c r="F147" i="52" s="1"/>
  <c r="J146" i="52"/>
  <c r="F146" i="52" s="1"/>
  <c r="J145" i="52"/>
  <c r="O140" i="52"/>
  <c r="O232" i="60" s="1"/>
  <c r="N140" i="52"/>
  <c r="N232" i="60" s="1"/>
  <c r="M140" i="52"/>
  <c r="M232" i="60" s="1"/>
  <c r="L140" i="52"/>
  <c r="L232" i="60" s="1"/>
  <c r="K140" i="52"/>
  <c r="K232" i="60" s="1"/>
  <c r="I140" i="52"/>
  <c r="I232" i="60" s="1"/>
  <c r="H140" i="52"/>
  <c r="H232" i="60" s="1"/>
  <c r="G140" i="52"/>
  <c r="G232" i="60" s="1"/>
  <c r="J138" i="52"/>
  <c r="F138" i="52" s="1"/>
  <c r="J137" i="52"/>
  <c r="F137" i="52" s="1"/>
  <c r="J136" i="52"/>
  <c r="F136" i="52" s="1"/>
  <c r="J135" i="52"/>
  <c r="F135" i="52" s="1"/>
  <c r="J134" i="52"/>
  <c r="F134" i="52" s="1"/>
  <c r="J133" i="52"/>
  <c r="F133" i="52" s="1"/>
  <c r="J132" i="52"/>
  <c r="F132" i="52" s="1"/>
  <c r="J131" i="52"/>
  <c r="O127" i="52"/>
  <c r="N127" i="52"/>
  <c r="M127" i="52"/>
  <c r="L127" i="52"/>
  <c r="K127" i="52"/>
  <c r="I127" i="52"/>
  <c r="H127" i="52"/>
  <c r="G127" i="52"/>
  <c r="J125" i="52"/>
  <c r="F125" i="52" s="1"/>
  <c r="J124" i="52"/>
  <c r="F124" i="52" s="1"/>
  <c r="J123" i="52"/>
  <c r="F123" i="52" s="1"/>
  <c r="J122" i="52"/>
  <c r="F122" i="52" s="1"/>
  <c r="J121" i="52"/>
  <c r="F121" i="52" s="1"/>
  <c r="J120" i="52"/>
  <c r="F120" i="52" s="1"/>
  <c r="J119" i="52"/>
  <c r="J118" i="52"/>
  <c r="F55" i="52" l="1"/>
  <c r="F192" i="52"/>
  <c r="F106" i="40"/>
  <c r="I230" i="47"/>
  <c r="F155" i="40"/>
  <c r="J374" i="47"/>
  <c r="F163" i="52"/>
  <c r="J269" i="61"/>
  <c r="F111" i="52"/>
  <c r="I165" i="61"/>
  <c r="F59" i="52"/>
  <c r="I65" i="61"/>
  <c r="F119" i="52"/>
  <c r="J127" i="52"/>
  <c r="J140" i="52"/>
  <c r="J155" i="52"/>
  <c r="F118" i="52"/>
  <c r="F131" i="52"/>
  <c r="F140" i="52" s="1"/>
  <c r="F145" i="52"/>
  <c r="F155" i="52" s="1"/>
  <c r="J232" i="60" l="1"/>
  <c r="F127" i="52"/>
  <c r="O103" i="52"/>
  <c r="N103" i="52"/>
  <c r="M103" i="52"/>
  <c r="L103" i="52"/>
  <c r="H103" i="52"/>
  <c r="G103" i="52"/>
  <c r="K101" i="52"/>
  <c r="J101" i="52"/>
  <c r="I101" i="52"/>
  <c r="K100" i="52"/>
  <c r="J100" i="52"/>
  <c r="I100" i="52"/>
  <c r="K99" i="52"/>
  <c r="J99" i="52"/>
  <c r="I99" i="52"/>
  <c r="K98" i="52"/>
  <c r="J98" i="52"/>
  <c r="I98" i="52"/>
  <c r="K97" i="52"/>
  <c r="J97" i="52"/>
  <c r="I97" i="52"/>
  <c r="K96" i="52"/>
  <c r="J96" i="52"/>
  <c r="I96" i="52"/>
  <c r="K95" i="52"/>
  <c r="J95" i="52"/>
  <c r="I95" i="52"/>
  <c r="K94" i="52"/>
  <c r="J94" i="52"/>
  <c r="I94" i="52"/>
  <c r="K93" i="52"/>
  <c r="J93" i="52"/>
  <c r="I93" i="52"/>
  <c r="O88" i="52"/>
  <c r="O146" i="60" s="1"/>
  <c r="N88" i="52"/>
  <c r="N146" i="60" s="1"/>
  <c r="M88" i="52"/>
  <c r="M146" i="60" s="1"/>
  <c r="L88" i="52"/>
  <c r="L146" i="60" s="1"/>
  <c r="H88" i="52"/>
  <c r="H146" i="60" s="1"/>
  <c r="G88" i="52"/>
  <c r="G146" i="60" s="1"/>
  <c r="K86" i="52"/>
  <c r="J86" i="52"/>
  <c r="I86" i="52"/>
  <c r="K85" i="52"/>
  <c r="J85" i="52"/>
  <c r="I85" i="52"/>
  <c r="F85" i="52" s="1"/>
  <c r="K84" i="52"/>
  <c r="J84" i="52"/>
  <c r="I84" i="52"/>
  <c r="K83" i="52"/>
  <c r="J83" i="52"/>
  <c r="I83" i="52"/>
  <c r="K82" i="52"/>
  <c r="J82" i="52"/>
  <c r="I82" i="52"/>
  <c r="K81" i="52"/>
  <c r="J81" i="52"/>
  <c r="I81" i="52"/>
  <c r="K80" i="52"/>
  <c r="J80" i="52"/>
  <c r="I80" i="52"/>
  <c r="K79" i="52"/>
  <c r="K88" i="52" s="1"/>
  <c r="J79" i="52"/>
  <c r="I79" i="52"/>
  <c r="I88" i="52" s="1"/>
  <c r="O75" i="52"/>
  <c r="N75" i="52"/>
  <c r="M75" i="52"/>
  <c r="L75" i="52"/>
  <c r="H75" i="52"/>
  <c r="G75" i="52"/>
  <c r="K73" i="52"/>
  <c r="J73" i="52"/>
  <c r="I73" i="52"/>
  <c r="K72" i="52"/>
  <c r="J72" i="52"/>
  <c r="I72" i="52"/>
  <c r="K71" i="52"/>
  <c r="J71" i="52"/>
  <c r="I71" i="52"/>
  <c r="K70" i="52"/>
  <c r="J70" i="52"/>
  <c r="I70" i="52"/>
  <c r="K69" i="52"/>
  <c r="J69" i="52"/>
  <c r="I69" i="52"/>
  <c r="K68" i="52"/>
  <c r="J68" i="52"/>
  <c r="I68" i="52"/>
  <c r="K67" i="52"/>
  <c r="J67" i="52"/>
  <c r="I67" i="52"/>
  <c r="K66" i="52"/>
  <c r="K75" i="52" s="1"/>
  <c r="J66" i="52"/>
  <c r="I66" i="52"/>
  <c r="I75" i="52" s="1"/>
  <c r="O51" i="52"/>
  <c r="N51" i="52"/>
  <c r="M51" i="52"/>
  <c r="L51" i="52"/>
  <c r="H51" i="52"/>
  <c r="G51" i="52"/>
  <c r="K49" i="52"/>
  <c r="J49" i="52"/>
  <c r="I49" i="52"/>
  <c r="K48" i="52"/>
  <c r="J48" i="52"/>
  <c r="I48" i="52"/>
  <c r="K47" i="52"/>
  <c r="J47" i="52"/>
  <c r="I47" i="52"/>
  <c r="K46" i="52"/>
  <c r="J46" i="52"/>
  <c r="I46" i="52"/>
  <c r="K45" i="52"/>
  <c r="J45" i="52"/>
  <c r="I45" i="52"/>
  <c r="K44" i="52"/>
  <c r="J44" i="52"/>
  <c r="I44" i="52"/>
  <c r="K43" i="52"/>
  <c r="J43" i="52"/>
  <c r="I43" i="52"/>
  <c r="K42" i="52"/>
  <c r="J42" i="52"/>
  <c r="I42" i="52"/>
  <c r="K41" i="52"/>
  <c r="J41" i="52"/>
  <c r="I41" i="52"/>
  <c r="O36" i="52"/>
  <c r="O60" i="60" s="1"/>
  <c r="N36" i="52"/>
  <c r="N60" i="60" s="1"/>
  <c r="M36" i="52"/>
  <c r="M60" i="60" s="1"/>
  <c r="L36" i="52"/>
  <c r="L60" i="60" s="1"/>
  <c r="H36" i="52"/>
  <c r="H60" i="60" s="1"/>
  <c r="G36" i="52"/>
  <c r="G60" i="60" s="1"/>
  <c r="K34" i="52"/>
  <c r="J34" i="52"/>
  <c r="I34" i="52"/>
  <c r="K33" i="52"/>
  <c r="J33" i="52"/>
  <c r="I33" i="52"/>
  <c r="K32" i="52"/>
  <c r="J32" i="52"/>
  <c r="I32" i="52"/>
  <c r="F32" i="52" s="1"/>
  <c r="K31" i="52"/>
  <c r="J31" i="52"/>
  <c r="I31" i="52"/>
  <c r="K30" i="52"/>
  <c r="J30" i="52"/>
  <c r="I30" i="52"/>
  <c r="K29" i="52"/>
  <c r="J29" i="52"/>
  <c r="I29" i="52"/>
  <c r="K28" i="52"/>
  <c r="J28" i="52"/>
  <c r="I28" i="52"/>
  <c r="K27" i="52"/>
  <c r="J27" i="52"/>
  <c r="I27" i="52"/>
  <c r="O23" i="52"/>
  <c r="N23" i="52"/>
  <c r="M23" i="52"/>
  <c r="L23" i="52"/>
  <c r="H23" i="52"/>
  <c r="G23" i="52"/>
  <c r="K21" i="52"/>
  <c r="J21" i="52"/>
  <c r="I21" i="52"/>
  <c r="K20" i="52"/>
  <c r="J20" i="52"/>
  <c r="I20" i="52"/>
  <c r="K19" i="52"/>
  <c r="J19" i="52"/>
  <c r="I19" i="52"/>
  <c r="K18" i="52"/>
  <c r="J18" i="52"/>
  <c r="I18" i="52"/>
  <c r="K17" i="52"/>
  <c r="J17" i="52"/>
  <c r="I17" i="52"/>
  <c r="K16" i="52"/>
  <c r="J16" i="52"/>
  <c r="I16" i="52"/>
  <c r="K15" i="52"/>
  <c r="J15" i="52"/>
  <c r="I15" i="52"/>
  <c r="K14" i="52"/>
  <c r="J14" i="52"/>
  <c r="I14" i="52"/>
  <c r="H287" i="50"/>
  <c r="F69" i="52" l="1"/>
  <c r="F71" i="52"/>
  <c r="J88" i="52"/>
  <c r="F82" i="52"/>
  <c r="F84" i="52"/>
  <c r="F86" i="52"/>
  <c r="F101" i="52"/>
  <c r="F99" i="52"/>
  <c r="F97" i="52"/>
  <c r="F95" i="52"/>
  <c r="F94" i="52"/>
  <c r="F93" i="52"/>
  <c r="F83" i="52"/>
  <c r="F81" i="52"/>
  <c r="F73" i="52"/>
  <c r="J75" i="52"/>
  <c r="F72" i="52"/>
  <c r="F70" i="52"/>
  <c r="F68" i="52"/>
  <c r="F96" i="52"/>
  <c r="F80" i="52"/>
  <c r="F67" i="52"/>
  <c r="F79" i="52"/>
  <c r="F100" i="52"/>
  <c r="I103" i="52"/>
  <c r="I146" i="60" s="1"/>
  <c r="K103" i="52"/>
  <c r="K146" i="60" s="1"/>
  <c r="F98" i="52"/>
  <c r="I23" i="52"/>
  <c r="K23" i="52"/>
  <c r="F16" i="52"/>
  <c r="F18" i="52"/>
  <c r="F20" i="52"/>
  <c r="I36" i="52"/>
  <c r="I60" i="60" s="1"/>
  <c r="K36" i="52"/>
  <c r="F29" i="52"/>
  <c r="F31" i="52"/>
  <c r="F33" i="52"/>
  <c r="I51" i="52"/>
  <c r="K51" i="52"/>
  <c r="F43" i="52"/>
  <c r="F45" i="52"/>
  <c r="F47" i="52"/>
  <c r="F49" i="52"/>
  <c r="J23" i="52"/>
  <c r="F15" i="52"/>
  <c r="F17" i="52"/>
  <c r="F19" i="52"/>
  <c r="F21" i="52"/>
  <c r="J36" i="52"/>
  <c r="F28" i="52"/>
  <c r="F30" i="52"/>
  <c r="F34" i="52"/>
  <c r="J51" i="52"/>
  <c r="F42" i="52"/>
  <c r="F44" i="52"/>
  <c r="F46" i="52"/>
  <c r="F48" i="52"/>
  <c r="J103" i="52"/>
  <c r="J146" i="60" s="1"/>
  <c r="F66" i="52"/>
  <c r="F14" i="52"/>
  <c r="F27" i="52"/>
  <c r="F41" i="52"/>
  <c r="J359" i="50"/>
  <c r="H359" i="50"/>
  <c r="J335" i="50"/>
  <c r="H335" i="50"/>
  <c r="J311" i="50"/>
  <c r="H311" i="50"/>
  <c r="K60" i="60" l="1"/>
  <c r="F103" i="52"/>
  <c r="F88" i="52"/>
  <c r="F23" i="52"/>
  <c r="J60" i="60"/>
  <c r="F75" i="52"/>
  <c r="F51" i="52"/>
  <c r="F36" i="52"/>
  <c r="J177" i="50"/>
  <c r="J176" i="50"/>
  <c r="J175" i="50"/>
  <c r="J172" i="50"/>
  <c r="J171" i="50"/>
  <c r="J168" i="50"/>
  <c r="J167" i="50"/>
  <c r="J164" i="50"/>
  <c r="J163" i="50"/>
  <c r="J157" i="50"/>
  <c r="J156" i="50"/>
  <c r="J155" i="50"/>
  <c r="J152" i="50"/>
  <c r="J151" i="50"/>
  <c r="J148" i="50"/>
  <c r="J147" i="50"/>
  <c r="J144" i="50"/>
  <c r="J143" i="50"/>
  <c r="K113" i="50"/>
  <c r="J113" i="50"/>
  <c r="I113" i="50"/>
  <c r="K112" i="50"/>
  <c r="J112" i="50"/>
  <c r="I112" i="50"/>
  <c r="K111" i="50"/>
  <c r="J111" i="50"/>
  <c r="I111" i="50"/>
  <c r="K108" i="50"/>
  <c r="J108" i="50"/>
  <c r="I108" i="50"/>
  <c r="K107" i="50"/>
  <c r="J107" i="50"/>
  <c r="I107" i="50"/>
  <c r="K104" i="50"/>
  <c r="J104" i="50"/>
  <c r="I104" i="50"/>
  <c r="K103" i="50"/>
  <c r="J103" i="50"/>
  <c r="I103" i="50"/>
  <c r="K100" i="50"/>
  <c r="J100" i="50"/>
  <c r="I100" i="50"/>
  <c r="K99" i="50"/>
  <c r="J99" i="50"/>
  <c r="I99" i="50"/>
  <c r="K93" i="50"/>
  <c r="J93" i="50"/>
  <c r="I93" i="50"/>
  <c r="K92" i="50"/>
  <c r="J92" i="50"/>
  <c r="I92" i="50"/>
  <c r="K91" i="50"/>
  <c r="J91" i="50"/>
  <c r="I91" i="50"/>
  <c r="K88" i="50"/>
  <c r="J88" i="50"/>
  <c r="I88" i="50"/>
  <c r="K87" i="50"/>
  <c r="J87" i="50"/>
  <c r="I87" i="50"/>
  <c r="K84" i="50"/>
  <c r="J84" i="50"/>
  <c r="I84" i="50"/>
  <c r="K83" i="50"/>
  <c r="J83" i="50"/>
  <c r="I83" i="50"/>
  <c r="K80" i="50"/>
  <c r="J80" i="50"/>
  <c r="I80" i="50"/>
  <c r="K79" i="50"/>
  <c r="J79" i="50"/>
  <c r="I79" i="50"/>
  <c r="K49" i="50"/>
  <c r="J49" i="50"/>
  <c r="I49" i="50"/>
  <c r="K48" i="50"/>
  <c r="J48" i="50"/>
  <c r="I48" i="50"/>
  <c r="K47" i="50"/>
  <c r="J47" i="50"/>
  <c r="I47" i="50"/>
  <c r="K44" i="50"/>
  <c r="J44" i="50"/>
  <c r="I44" i="50"/>
  <c r="K43" i="50"/>
  <c r="J43" i="50"/>
  <c r="I43" i="50"/>
  <c r="K40" i="50"/>
  <c r="J40" i="50"/>
  <c r="I40" i="50"/>
  <c r="K39" i="50"/>
  <c r="J39" i="50"/>
  <c r="I39" i="50"/>
  <c r="K36" i="50"/>
  <c r="J36" i="50"/>
  <c r="I36" i="50"/>
  <c r="K35" i="50"/>
  <c r="J35" i="50"/>
  <c r="I35" i="50"/>
  <c r="K29" i="50"/>
  <c r="J29" i="50"/>
  <c r="I29" i="50"/>
  <c r="K28" i="50"/>
  <c r="J28" i="50"/>
  <c r="I28" i="50"/>
  <c r="K27" i="50"/>
  <c r="J27" i="50"/>
  <c r="I27" i="50"/>
  <c r="K24" i="50"/>
  <c r="J24" i="50"/>
  <c r="I24" i="50"/>
  <c r="K23" i="50"/>
  <c r="J23" i="50"/>
  <c r="I23" i="50"/>
  <c r="K20" i="50"/>
  <c r="J20" i="50"/>
  <c r="I20" i="50"/>
  <c r="K19" i="50"/>
  <c r="J19" i="50"/>
  <c r="I19" i="50"/>
  <c r="K16" i="50"/>
  <c r="J16" i="50"/>
  <c r="I16" i="50"/>
  <c r="K15" i="50"/>
  <c r="J15" i="50"/>
  <c r="I15" i="50"/>
  <c r="O196" i="40" l="1"/>
  <c r="N196" i="40"/>
  <c r="M196" i="40"/>
  <c r="L196" i="40"/>
  <c r="K196" i="40"/>
  <c r="J196" i="40"/>
  <c r="I196" i="40"/>
  <c r="H196" i="40"/>
  <c r="G196" i="40"/>
  <c r="F194" i="40"/>
  <c r="F193" i="40"/>
  <c r="F192" i="40"/>
  <c r="F191" i="40"/>
  <c r="F190" i="40"/>
  <c r="F189" i="40"/>
  <c r="F188" i="40"/>
  <c r="F187" i="40"/>
  <c r="F186" i="40"/>
  <c r="F185" i="40"/>
  <c r="F196" i="40" s="1"/>
  <c r="O181" i="40"/>
  <c r="N181" i="40"/>
  <c r="N324" i="17" s="1"/>
  <c r="M181" i="40"/>
  <c r="M324" i="17" s="1"/>
  <c r="L181" i="40"/>
  <c r="L324" i="17" s="1"/>
  <c r="K181" i="40"/>
  <c r="K324" i="17" s="1"/>
  <c r="J181" i="40"/>
  <c r="J324" i="17" s="1"/>
  <c r="I181" i="40"/>
  <c r="I324" i="17" s="1"/>
  <c r="H181" i="40"/>
  <c r="H324" i="17" s="1"/>
  <c r="G181" i="40"/>
  <c r="G324" i="17" s="1"/>
  <c r="F179" i="40"/>
  <c r="F178" i="40"/>
  <c r="F177" i="40"/>
  <c r="F176" i="40"/>
  <c r="F175" i="40"/>
  <c r="F174" i="40"/>
  <c r="F173" i="40"/>
  <c r="O169" i="40"/>
  <c r="N169" i="40"/>
  <c r="M169" i="40"/>
  <c r="L169" i="40"/>
  <c r="K169" i="40"/>
  <c r="J169" i="40"/>
  <c r="I169" i="40"/>
  <c r="H169" i="40"/>
  <c r="G169" i="40"/>
  <c r="F167" i="40"/>
  <c r="F166" i="40"/>
  <c r="F165" i="40"/>
  <c r="F164" i="40"/>
  <c r="F163" i="40"/>
  <c r="F162" i="40"/>
  <c r="F161" i="40"/>
  <c r="O147" i="40"/>
  <c r="N147" i="40"/>
  <c r="M147" i="40"/>
  <c r="L147" i="40"/>
  <c r="K147" i="40"/>
  <c r="I147" i="40"/>
  <c r="H147" i="40"/>
  <c r="G147" i="40"/>
  <c r="J145" i="40"/>
  <c r="F145" i="40" s="1"/>
  <c r="J144" i="40"/>
  <c r="F144" i="40" s="1"/>
  <c r="J143" i="40"/>
  <c r="F143" i="40" s="1"/>
  <c r="J142" i="40"/>
  <c r="F142" i="40" s="1"/>
  <c r="J141" i="40"/>
  <c r="F141" i="40" s="1"/>
  <c r="J140" i="40"/>
  <c r="F140" i="40" s="1"/>
  <c r="J139" i="40"/>
  <c r="F139" i="40" s="1"/>
  <c r="J138" i="40"/>
  <c r="F138" i="40" s="1"/>
  <c r="J137" i="40"/>
  <c r="F137" i="40" s="1"/>
  <c r="J136" i="40"/>
  <c r="O132" i="40"/>
  <c r="O236" i="17" s="1"/>
  <c r="N132" i="40"/>
  <c r="N236" i="17" s="1"/>
  <c r="M132" i="40"/>
  <c r="M236" i="17" s="1"/>
  <c r="L132" i="40"/>
  <c r="L236" i="17" s="1"/>
  <c r="K132" i="40"/>
  <c r="K236" i="17" s="1"/>
  <c r="I132" i="40"/>
  <c r="I236" i="17" s="1"/>
  <c r="H132" i="40"/>
  <c r="H236" i="17" s="1"/>
  <c r="G132" i="40"/>
  <c r="G236" i="17" s="1"/>
  <c r="J130" i="40"/>
  <c r="F130" i="40" s="1"/>
  <c r="J129" i="40"/>
  <c r="F129" i="40" s="1"/>
  <c r="J128" i="40"/>
  <c r="F128" i="40" s="1"/>
  <c r="J127" i="40"/>
  <c r="F127" i="40" s="1"/>
  <c r="J126" i="40"/>
  <c r="F126" i="40" s="1"/>
  <c r="J125" i="40"/>
  <c r="F125" i="40" s="1"/>
  <c r="J124" i="40"/>
  <c r="O120" i="40"/>
  <c r="N120" i="40"/>
  <c r="M120" i="40"/>
  <c r="L120" i="40"/>
  <c r="K120" i="40"/>
  <c r="I120" i="40"/>
  <c r="H120" i="40"/>
  <c r="G120" i="40"/>
  <c r="J118" i="40"/>
  <c r="F118" i="40" s="1"/>
  <c r="J117" i="40"/>
  <c r="F117" i="40" s="1"/>
  <c r="J116" i="40"/>
  <c r="F116" i="40" s="1"/>
  <c r="J115" i="40"/>
  <c r="F115" i="40" s="1"/>
  <c r="J114" i="40"/>
  <c r="F114" i="40" s="1"/>
  <c r="J113" i="40"/>
  <c r="F113" i="40" s="1"/>
  <c r="J112" i="40"/>
  <c r="O98" i="40"/>
  <c r="N98" i="40"/>
  <c r="M98" i="40"/>
  <c r="L98" i="40"/>
  <c r="H98" i="40"/>
  <c r="G98" i="40"/>
  <c r="K96" i="40"/>
  <c r="J96" i="40"/>
  <c r="I96" i="40"/>
  <c r="K95" i="40"/>
  <c r="J95" i="40"/>
  <c r="I95" i="40"/>
  <c r="K94" i="40"/>
  <c r="J94" i="40"/>
  <c r="I94" i="40"/>
  <c r="K93" i="40"/>
  <c r="J93" i="40"/>
  <c r="I93" i="40"/>
  <c r="K92" i="40"/>
  <c r="J92" i="40"/>
  <c r="I92" i="40"/>
  <c r="K91" i="40"/>
  <c r="J91" i="40"/>
  <c r="I91" i="40"/>
  <c r="F91" i="40" s="1"/>
  <c r="K90" i="40"/>
  <c r="J90" i="40"/>
  <c r="I90" i="40"/>
  <c r="K89" i="40"/>
  <c r="J89" i="40"/>
  <c r="I89" i="40"/>
  <c r="K88" i="40"/>
  <c r="J88" i="40"/>
  <c r="I88" i="40"/>
  <c r="K87" i="40"/>
  <c r="K98" i="40" s="1"/>
  <c r="J87" i="40"/>
  <c r="I87" i="40"/>
  <c r="I98" i="40" s="1"/>
  <c r="O83" i="40"/>
  <c r="O148" i="17" s="1"/>
  <c r="N83" i="40"/>
  <c r="N148" i="17" s="1"/>
  <c r="M83" i="40"/>
  <c r="M148" i="17" s="1"/>
  <c r="L83" i="40"/>
  <c r="L148" i="17" s="1"/>
  <c r="H83" i="40"/>
  <c r="H148" i="17" s="1"/>
  <c r="G83" i="40"/>
  <c r="G148" i="17" s="1"/>
  <c r="K81" i="40"/>
  <c r="J81" i="40"/>
  <c r="I81" i="40"/>
  <c r="K80" i="40"/>
  <c r="J80" i="40"/>
  <c r="I80" i="40"/>
  <c r="K79" i="40"/>
  <c r="J79" i="40"/>
  <c r="I79" i="40"/>
  <c r="K78" i="40"/>
  <c r="J78" i="40"/>
  <c r="I78" i="40"/>
  <c r="K77" i="40"/>
  <c r="J77" i="40"/>
  <c r="I77" i="40"/>
  <c r="K76" i="40"/>
  <c r="J76" i="40"/>
  <c r="I76" i="40"/>
  <c r="K75" i="40"/>
  <c r="K83" i="40" s="1"/>
  <c r="K148" i="17" s="1"/>
  <c r="J75" i="40"/>
  <c r="I75" i="40"/>
  <c r="I83" i="40" s="1"/>
  <c r="I148" i="17" s="1"/>
  <c r="O71" i="40"/>
  <c r="N71" i="40"/>
  <c r="M71" i="40"/>
  <c r="L71" i="40"/>
  <c r="H71" i="40"/>
  <c r="G71" i="40"/>
  <c r="K69" i="40"/>
  <c r="J69" i="40"/>
  <c r="I69" i="40"/>
  <c r="K68" i="40"/>
  <c r="J68" i="40"/>
  <c r="I68" i="40"/>
  <c r="K67" i="40"/>
  <c r="J67" i="40"/>
  <c r="I67" i="40"/>
  <c r="K66" i="40"/>
  <c r="J66" i="40"/>
  <c r="I66" i="40"/>
  <c r="K65" i="40"/>
  <c r="J65" i="40"/>
  <c r="I65" i="40"/>
  <c r="K64" i="40"/>
  <c r="J64" i="40"/>
  <c r="I64" i="40"/>
  <c r="K63" i="40"/>
  <c r="J63" i="40"/>
  <c r="I63" i="40"/>
  <c r="O49" i="40"/>
  <c r="N49" i="40"/>
  <c r="M49" i="40"/>
  <c r="L49" i="40"/>
  <c r="H49" i="40"/>
  <c r="G49" i="40"/>
  <c r="K47" i="40"/>
  <c r="J47" i="40"/>
  <c r="I47" i="40"/>
  <c r="K46" i="40"/>
  <c r="J46" i="40"/>
  <c r="I46" i="40"/>
  <c r="K45" i="40"/>
  <c r="J45" i="40"/>
  <c r="I45" i="40"/>
  <c r="K44" i="40"/>
  <c r="J44" i="40"/>
  <c r="I44" i="40"/>
  <c r="K43" i="40"/>
  <c r="J43" i="40"/>
  <c r="I43" i="40"/>
  <c r="K42" i="40"/>
  <c r="J42" i="40"/>
  <c r="I42" i="40"/>
  <c r="K41" i="40"/>
  <c r="J41" i="40"/>
  <c r="I41" i="40"/>
  <c r="K40" i="40"/>
  <c r="J40" i="40"/>
  <c r="I40" i="40"/>
  <c r="K39" i="40"/>
  <c r="J39" i="40"/>
  <c r="I39" i="40"/>
  <c r="K38" i="40"/>
  <c r="J38" i="40"/>
  <c r="I38" i="40"/>
  <c r="O34" i="40"/>
  <c r="O60" i="17" s="1"/>
  <c r="N34" i="40"/>
  <c r="N60" i="17" s="1"/>
  <c r="M34" i="40"/>
  <c r="M60" i="17" s="1"/>
  <c r="L34" i="40"/>
  <c r="L60" i="17" s="1"/>
  <c r="H34" i="40"/>
  <c r="H60" i="17" s="1"/>
  <c r="G34" i="40"/>
  <c r="G60" i="17" s="1"/>
  <c r="K32" i="40"/>
  <c r="J32" i="40"/>
  <c r="I32" i="40"/>
  <c r="K31" i="40"/>
  <c r="J31" i="40"/>
  <c r="I31" i="40"/>
  <c r="K30" i="40"/>
  <c r="J30" i="40"/>
  <c r="I30" i="40"/>
  <c r="K29" i="40"/>
  <c r="J29" i="40"/>
  <c r="I29" i="40"/>
  <c r="K28" i="40"/>
  <c r="J28" i="40"/>
  <c r="I28" i="40"/>
  <c r="K27" i="40"/>
  <c r="J27" i="40"/>
  <c r="I27" i="40"/>
  <c r="K26" i="40"/>
  <c r="J26" i="40"/>
  <c r="I26" i="40"/>
  <c r="O22" i="40"/>
  <c r="N22" i="40"/>
  <c r="M22" i="40"/>
  <c r="L22" i="40"/>
  <c r="H22" i="40"/>
  <c r="G22" i="40"/>
  <c r="K20" i="40"/>
  <c r="J20" i="40"/>
  <c r="I20" i="40"/>
  <c r="K19" i="40"/>
  <c r="J19" i="40"/>
  <c r="I19" i="40"/>
  <c r="K18" i="40"/>
  <c r="J18" i="40"/>
  <c r="I18" i="40"/>
  <c r="K17" i="40"/>
  <c r="J17" i="40"/>
  <c r="I17" i="40"/>
  <c r="K16" i="40"/>
  <c r="J16" i="40"/>
  <c r="I16" i="40"/>
  <c r="K15" i="40"/>
  <c r="J15" i="40"/>
  <c r="I15" i="40"/>
  <c r="K14" i="40"/>
  <c r="J14" i="40"/>
  <c r="I14" i="40"/>
  <c r="F57" i="40"/>
  <c r="O324" i="17" l="1"/>
  <c r="I71" i="40"/>
  <c r="F93" i="40"/>
  <c r="F89" i="40"/>
  <c r="F80" i="40"/>
  <c r="F78" i="40"/>
  <c r="F76" i="40"/>
  <c r="F69" i="40"/>
  <c r="F67" i="40"/>
  <c r="F95" i="40"/>
  <c r="F66" i="40"/>
  <c r="F68" i="40"/>
  <c r="F77" i="40"/>
  <c r="J120" i="40"/>
  <c r="J147" i="40"/>
  <c r="F169" i="40"/>
  <c r="J22" i="40"/>
  <c r="F15" i="40"/>
  <c r="F17" i="40"/>
  <c r="F19" i="40"/>
  <c r="I34" i="40"/>
  <c r="I60" i="17" s="1"/>
  <c r="K34" i="40"/>
  <c r="F28" i="40"/>
  <c r="F30" i="40"/>
  <c r="F32" i="40"/>
  <c r="J49" i="40"/>
  <c r="F39" i="40"/>
  <c r="F43" i="40"/>
  <c r="F45" i="40"/>
  <c r="F47" i="40"/>
  <c r="F64" i="40"/>
  <c r="F65" i="40"/>
  <c r="F75" i="40"/>
  <c r="J83" i="40"/>
  <c r="F79" i="40"/>
  <c r="F81" i="40"/>
  <c r="J98" i="40"/>
  <c r="F88" i="40"/>
  <c r="F90" i="40"/>
  <c r="F92" i="40"/>
  <c r="F94" i="40"/>
  <c r="F181" i="40"/>
  <c r="F87" i="40"/>
  <c r="F96" i="40"/>
  <c r="J132" i="40"/>
  <c r="J236" i="17" s="1"/>
  <c r="K71" i="40"/>
  <c r="I22" i="40"/>
  <c r="K22" i="40"/>
  <c r="F16" i="40"/>
  <c r="I49" i="40"/>
  <c r="K49" i="40"/>
  <c r="F63" i="40"/>
  <c r="J71" i="40"/>
  <c r="F112" i="40"/>
  <c r="F120" i="40" s="1"/>
  <c r="F124" i="40"/>
  <c r="F132" i="40" s="1"/>
  <c r="F136" i="40"/>
  <c r="F147" i="40" s="1"/>
  <c r="F14" i="40"/>
  <c r="F20" i="40"/>
  <c r="J34" i="40"/>
  <c r="F42" i="40"/>
  <c r="F44" i="40"/>
  <c r="F27" i="40"/>
  <c r="F29" i="40"/>
  <c r="F31" i="40"/>
  <c r="F40" i="40"/>
  <c r="F46" i="40"/>
  <c r="F41" i="40"/>
  <c r="F18" i="40"/>
  <c r="F26" i="40"/>
  <c r="F38" i="40"/>
  <c r="K60" i="17" l="1"/>
  <c r="J148" i="17"/>
  <c r="J60" i="17"/>
  <c r="F71" i="40"/>
  <c r="F83" i="40"/>
  <c r="F98" i="40"/>
  <c r="F49" i="40"/>
  <c r="F22" i="40"/>
  <c r="F34" i="40"/>
  <c r="J165" i="39" l="1"/>
  <c r="J164" i="39"/>
  <c r="J163" i="39"/>
  <c r="J160" i="39"/>
  <c r="J159" i="39"/>
  <c r="J156" i="39"/>
  <c r="J155" i="39"/>
  <c r="J152" i="39"/>
  <c r="J151" i="39"/>
  <c r="J145" i="39"/>
  <c r="J144" i="39"/>
  <c r="J143" i="39"/>
  <c r="J140" i="39"/>
  <c r="J139" i="39"/>
  <c r="J136" i="39"/>
  <c r="J135" i="39"/>
  <c r="K105" i="39"/>
  <c r="J105" i="39"/>
  <c r="I105" i="39"/>
  <c r="K104" i="39"/>
  <c r="J104" i="39"/>
  <c r="I104" i="39"/>
  <c r="K103" i="39"/>
  <c r="J103" i="39"/>
  <c r="I103" i="39"/>
  <c r="K100" i="39"/>
  <c r="J100" i="39"/>
  <c r="I100" i="39"/>
  <c r="K99" i="39"/>
  <c r="J99" i="39"/>
  <c r="I99" i="39"/>
  <c r="K96" i="39"/>
  <c r="J96" i="39"/>
  <c r="I96" i="39"/>
  <c r="K95" i="39"/>
  <c r="J95" i="39"/>
  <c r="I95" i="39"/>
  <c r="K92" i="39"/>
  <c r="J92" i="39"/>
  <c r="I92" i="39"/>
  <c r="K91" i="39"/>
  <c r="J91" i="39"/>
  <c r="I91" i="39"/>
  <c r="K85" i="39"/>
  <c r="J85" i="39"/>
  <c r="I85" i="39"/>
  <c r="K84" i="39"/>
  <c r="J84" i="39"/>
  <c r="I84" i="39"/>
  <c r="K83" i="39"/>
  <c r="J83" i="39"/>
  <c r="I83" i="39"/>
  <c r="K80" i="39"/>
  <c r="J80" i="39"/>
  <c r="I80" i="39"/>
  <c r="K79" i="39"/>
  <c r="J79" i="39"/>
  <c r="I79" i="39"/>
  <c r="K76" i="39"/>
  <c r="J76" i="39"/>
  <c r="I76" i="39"/>
  <c r="K75" i="39"/>
  <c r="I75" i="39"/>
  <c r="K45" i="39"/>
  <c r="J45" i="39"/>
  <c r="I45" i="39"/>
  <c r="K44" i="39"/>
  <c r="J44" i="39"/>
  <c r="I44" i="39"/>
  <c r="K43" i="39"/>
  <c r="J43" i="39"/>
  <c r="I43" i="39"/>
  <c r="K40" i="39"/>
  <c r="J40" i="39"/>
  <c r="I40" i="39"/>
  <c r="K39" i="39"/>
  <c r="J39" i="39"/>
  <c r="I39" i="39"/>
  <c r="K36" i="39"/>
  <c r="J36" i="39"/>
  <c r="I36" i="39"/>
  <c r="K35" i="39"/>
  <c r="J35" i="39"/>
  <c r="I35" i="39"/>
  <c r="K32" i="39"/>
  <c r="J32" i="39"/>
  <c r="I32" i="39"/>
  <c r="K31" i="39"/>
  <c r="J31" i="39"/>
  <c r="I31" i="39"/>
  <c r="K25" i="39"/>
  <c r="J25" i="39"/>
  <c r="I25" i="39"/>
  <c r="K24" i="39"/>
  <c r="J24" i="39"/>
  <c r="I24" i="39"/>
  <c r="K23" i="39"/>
  <c r="J23" i="39"/>
  <c r="I23" i="39"/>
  <c r="K20" i="39"/>
  <c r="J20" i="39"/>
  <c r="I20" i="39"/>
  <c r="K19" i="39"/>
  <c r="J19" i="39"/>
  <c r="I19" i="39"/>
  <c r="K16" i="39"/>
  <c r="J16" i="39"/>
  <c r="I16" i="39"/>
  <c r="K15" i="39"/>
  <c r="I15" i="39"/>
  <c r="I55" i="39"/>
  <c r="J75" i="39"/>
  <c r="F12" i="47" l="1"/>
  <c r="F11" i="47"/>
  <c r="F60" i="62" l="1"/>
  <c r="F61" i="62"/>
  <c r="F66" i="62"/>
  <c r="F67" i="62"/>
  <c r="F65" i="62"/>
  <c r="F59" i="62"/>
  <c r="F54" i="62"/>
  <c r="F55" i="62"/>
  <c r="F53" i="62"/>
  <c r="O19" i="62"/>
  <c r="O20" i="62"/>
  <c r="O21" i="62"/>
  <c r="O28" i="62"/>
  <c r="O29" i="62"/>
  <c r="O30" i="62"/>
  <c r="N30" i="62"/>
  <c r="M30" i="62"/>
  <c r="L30" i="62"/>
  <c r="K30" i="62"/>
  <c r="J30" i="62"/>
  <c r="I30" i="62"/>
  <c r="H30" i="62"/>
  <c r="G30" i="62"/>
  <c r="N29" i="62"/>
  <c r="M29" i="62"/>
  <c r="L29" i="62"/>
  <c r="K29" i="62"/>
  <c r="J29" i="62"/>
  <c r="I29" i="62"/>
  <c r="H29" i="62"/>
  <c r="G29" i="62"/>
  <c r="N28" i="62"/>
  <c r="M28" i="62"/>
  <c r="L28" i="62"/>
  <c r="K28" i="62"/>
  <c r="J28" i="62"/>
  <c r="I28" i="62"/>
  <c r="H28" i="62"/>
  <c r="G28" i="62"/>
  <c r="G20" i="62"/>
  <c r="H20" i="62"/>
  <c r="I20" i="62"/>
  <c r="J20" i="62"/>
  <c r="K20" i="62"/>
  <c r="L20" i="62"/>
  <c r="M20" i="62"/>
  <c r="N20" i="62"/>
  <c r="G21" i="62"/>
  <c r="G23" i="62" s="1"/>
  <c r="H21" i="62"/>
  <c r="H23" i="62" s="1"/>
  <c r="I21" i="62"/>
  <c r="I23" i="62" s="1"/>
  <c r="J21" i="62"/>
  <c r="J23" i="62" s="1"/>
  <c r="K21" i="62"/>
  <c r="K23" i="62" s="1"/>
  <c r="L21" i="62"/>
  <c r="L23" i="62" s="1"/>
  <c r="M21" i="62"/>
  <c r="N21" i="62"/>
  <c r="N23" i="62" s="1"/>
  <c r="H19" i="62"/>
  <c r="I19" i="62"/>
  <c r="J19" i="62"/>
  <c r="K19" i="62"/>
  <c r="L19" i="62"/>
  <c r="M19" i="62"/>
  <c r="N19" i="62"/>
  <c r="G19" i="62"/>
  <c r="N32" i="62"/>
  <c r="N33" i="62" s="1"/>
  <c r="N34" i="62" s="1"/>
  <c r="J32" i="62"/>
  <c r="J33" i="62" s="1"/>
  <c r="J34" i="62" s="1"/>
  <c r="M23" i="62"/>
  <c r="F42" i="65"/>
  <c r="F36" i="65"/>
  <c r="F30" i="65"/>
  <c r="F21" i="65"/>
  <c r="F20" i="65"/>
  <c r="F19" i="65"/>
  <c r="F16" i="65"/>
  <c r="F15" i="65"/>
  <c r="F14" i="65"/>
  <c r="H32" i="62" l="1"/>
  <c r="H33" i="62" s="1"/>
  <c r="H34" i="62" s="1"/>
  <c r="L32" i="62"/>
  <c r="L33" i="62" s="1"/>
  <c r="L34" i="62" s="1"/>
  <c r="O23" i="62"/>
  <c r="O24" i="62" s="1"/>
  <c r="O25" i="62" s="1"/>
  <c r="F19" i="62"/>
  <c r="O32" i="62"/>
  <c r="O33" i="62" s="1"/>
  <c r="O34" i="62" s="1"/>
  <c r="F28" i="62"/>
  <c r="F38" i="62" s="1"/>
  <c r="F29" i="62"/>
  <c r="F30" i="62"/>
  <c r="I24" i="62"/>
  <c r="I25" i="62" s="1"/>
  <c r="M24" i="62"/>
  <c r="M25" i="62" s="1"/>
  <c r="F23" i="62"/>
  <c r="I32" i="62"/>
  <c r="I33" i="62" s="1"/>
  <c r="I34" i="62" s="1"/>
  <c r="K32" i="62"/>
  <c r="K33" i="62" s="1"/>
  <c r="K34" i="62" s="1"/>
  <c r="M32" i="62"/>
  <c r="M33" i="62" s="1"/>
  <c r="M34" i="62" s="1"/>
  <c r="F20" i="62"/>
  <c r="F42" i="62" s="1"/>
  <c r="F21" i="62"/>
  <c r="F43" i="62" s="1"/>
  <c r="K24" i="62"/>
  <c r="K25" i="62" s="1"/>
  <c r="G32" i="62"/>
  <c r="N24" i="62"/>
  <c r="N25" i="62" s="1"/>
  <c r="L24" i="62"/>
  <c r="L25" i="62" s="1"/>
  <c r="J24" i="62"/>
  <c r="J25" i="62" s="1"/>
  <c r="H24" i="62"/>
  <c r="H25" i="62" s="1"/>
  <c r="G24" i="62"/>
  <c r="F44" i="62" l="1"/>
  <c r="F47" i="62" s="1"/>
  <c r="F669" i="21" s="1"/>
  <c r="G25" i="62"/>
  <c r="F24" i="62"/>
  <c r="F25" i="62" s="1"/>
  <c r="G33" i="62"/>
  <c r="F32" i="62"/>
  <c r="F127" i="20"/>
  <c r="F46" i="62" l="1"/>
  <c r="F668" i="21" s="1"/>
  <c r="G34" i="62"/>
  <c r="F33" i="62"/>
  <c r="F34" i="62" s="1"/>
  <c r="F39" i="62" l="1"/>
  <c r="F40" i="62" l="1"/>
  <c r="F672" i="21"/>
  <c r="H173" i="21"/>
  <c r="I173" i="21"/>
  <c r="J173" i="21"/>
  <c r="K173" i="21"/>
  <c r="L173" i="21"/>
  <c r="M173" i="21"/>
  <c r="N173" i="21"/>
  <c r="O173" i="21"/>
  <c r="G173" i="21"/>
  <c r="F170" i="21"/>
  <c r="F72" i="62" l="1"/>
  <c r="F78" i="62" s="1"/>
  <c r="F158" i="49" s="1"/>
  <c r="F674" i="21"/>
  <c r="F673" i="21"/>
  <c r="F173" i="21"/>
  <c r="F156" i="78" l="1"/>
  <c r="F77" i="62"/>
  <c r="F157" i="49" s="1"/>
  <c r="F76" i="62"/>
  <c r="F156" i="49" s="1"/>
  <c r="H10" i="48"/>
  <c r="I10" i="48"/>
  <c r="J10" i="48"/>
  <c r="K10" i="48"/>
  <c r="L10" i="48"/>
  <c r="M10" i="48"/>
  <c r="N10" i="48"/>
  <c r="O10" i="48"/>
  <c r="H11" i="48"/>
  <c r="I11" i="48"/>
  <c r="J11" i="48"/>
  <c r="K11" i="48"/>
  <c r="L11" i="48"/>
  <c r="M11" i="48"/>
  <c r="N11" i="48"/>
  <c r="O11" i="48"/>
  <c r="H12" i="48"/>
  <c r="I12" i="48"/>
  <c r="J12" i="48"/>
  <c r="K12" i="48"/>
  <c r="L12" i="48"/>
  <c r="M12" i="48"/>
  <c r="N12" i="48"/>
  <c r="O12" i="48"/>
  <c r="H15" i="48"/>
  <c r="I15" i="48"/>
  <c r="J15" i="48"/>
  <c r="K15" i="48"/>
  <c r="L15" i="48"/>
  <c r="M15" i="48"/>
  <c r="N15" i="48"/>
  <c r="O15" i="48"/>
  <c r="H16" i="48"/>
  <c r="I16" i="48"/>
  <c r="J16" i="48"/>
  <c r="K16" i="48"/>
  <c r="L16" i="48"/>
  <c r="M16" i="48"/>
  <c r="N16" i="48"/>
  <c r="O16" i="48"/>
  <c r="H17" i="48"/>
  <c r="I17" i="48"/>
  <c r="J17" i="48"/>
  <c r="K17" i="48"/>
  <c r="L17" i="48"/>
  <c r="M17" i="48"/>
  <c r="N17" i="48"/>
  <c r="O17" i="48"/>
  <c r="H20" i="48"/>
  <c r="I20" i="48"/>
  <c r="J20" i="48"/>
  <c r="K20" i="48"/>
  <c r="L20" i="48"/>
  <c r="M20" i="48"/>
  <c r="N20" i="48"/>
  <c r="O20" i="48"/>
  <c r="H21" i="48"/>
  <c r="I21" i="48"/>
  <c r="J21" i="48"/>
  <c r="K21" i="48"/>
  <c r="L21" i="48"/>
  <c r="M21" i="48"/>
  <c r="N21" i="48"/>
  <c r="O21" i="48"/>
  <c r="H22" i="48"/>
  <c r="I22" i="48"/>
  <c r="J22" i="48"/>
  <c r="K22" i="48"/>
  <c r="L22" i="48"/>
  <c r="M22" i="48"/>
  <c r="N22" i="48"/>
  <c r="O22" i="48"/>
  <c r="H24" i="48"/>
  <c r="H23" i="78" s="1"/>
  <c r="K24" i="48"/>
  <c r="K23" i="78" s="1"/>
  <c r="L24" i="48"/>
  <c r="L23" i="78" s="1"/>
  <c r="O24" i="48"/>
  <c r="O23" i="78" s="1"/>
  <c r="H25" i="48"/>
  <c r="I25" i="48"/>
  <c r="J33" i="78" s="1"/>
  <c r="J25" i="48"/>
  <c r="K25" i="48"/>
  <c r="L25" i="48"/>
  <c r="M25" i="48"/>
  <c r="N25" i="48"/>
  <c r="O33" i="78" s="1"/>
  <c r="O25" i="48"/>
  <c r="H31" i="48"/>
  <c r="I31" i="48"/>
  <c r="J31" i="48"/>
  <c r="K31" i="48"/>
  <c r="K45" i="48" s="1"/>
  <c r="K68" i="78" s="1"/>
  <c r="L31" i="48"/>
  <c r="M31" i="48"/>
  <c r="N31" i="48"/>
  <c r="O31" i="48"/>
  <c r="O45" i="48" s="1"/>
  <c r="O68" i="78" s="1"/>
  <c r="H32" i="48"/>
  <c r="I32" i="48"/>
  <c r="J32" i="48"/>
  <c r="K32" i="48"/>
  <c r="L32" i="48"/>
  <c r="M32" i="48"/>
  <c r="N32" i="48"/>
  <c r="O32" i="48"/>
  <c r="H33" i="48"/>
  <c r="I33" i="48"/>
  <c r="I46" i="48" s="1"/>
  <c r="J78" i="78" s="1"/>
  <c r="J33" i="48"/>
  <c r="K33" i="48"/>
  <c r="L33" i="48"/>
  <c r="M33" i="48"/>
  <c r="N33" i="48"/>
  <c r="O33" i="48"/>
  <c r="H36" i="48"/>
  <c r="I36" i="48"/>
  <c r="J36" i="48"/>
  <c r="K36" i="48"/>
  <c r="L36" i="48"/>
  <c r="M36" i="48"/>
  <c r="N36" i="48"/>
  <c r="O36" i="48"/>
  <c r="H37" i="48"/>
  <c r="I37" i="48"/>
  <c r="J37" i="48"/>
  <c r="K37" i="48"/>
  <c r="L37" i="48"/>
  <c r="M37" i="48"/>
  <c r="N37" i="48"/>
  <c r="O37" i="48"/>
  <c r="H38" i="48"/>
  <c r="I38" i="48"/>
  <c r="J38" i="48"/>
  <c r="K38" i="48"/>
  <c r="L38" i="48"/>
  <c r="M38" i="48"/>
  <c r="N38" i="48"/>
  <c r="O38" i="48"/>
  <c r="H41" i="48"/>
  <c r="I41" i="48"/>
  <c r="J41" i="48"/>
  <c r="K41" i="48"/>
  <c r="L41" i="48"/>
  <c r="M41" i="48"/>
  <c r="N41" i="48"/>
  <c r="O41" i="48"/>
  <c r="H42" i="48"/>
  <c r="I42" i="48"/>
  <c r="J42" i="48"/>
  <c r="K42" i="48"/>
  <c r="L42" i="48"/>
  <c r="M42" i="48"/>
  <c r="N42" i="48"/>
  <c r="O42" i="48"/>
  <c r="H43" i="48"/>
  <c r="I43" i="48"/>
  <c r="J43" i="48"/>
  <c r="K43" i="48"/>
  <c r="L43" i="48"/>
  <c r="M43" i="48"/>
  <c r="N43" i="48"/>
  <c r="O43" i="48"/>
  <c r="H45" i="48"/>
  <c r="H68" i="78" s="1"/>
  <c r="I45" i="48"/>
  <c r="I68" i="78" s="1"/>
  <c r="L45" i="48"/>
  <c r="L68" i="78" s="1"/>
  <c r="H46" i="48"/>
  <c r="K46" i="48"/>
  <c r="L46" i="48"/>
  <c r="M46" i="48"/>
  <c r="N46" i="48"/>
  <c r="O78" i="78" s="1"/>
  <c r="O46" i="48"/>
  <c r="H52" i="48"/>
  <c r="I52" i="48"/>
  <c r="J52" i="48"/>
  <c r="K52" i="48"/>
  <c r="L52" i="48"/>
  <c r="M52" i="48"/>
  <c r="N52" i="48"/>
  <c r="O52" i="48"/>
  <c r="H53" i="48"/>
  <c r="I53" i="48"/>
  <c r="J53" i="48"/>
  <c r="K53" i="48"/>
  <c r="L53" i="48"/>
  <c r="M53" i="48"/>
  <c r="N53" i="48"/>
  <c r="O53" i="48"/>
  <c r="H54" i="48"/>
  <c r="I54" i="48"/>
  <c r="J54" i="48"/>
  <c r="K54" i="48"/>
  <c r="L54" i="48"/>
  <c r="M54" i="48"/>
  <c r="N54" i="48"/>
  <c r="O54" i="48"/>
  <c r="H57" i="48"/>
  <c r="I57" i="48"/>
  <c r="J57" i="48"/>
  <c r="K57" i="48"/>
  <c r="L57" i="48"/>
  <c r="M57" i="48"/>
  <c r="N57" i="48"/>
  <c r="O57" i="48"/>
  <c r="H58" i="48"/>
  <c r="I58" i="48"/>
  <c r="J58" i="48"/>
  <c r="K58" i="48"/>
  <c r="L58" i="48"/>
  <c r="M58" i="48"/>
  <c r="N58" i="48"/>
  <c r="O58" i="48"/>
  <c r="H59" i="48"/>
  <c r="I59" i="48"/>
  <c r="J59" i="48"/>
  <c r="K59" i="48"/>
  <c r="L59" i="48"/>
  <c r="M59" i="48"/>
  <c r="N59" i="48"/>
  <c r="O59" i="48"/>
  <c r="H62" i="48"/>
  <c r="I62" i="48"/>
  <c r="J62" i="48"/>
  <c r="K62" i="48"/>
  <c r="L62" i="48"/>
  <c r="M62" i="48"/>
  <c r="N62" i="48"/>
  <c r="O62" i="48"/>
  <c r="H63" i="48"/>
  <c r="I63" i="48"/>
  <c r="J63" i="48"/>
  <c r="K63" i="48"/>
  <c r="L63" i="48"/>
  <c r="M63" i="48"/>
  <c r="N63" i="48"/>
  <c r="O63" i="48"/>
  <c r="H64" i="48"/>
  <c r="I64" i="48"/>
  <c r="J64" i="48"/>
  <c r="K64" i="48"/>
  <c r="L64" i="48"/>
  <c r="M64" i="48"/>
  <c r="N64" i="48"/>
  <c r="O64" i="48"/>
  <c r="H66" i="48"/>
  <c r="H113" i="78" s="1"/>
  <c r="I66" i="48"/>
  <c r="I113" i="78" s="1"/>
  <c r="J66" i="48"/>
  <c r="J113" i="78" s="1"/>
  <c r="K66" i="48"/>
  <c r="K113" i="78" s="1"/>
  <c r="L66" i="48"/>
  <c r="L113" i="78" s="1"/>
  <c r="O66" i="48"/>
  <c r="O113" i="78" s="1"/>
  <c r="H67" i="48"/>
  <c r="I67" i="48"/>
  <c r="J123" i="78" s="1"/>
  <c r="J67" i="48"/>
  <c r="K67" i="48"/>
  <c r="L67" i="48"/>
  <c r="M67" i="48"/>
  <c r="N67" i="48"/>
  <c r="O123" i="78" s="1"/>
  <c r="O67" i="48"/>
  <c r="G22" i="48"/>
  <c r="G64" i="48"/>
  <c r="F64" i="48" s="1"/>
  <c r="G63" i="48"/>
  <c r="G62" i="48"/>
  <c r="F62" i="48" s="1"/>
  <c r="G59" i="48"/>
  <c r="G58" i="48"/>
  <c r="F58" i="48" s="1"/>
  <c r="G57" i="48"/>
  <c r="G54" i="48"/>
  <c r="F54" i="48" s="1"/>
  <c r="G53" i="48"/>
  <c r="G52" i="48"/>
  <c r="F52" i="48" s="1"/>
  <c r="G43" i="48"/>
  <c r="G42" i="48"/>
  <c r="F42" i="48" s="1"/>
  <c r="G41" i="48"/>
  <c r="G38" i="48"/>
  <c r="F38" i="48" s="1"/>
  <c r="G36" i="48"/>
  <c r="G37" i="48"/>
  <c r="F37" i="48" s="1"/>
  <c r="G33" i="48"/>
  <c r="G32" i="48"/>
  <c r="F32" i="48" s="1"/>
  <c r="G31" i="48"/>
  <c r="G21" i="48"/>
  <c r="F21" i="48" s="1"/>
  <c r="G20" i="48"/>
  <c r="G17" i="48"/>
  <c r="F17" i="48" s="1"/>
  <c r="G16" i="48"/>
  <c r="G15" i="48"/>
  <c r="F15" i="48" s="1"/>
  <c r="G12" i="48"/>
  <c r="G11" i="48"/>
  <c r="F11" i="48" s="1"/>
  <c r="G10" i="48"/>
  <c r="F10" i="48" s="1"/>
  <c r="F14" i="38"/>
  <c r="F14" i="37"/>
  <c r="F79" i="37" s="1"/>
  <c r="N18" i="12"/>
  <c r="M18" i="12"/>
  <c r="L18" i="12"/>
  <c r="K18" i="12"/>
  <c r="J18" i="12"/>
  <c r="I18" i="12"/>
  <c r="H18" i="12"/>
  <c r="G18" i="12"/>
  <c r="F12" i="48" l="1"/>
  <c r="F16" i="48"/>
  <c r="F20" i="48"/>
  <c r="F31" i="48"/>
  <c r="F33" i="48"/>
  <c r="F36" i="48"/>
  <c r="F41" i="48"/>
  <c r="F43" i="48"/>
  <c r="F53" i="48"/>
  <c r="F57" i="48"/>
  <c r="F59" i="48"/>
  <c r="F63" i="48"/>
  <c r="F22" i="48"/>
  <c r="K20" i="12"/>
  <c r="M20" i="12"/>
  <c r="M24" i="48"/>
  <c r="M23" i="78" s="1"/>
  <c r="F46" i="79"/>
  <c r="F151" i="78"/>
  <c r="F44" i="79"/>
  <c r="F154" i="78"/>
  <c r="F155" i="78"/>
  <c r="M66" i="48"/>
  <c r="M113" i="78" s="1"/>
  <c r="M45" i="48"/>
  <c r="M68" i="78" s="1"/>
  <c r="O20" i="12"/>
  <c r="F27" i="12"/>
  <c r="L20" i="12" s="1"/>
  <c r="F20" i="74" s="1"/>
  <c r="N20" i="12"/>
  <c r="J35" i="26"/>
  <c r="J20" i="12"/>
  <c r="I20" i="12"/>
  <c r="L35" i="26"/>
  <c r="K35" i="26"/>
  <c r="M35" i="26"/>
  <c r="N66" i="48"/>
  <c r="N113" i="78" s="1"/>
  <c r="N45" i="48"/>
  <c r="N68" i="78" s="1"/>
  <c r="N24" i="48"/>
  <c r="N23" i="78" s="1"/>
  <c r="J46" i="48"/>
  <c r="J45" i="48"/>
  <c r="J68" i="78" s="1"/>
  <c r="I24" i="48"/>
  <c r="I23" i="78" s="1"/>
  <c r="J24" i="48"/>
  <c r="J23" i="78" s="1"/>
  <c r="G25" i="48"/>
  <c r="G67" i="48"/>
  <c r="G66" i="48"/>
  <c r="G46" i="48"/>
  <c r="G45" i="48"/>
  <c r="G24" i="48"/>
  <c r="F66" i="48" l="1"/>
  <c r="G113" i="78"/>
  <c r="F113" i="78" s="1"/>
  <c r="F24" i="48"/>
  <c r="G23" i="78"/>
  <c r="F23" i="78" s="1"/>
  <c r="F46" i="48"/>
  <c r="H78" i="78"/>
  <c r="F78" i="78" s="1"/>
  <c r="F67" i="48"/>
  <c r="H123" i="78"/>
  <c r="F123" i="78" s="1"/>
  <c r="F42" i="37"/>
  <c r="F45" i="48"/>
  <c r="G68" i="78"/>
  <c r="F68" i="78" s="1"/>
  <c r="F25" i="48"/>
  <c r="H33" i="78"/>
  <c r="F33" i="78" s="1"/>
  <c r="F150" i="78"/>
  <c r="F47" i="79"/>
  <c r="F149" i="78"/>
  <c r="F42" i="79"/>
  <c r="T335" i="61"/>
  <c r="S335" i="61"/>
  <c r="R335" i="61"/>
  <c r="Q335" i="61"/>
  <c r="P335" i="61"/>
  <c r="O335" i="61"/>
  <c r="N335" i="61"/>
  <c r="M335" i="61"/>
  <c r="L335" i="61"/>
  <c r="K335" i="61"/>
  <c r="J335" i="61"/>
  <c r="I335" i="61"/>
  <c r="H335" i="61"/>
  <c r="G335" i="61"/>
  <c r="T334" i="61"/>
  <c r="S334" i="61"/>
  <c r="R334" i="61"/>
  <c r="Q334" i="61"/>
  <c r="P334" i="61"/>
  <c r="O334" i="61"/>
  <c r="N334" i="61"/>
  <c r="M334" i="61"/>
  <c r="L334" i="61"/>
  <c r="K334" i="61"/>
  <c r="J334" i="61"/>
  <c r="I334" i="61"/>
  <c r="H334" i="61"/>
  <c r="G334" i="61"/>
  <c r="T333" i="61"/>
  <c r="S333" i="61"/>
  <c r="R333" i="61"/>
  <c r="Q333" i="61"/>
  <c r="P333" i="61"/>
  <c r="O333" i="61"/>
  <c r="N333" i="61"/>
  <c r="M333" i="61"/>
  <c r="L333" i="61"/>
  <c r="K333" i="61"/>
  <c r="J333" i="61"/>
  <c r="I333" i="61"/>
  <c r="H333" i="61"/>
  <c r="G333" i="61"/>
  <c r="H328" i="61"/>
  <c r="I328" i="61"/>
  <c r="J328" i="61"/>
  <c r="K328" i="61"/>
  <c r="L328" i="61"/>
  <c r="M328" i="61"/>
  <c r="N328" i="61"/>
  <c r="O328" i="61"/>
  <c r="P328" i="61"/>
  <c r="Q328" i="61"/>
  <c r="R328" i="61"/>
  <c r="S328" i="61"/>
  <c r="T328" i="61"/>
  <c r="H329" i="61"/>
  <c r="I329" i="61"/>
  <c r="J329" i="61"/>
  <c r="K329" i="61"/>
  <c r="L329" i="61"/>
  <c r="M329" i="61"/>
  <c r="N329" i="61"/>
  <c r="O329" i="61"/>
  <c r="P329" i="61"/>
  <c r="Q329" i="61"/>
  <c r="R329" i="61"/>
  <c r="S329" i="61"/>
  <c r="T329" i="61"/>
  <c r="H330" i="61"/>
  <c r="I330" i="61"/>
  <c r="J330" i="61"/>
  <c r="K330" i="61"/>
  <c r="L330" i="61"/>
  <c r="M330" i="61"/>
  <c r="N330" i="61"/>
  <c r="O330" i="61"/>
  <c r="P330" i="61"/>
  <c r="Q330" i="61"/>
  <c r="R330" i="61"/>
  <c r="S330" i="61"/>
  <c r="T330" i="61"/>
  <c r="G329" i="61"/>
  <c r="G330" i="61"/>
  <c r="G328" i="61"/>
  <c r="T236" i="61"/>
  <c r="S236" i="61"/>
  <c r="R236" i="61"/>
  <c r="Q236" i="61"/>
  <c r="P236" i="61"/>
  <c r="O236" i="61"/>
  <c r="N236" i="61"/>
  <c r="M236" i="61"/>
  <c r="L236" i="61"/>
  <c r="K236" i="61"/>
  <c r="J236" i="61"/>
  <c r="I236" i="61"/>
  <c r="H236" i="61"/>
  <c r="G236" i="61"/>
  <c r="T235" i="61"/>
  <c r="S235" i="61"/>
  <c r="R235" i="61"/>
  <c r="Q235" i="61"/>
  <c r="P235" i="61"/>
  <c r="O235" i="61"/>
  <c r="N235" i="61"/>
  <c r="M235" i="61"/>
  <c r="L235" i="61"/>
  <c r="K235" i="61"/>
  <c r="J235" i="61"/>
  <c r="I235" i="61"/>
  <c r="H235" i="61"/>
  <c r="G235" i="61"/>
  <c r="T234" i="61"/>
  <c r="S234" i="61"/>
  <c r="R234" i="61"/>
  <c r="Q234" i="61"/>
  <c r="P234" i="61"/>
  <c r="O234" i="61"/>
  <c r="N234" i="61"/>
  <c r="M234" i="61"/>
  <c r="L234" i="61"/>
  <c r="K234" i="61"/>
  <c r="J234" i="61"/>
  <c r="I234" i="61"/>
  <c r="H234" i="61"/>
  <c r="G234" i="61"/>
  <c r="T231" i="61"/>
  <c r="S231" i="61"/>
  <c r="R231" i="61"/>
  <c r="Q231" i="61"/>
  <c r="P231" i="61"/>
  <c r="O231" i="61"/>
  <c r="N231" i="61"/>
  <c r="M231" i="61"/>
  <c r="L231" i="61"/>
  <c r="K231" i="61"/>
  <c r="J231" i="61"/>
  <c r="I231" i="61"/>
  <c r="H231" i="61"/>
  <c r="G231" i="61"/>
  <c r="T230" i="61"/>
  <c r="S230" i="61"/>
  <c r="R230" i="61"/>
  <c r="Q230" i="61"/>
  <c r="P230" i="61"/>
  <c r="O230" i="61"/>
  <c r="N230" i="61"/>
  <c r="M230" i="61"/>
  <c r="L230" i="61"/>
  <c r="K230" i="61"/>
  <c r="J230" i="61"/>
  <c r="I230" i="61"/>
  <c r="H230" i="61"/>
  <c r="G230" i="61"/>
  <c r="T229" i="61"/>
  <c r="S229" i="61"/>
  <c r="R229" i="61"/>
  <c r="Q229" i="61"/>
  <c r="P229" i="61"/>
  <c r="O229" i="61"/>
  <c r="N229" i="61"/>
  <c r="M229" i="61"/>
  <c r="L229" i="61"/>
  <c r="K229" i="61"/>
  <c r="J229" i="61"/>
  <c r="I229" i="61"/>
  <c r="H229" i="61"/>
  <c r="G229" i="61"/>
  <c r="H224" i="61"/>
  <c r="I224" i="61"/>
  <c r="J224" i="61"/>
  <c r="K224" i="61"/>
  <c r="L224" i="61"/>
  <c r="M224" i="61"/>
  <c r="N224" i="61"/>
  <c r="O224" i="61"/>
  <c r="P224" i="61"/>
  <c r="Q224" i="61"/>
  <c r="R224" i="61"/>
  <c r="S224" i="61"/>
  <c r="T224" i="61"/>
  <c r="H225" i="61"/>
  <c r="I225" i="61"/>
  <c r="J225" i="61"/>
  <c r="K225" i="61"/>
  <c r="L225" i="61"/>
  <c r="M225" i="61"/>
  <c r="N225" i="61"/>
  <c r="O225" i="61"/>
  <c r="P225" i="61"/>
  <c r="Q225" i="61"/>
  <c r="R225" i="61"/>
  <c r="S225" i="61"/>
  <c r="T225" i="61"/>
  <c r="H226" i="61"/>
  <c r="I226" i="61"/>
  <c r="J226" i="61"/>
  <c r="K226" i="61"/>
  <c r="L226" i="61"/>
  <c r="M226" i="61"/>
  <c r="N226" i="61"/>
  <c r="O226" i="61"/>
  <c r="P226" i="61"/>
  <c r="Q226" i="61"/>
  <c r="R226" i="61"/>
  <c r="S226" i="61"/>
  <c r="T226" i="61"/>
  <c r="G225" i="61"/>
  <c r="G226" i="61"/>
  <c r="G224" i="61"/>
  <c r="T132" i="61"/>
  <c r="S132" i="61"/>
  <c r="R132" i="61"/>
  <c r="Q132" i="61"/>
  <c r="P132" i="61"/>
  <c r="O132" i="61"/>
  <c r="N132" i="61"/>
  <c r="M132" i="61"/>
  <c r="L132" i="61"/>
  <c r="K132" i="61"/>
  <c r="J132" i="61"/>
  <c r="I132" i="61"/>
  <c r="H132" i="61"/>
  <c r="G132" i="61"/>
  <c r="T131" i="61"/>
  <c r="S131" i="61"/>
  <c r="R131" i="61"/>
  <c r="Q131" i="61"/>
  <c r="P131" i="61"/>
  <c r="O131" i="61"/>
  <c r="N131" i="61"/>
  <c r="M131" i="61"/>
  <c r="L131" i="61"/>
  <c r="K131" i="61"/>
  <c r="J131" i="61"/>
  <c r="I131" i="61"/>
  <c r="H131" i="61"/>
  <c r="G131" i="61"/>
  <c r="T130" i="61"/>
  <c r="S130" i="61"/>
  <c r="R130" i="61"/>
  <c r="Q130" i="61"/>
  <c r="P130" i="61"/>
  <c r="O130" i="61"/>
  <c r="N130" i="61"/>
  <c r="M130" i="61"/>
  <c r="L130" i="61"/>
  <c r="K130" i="61"/>
  <c r="J130" i="61"/>
  <c r="I130" i="61"/>
  <c r="H130" i="61"/>
  <c r="G130" i="61"/>
  <c r="T127" i="61"/>
  <c r="S127" i="61"/>
  <c r="R127" i="61"/>
  <c r="Q127" i="61"/>
  <c r="P127" i="61"/>
  <c r="O127" i="61"/>
  <c r="N127" i="61"/>
  <c r="M127" i="61"/>
  <c r="L127" i="61"/>
  <c r="K127" i="61"/>
  <c r="J127" i="61"/>
  <c r="I127" i="61"/>
  <c r="H127" i="61"/>
  <c r="G127" i="61"/>
  <c r="T126" i="61"/>
  <c r="S126" i="61"/>
  <c r="R126" i="61"/>
  <c r="Q126" i="61"/>
  <c r="P126" i="61"/>
  <c r="O126" i="61"/>
  <c r="N126" i="61"/>
  <c r="M126" i="61"/>
  <c r="L126" i="61"/>
  <c r="K126" i="61"/>
  <c r="J126" i="61"/>
  <c r="I126" i="61"/>
  <c r="H126" i="61"/>
  <c r="G126" i="61"/>
  <c r="T125" i="61"/>
  <c r="S125" i="61"/>
  <c r="R125" i="61"/>
  <c r="Q125" i="61"/>
  <c r="P125" i="61"/>
  <c r="O125" i="61"/>
  <c r="N125" i="61"/>
  <c r="M125" i="61"/>
  <c r="L125" i="61"/>
  <c r="K125" i="61"/>
  <c r="J125" i="61"/>
  <c r="I125" i="61"/>
  <c r="H125" i="61"/>
  <c r="G125" i="61"/>
  <c r="H120" i="61"/>
  <c r="I120" i="61"/>
  <c r="J120" i="61"/>
  <c r="K120" i="61"/>
  <c r="L120" i="61"/>
  <c r="M120" i="61"/>
  <c r="N120" i="61"/>
  <c r="O120" i="61"/>
  <c r="P120" i="61"/>
  <c r="Q120" i="61"/>
  <c r="R120" i="61"/>
  <c r="S120" i="61"/>
  <c r="T120" i="61"/>
  <c r="H121" i="61"/>
  <c r="I121" i="61"/>
  <c r="J121" i="61"/>
  <c r="K121" i="61"/>
  <c r="L121" i="61"/>
  <c r="M121" i="61"/>
  <c r="N121" i="61"/>
  <c r="O121" i="61"/>
  <c r="P121" i="61"/>
  <c r="Q121" i="61"/>
  <c r="R121" i="61"/>
  <c r="S121" i="61"/>
  <c r="T121" i="61"/>
  <c r="H122" i="61"/>
  <c r="I122" i="61"/>
  <c r="J122" i="61"/>
  <c r="K122" i="61"/>
  <c r="L122" i="61"/>
  <c r="M122" i="61"/>
  <c r="N122" i="61"/>
  <c r="O122" i="61"/>
  <c r="P122" i="61"/>
  <c r="Q122" i="61"/>
  <c r="R122" i="61"/>
  <c r="S122" i="61"/>
  <c r="T122" i="61"/>
  <c r="G121" i="61"/>
  <c r="G122" i="61"/>
  <c r="G120" i="61"/>
  <c r="T32" i="61"/>
  <c r="S32" i="61"/>
  <c r="R32" i="61"/>
  <c r="Q32" i="61"/>
  <c r="P32" i="61"/>
  <c r="O32" i="61"/>
  <c r="N32" i="61"/>
  <c r="M32" i="61"/>
  <c r="L32" i="61"/>
  <c r="K32" i="61"/>
  <c r="J32" i="61"/>
  <c r="I32" i="61"/>
  <c r="H32" i="61"/>
  <c r="G32" i="61"/>
  <c r="T31" i="61"/>
  <c r="S31" i="61"/>
  <c r="R31" i="61"/>
  <c r="Q31" i="61"/>
  <c r="P31" i="61"/>
  <c r="O31" i="61"/>
  <c r="N31" i="61"/>
  <c r="M31" i="61"/>
  <c r="L31" i="61"/>
  <c r="K31" i="61"/>
  <c r="J31" i="61"/>
  <c r="I31" i="61"/>
  <c r="H31" i="61"/>
  <c r="G31" i="61"/>
  <c r="T30" i="61"/>
  <c r="S30" i="61"/>
  <c r="R30" i="61"/>
  <c r="Q30" i="61"/>
  <c r="P30" i="61"/>
  <c r="O30" i="61"/>
  <c r="N30" i="61"/>
  <c r="M30" i="61"/>
  <c r="L30" i="61"/>
  <c r="K30" i="61"/>
  <c r="J30" i="61"/>
  <c r="I30" i="61"/>
  <c r="H30" i="61"/>
  <c r="G30" i="61"/>
  <c r="T27" i="61"/>
  <c r="S27" i="61"/>
  <c r="R27" i="61"/>
  <c r="Q27" i="61"/>
  <c r="P27" i="61"/>
  <c r="O27" i="61"/>
  <c r="N27" i="61"/>
  <c r="M27" i="61"/>
  <c r="L27" i="61"/>
  <c r="K27" i="61"/>
  <c r="J27" i="61"/>
  <c r="I27" i="61"/>
  <c r="H27" i="61"/>
  <c r="G27" i="61"/>
  <c r="T26" i="61"/>
  <c r="S26" i="61"/>
  <c r="R26" i="61"/>
  <c r="Q26" i="61"/>
  <c r="P26" i="61"/>
  <c r="O26" i="61"/>
  <c r="N26" i="61"/>
  <c r="M26" i="61"/>
  <c r="L26" i="61"/>
  <c r="K26" i="61"/>
  <c r="J26" i="61"/>
  <c r="I26" i="61"/>
  <c r="H26" i="61"/>
  <c r="G26" i="61"/>
  <c r="T25" i="61"/>
  <c r="S25" i="61"/>
  <c r="R25" i="61"/>
  <c r="Q25" i="61"/>
  <c r="P25" i="61"/>
  <c r="O25" i="61"/>
  <c r="N25" i="61"/>
  <c r="M25" i="61"/>
  <c r="L25" i="61"/>
  <c r="K25" i="61"/>
  <c r="J25" i="61"/>
  <c r="I25" i="61"/>
  <c r="H25" i="61"/>
  <c r="G25" i="61"/>
  <c r="H20" i="61"/>
  <c r="I20" i="61"/>
  <c r="J20" i="61"/>
  <c r="K20" i="61"/>
  <c r="L20" i="61"/>
  <c r="M20" i="61"/>
  <c r="N20" i="61"/>
  <c r="O20" i="61"/>
  <c r="P20" i="61"/>
  <c r="Q20" i="61"/>
  <c r="R20" i="61"/>
  <c r="S20" i="61"/>
  <c r="T20" i="61"/>
  <c r="H21" i="61"/>
  <c r="I21" i="61"/>
  <c r="J21" i="61"/>
  <c r="K21" i="61"/>
  <c r="L21" i="61"/>
  <c r="M21" i="61"/>
  <c r="N21" i="61"/>
  <c r="O21" i="61"/>
  <c r="P21" i="61"/>
  <c r="Q21" i="61"/>
  <c r="R21" i="61"/>
  <c r="S21" i="61"/>
  <c r="T21" i="61"/>
  <c r="H22" i="61"/>
  <c r="I22" i="61"/>
  <c r="J22" i="61"/>
  <c r="K22" i="61"/>
  <c r="L22" i="61"/>
  <c r="M22" i="61"/>
  <c r="N22" i="61"/>
  <c r="O22" i="61"/>
  <c r="P22" i="61"/>
  <c r="Q22" i="61"/>
  <c r="R22" i="61"/>
  <c r="S22" i="61"/>
  <c r="T22" i="61"/>
  <c r="G21" i="61"/>
  <c r="G22" i="61"/>
  <c r="G20" i="61"/>
  <c r="T459" i="47"/>
  <c r="S459" i="47"/>
  <c r="R459" i="47"/>
  <c r="Q459" i="47"/>
  <c r="P459" i="47"/>
  <c r="O459" i="47"/>
  <c r="N459" i="47"/>
  <c r="M459" i="47"/>
  <c r="L459" i="47"/>
  <c r="K459" i="47"/>
  <c r="J459" i="47"/>
  <c r="I459" i="47"/>
  <c r="H459" i="47"/>
  <c r="G459" i="47"/>
  <c r="T458" i="47"/>
  <c r="S458" i="47"/>
  <c r="R458" i="47"/>
  <c r="Q458" i="47"/>
  <c r="P458" i="47"/>
  <c r="O458" i="47"/>
  <c r="N458" i="47"/>
  <c r="M458" i="47"/>
  <c r="L458" i="47"/>
  <c r="K458" i="47"/>
  <c r="J458" i="47"/>
  <c r="I458" i="47"/>
  <c r="H458" i="47"/>
  <c r="G458" i="47"/>
  <c r="T457" i="47"/>
  <c r="S457" i="47"/>
  <c r="R457" i="47"/>
  <c r="Q457" i="47"/>
  <c r="P457" i="47"/>
  <c r="O457" i="47"/>
  <c r="N457" i="47"/>
  <c r="M457" i="47"/>
  <c r="L457" i="47"/>
  <c r="K457" i="47"/>
  <c r="J457" i="47"/>
  <c r="I457" i="47"/>
  <c r="H457" i="47"/>
  <c r="G457" i="47"/>
  <c r="T454" i="47"/>
  <c r="S454" i="47"/>
  <c r="R454" i="47"/>
  <c r="Q454" i="47"/>
  <c r="P454" i="47"/>
  <c r="O454" i="47"/>
  <c r="N454" i="47"/>
  <c r="M454" i="47"/>
  <c r="L454" i="47"/>
  <c r="K454" i="47"/>
  <c r="J454" i="47"/>
  <c r="I454" i="47"/>
  <c r="H454" i="47"/>
  <c r="G454" i="47"/>
  <c r="T453" i="47"/>
  <c r="S453" i="47"/>
  <c r="R453" i="47"/>
  <c r="Q453" i="47"/>
  <c r="P453" i="47"/>
  <c r="O453" i="47"/>
  <c r="N453" i="47"/>
  <c r="M453" i="47"/>
  <c r="L453" i="47"/>
  <c r="K453" i="47"/>
  <c r="J453" i="47"/>
  <c r="I453" i="47"/>
  <c r="H453" i="47"/>
  <c r="G453" i="47"/>
  <c r="T452" i="47"/>
  <c r="S452" i="47"/>
  <c r="R452" i="47"/>
  <c r="Q452" i="47"/>
  <c r="P452" i="47"/>
  <c r="O452" i="47"/>
  <c r="N452" i="47"/>
  <c r="M452" i="47"/>
  <c r="L452" i="47"/>
  <c r="K452" i="47"/>
  <c r="J452" i="47"/>
  <c r="I452" i="47"/>
  <c r="H452" i="47"/>
  <c r="G452" i="47"/>
  <c r="H447" i="47"/>
  <c r="I447" i="47"/>
  <c r="J447" i="47"/>
  <c r="K447" i="47"/>
  <c r="L447" i="47"/>
  <c r="M447" i="47"/>
  <c r="N447" i="47"/>
  <c r="O447" i="47"/>
  <c r="P447" i="47"/>
  <c r="Q447" i="47"/>
  <c r="R447" i="47"/>
  <c r="S447" i="47"/>
  <c r="T447" i="47"/>
  <c r="H448" i="47"/>
  <c r="I448" i="47"/>
  <c r="J448" i="47"/>
  <c r="K448" i="47"/>
  <c r="L448" i="47"/>
  <c r="M448" i="47"/>
  <c r="N448" i="47"/>
  <c r="O448" i="47"/>
  <c r="P448" i="47"/>
  <c r="Q448" i="47"/>
  <c r="R448" i="47"/>
  <c r="S448" i="47"/>
  <c r="T448" i="47"/>
  <c r="H449" i="47"/>
  <c r="I449" i="47"/>
  <c r="J449" i="47"/>
  <c r="K449" i="47"/>
  <c r="L449" i="47"/>
  <c r="M449" i="47"/>
  <c r="N449" i="47"/>
  <c r="O449" i="47"/>
  <c r="P449" i="47"/>
  <c r="Q449" i="47"/>
  <c r="R449" i="47"/>
  <c r="S449" i="47"/>
  <c r="T449" i="47"/>
  <c r="G448" i="47"/>
  <c r="G449" i="47"/>
  <c r="G447" i="47"/>
  <c r="T325" i="47"/>
  <c r="S325" i="47"/>
  <c r="R325" i="47"/>
  <c r="Q325" i="47"/>
  <c r="P325" i="47"/>
  <c r="O325" i="47"/>
  <c r="N325" i="47"/>
  <c r="M325" i="47"/>
  <c r="L325" i="47"/>
  <c r="K325" i="47"/>
  <c r="J325" i="47"/>
  <c r="I325" i="47"/>
  <c r="H325" i="47"/>
  <c r="G325" i="47"/>
  <c r="T324" i="47"/>
  <c r="S324" i="47"/>
  <c r="R324" i="47"/>
  <c r="Q324" i="47"/>
  <c r="P324" i="47"/>
  <c r="O324" i="47"/>
  <c r="N324" i="47"/>
  <c r="M324" i="47"/>
  <c r="L324" i="47"/>
  <c r="K324" i="47"/>
  <c r="J324" i="47"/>
  <c r="I324" i="47"/>
  <c r="H324" i="47"/>
  <c r="G324" i="47"/>
  <c r="T323" i="47"/>
  <c r="S323" i="47"/>
  <c r="R323" i="47"/>
  <c r="Q323" i="47"/>
  <c r="P323" i="47"/>
  <c r="O323" i="47"/>
  <c r="N323" i="47"/>
  <c r="M323" i="47"/>
  <c r="L323" i="47"/>
  <c r="K323" i="47"/>
  <c r="J323" i="47"/>
  <c r="I323" i="47"/>
  <c r="H323" i="47"/>
  <c r="G323" i="47"/>
  <c r="T320" i="47"/>
  <c r="S320" i="47"/>
  <c r="R320" i="47"/>
  <c r="Q320" i="47"/>
  <c r="P320" i="47"/>
  <c r="O320" i="47"/>
  <c r="N320" i="47"/>
  <c r="M320" i="47"/>
  <c r="L320" i="47"/>
  <c r="K320" i="47"/>
  <c r="J320" i="47"/>
  <c r="I320" i="47"/>
  <c r="H320" i="47"/>
  <c r="G320" i="47"/>
  <c r="T319" i="47"/>
  <c r="S319" i="47"/>
  <c r="R319" i="47"/>
  <c r="Q319" i="47"/>
  <c r="P319" i="47"/>
  <c r="O319" i="47"/>
  <c r="N319" i="47"/>
  <c r="M319" i="47"/>
  <c r="L319" i="47"/>
  <c r="K319" i="47"/>
  <c r="J319" i="47"/>
  <c r="I319" i="47"/>
  <c r="H319" i="47"/>
  <c r="G319" i="47"/>
  <c r="T318" i="47"/>
  <c r="S318" i="47"/>
  <c r="R318" i="47"/>
  <c r="Q318" i="47"/>
  <c r="P318" i="47"/>
  <c r="O318" i="47"/>
  <c r="N318" i="47"/>
  <c r="M318" i="47"/>
  <c r="L318" i="47"/>
  <c r="K318" i="47"/>
  <c r="J318" i="47"/>
  <c r="I318" i="47"/>
  <c r="H318" i="47"/>
  <c r="G318" i="47"/>
  <c r="T315" i="47"/>
  <c r="S315" i="47"/>
  <c r="R315" i="47"/>
  <c r="Q315" i="47"/>
  <c r="P315" i="47"/>
  <c r="O315" i="47"/>
  <c r="N315" i="47"/>
  <c r="M315" i="47"/>
  <c r="L315" i="47"/>
  <c r="K315" i="47"/>
  <c r="J315" i="47"/>
  <c r="I315" i="47"/>
  <c r="H315" i="47"/>
  <c r="G315" i="47"/>
  <c r="T314" i="47"/>
  <c r="S314" i="47"/>
  <c r="R314" i="47"/>
  <c r="Q314" i="47"/>
  <c r="P314" i="47"/>
  <c r="O314" i="47"/>
  <c r="N314" i="47"/>
  <c r="M314" i="47"/>
  <c r="L314" i="47"/>
  <c r="K314" i="47"/>
  <c r="J314" i="47"/>
  <c r="I314" i="47"/>
  <c r="H314" i="47"/>
  <c r="G314" i="47"/>
  <c r="T313" i="47"/>
  <c r="S313" i="47"/>
  <c r="R313" i="47"/>
  <c r="Q313" i="47"/>
  <c r="P313" i="47"/>
  <c r="O313" i="47"/>
  <c r="N313" i="47"/>
  <c r="M313" i="47"/>
  <c r="L313" i="47"/>
  <c r="K313" i="47"/>
  <c r="J313" i="47"/>
  <c r="I313" i="47"/>
  <c r="H313" i="47"/>
  <c r="G313" i="47"/>
  <c r="T310" i="47"/>
  <c r="S310" i="47"/>
  <c r="R310" i="47"/>
  <c r="Q310" i="47"/>
  <c r="P310" i="47"/>
  <c r="O310" i="47"/>
  <c r="N310" i="47"/>
  <c r="M310" i="47"/>
  <c r="L310" i="47"/>
  <c r="K310" i="47"/>
  <c r="J310" i="47"/>
  <c r="I310" i="47"/>
  <c r="H310" i="47"/>
  <c r="G310" i="47"/>
  <c r="T309" i="47"/>
  <c r="S309" i="47"/>
  <c r="R309" i="47"/>
  <c r="Q309" i="47"/>
  <c r="P309" i="47"/>
  <c r="O309" i="47"/>
  <c r="N309" i="47"/>
  <c r="M309" i="47"/>
  <c r="L309" i="47"/>
  <c r="K309" i="47"/>
  <c r="J309" i="47"/>
  <c r="I309" i="47"/>
  <c r="H309" i="47"/>
  <c r="G309" i="47"/>
  <c r="T308" i="47"/>
  <c r="S308" i="47"/>
  <c r="R308" i="47"/>
  <c r="Q308" i="47"/>
  <c r="P308" i="47"/>
  <c r="O308" i="47"/>
  <c r="N308" i="47"/>
  <c r="M308" i="47"/>
  <c r="L308" i="47"/>
  <c r="K308" i="47"/>
  <c r="J308" i="47"/>
  <c r="I308" i="47"/>
  <c r="H308" i="47"/>
  <c r="G308" i="47"/>
  <c r="H303" i="47"/>
  <c r="I303" i="47"/>
  <c r="J303" i="47"/>
  <c r="K303" i="47"/>
  <c r="L303" i="47"/>
  <c r="M303" i="47"/>
  <c r="N303" i="47"/>
  <c r="O303" i="47"/>
  <c r="P303" i="47"/>
  <c r="Q303" i="47"/>
  <c r="R303" i="47"/>
  <c r="S303" i="47"/>
  <c r="T303" i="47"/>
  <c r="H304" i="47"/>
  <c r="I304" i="47"/>
  <c r="J304" i="47"/>
  <c r="K304" i="47"/>
  <c r="L304" i="47"/>
  <c r="M304" i="47"/>
  <c r="N304" i="47"/>
  <c r="O304" i="47"/>
  <c r="P304" i="47"/>
  <c r="Q304" i="47"/>
  <c r="R304" i="47"/>
  <c r="S304" i="47"/>
  <c r="T304" i="47"/>
  <c r="H305" i="47"/>
  <c r="I305" i="47"/>
  <c r="J305" i="47"/>
  <c r="K305" i="47"/>
  <c r="L305" i="47"/>
  <c r="M305" i="47"/>
  <c r="N305" i="47"/>
  <c r="O305" i="47"/>
  <c r="P305" i="47"/>
  <c r="Q305" i="47"/>
  <c r="R305" i="47"/>
  <c r="S305" i="47"/>
  <c r="T305" i="47"/>
  <c r="G304" i="47"/>
  <c r="G305" i="47"/>
  <c r="G303" i="47"/>
  <c r="T181" i="47"/>
  <c r="S181" i="47"/>
  <c r="R181" i="47"/>
  <c r="Q181" i="47"/>
  <c r="P181" i="47"/>
  <c r="O181" i="47"/>
  <c r="N181" i="47"/>
  <c r="M181" i="47"/>
  <c r="L181" i="47"/>
  <c r="K181" i="47"/>
  <c r="J181" i="47"/>
  <c r="I181" i="47"/>
  <c r="H181" i="47"/>
  <c r="G181" i="47"/>
  <c r="T180" i="47"/>
  <c r="S180" i="47"/>
  <c r="R180" i="47"/>
  <c r="Q180" i="47"/>
  <c r="P180" i="47"/>
  <c r="O180" i="47"/>
  <c r="N180" i="47"/>
  <c r="M180" i="47"/>
  <c r="L180" i="47"/>
  <c r="K180" i="47"/>
  <c r="J180" i="47"/>
  <c r="I180" i="47"/>
  <c r="H180" i="47"/>
  <c r="G180" i="47"/>
  <c r="T179" i="47"/>
  <c r="S179" i="47"/>
  <c r="R179" i="47"/>
  <c r="Q179" i="47"/>
  <c r="P179" i="47"/>
  <c r="O179" i="47"/>
  <c r="N179" i="47"/>
  <c r="M179" i="47"/>
  <c r="L179" i="47"/>
  <c r="K179" i="47"/>
  <c r="J179" i="47"/>
  <c r="I179" i="47"/>
  <c r="H179" i="47"/>
  <c r="G179" i="47"/>
  <c r="T176" i="47"/>
  <c r="S176" i="47"/>
  <c r="R176" i="47"/>
  <c r="Q176" i="47"/>
  <c r="P176" i="47"/>
  <c r="O176" i="47"/>
  <c r="N176" i="47"/>
  <c r="M176" i="47"/>
  <c r="L176" i="47"/>
  <c r="K176" i="47"/>
  <c r="J176" i="47"/>
  <c r="I176" i="47"/>
  <c r="H176" i="47"/>
  <c r="G176" i="47"/>
  <c r="T175" i="47"/>
  <c r="S175" i="47"/>
  <c r="R175" i="47"/>
  <c r="Q175" i="47"/>
  <c r="P175" i="47"/>
  <c r="O175" i="47"/>
  <c r="N175" i="47"/>
  <c r="M175" i="47"/>
  <c r="L175" i="47"/>
  <c r="K175" i="47"/>
  <c r="J175" i="47"/>
  <c r="I175" i="47"/>
  <c r="H175" i="47"/>
  <c r="G175" i="47"/>
  <c r="T174" i="47"/>
  <c r="S174" i="47"/>
  <c r="R174" i="47"/>
  <c r="Q174" i="47"/>
  <c r="P174" i="47"/>
  <c r="O174" i="47"/>
  <c r="N174" i="47"/>
  <c r="M174" i="47"/>
  <c r="L174" i="47"/>
  <c r="K174" i="47"/>
  <c r="J174" i="47"/>
  <c r="I174" i="47"/>
  <c r="H174" i="47"/>
  <c r="G174" i="47"/>
  <c r="T171" i="47"/>
  <c r="S171" i="47"/>
  <c r="R171" i="47"/>
  <c r="Q171" i="47"/>
  <c r="P171" i="47"/>
  <c r="O171" i="47"/>
  <c r="N171" i="47"/>
  <c r="M171" i="47"/>
  <c r="L171" i="47"/>
  <c r="K171" i="47"/>
  <c r="J171" i="47"/>
  <c r="I171" i="47"/>
  <c r="H171" i="47"/>
  <c r="G171" i="47"/>
  <c r="T170" i="47"/>
  <c r="S170" i="47"/>
  <c r="R170" i="47"/>
  <c r="Q170" i="47"/>
  <c r="P170" i="47"/>
  <c r="O170" i="47"/>
  <c r="N170" i="47"/>
  <c r="M170" i="47"/>
  <c r="L170" i="47"/>
  <c r="K170" i="47"/>
  <c r="J170" i="47"/>
  <c r="I170" i="47"/>
  <c r="H170" i="47"/>
  <c r="G170" i="47"/>
  <c r="T169" i="47"/>
  <c r="S169" i="47"/>
  <c r="R169" i="47"/>
  <c r="Q169" i="47"/>
  <c r="P169" i="47"/>
  <c r="O169" i="47"/>
  <c r="N169" i="47"/>
  <c r="M169" i="47"/>
  <c r="L169" i="47"/>
  <c r="K169" i="47"/>
  <c r="J169" i="47"/>
  <c r="I169" i="47"/>
  <c r="H169" i="47"/>
  <c r="G169" i="47"/>
  <c r="T166" i="47"/>
  <c r="S166" i="47"/>
  <c r="R166" i="47"/>
  <c r="Q166" i="47"/>
  <c r="P166" i="47"/>
  <c r="O166" i="47"/>
  <c r="N166" i="47"/>
  <c r="M166" i="47"/>
  <c r="L166" i="47"/>
  <c r="K166" i="47"/>
  <c r="J166" i="47"/>
  <c r="I166" i="47"/>
  <c r="H166" i="47"/>
  <c r="G166" i="47"/>
  <c r="T165" i="47"/>
  <c r="S165" i="47"/>
  <c r="R165" i="47"/>
  <c r="Q165" i="47"/>
  <c r="P165" i="47"/>
  <c r="O165" i="47"/>
  <c r="N165" i="47"/>
  <c r="M165" i="47"/>
  <c r="L165" i="47"/>
  <c r="K165" i="47"/>
  <c r="J165" i="47"/>
  <c r="I165" i="47"/>
  <c r="H165" i="47"/>
  <c r="G165" i="47"/>
  <c r="T164" i="47"/>
  <c r="S164" i="47"/>
  <c r="R164" i="47"/>
  <c r="Q164" i="47"/>
  <c r="P164" i="47"/>
  <c r="O164" i="47"/>
  <c r="N164" i="47"/>
  <c r="M164" i="47"/>
  <c r="L164" i="47"/>
  <c r="K164" i="47"/>
  <c r="J164" i="47"/>
  <c r="I164" i="47"/>
  <c r="H164" i="47"/>
  <c r="G164" i="47"/>
  <c r="H159" i="47"/>
  <c r="I159" i="47"/>
  <c r="J159" i="47"/>
  <c r="K159" i="47"/>
  <c r="L159" i="47"/>
  <c r="M159" i="47"/>
  <c r="N159" i="47"/>
  <c r="O159" i="47"/>
  <c r="P159" i="47"/>
  <c r="Q159" i="47"/>
  <c r="R159" i="47"/>
  <c r="S159" i="47"/>
  <c r="T159" i="47"/>
  <c r="H160" i="47"/>
  <c r="I160" i="47"/>
  <c r="J160" i="47"/>
  <c r="K160" i="47"/>
  <c r="L160" i="47"/>
  <c r="M160" i="47"/>
  <c r="N160" i="47"/>
  <c r="O160" i="47"/>
  <c r="P160" i="47"/>
  <c r="Q160" i="47"/>
  <c r="R160" i="47"/>
  <c r="S160" i="47"/>
  <c r="T160" i="47"/>
  <c r="H161" i="47"/>
  <c r="I161" i="47"/>
  <c r="J161" i="47"/>
  <c r="K161" i="47"/>
  <c r="L161" i="47"/>
  <c r="M161" i="47"/>
  <c r="N161" i="47"/>
  <c r="O161" i="47"/>
  <c r="P161" i="47"/>
  <c r="Q161" i="47"/>
  <c r="R161" i="47"/>
  <c r="S161" i="47"/>
  <c r="T161" i="47"/>
  <c r="G160" i="47"/>
  <c r="G161" i="47"/>
  <c r="G159" i="47"/>
  <c r="F40" i="37" l="1"/>
  <c r="F43" i="79"/>
  <c r="F41" i="37"/>
  <c r="T340" i="61"/>
  <c r="S340" i="61"/>
  <c r="R340" i="61"/>
  <c r="Q340" i="61"/>
  <c r="P340" i="61"/>
  <c r="O340" i="61"/>
  <c r="N340" i="61"/>
  <c r="M340" i="61"/>
  <c r="L340" i="61"/>
  <c r="K340" i="61"/>
  <c r="J340" i="61"/>
  <c r="I340" i="61"/>
  <c r="H340" i="61"/>
  <c r="G340" i="61"/>
  <c r="T339" i="61"/>
  <c r="S339" i="61"/>
  <c r="R339" i="61"/>
  <c r="Q339" i="61"/>
  <c r="P339" i="61"/>
  <c r="O339" i="61"/>
  <c r="N339" i="61"/>
  <c r="M339" i="61"/>
  <c r="L339" i="61"/>
  <c r="K339" i="61"/>
  <c r="J339" i="61"/>
  <c r="I339" i="61"/>
  <c r="H339" i="61"/>
  <c r="G339" i="61"/>
  <c r="T338" i="61"/>
  <c r="S338" i="61"/>
  <c r="R338" i="61"/>
  <c r="Q338" i="61"/>
  <c r="P338" i="61"/>
  <c r="O338" i="61"/>
  <c r="N338" i="61"/>
  <c r="M338" i="61"/>
  <c r="L338" i="61"/>
  <c r="K338" i="61"/>
  <c r="J338" i="61"/>
  <c r="I338" i="61"/>
  <c r="H338" i="61"/>
  <c r="G338" i="61"/>
  <c r="T469" i="47"/>
  <c r="S469" i="47"/>
  <c r="R469" i="47"/>
  <c r="Q469" i="47"/>
  <c r="P469" i="47"/>
  <c r="O469" i="47"/>
  <c r="N469" i="47"/>
  <c r="M469" i="47"/>
  <c r="L469" i="47"/>
  <c r="K469" i="47"/>
  <c r="J469" i="47"/>
  <c r="I469" i="47"/>
  <c r="H469" i="47"/>
  <c r="G469" i="47"/>
  <c r="T468" i="47"/>
  <c r="S468" i="47"/>
  <c r="R468" i="47"/>
  <c r="Q468" i="47"/>
  <c r="P468" i="47"/>
  <c r="O468" i="47"/>
  <c r="N468" i="47"/>
  <c r="M468" i="47"/>
  <c r="L468" i="47"/>
  <c r="K468" i="47"/>
  <c r="J468" i="47"/>
  <c r="I468" i="47"/>
  <c r="H468" i="47"/>
  <c r="G468" i="47"/>
  <c r="T467" i="47"/>
  <c r="S467" i="47"/>
  <c r="R467" i="47"/>
  <c r="Q467" i="47"/>
  <c r="P467" i="47"/>
  <c r="O467" i="47"/>
  <c r="N467" i="47"/>
  <c r="M467" i="47"/>
  <c r="L467" i="47"/>
  <c r="K467" i="47"/>
  <c r="J467" i="47"/>
  <c r="I467" i="47"/>
  <c r="H467" i="47"/>
  <c r="G467" i="47"/>
  <c r="T464" i="47"/>
  <c r="S464" i="47"/>
  <c r="R464" i="47"/>
  <c r="Q464" i="47"/>
  <c r="P464" i="47"/>
  <c r="O464" i="47"/>
  <c r="N464" i="47"/>
  <c r="M464" i="47"/>
  <c r="L464" i="47"/>
  <c r="K464" i="47"/>
  <c r="J464" i="47"/>
  <c r="I464" i="47"/>
  <c r="H464" i="47"/>
  <c r="G464" i="47"/>
  <c r="T463" i="47"/>
  <c r="S463" i="47"/>
  <c r="R463" i="47"/>
  <c r="Q463" i="47"/>
  <c r="P463" i="47"/>
  <c r="O463" i="47"/>
  <c r="N463" i="47"/>
  <c r="M463" i="47"/>
  <c r="L463" i="47"/>
  <c r="K463" i="47"/>
  <c r="J463" i="47"/>
  <c r="I463" i="47"/>
  <c r="H463" i="47"/>
  <c r="G463" i="47"/>
  <c r="T462" i="47"/>
  <c r="S462" i="47"/>
  <c r="R462" i="47"/>
  <c r="Q462" i="47"/>
  <c r="P462" i="47"/>
  <c r="O462" i="47"/>
  <c r="N462" i="47"/>
  <c r="M462" i="47"/>
  <c r="L462" i="47"/>
  <c r="K462" i="47"/>
  <c r="J462" i="47"/>
  <c r="I462" i="47"/>
  <c r="H462" i="47"/>
  <c r="G462" i="47"/>
  <c r="O125" i="49" l="1"/>
  <c r="J125" i="49"/>
  <c r="H125" i="49"/>
  <c r="H115" i="49"/>
  <c r="I115" i="49"/>
  <c r="J115" i="49"/>
  <c r="K115" i="49"/>
  <c r="L115" i="49"/>
  <c r="M115" i="49"/>
  <c r="N115" i="49"/>
  <c r="O115" i="49"/>
  <c r="G115" i="49"/>
  <c r="O80" i="49"/>
  <c r="J80" i="49"/>
  <c r="H80" i="49"/>
  <c r="H70" i="49"/>
  <c r="I70" i="49"/>
  <c r="J70" i="49"/>
  <c r="K70" i="49"/>
  <c r="L70" i="49"/>
  <c r="M70" i="49"/>
  <c r="N70" i="49"/>
  <c r="O70" i="49"/>
  <c r="G70" i="49"/>
  <c r="O35" i="49"/>
  <c r="J35" i="49"/>
  <c r="H35" i="49"/>
  <c r="H25" i="49"/>
  <c r="I25" i="49"/>
  <c r="J25" i="49"/>
  <c r="K25" i="49"/>
  <c r="L25" i="49"/>
  <c r="M25" i="49"/>
  <c r="N25" i="49"/>
  <c r="O25" i="49"/>
  <c r="G25" i="49"/>
  <c r="O365" i="61"/>
  <c r="O364" i="61"/>
  <c r="O261" i="61"/>
  <c r="O260" i="61"/>
  <c r="O157" i="61"/>
  <c r="O156" i="61"/>
  <c r="O57" i="61"/>
  <c r="O56" i="61"/>
  <c r="O417" i="61"/>
  <c r="J417" i="61"/>
  <c r="H417" i="61"/>
  <c r="F417" i="61" s="1"/>
  <c r="F416" i="61"/>
  <c r="F415" i="61"/>
  <c r="F414" i="61"/>
  <c r="O375" i="61"/>
  <c r="O382" i="61" s="1"/>
  <c r="O118" i="78" s="1"/>
  <c r="N375" i="61"/>
  <c r="M375" i="61"/>
  <c r="L375" i="61"/>
  <c r="K375" i="61"/>
  <c r="J375" i="61"/>
  <c r="I375" i="61"/>
  <c r="H375" i="61"/>
  <c r="G375" i="61"/>
  <c r="F374" i="61"/>
  <c r="F373" i="61"/>
  <c r="F372" i="61"/>
  <c r="O400" i="61"/>
  <c r="N358" i="61"/>
  <c r="M358" i="61"/>
  <c r="L358" i="61"/>
  <c r="J400" i="61"/>
  <c r="H400" i="61"/>
  <c r="H358" i="61"/>
  <c r="G358" i="61"/>
  <c r="O399" i="61"/>
  <c r="N357" i="61"/>
  <c r="M357" i="61"/>
  <c r="L357" i="61"/>
  <c r="J399" i="61"/>
  <c r="H399" i="61"/>
  <c r="H357" i="61"/>
  <c r="G357" i="61"/>
  <c r="O398" i="61"/>
  <c r="N356" i="61"/>
  <c r="M356" i="61"/>
  <c r="L356" i="61"/>
  <c r="J398" i="61"/>
  <c r="H398" i="61"/>
  <c r="H356" i="61"/>
  <c r="G356" i="61"/>
  <c r="O395" i="61"/>
  <c r="N353" i="61"/>
  <c r="M353" i="61"/>
  <c r="L353" i="61"/>
  <c r="J395" i="61"/>
  <c r="H395" i="61"/>
  <c r="H353" i="61"/>
  <c r="G353" i="61"/>
  <c r="O394" i="61"/>
  <c r="N352" i="61"/>
  <c r="M352" i="61"/>
  <c r="L352" i="61"/>
  <c r="J394" i="61"/>
  <c r="H394" i="61"/>
  <c r="H352" i="61"/>
  <c r="G352" i="61"/>
  <c r="O393" i="61"/>
  <c r="N351" i="61"/>
  <c r="M351" i="61"/>
  <c r="L351" i="61"/>
  <c r="J393" i="61"/>
  <c r="H393" i="61"/>
  <c r="H351" i="61"/>
  <c r="G351" i="61"/>
  <c r="O390" i="61"/>
  <c r="O407" i="61" s="1"/>
  <c r="N348" i="61"/>
  <c r="N365" i="61" s="1"/>
  <c r="M348" i="61"/>
  <c r="M365" i="61" s="1"/>
  <c r="L348" i="61"/>
  <c r="L365" i="61" s="1"/>
  <c r="J390" i="61"/>
  <c r="J407" i="61" s="1"/>
  <c r="H390" i="61"/>
  <c r="H407" i="61" s="1"/>
  <c r="H348" i="61"/>
  <c r="H365" i="61" s="1"/>
  <c r="G348" i="61"/>
  <c r="G365" i="61" s="1"/>
  <c r="O389" i="61"/>
  <c r="O406" i="61" s="1"/>
  <c r="O424" i="61" s="1"/>
  <c r="O127" i="78" s="1"/>
  <c r="N347" i="61"/>
  <c r="N364" i="61" s="1"/>
  <c r="N382" i="61" s="1"/>
  <c r="N118" i="78" s="1"/>
  <c r="M347" i="61"/>
  <c r="M364" i="61" s="1"/>
  <c r="M382" i="61" s="1"/>
  <c r="M118" i="78" s="1"/>
  <c r="L347" i="61"/>
  <c r="L364" i="61" s="1"/>
  <c r="L382" i="61" s="1"/>
  <c r="L118" i="78" s="1"/>
  <c r="J389" i="61"/>
  <c r="J406" i="61" s="1"/>
  <c r="J424" i="61" s="1"/>
  <c r="J127" i="78" s="1"/>
  <c r="J347" i="61"/>
  <c r="I347" i="61"/>
  <c r="H389" i="61"/>
  <c r="H406" i="61" s="1"/>
  <c r="H424" i="61" s="1"/>
  <c r="H127" i="78" s="1"/>
  <c r="H347" i="61"/>
  <c r="H364" i="61" s="1"/>
  <c r="G347" i="61"/>
  <c r="G364" i="61" s="1"/>
  <c r="G382" i="61" s="1"/>
  <c r="G118" i="78" s="1"/>
  <c r="F329" i="61"/>
  <c r="O388" i="61"/>
  <c r="N346" i="61"/>
  <c r="M346" i="61"/>
  <c r="L346" i="61"/>
  <c r="K346" i="61"/>
  <c r="J388" i="61"/>
  <c r="H388" i="61"/>
  <c r="H346" i="61"/>
  <c r="G346" i="61"/>
  <c r="O313" i="61"/>
  <c r="J313" i="61"/>
  <c r="H313" i="61"/>
  <c r="F312" i="61"/>
  <c r="F311" i="61"/>
  <c r="F310" i="61"/>
  <c r="O271" i="61"/>
  <c r="O278" i="61" s="1"/>
  <c r="O73" i="78" s="1"/>
  <c r="N271" i="61"/>
  <c r="M271" i="61"/>
  <c r="L271" i="61"/>
  <c r="K271" i="61"/>
  <c r="J271" i="61"/>
  <c r="I271" i="61"/>
  <c r="H271" i="61"/>
  <c r="G271" i="61"/>
  <c r="F270" i="61"/>
  <c r="F269" i="61"/>
  <c r="F268" i="61"/>
  <c r="O296" i="61"/>
  <c r="N254" i="61"/>
  <c r="M254" i="61"/>
  <c r="L254" i="61"/>
  <c r="K254" i="61"/>
  <c r="J296" i="61"/>
  <c r="H296" i="61"/>
  <c r="H254" i="61"/>
  <c r="G254" i="61"/>
  <c r="O295" i="61"/>
  <c r="N253" i="61"/>
  <c r="M253" i="61"/>
  <c r="L253" i="61"/>
  <c r="J295" i="61"/>
  <c r="H295" i="61"/>
  <c r="H253" i="61"/>
  <c r="G253" i="61"/>
  <c r="O294" i="61"/>
  <c r="N252" i="61"/>
  <c r="M252" i="61"/>
  <c r="L252" i="61"/>
  <c r="J294" i="61"/>
  <c r="H294" i="61"/>
  <c r="H252" i="61"/>
  <c r="G252" i="61"/>
  <c r="O291" i="61"/>
  <c r="N249" i="61"/>
  <c r="M249" i="61"/>
  <c r="L249" i="61"/>
  <c r="J291" i="61"/>
  <c r="H291" i="61"/>
  <c r="H249" i="61"/>
  <c r="G249" i="61"/>
  <c r="O290" i="61"/>
  <c r="N248" i="61"/>
  <c r="M248" i="61"/>
  <c r="L248" i="61"/>
  <c r="J290" i="61"/>
  <c r="H290" i="61"/>
  <c r="H248" i="61"/>
  <c r="G248" i="61"/>
  <c r="O289" i="61"/>
  <c r="N247" i="61"/>
  <c r="M247" i="61"/>
  <c r="L247" i="61"/>
  <c r="J289" i="61"/>
  <c r="H289" i="61"/>
  <c r="H247" i="61"/>
  <c r="O286" i="61"/>
  <c r="N244" i="61"/>
  <c r="M244" i="61"/>
  <c r="L244" i="61"/>
  <c r="J286" i="61"/>
  <c r="H286" i="61"/>
  <c r="H244" i="61"/>
  <c r="G244" i="61"/>
  <c r="O285" i="61"/>
  <c r="N243" i="61"/>
  <c r="M243" i="61"/>
  <c r="L243" i="61"/>
  <c r="J285" i="61"/>
  <c r="H285" i="61"/>
  <c r="H243" i="61"/>
  <c r="O284" i="61"/>
  <c r="N242" i="61"/>
  <c r="M242" i="61"/>
  <c r="L242" i="61"/>
  <c r="J284" i="61"/>
  <c r="H284" i="61"/>
  <c r="H242" i="61"/>
  <c r="G242" i="61"/>
  <c r="O209" i="61"/>
  <c r="J209" i="61"/>
  <c r="H209" i="61"/>
  <c r="F208" i="61"/>
  <c r="F207" i="61"/>
  <c r="F206" i="61"/>
  <c r="O167" i="61"/>
  <c r="O174" i="61" s="1"/>
  <c r="O28" i="78" s="1"/>
  <c r="N167" i="61"/>
  <c r="M167" i="61"/>
  <c r="L167" i="61"/>
  <c r="K167" i="61"/>
  <c r="J167" i="61"/>
  <c r="I167" i="61"/>
  <c r="H167" i="61"/>
  <c r="G167" i="61"/>
  <c r="F166" i="61"/>
  <c r="F165" i="61"/>
  <c r="F164" i="61"/>
  <c r="O192" i="61"/>
  <c r="N150" i="61"/>
  <c r="M150" i="61"/>
  <c r="L150" i="61"/>
  <c r="J192" i="61"/>
  <c r="H192" i="61"/>
  <c r="H150" i="61"/>
  <c r="G150" i="61"/>
  <c r="O191" i="61"/>
  <c r="N149" i="61"/>
  <c r="M149" i="61"/>
  <c r="L149" i="61"/>
  <c r="J191" i="61"/>
  <c r="H191" i="61"/>
  <c r="H149" i="61"/>
  <c r="G149" i="61"/>
  <c r="O190" i="61"/>
  <c r="N148" i="61"/>
  <c r="M148" i="61"/>
  <c r="L148" i="61"/>
  <c r="J190" i="61"/>
  <c r="H190" i="61"/>
  <c r="H148" i="61"/>
  <c r="G148" i="61"/>
  <c r="O182" i="61"/>
  <c r="N140" i="61"/>
  <c r="M140" i="61"/>
  <c r="L140" i="61"/>
  <c r="K140" i="61"/>
  <c r="J182" i="61"/>
  <c r="H182" i="61"/>
  <c r="H140" i="61"/>
  <c r="O181" i="61"/>
  <c r="N139" i="61"/>
  <c r="M139" i="61"/>
  <c r="L139" i="61"/>
  <c r="J181" i="61"/>
  <c r="H181" i="61"/>
  <c r="H139" i="61"/>
  <c r="G139" i="61"/>
  <c r="O180" i="61"/>
  <c r="N138" i="61"/>
  <c r="M138" i="61"/>
  <c r="L138" i="61"/>
  <c r="J180" i="61"/>
  <c r="H180" i="61"/>
  <c r="H138" i="61"/>
  <c r="G138" i="61"/>
  <c r="O107" i="61"/>
  <c r="J107" i="61"/>
  <c r="H107" i="61"/>
  <c r="F106" i="61"/>
  <c r="F105" i="61"/>
  <c r="F104" i="61"/>
  <c r="O67" i="61"/>
  <c r="N67" i="61"/>
  <c r="M67" i="61"/>
  <c r="L67" i="61"/>
  <c r="K67" i="61"/>
  <c r="J67" i="61"/>
  <c r="I67" i="61"/>
  <c r="H67" i="61"/>
  <c r="G67" i="61"/>
  <c r="F66" i="61"/>
  <c r="F65" i="61"/>
  <c r="F64" i="61"/>
  <c r="O90" i="61"/>
  <c r="N50" i="61"/>
  <c r="M50" i="61"/>
  <c r="L50" i="61"/>
  <c r="K50" i="61"/>
  <c r="J90" i="61"/>
  <c r="H90" i="61"/>
  <c r="H50" i="61"/>
  <c r="O89" i="61"/>
  <c r="N49" i="61"/>
  <c r="M49" i="61"/>
  <c r="L49" i="61"/>
  <c r="J89" i="61"/>
  <c r="H89" i="61"/>
  <c r="H49" i="61"/>
  <c r="G49" i="61"/>
  <c r="O88" i="61"/>
  <c r="N48" i="61"/>
  <c r="M48" i="61"/>
  <c r="L48" i="61"/>
  <c r="K48" i="61"/>
  <c r="J88" i="61"/>
  <c r="H88" i="61"/>
  <c r="F88" i="61" s="1"/>
  <c r="H48" i="61"/>
  <c r="G48" i="61"/>
  <c r="O85" i="61"/>
  <c r="N45" i="61"/>
  <c r="M45" i="61"/>
  <c r="L45" i="61"/>
  <c r="J85" i="61"/>
  <c r="H85" i="61"/>
  <c r="H45" i="61"/>
  <c r="G45" i="61"/>
  <c r="O84" i="61"/>
  <c r="N44" i="61"/>
  <c r="M44" i="61"/>
  <c r="L44" i="61"/>
  <c r="J84" i="61"/>
  <c r="H84" i="61"/>
  <c r="H44" i="61"/>
  <c r="G44" i="61"/>
  <c r="O83" i="61"/>
  <c r="N43" i="61"/>
  <c r="M43" i="61"/>
  <c r="L43" i="61"/>
  <c r="J83" i="61"/>
  <c r="H83" i="61"/>
  <c r="H43" i="61"/>
  <c r="G43" i="61"/>
  <c r="O80" i="61"/>
  <c r="N40" i="61"/>
  <c r="N57" i="61" s="1"/>
  <c r="M40" i="61"/>
  <c r="L40" i="61"/>
  <c r="L57" i="61" s="1"/>
  <c r="J80" i="61"/>
  <c r="J97" i="61" s="1"/>
  <c r="H80" i="61"/>
  <c r="H97" i="61" s="1"/>
  <c r="H40" i="61"/>
  <c r="H57" i="61" s="1"/>
  <c r="G40" i="61"/>
  <c r="O79" i="61"/>
  <c r="N39" i="61"/>
  <c r="N56" i="61" s="1"/>
  <c r="M39" i="61"/>
  <c r="L39" i="61"/>
  <c r="L56" i="61" s="1"/>
  <c r="J79" i="61"/>
  <c r="H79" i="61"/>
  <c r="H96" i="61" s="1"/>
  <c r="H39" i="61"/>
  <c r="G39" i="61"/>
  <c r="G56" i="61" s="1"/>
  <c r="O78" i="61"/>
  <c r="N38" i="61"/>
  <c r="M38" i="61"/>
  <c r="L38" i="61"/>
  <c r="J78" i="61"/>
  <c r="H78" i="61"/>
  <c r="H38" i="61"/>
  <c r="G38" i="61"/>
  <c r="F12" i="61"/>
  <c r="O575" i="47"/>
  <c r="J575" i="47"/>
  <c r="H575" i="47"/>
  <c r="F575" i="47" s="1"/>
  <c r="F574" i="47"/>
  <c r="F573" i="47"/>
  <c r="F572" i="47"/>
  <c r="O520" i="47"/>
  <c r="N520" i="47"/>
  <c r="M520" i="47"/>
  <c r="L520" i="47"/>
  <c r="K520" i="47"/>
  <c r="J520" i="47"/>
  <c r="I520" i="47"/>
  <c r="H520" i="47"/>
  <c r="G520" i="47"/>
  <c r="F519" i="47"/>
  <c r="F518" i="47"/>
  <c r="F517" i="47"/>
  <c r="O510" i="47"/>
  <c r="O509" i="47"/>
  <c r="O504" i="47"/>
  <c r="O503" i="47"/>
  <c r="O558" i="47"/>
  <c r="N497" i="47"/>
  <c r="M497" i="47"/>
  <c r="L497" i="47"/>
  <c r="K497" i="47"/>
  <c r="J558" i="47"/>
  <c r="H558" i="47"/>
  <c r="H497" i="47"/>
  <c r="O557" i="47"/>
  <c r="N496" i="47"/>
  <c r="M496" i="47"/>
  <c r="L496" i="47"/>
  <c r="K496" i="47"/>
  <c r="J557" i="47"/>
  <c r="H557" i="47"/>
  <c r="H496" i="47"/>
  <c r="G496" i="47"/>
  <c r="O556" i="47"/>
  <c r="N495" i="47"/>
  <c r="M495" i="47"/>
  <c r="L495" i="47"/>
  <c r="J556" i="47"/>
  <c r="H556" i="47"/>
  <c r="H495" i="47"/>
  <c r="G495" i="47"/>
  <c r="F467" i="47"/>
  <c r="O553" i="47"/>
  <c r="N492" i="47"/>
  <c r="M492" i="47"/>
  <c r="L492" i="47"/>
  <c r="K492" i="47"/>
  <c r="J553" i="47"/>
  <c r="H553" i="47"/>
  <c r="H492" i="47"/>
  <c r="G492" i="47"/>
  <c r="O552" i="47"/>
  <c r="N491" i="47"/>
  <c r="M491" i="47"/>
  <c r="L491" i="47"/>
  <c r="J552" i="47"/>
  <c r="H552" i="47"/>
  <c r="H491" i="47"/>
  <c r="G491" i="47"/>
  <c r="O551" i="47"/>
  <c r="N490" i="47"/>
  <c r="M490" i="47"/>
  <c r="L490" i="47"/>
  <c r="J551" i="47"/>
  <c r="H551" i="47"/>
  <c r="H490" i="47"/>
  <c r="G490" i="47"/>
  <c r="O548" i="47"/>
  <c r="N487" i="47"/>
  <c r="N510" i="47" s="1"/>
  <c r="M487" i="47"/>
  <c r="M510" i="47" s="1"/>
  <c r="L487" i="47"/>
  <c r="L510" i="47" s="1"/>
  <c r="J548" i="47"/>
  <c r="H548" i="47"/>
  <c r="H487" i="47"/>
  <c r="H510" i="47" s="1"/>
  <c r="G487" i="47"/>
  <c r="O547" i="47"/>
  <c r="N486" i="47"/>
  <c r="N509" i="47" s="1"/>
  <c r="N530" i="47" s="1"/>
  <c r="N117" i="78" s="1"/>
  <c r="M486" i="47"/>
  <c r="M509" i="47" s="1"/>
  <c r="M530" i="47" s="1"/>
  <c r="M117" i="78" s="1"/>
  <c r="L486" i="47"/>
  <c r="L509" i="47" s="1"/>
  <c r="L530" i="47" s="1"/>
  <c r="L117" i="78" s="1"/>
  <c r="J547" i="47"/>
  <c r="H547" i="47"/>
  <c r="H486" i="47"/>
  <c r="H509" i="47" s="1"/>
  <c r="H530" i="47" s="1"/>
  <c r="H117" i="78" s="1"/>
  <c r="G486" i="47"/>
  <c r="O546" i="47"/>
  <c r="N485" i="47"/>
  <c r="M485" i="47"/>
  <c r="L485" i="47"/>
  <c r="J546" i="47"/>
  <c r="H546" i="47"/>
  <c r="H485" i="47"/>
  <c r="G485" i="47"/>
  <c r="O543" i="47"/>
  <c r="N482" i="47"/>
  <c r="M482" i="47"/>
  <c r="L482" i="47"/>
  <c r="J543" i="47"/>
  <c r="H543" i="47"/>
  <c r="H482" i="47"/>
  <c r="G482" i="47"/>
  <c r="O542" i="47"/>
  <c r="N481" i="47"/>
  <c r="M481" i="47"/>
  <c r="L481" i="47"/>
  <c r="J542" i="47"/>
  <c r="H542" i="47"/>
  <c r="H481" i="47"/>
  <c r="G481" i="47"/>
  <c r="O541" i="47"/>
  <c r="N480" i="47"/>
  <c r="M480" i="47"/>
  <c r="L480" i="47"/>
  <c r="J541" i="47"/>
  <c r="H541" i="47"/>
  <c r="H480" i="47"/>
  <c r="G480" i="47"/>
  <c r="O538" i="47"/>
  <c r="N477" i="47"/>
  <c r="M477" i="47"/>
  <c r="L477" i="47"/>
  <c r="L504" i="47" s="1"/>
  <c r="J538" i="47"/>
  <c r="J565" i="47" s="1"/>
  <c r="J477" i="47"/>
  <c r="I477" i="47"/>
  <c r="H538" i="47"/>
  <c r="H477" i="47"/>
  <c r="H504" i="47" s="1"/>
  <c r="G477" i="47"/>
  <c r="F449" i="47"/>
  <c r="O537" i="47"/>
  <c r="N476" i="47"/>
  <c r="M476" i="47"/>
  <c r="L476" i="47"/>
  <c r="K476" i="47"/>
  <c r="J537" i="47"/>
  <c r="J564" i="47" s="1"/>
  <c r="J582" i="47" s="1"/>
  <c r="J126" i="78" s="1"/>
  <c r="H537" i="47"/>
  <c r="H476" i="47"/>
  <c r="H503" i="47" s="1"/>
  <c r="G476" i="47"/>
  <c r="O536" i="47"/>
  <c r="N475" i="47"/>
  <c r="M475" i="47"/>
  <c r="L475" i="47"/>
  <c r="J536" i="47"/>
  <c r="H536" i="47"/>
  <c r="H475" i="47"/>
  <c r="G475" i="47"/>
  <c r="O432" i="47"/>
  <c r="J432" i="47"/>
  <c r="H432" i="47"/>
  <c r="F432" i="47" s="1"/>
  <c r="F431" i="47"/>
  <c r="F430" i="47"/>
  <c r="F429" i="47"/>
  <c r="O376" i="47"/>
  <c r="N376" i="47"/>
  <c r="M376" i="47"/>
  <c r="L376" i="47"/>
  <c r="K376" i="47"/>
  <c r="J376" i="47"/>
  <c r="I376" i="47"/>
  <c r="H376" i="47"/>
  <c r="G376" i="47"/>
  <c r="F375" i="47"/>
  <c r="F374" i="47"/>
  <c r="F373" i="47"/>
  <c r="O366" i="47"/>
  <c r="O365" i="47"/>
  <c r="O360" i="47"/>
  <c r="O359" i="47"/>
  <c r="O415" i="47"/>
  <c r="N353" i="47"/>
  <c r="M353" i="47"/>
  <c r="L353" i="47"/>
  <c r="J415" i="47"/>
  <c r="J353" i="47"/>
  <c r="I353" i="47"/>
  <c r="H415" i="47"/>
  <c r="H353" i="47"/>
  <c r="G353" i="47"/>
  <c r="O414" i="47"/>
  <c r="N352" i="47"/>
  <c r="M352" i="47"/>
  <c r="L352" i="47"/>
  <c r="J414" i="47"/>
  <c r="J352" i="47"/>
  <c r="I352" i="47"/>
  <c r="H414" i="47"/>
  <c r="H352" i="47"/>
  <c r="G352" i="47"/>
  <c r="F324" i="47"/>
  <c r="O413" i="47"/>
  <c r="N351" i="47"/>
  <c r="M351" i="47"/>
  <c r="L351" i="47"/>
  <c r="K351" i="47"/>
  <c r="J413" i="47"/>
  <c r="H413" i="47"/>
  <c r="H351" i="47"/>
  <c r="G351" i="47"/>
  <c r="O410" i="47"/>
  <c r="N348" i="47"/>
  <c r="M348" i="47"/>
  <c r="L348" i="47"/>
  <c r="K348" i="47"/>
  <c r="J410" i="47"/>
  <c r="H410" i="47"/>
  <c r="H348" i="47"/>
  <c r="G348" i="47"/>
  <c r="O409" i="47"/>
  <c r="N347" i="47"/>
  <c r="M347" i="47"/>
  <c r="L347" i="47"/>
  <c r="J409" i="47"/>
  <c r="H409" i="47"/>
  <c r="H347" i="47"/>
  <c r="G347" i="47"/>
  <c r="O408" i="47"/>
  <c r="N346" i="47"/>
  <c r="M346" i="47"/>
  <c r="L346" i="47"/>
  <c r="J408" i="47"/>
  <c r="H408" i="47"/>
  <c r="H346" i="47"/>
  <c r="G346" i="47"/>
  <c r="O405" i="47"/>
  <c r="N343" i="47"/>
  <c r="N366" i="47" s="1"/>
  <c r="M343" i="47"/>
  <c r="M366" i="47" s="1"/>
  <c r="L343" i="47"/>
  <c r="L366" i="47" s="1"/>
  <c r="J405" i="47"/>
  <c r="H405" i="47"/>
  <c r="H343" i="47"/>
  <c r="H366" i="47" s="1"/>
  <c r="G343" i="47"/>
  <c r="O404" i="47"/>
  <c r="N342" i="47"/>
  <c r="N365" i="47" s="1"/>
  <c r="N387" i="47" s="1"/>
  <c r="N72" i="78" s="1"/>
  <c r="M342" i="47"/>
  <c r="M365" i="47" s="1"/>
  <c r="M387" i="47" s="1"/>
  <c r="M72" i="78" s="1"/>
  <c r="L342" i="47"/>
  <c r="L365" i="47" s="1"/>
  <c r="L387" i="47" s="1"/>
  <c r="L72" i="78" s="1"/>
  <c r="J404" i="47"/>
  <c r="H404" i="47"/>
  <c r="H342" i="47"/>
  <c r="H365" i="47" s="1"/>
  <c r="H387" i="47" s="1"/>
  <c r="H72" i="78" s="1"/>
  <c r="G342" i="47"/>
  <c r="O403" i="47"/>
  <c r="N341" i="47"/>
  <c r="M341" i="47"/>
  <c r="L341" i="47"/>
  <c r="J403" i="47"/>
  <c r="H403" i="47"/>
  <c r="H341" i="47"/>
  <c r="G341" i="47"/>
  <c r="O400" i="47"/>
  <c r="N338" i="47"/>
  <c r="M338" i="47"/>
  <c r="L338" i="47"/>
  <c r="J400" i="47"/>
  <c r="H400" i="47"/>
  <c r="H338" i="47"/>
  <c r="G338" i="47"/>
  <c r="O399" i="47"/>
  <c r="N337" i="47"/>
  <c r="M337" i="47"/>
  <c r="L337" i="47"/>
  <c r="J399" i="47"/>
  <c r="H399" i="47"/>
  <c r="H337" i="47"/>
  <c r="G337" i="47"/>
  <c r="O398" i="47"/>
  <c r="N336" i="47"/>
  <c r="M336" i="47"/>
  <c r="L336" i="47"/>
  <c r="J398" i="47"/>
  <c r="H398" i="47"/>
  <c r="H336" i="47"/>
  <c r="G336" i="47"/>
  <c r="O395" i="47"/>
  <c r="N333" i="47"/>
  <c r="M333" i="47"/>
  <c r="L333" i="47"/>
  <c r="J395" i="47"/>
  <c r="J333" i="47"/>
  <c r="I333" i="47"/>
  <c r="H395" i="47"/>
  <c r="H333" i="47"/>
  <c r="G333" i="47"/>
  <c r="O394" i="47"/>
  <c r="N332" i="47"/>
  <c r="M332" i="47"/>
  <c r="L332" i="47"/>
  <c r="J394" i="47"/>
  <c r="J332" i="47"/>
  <c r="I332" i="47"/>
  <c r="H394" i="47"/>
  <c r="H332" i="47"/>
  <c r="G332" i="47"/>
  <c r="F304" i="47"/>
  <c r="O393" i="47"/>
  <c r="N331" i="47"/>
  <c r="M331" i="47"/>
  <c r="L331" i="47"/>
  <c r="K331" i="47"/>
  <c r="J393" i="47"/>
  <c r="H393" i="47"/>
  <c r="H331" i="47"/>
  <c r="G331" i="47"/>
  <c r="O288" i="47"/>
  <c r="J288" i="47"/>
  <c r="H288" i="47"/>
  <c r="F288" i="47" s="1"/>
  <c r="F287" i="47"/>
  <c r="F286" i="47"/>
  <c r="F285" i="47"/>
  <c r="O232" i="47"/>
  <c r="N232" i="47"/>
  <c r="M232" i="47"/>
  <c r="L232" i="47"/>
  <c r="K232" i="47"/>
  <c r="J232" i="47"/>
  <c r="I232" i="47"/>
  <c r="H232" i="47"/>
  <c r="G232" i="47"/>
  <c r="F231" i="47"/>
  <c r="F230" i="47"/>
  <c r="F229" i="47"/>
  <c r="O222" i="47"/>
  <c r="O221" i="47"/>
  <c r="O243" i="47" s="1"/>
  <c r="O27" i="78" s="1"/>
  <c r="O216" i="47"/>
  <c r="O215" i="47"/>
  <c r="O271" i="47"/>
  <c r="N209" i="47"/>
  <c r="M209" i="47"/>
  <c r="L209" i="47"/>
  <c r="J271" i="47"/>
  <c r="H271" i="47"/>
  <c r="H209" i="47"/>
  <c r="G209" i="47"/>
  <c r="O270" i="47"/>
  <c r="N208" i="47"/>
  <c r="M208" i="47"/>
  <c r="L208" i="47"/>
  <c r="J270" i="47"/>
  <c r="H270" i="47"/>
  <c r="H208" i="47"/>
  <c r="G208" i="47"/>
  <c r="O269" i="47"/>
  <c r="N207" i="47"/>
  <c r="M207" i="47"/>
  <c r="L207" i="47"/>
  <c r="J269" i="47"/>
  <c r="H269" i="47"/>
  <c r="H207" i="47"/>
  <c r="G207" i="47"/>
  <c r="O266" i="47"/>
  <c r="N204" i="47"/>
  <c r="M204" i="47"/>
  <c r="L204" i="47"/>
  <c r="J266" i="47"/>
  <c r="H266" i="47"/>
  <c r="H204" i="47"/>
  <c r="G204" i="47"/>
  <c r="O265" i="47"/>
  <c r="N203" i="47"/>
  <c r="M203" i="47"/>
  <c r="L203" i="47"/>
  <c r="J265" i="47"/>
  <c r="H265" i="47"/>
  <c r="H203" i="47"/>
  <c r="G203" i="47"/>
  <c r="O264" i="47"/>
  <c r="N202" i="47"/>
  <c r="M202" i="47"/>
  <c r="L202" i="47"/>
  <c r="J264" i="47"/>
  <c r="H264" i="47"/>
  <c r="H202" i="47"/>
  <c r="G202" i="47"/>
  <c r="O261" i="47"/>
  <c r="N199" i="47"/>
  <c r="N222" i="47" s="1"/>
  <c r="M199" i="47"/>
  <c r="M222" i="47" s="1"/>
  <c r="L199" i="47"/>
  <c r="L222" i="47" s="1"/>
  <c r="J261" i="47"/>
  <c r="H261" i="47"/>
  <c r="H199" i="47"/>
  <c r="H222" i="47" s="1"/>
  <c r="G199" i="47"/>
  <c r="O260" i="47"/>
  <c r="N198" i="47"/>
  <c r="N221" i="47" s="1"/>
  <c r="N243" i="47" s="1"/>
  <c r="N27" i="78" s="1"/>
  <c r="M198" i="47"/>
  <c r="M221" i="47" s="1"/>
  <c r="M243" i="47" s="1"/>
  <c r="M27" i="78" s="1"/>
  <c r="L198" i="47"/>
  <c r="L221" i="47" s="1"/>
  <c r="L243" i="47" s="1"/>
  <c r="L27" i="78" s="1"/>
  <c r="J260" i="47"/>
  <c r="H260" i="47"/>
  <c r="H198" i="47"/>
  <c r="H221" i="47" s="1"/>
  <c r="H243" i="47" s="1"/>
  <c r="H27" i="78" s="1"/>
  <c r="G198" i="47"/>
  <c r="F170" i="47"/>
  <c r="O259" i="47"/>
  <c r="N197" i="47"/>
  <c r="M197" i="47"/>
  <c r="L197" i="47"/>
  <c r="K197" i="47"/>
  <c r="J259" i="47"/>
  <c r="H259" i="47"/>
  <c r="H197" i="47"/>
  <c r="G197" i="47"/>
  <c r="O251" i="47"/>
  <c r="N189" i="47"/>
  <c r="M189" i="47"/>
  <c r="L189" i="47"/>
  <c r="J251" i="47"/>
  <c r="H251" i="47"/>
  <c r="H189" i="47"/>
  <c r="G189" i="47"/>
  <c r="O250" i="47"/>
  <c r="N188" i="47"/>
  <c r="M188" i="47"/>
  <c r="L188" i="47"/>
  <c r="J250" i="47"/>
  <c r="H250" i="47"/>
  <c r="H188" i="47"/>
  <c r="G188" i="47"/>
  <c r="O249" i="47"/>
  <c r="N187" i="47"/>
  <c r="M187" i="47"/>
  <c r="L187" i="47"/>
  <c r="J249" i="47"/>
  <c r="H249" i="47"/>
  <c r="H187" i="47"/>
  <c r="G187" i="47"/>
  <c r="O77" i="47"/>
  <c r="O84" i="47"/>
  <c r="F145" i="47"/>
  <c r="F144" i="47"/>
  <c r="F143" i="47"/>
  <c r="F93" i="47"/>
  <c r="F92" i="47"/>
  <c r="F91" i="47"/>
  <c r="O146" i="47"/>
  <c r="J146" i="47"/>
  <c r="H146" i="47"/>
  <c r="O94" i="47"/>
  <c r="O83" i="47"/>
  <c r="O78" i="47"/>
  <c r="T43" i="47"/>
  <c r="O129" i="47" s="1"/>
  <c r="S43" i="47"/>
  <c r="N71" i="47" s="1"/>
  <c r="R43" i="47"/>
  <c r="M71" i="47" s="1"/>
  <c r="Q43" i="47"/>
  <c r="L71" i="47" s="1"/>
  <c r="P43" i="47"/>
  <c r="O43" i="47"/>
  <c r="N43" i="47"/>
  <c r="J129" i="47" s="1"/>
  <c r="M43" i="47"/>
  <c r="L43" i="47"/>
  <c r="K43" i="47"/>
  <c r="J43" i="47"/>
  <c r="I43" i="47"/>
  <c r="H129" i="47" s="1"/>
  <c r="H43" i="47"/>
  <c r="H71" i="47" s="1"/>
  <c r="G43" i="47"/>
  <c r="G71" i="47" s="1"/>
  <c r="T42" i="47"/>
  <c r="O128" i="47" s="1"/>
  <c r="S42" i="47"/>
  <c r="N70" i="47" s="1"/>
  <c r="R42" i="47"/>
  <c r="M70" i="47" s="1"/>
  <c r="Q42" i="47"/>
  <c r="L70" i="47" s="1"/>
  <c r="P42" i="47"/>
  <c r="O42" i="47"/>
  <c r="N42" i="47"/>
  <c r="J128" i="47" s="1"/>
  <c r="M42" i="47"/>
  <c r="L42" i="47"/>
  <c r="K42" i="47"/>
  <c r="J42" i="47"/>
  <c r="I42" i="47"/>
  <c r="H128" i="47" s="1"/>
  <c r="H42" i="47"/>
  <c r="H70" i="47" s="1"/>
  <c r="G42" i="47"/>
  <c r="G70" i="47" s="1"/>
  <c r="T41" i="47"/>
  <c r="O127" i="47" s="1"/>
  <c r="S41" i="47"/>
  <c r="N69" i="47" s="1"/>
  <c r="R41" i="47"/>
  <c r="M69" i="47" s="1"/>
  <c r="Q41" i="47"/>
  <c r="L69" i="47" s="1"/>
  <c r="P41" i="47"/>
  <c r="O41" i="47"/>
  <c r="N41" i="47"/>
  <c r="J127" i="47" s="1"/>
  <c r="M41" i="47"/>
  <c r="L41" i="47"/>
  <c r="K41" i="47"/>
  <c r="J41" i="47"/>
  <c r="I41" i="47"/>
  <c r="H127" i="47" s="1"/>
  <c r="H41" i="47"/>
  <c r="H69" i="47" s="1"/>
  <c r="G41" i="47"/>
  <c r="G69" i="47" s="1"/>
  <c r="T38" i="47"/>
  <c r="O124" i="47" s="1"/>
  <c r="S38" i="47"/>
  <c r="N66" i="47" s="1"/>
  <c r="R38" i="47"/>
  <c r="M66" i="47" s="1"/>
  <c r="Q38" i="47"/>
  <c r="L66" i="47" s="1"/>
  <c r="P38" i="47"/>
  <c r="O38" i="47"/>
  <c r="N38" i="47"/>
  <c r="J124" i="47" s="1"/>
  <c r="M38" i="47"/>
  <c r="L38" i="47"/>
  <c r="K38" i="47"/>
  <c r="J38" i="47"/>
  <c r="I38" i="47"/>
  <c r="H124" i="47" s="1"/>
  <c r="H38" i="47"/>
  <c r="H66" i="47" s="1"/>
  <c r="G38" i="47"/>
  <c r="G66" i="47" s="1"/>
  <c r="T37" i="47"/>
  <c r="O123" i="47" s="1"/>
  <c r="S37" i="47"/>
  <c r="N65" i="47" s="1"/>
  <c r="R37" i="47"/>
  <c r="M65" i="47" s="1"/>
  <c r="Q37" i="47"/>
  <c r="L65" i="47" s="1"/>
  <c r="P37" i="47"/>
  <c r="O37" i="47"/>
  <c r="N37" i="47"/>
  <c r="J123" i="47" s="1"/>
  <c r="M37" i="47"/>
  <c r="L37" i="47"/>
  <c r="K37" i="47"/>
  <c r="J37" i="47"/>
  <c r="I37" i="47"/>
  <c r="H123" i="47" s="1"/>
  <c r="H37" i="47"/>
  <c r="H65" i="47" s="1"/>
  <c r="G37" i="47"/>
  <c r="G65" i="47" s="1"/>
  <c r="T36" i="47"/>
  <c r="O122" i="47" s="1"/>
  <c r="S36" i="47"/>
  <c r="N64" i="47" s="1"/>
  <c r="R36" i="47"/>
  <c r="M64" i="47" s="1"/>
  <c r="Q36" i="47"/>
  <c r="L64" i="47" s="1"/>
  <c r="P36" i="47"/>
  <c r="O36" i="47"/>
  <c r="N36" i="47"/>
  <c r="J122" i="47" s="1"/>
  <c r="M36" i="47"/>
  <c r="L36" i="47"/>
  <c r="K36" i="47"/>
  <c r="J36" i="47"/>
  <c r="I36" i="47"/>
  <c r="H122" i="47" s="1"/>
  <c r="H36" i="47"/>
  <c r="H64" i="47" s="1"/>
  <c r="G36" i="47"/>
  <c r="G64" i="47" s="1"/>
  <c r="T33" i="47"/>
  <c r="O119" i="47" s="1"/>
  <c r="S33" i="47"/>
  <c r="N61" i="47" s="1"/>
  <c r="N84" i="47" s="1"/>
  <c r="R33" i="47"/>
  <c r="M61" i="47" s="1"/>
  <c r="M84" i="47" s="1"/>
  <c r="Q33" i="47"/>
  <c r="L61" i="47" s="1"/>
  <c r="L84" i="47" s="1"/>
  <c r="P33" i="47"/>
  <c r="O33" i="47"/>
  <c r="N33" i="47"/>
  <c r="J119" i="47" s="1"/>
  <c r="M33" i="47"/>
  <c r="L33" i="47"/>
  <c r="K33" i="47"/>
  <c r="J33" i="47"/>
  <c r="I33" i="47"/>
  <c r="H119" i="47" s="1"/>
  <c r="H33" i="47"/>
  <c r="H61" i="47" s="1"/>
  <c r="H84" i="47" s="1"/>
  <c r="G33" i="47"/>
  <c r="G61" i="47" s="1"/>
  <c r="G84" i="47" s="1"/>
  <c r="T32" i="47"/>
  <c r="O118" i="47" s="1"/>
  <c r="S32" i="47"/>
  <c r="N60" i="47" s="1"/>
  <c r="N83" i="47" s="1"/>
  <c r="R32" i="47"/>
  <c r="M60" i="47" s="1"/>
  <c r="M83" i="47" s="1"/>
  <c r="Q32" i="47"/>
  <c r="L60" i="47" s="1"/>
  <c r="L83" i="47" s="1"/>
  <c r="P32" i="47"/>
  <c r="O32" i="47"/>
  <c r="N32" i="47"/>
  <c r="J118" i="47" s="1"/>
  <c r="M32" i="47"/>
  <c r="L32" i="47"/>
  <c r="K32" i="47"/>
  <c r="J32" i="47"/>
  <c r="I32" i="47"/>
  <c r="H118" i="47" s="1"/>
  <c r="H32" i="47"/>
  <c r="H60" i="47" s="1"/>
  <c r="H83" i="47" s="1"/>
  <c r="G32" i="47"/>
  <c r="G60" i="47" s="1"/>
  <c r="T31" i="47"/>
  <c r="O117" i="47" s="1"/>
  <c r="S31" i="47"/>
  <c r="N59" i="47" s="1"/>
  <c r="R31" i="47"/>
  <c r="M59" i="47" s="1"/>
  <c r="Q31" i="47"/>
  <c r="L59" i="47" s="1"/>
  <c r="P31" i="47"/>
  <c r="O31" i="47"/>
  <c r="N31" i="47"/>
  <c r="J117" i="47" s="1"/>
  <c r="M31" i="47"/>
  <c r="L31" i="47"/>
  <c r="K31" i="47"/>
  <c r="J31" i="47"/>
  <c r="I31" i="47"/>
  <c r="H117" i="47" s="1"/>
  <c r="H31" i="47"/>
  <c r="H59" i="47" s="1"/>
  <c r="G31" i="47"/>
  <c r="G59" i="47" s="1"/>
  <c r="T28" i="47"/>
  <c r="O114" i="47" s="1"/>
  <c r="S28" i="47"/>
  <c r="N56" i="47" s="1"/>
  <c r="R28" i="47"/>
  <c r="M56" i="47" s="1"/>
  <c r="Q28" i="47"/>
  <c r="L56" i="47" s="1"/>
  <c r="P28" i="47"/>
  <c r="O28" i="47"/>
  <c r="N28" i="47"/>
  <c r="J114" i="47" s="1"/>
  <c r="M28" i="47"/>
  <c r="L28" i="47"/>
  <c r="K28" i="47"/>
  <c r="J28" i="47"/>
  <c r="I28" i="47"/>
  <c r="H114" i="47" s="1"/>
  <c r="H28" i="47"/>
  <c r="H56" i="47" s="1"/>
  <c r="G28" i="47"/>
  <c r="G56" i="47" s="1"/>
  <c r="T27" i="47"/>
  <c r="O113" i="47" s="1"/>
  <c r="S27" i="47"/>
  <c r="N55" i="47" s="1"/>
  <c r="R27" i="47"/>
  <c r="M55" i="47" s="1"/>
  <c r="Q27" i="47"/>
  <c r="L55" i="47" s="1"/>
  <c r="P27" i="47"/>
  <c r="O27" i="47"/>
  <c r="N27" i="47"/>
  <c r="J113" i="47" s="1"/>
  <c r="M27" i="47"/>
  <c r="L27" i="47"/>
  <c r="K27" i="47"/>
  <c r="J27" i="47"/>
  <c r="I27" i="47"/>
  <c r="H113" i="47" s="1"/>
  <c r="H27" i="47"/>
  <c r="H55" i="47" s="1"/>
  <c r="G27" i="47"/>
  <c r="G55" i="47" s="1"/>
  <c r="T26" i="47"/>
  <c r="O112" i="47" s="1"/>
  <c r="S26" i="47"/>
  <c r="N54" i="47" s="1"/>
  <c r="R26" i="47"/>
  <c r="M54" i="47" s="1"/>
  <c r="Q26" i="47"/>
  <c r="L54" i="47" s="1"/>
  <c r="P26" i="47"/>
  <c r="O26" i="47"/>
  <c r="N26" i="47"/>
  <c r="J112" i="47" s="1"/>
  <c r="M26" i="47"/>
  <c r="L26" i="47"/>
  <c r="K26" i="47"/>
  <c r="J26" i="47"/>
  <c r="I26" i="47"/>
  <c r="H112" i="47" s="1"/>
  <c r="H26" i="47"/>
  <c r="H54" i="47" s="1"/>
  <c r="G26" i="47"/>
  <c r="G54" i="47" s="1"/>
  <c r="G22" i="47"/>
  <c r="G50" i="47" s="1"/>
  <c r="H22" i="47"/>
  <c r="H50" i="47" s="1"/>
  <c r="I22" i="47"/>
  <c r="H108" i="47" s="1"/>
  <c r="J22" i="47"/>
  <c r="K22" i="47"/>
  <c r="L22" i="47"/>
  <c r="M22" i="47"/>
  <c r="N22" i="47"/>
  <c r="J108" i="47" s="1"/>
  <c r="O22" i="47"/>
  <c r="P22" i="47"/>
  <c r="Q22" i="47"/>
  <c r="L50" i="47" s="1"/>
  <c r="R22" i="47"/>
  <c r="M50" i="47" s="1"/>
  <c r="S22" i="47"/>
  <c r="N50" i="47" s="1"/>
  <c r="T22" i="47"/>
  <c r="O108" i="47" s="1"/>
  <c r="G23" i="47"/>
  <c r="G51" i="47" s="1"/>
  <c r="H23" i="47"/>
  <c r="H51" i="47" s="1"/>
  <c r="I23" i="47"/>
  <c r="H109" i="47" s="1"/>
  <c r="J23" i="47"/>
  <c r="K23" i="47"/>
  <c r="L23" i="47"/>
  <c r="M23" i="47"/>
  <c r="N23" i="47"/>
  <c r="J109" i="47" s="1"/>
  <c r="O23" i="47"/>
  <c r="P23" i="47"/>
  <c r="Q23" i="47"/>
  <c r="L51" i="47" s="1"/>
  <c r="R23" i="47"/>
  <c r="M51" i="47" s="1"/>
  <c r="S23" i="47"/>
  <c r="N51" i="47" s="1"/>
  <c r="T23" i="47"/>
  <c r="O109" i="47" s="1"/>
  <c r="H21" i="47"/>
  <c r="H49" i="47" s="1"/>
  <c r="I21" i="47"/>
  <c r="H107" i="47" s="1"/>
  <c r="J21" i="47"/>
  <c r="K21" i="47"/>
  <c r="L21" i="47"/>
  <c r="M21" i="47"/>
  <c r="N21" i="47"/>
  <c r="J107" i="47" s="1"/>
  <c r="O21" i="47"/>
  <c r="P21" i="47"/>
  <c r="Q21" i="47"/>
  <c r="L49" i="47" s="1"/>
  <c r="R21" i="47"/>
  <c r="M49" i="47" s="1"/>
  <c r="S21" i="47"/>
  <c r="N49" i="47" s="1"/>
  <c r="T21" i="47"/>
  <c r="O107" i="47" s="1"/>
  <c r="T238" i="7"/>
  <c r="S238" i="7"/>
  <c r="R238" i="7"/>
  <c r="Q238" i="7"/>
  <c r="P238" i="7"/>
  <c r="O238" i="7"/>
  <c r="N238" i="7"/>
  <c r="M238" i="7"/>
  <c r="L238" i="7"/>
  <c r="K238" i="7"/>
  <c r="J238" i="7"/>
  <c r="I238" i="7"/>
  <c r="H238" i="7"/>
  <c r="G238" i="7"/>
  <c r="T237" i="7"/>
  <c r="S237" i="7"/>
  <c r="R237" i="7"/>
  <c r="Q237" i="7"/>
  <c r="P237" i="7"/>
  <c r="O237" i="7"/>
  <c r="N237" i="7"/>
  <c r="M237" i="7"/>
  <c r="L237" i="7"/>
  <c r="K237" i="7"/>
  <c r="J237" i="7"/>
  <c r="I237" i="7"/>
  <c r="H237" i="7"/>
  <c r="G237" i="7"/>
  <c r="T236" i="7"/>
  <c r="S236" i="7"/>
  <c r="R236" i="7"/>
  <c r="Q236" i="7"/>
  <c r="P236" i="7"/>
  <c r="O236" i="7"/>
  <c r="N236" i="7"/>
  <c r="M236" i="7"/>
  <c r="L236" i="7"/>
  <c r="K236" i="7"/>
  <c r="J236" i="7"/>
  <c r="I236" i="7"/>
  <c r="H236" i="7"/>
  <c r="G236" i="7"/>
  <c r="F233" i="7"/>
  <c r="F232" i="7"/>
  <c r="F231" i="7"/>
  <c r="F228" i="7"/>
  <c r="F227" i="7"/>
  <c r="F226" i="7"/>
  <c r="F223" i="7"/>
  <c r="F222" i="7"/>
  <c r="F221" i="7"/>
  <c r="T215" i="7"/>
  <c r="S215" i="7"/>
  <c r="R215" i="7"/>
  <c r="Q215" i="7"/>
  <c r="P215" i="7"/>
  <c r="O215" i="7"/>
  <c r="N215" i="7"/>
  <c r="M215" i="7"/>
  <c r="L215" i="7"/>
  <c r="K215" i="7"/>
  <c r="J215" i="7"/>
  <c r="I215" i="7"/>
  <c r="H215" i="7"/>
  <c r="G215" i="7"/>
  <c r="T214" i="7"/>
  <c r="S214" i="7"/>
  <c r="R214" i="7"/>
  <c r="Q214" i="7"/>
  <c r="P214" i="7"/>
  <c r="O214" i="7"/>
  <c r="N214" i="7"/>
  <c r="M214" i="7"/>
  <c r="L214" i="7"/>
  <c r="K214" i="7"/>
  <c r="J214" i="7"/>
  <c r="I214" i="7"/>
  <c r="H214" i="7"/>
  <c r="G214" i="7"/>
  <c r="T213" i="7"/>
  <c r="S213" i="7"/>
  <c r="R213" i="7"/>
  <c r="Q213" i="7"/>
  <c r="P213" i="7"/>
  <c r="O213" i="7"/>
  <c r="N213" i="7"/>
  <c r="M213" i="7"/>
  <c r="L213" i="7"/>
  <c r="K213" i="7"/>
  <c r="J213" i="7"/>
  <c r="I213" i="7"/>
  <c r="H213" i="7"/>
  <c r="G213" i="7"/>
  <c r="F210" i="7"/>
  <c r="F209" i="7"/>
  <c r="F208" i="7"/>
  <c r="F205" i="7"/>
  <c r="F204" i="7"/>
  <c r="F203" i="7"/>
  <c r="F200" i="7"/>
  <c r="F199" i="7"/>
  <c r="F198" i="7"/>
  <c r="F195" i="7"/>
  <c r="F194" i="7"/>
  <c r="F193" i="7"/>
  <c r="F190" i="7"/>
  <c r="F189" i="7"/>
  <c r="F188" i="7"/>
  <c r="T180" i="7"/>
  <c r="S180" i="7"/>
  <c r="R180" i="7"/>
  <c r="Q180" i="7"/>
  <c r="P180" i="7"/>
  <c r="O180" i="7"/>
  <c r="N180" i="7"/>
  <c r="M180" i="7"/>
  <c r="L180" i="7"/>
  <c r="K180" i="7"/>
  <c r="J180" i="7"/>
  <c r="I180" i="7"/>
  <c r="H180" i="7"/>
  <c r="G180" i="7"/>
  <c r="T179" i="7"/>
  <c r="S179" i="7"/>
  <c r="R179" i="7"/>
  <c r="Q179" i="7"/>
  <c r="P179" i="7"/>
  <c r="O179" i="7"/>
  <c r="N179" i="7"/>
  <c r="M179" i="7"/>
  <c r="L179" i="7"/>
  <c r="K179" i="7"/>
  <c r="J179" i="7"/>
  <c r="I179" i="7"/>
  <c r="H179" i="7"/>
  <c r="G179" i="7"/>
  <c r="T178" i="7"/>
  <c r="S178" i="7"/>
  <c r="R178" i="7"/>
  <c r="Q178" i="7"/>
  <c r="P178" i="7"/>
  <c r="O178" i="7"/>
  <c r="N178" i="7"/>
  <c r="M178" i="7"/>
  <c r="L178" i="7"/>
  <c r="K178" i="7"/>
  <c r="J178" i="7"/>
  <c r="I178" i="7"/>
  <c r="H178" i="7"/>
  <c r="G178" i="7"/>
  <c r="F175" i="7"/>
  <c r="F174" i="7"/>
  <c r="F173" i="7"/>
  <c r="F170" i="7"/>
  <c r="F169" i="7"/>
  <c r="F168" i="7"/>
  <c r="F165" i="7"/>
  <c r="F164" i="7"/>
  <c r="F163" i="7"/>
  <c r="T157" i="7"/>
  <c r="O187" i="61" s="1"/>
  <c r="S157" i="7"/>
  <c r="N194" i="47" s="1"/>
  <c r="R157" i="7"/>
  <c r="M145" i="61" s="1"/>
  <c r="Q157" i="7"/>
  <c r="L194" i="47" s="1"/>
  <c r="P157" i="7"/>
  <c r="O157" i="7"/>
  <c r="F157" i="7" s="1"/>
  <c r="N157" i="7"/>
  <c r="J187" i="61" s="1"/>
  <c r="M157" i="7"/>
  <c r="L157" i="7"/>
  <c r="K157" i="7"/>
  <c r="J157" i="7"/>
  <c r="I157" i="7"/>
  <c r="H256" i="47" s="1"/>
  <c r="H157" i="7"/>
  <c r="H145" i="61" s="1"/>
  <c r="G157" i="7"/>
  <c r="G194" i="47" s="1"/>
  <c r="T156" i="7"/>
  <c r="O186" i="61" s="1"/>
  <c r="S156" i="7"/>
  <c r="N193" i="47" s="1"/>
  <c r="R156" i="7"/>
  <c r="M144" i="61" s="1"/>
  <c r="Q156" i="7"/>
  <c r="L193" i="47" s="1"/>
  <c r="P156" i="7"/>
  <c r="O156" i="7"/>
  <c r="N156" i="7"/>
  <c r="J186" i="61" s="1"/>
  <c r="M156" i="7"/>
  <c r="L156" i="7"/>
  <c r="K156" i="7"/>
  <c r="J156" i="7"/>
  <c r="I156" i="7"/>
  <c r="H255" i="47" s="1"/>
  <c r="H156" i="7"/>
  <c r="H144" i="61" s="1"/>
  <c r="G156" i="7"/>
  <c r="F156" i="7" s="1"/>
  <c r="T155" i="7"/>
  <c r="O185" i="61" s="1"/>
  <c r="S155" i="7"/>
  <c r="N143" i="61" s="1"/>
  <c r="R155" i="7"/>
  <c r="M143" i="61" s="1"/>
  <c r="Q155" i="7"/>
  <c r="L143" i="61" s="1"/>
  <c r="P155" i="7"/>
  <c r="O155" i="7"/>
  <c r="K143" i="61" s="1"/>
  <c r="N155" i="7"/>
  <c r="J185" i="61" s="1"/>
  <c r="M155" i="7"/>
  <c r="L155" i="7"/>
  <c r="K155" i="7"/>
  <c r="J155" i="7"/>
  <c r="I155" i="7"/>
  <c r="H185" i="61" s="1"/>
  <c r="H155" i="7"/>
  <c r="H143" i="61" s="1"/>
  <c r="G155" i="7"/>
  <c r="G143" i="61" s="1"/>
  <c r="F152" i="7"/>
  <c r="F151" i="7"/>
  <c r="F150" i="7"/>
  <c r="F147" i="7"/>
  <c r="F146" i="7"/>
  <c r="F145" i="7"/>
  <c r="F142" i="7"/>
  <c r="F141" i="7"/>
  <c r="F140" i="7"/>
  <c r="F137" i="7"/>
  <c r="F136" i="7"/>
  <c r="F135" i="7"/>
  <c r="F132" i="7"/>
  <c r="F131" i="7"/>
  <c r="F130" i="7"/>
  <c r="T122" i="7"/>
  <c r="S122" i="7"/>
  <c r="R122" i="7"/>
  <c r="Q122" i="7"/>
  <c r="P122" i="7"/>
  <c r="O122" i="7"/>
  <c r="N122" i="7"/>
  <c r="M122" i="7"/>
  <c r="L122" i="7"/>
  <c r="K122" i="7"/>
  <c r="J122" i="7"/>
  <c r="I122" i="7"/>
  <c r="H122" i="7"/>
  <c r="G122" i="7"/>
  <c r="T121" i="7"/>
  <c r="S121" i="7"/>
  <c r="R121" i="7"/>
  <c r="Q121" i="7"/>
  <c r="P121" i="7"/>
  <c r="O121" i="7"/>
  <c r="N121" i="7"/>
  <c r="M121" i="7"/>
  <c r="L121" i="7"/>
  <c r="K121" i="7"/>
  <c r="J121" i="7"/>
  <c r="I121" i="7"/>
  <c r="H121" i="7"/>
  <c r="G121" i="7"/>
  <c r="T120" i="7"/>
  <c r="S120" i="7"/>
  <c r="R120" i="7"/>
  <c r="Q120" i="7"/>
  <c r="P120" i="7"/>
  <c r="O120" i="7"/>
  <c r="N120" i="7"/>
  <c r="M120" i="7"/>
  <c r="L120" i="7"/>
  <c r="K120" i="7"/>
  <c r="J120" i="7"/>
  <c r="I120" i="7"/>
  <c r="H120" i="7"/>
  <c r="G120" i="7"/>
  <c r="F117" i="7"/>
  <c r="F116" i="7"/>
  <c r="F115" i="7"/>
  <c r="F112" i="7"/>
  <c r="F111" i="7"/>
  <c r="F110" i="7"/>
  <c r="F107" i="7"/>
  <c r="F106" i="7"/>
  <c r="F105" i="7"/>
  <c r="T99" i="7"/>
  <c r="S99" i="7"/>
  <c r="R99" i="7"/>
  <c r="Q99" i="7"/>
  <c r="P99" i="7"/>
  <c r="O99" i="7"/>
  <c r="N99" i="7"/>
  <c r="M99" i="7"/>
  <c r="L99" i="7"/>
  <c r="K99" i="7"/>
  <c r="J99" i="7"/>
  <c r="I99" i="7"/>
  <c r="H99" i="7"/>
  <c r="G99" i="7"/>
  <c r="F99" i="7" s="1"/>
  <c r="T98" i="7"/>
  <c r="S98" i="7"/>
  <c r="R98" i="7"/>
  <c r="Q98" i="7"/>
  <c r="P98" i="7"/>
  <c r="O98" i="7"/>
  <c r="N98" i="7"/>
  <c r="M98" i="7"/>
  <c r="L98" i="7"/>
  <c r="K98" i="7"/>
  <c r="J98" i="7"/>
  <c r="I98" i="7"/>
  <c r="H98" i="7"/>
  <c r="G98" i="7"/>
  <c r="T97" i="7"/>
  <c r="S97" i="7"/>
  <c r="R97" i="7"/>
  <c r="Q97" i="7"/>
  <c r="P97" i="7"/>
  <c r="O97" i="7"/>
  <c r="N97" i="7"/>
  <c r="M97" i="7"/>
  <c r="L97" i="7"/>
  <c r="K97" i="7"/>
  <c r="J97" i="7"/>
  <c r="I97" i="7"/>
  <c r="H97" i="7"/>
  <c r="G97" i="7"/>
  <c r="F94" i="7"/>
  <c r="F93" i="7"/>
  <c r="F92" i="7"/>
  <c r="F89" i="7"/>
  <c r="F88" i="7"/>
  <c r="F87" i="7"/>
  <c r="F84" i="7"/>
  <c r="F83" i="7"/>
  <c r="F82" i="7"/>
  <c r="F79" i="7"/>
  <c r="F78" i="7"/>
  <c r="F77" i="7"/>
  <c r="F74" i="7"/>
  <c r="F73" i="7"/>
  <c r="F72" i="7"/>
  <c r="F59" i="7"/>
  <c r="F58" i="7"/>
  <c r="F57" i="7"/>
  <c r="F54" i="7"/>
  <c r="F53" i="7"/>
  <c r="F52" i="7"/>
  <c r="F49" i="7"/>
  <c r="F48" i="7"/>
  <c r="F47" i="7"/>
  <c r="F36" i="7"/>
  <c r="F35" i="7"/>
  <c r="F34" i="7"/>
  <c r="F31" i="7"/>
  <c r="F30" i="7"/>
  <c r="F29" i="7"/>
  <c r="F26" i="7"/>
  <c r="F25" i="7"/>
  <c r="F24" i="7"/>
  <c r="F21" i="7"/>
  <c r="F20" i="7"/>
  <c r="F19" i="7"/>
  <c r="F15" i="7"/>
  <c r="F16" i="7"/>
  <c r="F14" i="7"/>
  <c r="H39" i="7"/>
  <c r="I39" i="7"/>
  <c r="J39" i="7"/>
  <c r="K39" i="7"/>
  <c r="L39" i="7"/>
  <c r="M39" i="7"/>
  <c r="N39" i="7"/>
  <c r="O39" i="7"/>
  <c r="P39" i="7"/>
  <c r="Q39" i="7"/>
  <c r="R39" i="7"/>
  <c r="S39" i="7"/>
  <c r="T39" i="7"/>
  <c r="H40" i="7"/>
  <c r="I40" i="7"/>
  <c r="J40" i="7"/>
  <c r="K40" i="7"/>
  <c r="L40" i="7"/>
  <c r="M40" i="7"/>
  <c r="N40" i="7"/>
  <c r="O40" i="7"/>
  <c r="P40" i="7"/>
  <c r="Q40" i="7"/>
  <c r="R40" i="7"/>
  <c r="S40" i="7"/>
  <c r="T40" i="7"/>
  <c r="H41" i="7"/>
  <c r="I41" i="7"/>
  <c r="J41" i="7"/>
  <c r="K41" i="7"/>
  <c r="L41" i="7"/>
  <c r="M41" i="7"/>
  <c r="N41" i="7"/>
  <c r="O41" i="7"/>
  <c r="P41" i="7"/>
  <c r="Q41" i="7"/>
  <c r="R41" i="7"/>
  <c r="S41" i="7"/>
  <c r="T41" i="7"/>
  <c r="G40" i="7"/>
  <c r="G41" i="7"/>
  <c r="H62" i="7"/>
  <c r="I62" i="7"/>
  <c r="J62" i="7"/>
  <c r="K62" i="7"/>
  <c r="L62" i="7"/>
  <c r="M62" i="7"/>
  <c r="N62" i="7"/>
  <c r="O62" i="7"/>
  <c r="P62" i="7"/>
  <c r="Q62" i="7"/>
  <c r="R62" i="7"/>
  <c r="S62" i="7"/>
  <c r="T62" i="7"/>
  <c r="H63" i="7"/>
  <c r="I63" i="7"/>
  <c r="J63" i="7"/>
  <c r="K63" i="7"/>
  <c r="L63" i="7"/>
  <c r="M63" i="7"/>
  <c r="N63" i="7"/>
  <c r="O63" i="7"/>
  <c r="P63" i="7"/>
  <c r="Q63" i="7"/>
  <c r="R63" i="7"/>
  <c r="S63" i="7"/>
  <c r="T63" i="7"/>
  <c r="H64" i="7"/>
  <c r="I64" i="7"/>
  <c r="J64" i="7"/>
  <c r="K64" i="7"/>
  <c r="L64" i="7"/>
  <c r="M64" i="7"/>
  <c r="N64" i="7"/>
  <c r="O64" i="7"/>
  <c r="P64" i="7"/>
  <c r="Q64" i="7"/>
  <c r="R64" i="7"/>
  <c r="S64" i="7"/>
  <c r="T64" i="7"/>
  <c r="G64" i="7"/>
  <c r="G63" i="7"/>
  <c r="G62" i="7"/>
  <c r="F62" i="7" s="1"/>
  <c r="F64" i="7" l="1"/>
  <c r="F41" i="7"/>
  <c r="F63" i="7"/>
  <c r="O101" i="47"/>
  <c r="O387" i="47"/>
  <c r="O72" i="78" s="1"/>
  <c r="O530" i="47"/>
  <c r="O117" i="78" s="1"/>
  <c r="F424" i="61"/>
  <c r="H382" i="61"/>
  <c r="H118" i="78" s="1"/>
  <c r="F209" i="61"/>
  <c r="L359" i="47"/>
  <c r="N359" i="47"/>
  <c r="L360" i="47"/>
  <c r="N360" i="47"/>
  <c r="N383" i="47" s="1"/>
  <c r="F376" i="47"/>
  <c r="O529" i="47"/>
  <c r="O116" i="78" s="1"/>
  <c r="O527" i="47"/>
  <c r="O242" i="47"/>
  <c r="O26" i="78" s="1"/>
  <c r="O240" i="47"/>
  <c r="O239" i="47"/>
  <c r="L386" i="47"/>
  <c r="L71" i="78" s="1"/>
  <c r="O386" i="47"/>
  <c r="O71" i="78" s="1"/>
  <c r="O384" i="47"/>
  <c r="O383" i="47"/>
  <c r="H527" i="47"/>
  <c r="H529" i="47"/>
  <c r="H116" i="78" s="1"/>
  <c r="F547" i="47"/>
  <c r="F551" i="47"/>
  <c r="F553" i="47"/>
  <c r="F558" i="47"/>
  <c r="F520" i="47"/>
  <c r="F122" i="7"/>
  <c r="F232" i="47"/>
  <c r="F238" i="7"/>
  <c r="H302" i="61"/>
  <c r="L260" i="61"/>
  <c r="N260" i="61"/>
  <c r="F178" i="7"/>
  <c r="F179" i="7"/>
  <c r="F180" i="7"/>
  <c r="F236" i="7"/>
  <c r="F237" i="7"/>
  <c r="F120" i="7"/>
  <c r="F121" i="7"/>
  <c r="F185" i="61"/>
  <c r="F40" i="7"/>
  <c r="F97" i="7"/>
  <c r="F98" i="7"/>
  <c r="H303" i="61"/>
  <c r="L261" i="61"/>
  <c r="L262" i="61" s="1"/>
  <c r="L263" i="61" s="1"/>
  <c r="L276" i="61" s="1"/>
  <c r="F80" i="49"/>
  <c r="L503" i="47"/>
  <c r="N503" i="47"/>
  <c r="M504" i="47"/>
  <c r="O565" i="47"/>
  <c r="H56" i="61"/>
  <c r="J96" i="61"/>
  <c r="M56" i="61"/>
  <c r="O96" i="61"/>
  <c r="M57" i="61"/>
  <c r="M58" i="61" s="1"/>
  <c r="M59" i="61" s="1"/>
  <c r="M72" i="61" s="1"/>
  <c r="O97" i="61"/>
  <c r="H260" i="61"/>
  <c r="J302" i="61"/>
  <c r="M260" i="61"/>
  <c r="O302" i="61"/>
  <c r="H261" i="61"/>
  <c r="J303" i="61"/>
  <c r="J304" i="61" s="1"/>
  <c r="J305" i="61" s="1"/>
  <c r="J318" i="61" s="1"/>
  <c r="M261" i="61"/>
  <c r="M262" i="61" s="1"/>
  <c r="O303" i="61"/>
  <c r="O304" i="61" s="1"/>
  <c r="O305" i="61" s="1"/>
  <c r="O318" i="61" s="1"/>
  <c r="F296" i="61"/>
  <c r="F213" i="7"/>
  <c r="F215" i="7"/>
  <c r="M503" i="47"/>
  <c r="O564" i="47"/>
  <c r="O582" i="47" s="1"/>
  <c r="O126" i="78" s="1"/>
  <c r="F541" i="47"/>
  <c r="F543" i="47"/>
  <c r="F25" i="49"/>
  <c r="F35" i="49"/>
  <c r="F70" i="49"/>
  <c r="F115" i="49"/>
  <c r="F125" i="49"/>
  <c r="F388" i="61"/>
  <c r="G261" i="61"/>
  <c r="N261" i="61"/>
  <c r="N262" i="61" s="1"/>
  <c r="H359" i="47"/>
  <c r="J421" i="47"/>
  <c r="M359" i="47"/>
  <c r="O421" i="47"/>
  <c r="H360" i="47"/>
  <c r="J422" i="47"/>
  <c r="M360" i="47"/>
  <c r="O422" i="47"/>
  <c r="F413" i="47"/>
  <c r="F393" i="47"/>
  <c r="F259" i="47"/>
  <c r="F155" i="7"/>
  <c r="L215" i="47"/>
  <c r="N215" i="47"/>
  <c r="L216" i="47"/>
  <c r="N216" i="47"/>
  <c r="H192" i="47"/>
  <c r="J254" i="47"/>
  <c r="M192" i="47"/>
  <c r="O254" i="47"/>
  <c r="H193" i="47"/>
  <c r="H215" i="47" s="1"/>
  <c r="I193" i="47"/>
  <c r="J255" i="47"/>
  <c r="M193" i="47"/>
  <c r="M215" i="47" s="1"/>
  <c r="O255" i="47"/>
  <c r="H194" i="47"/>
  <c r="H216" i="47" s="1"/>
  <c r="J256" i="47"/>
  <c r="M194" i="47"/>
  <c r="M216" i="47" s="1"/>
  <c r="O256" i="47"/>
  <c r="H156" i="61"/>
  <c r="J198" i="61"/>
  <c r="M156" i="61"/>
  <c r="O198" i="61"/>
  <c r="H157" i="61"/>
  <c r="H158" i="61" s="1"/>
  <c r="H159" i="61" s="1"/>
  <c r="H172" i="61" s="1"/>
  <c r="J199" i="61"/>
  <c r="J200" i="61" s="1"/>
  <c r="J201" i="61" s="1"/>
  <c r="J214" i="61" s="1"/>
  <c r="M157" i="61"/>
  <c r="M158" i="61" s="1"/>
  <c r="M159" i="61" s="1"/>
  <c r="M172" i="61" s="1"/>
  <c r="O199" i="61"/>
  <c r="O200" i="61" s="1"/>
  <c r="H186" i="61"/>
  <c r="F186" i="61" s="1"/>
  <c r="I144" i="61"/>
  <c r="J144" i="61"/>
  <c r="L144" i="61"/>
  <c r="N144" i="61"/>
  <c r="G145" i="61"/>
  <c r="H187" i="61"/>
  <c r="H199" i="61" s="1"/>
  <c r="I145" i="61"/>
  <c r="J145" i="61"/>
  <c r="L145" i="61"/>
  <c r="L157" i="61" s="1"/>
  <c r="L158" i="61" s="1"/>
  <c r="N145" i="61"/>
  <c r="N157" i="61" s="1"/>
  <c r="N158" i="61" s="1"/>
  <c r="F214" i="7"/>
  <c r="H254" i="47"/>
  <c r="L192" i="47"/>
  <c r="N192" i="47"/>
  <c r="G193" i="47"/>
  <c r="G215" i="47" s="1"/>
  <c r="H198" i="61"/>
  <c r="H216" i="61" s="1"/>
  <c r="H37" i="78" s="1"/>
  <c r="L156" i="61"/>
  <c r="L174" i="61" s="1"/>
  <c r="L28" i="78" s="1"/>
  <c r="N156" i="61"/>
  <c r="N174" i="61" s="1"/>
  <c r="N28" i="78" s="1"/>
  <c r="F20" i="61"/>
  <c r="I38" i="61"/>
  <c r="J38" i="61"/>
  <c r="I39" i="61"/>
  <c r="J39" i="61"/>
  <c r="F190" i="61"/>
  <c r="K148" i="61"/>
  <c r="F191" i="61"/>
  <c r="K149" i="61"/>
  <c r="F132" i="61"/>
  <c r="I150" i="61"/>
  <c r="J150" i="61"/>
  <c r="F167" i="61"/>
  <c r="F224" i="61"/>
  <c r="I242" i="61"/>
  <c r="J242" i="61"/>
  <c r="I243" i="61"/>
  <c r="J243" i="61"/>
  <c r="K353" i="61"/>
  <c r="F398" i="61"/>
  <c r="K356" i="61"/>
  <c r="F339" i="61"/>
  <c r="I357" i="61"/>
  <c r="I358" i="61"/>
  <c r="J358" i="61"/>
  <c r="F375" i="61"/>
  <c r="K40" i="61"/>
  <c r="K43" i="61"/>
  <c r="F26" i="61"/>
  <c r="I44" i="61"/>
  <c r="J44" i="61"/>
  <c r="I45" i="61"/>
  <c r="J45" i="61"/>
  <c r="I49" i="61"/>
  <c r="J49" i="61"/>
  <c r="F107" i="61"/>
  <c r="I138" i="61"/>
  <c r="J138" i="61"/>
  <c r="I139" i="61"/>
  <c r="J139" i="61"/>
  <c r="K244" i="61"/>
  <c r="F289" i="61"/>
  <c r="K247" i="61"/>
  <c r="F230" i="61"/>
  <c r="I248" i="61"/>
  <c r="J248" i="61"/>
  <c r="I249" i="61"/>
  <c r="J249" i="61"/>
  <c r="F234" i="61"/>
  <c r="I252" i="61"/>
  <c r="J252" i="61"/>
  <c r="I253" i="61"/>
  <c r="J253" i="61"/>
  <c r="K348" i="61"/>
  <c r="F333" i="61"/>
  <c r="I351" i="61"/>
  <c r="J351" i="61"/>
  <c r="I352" i="61"/>
  <c r="J352" i="61"/>
  <c r="I356" i="61"/>
  <c r="J356" i="61"/>
  <c r="K357" i="61"/>
  <c r="F400" i="61"/>
  <c r="K358" i="61"/>
  <c r="F78" i="61"/>
  <c r="K38" i="61"/>
  <c r="K39" i="61"/>
  <c r="F22" i="61"/>
  <c r="H58" i="61"/>
  <c r="I40" i="61"/>
  <c r="J40" i="61"/>
  <c r="J98" i="61"/>
  <c r="O98" i="61"/>
  <c r="O99" i="61" s="1"/>
  <c r="O112" i="61" s="1"/>
  <c r="I43" i="61"/>
  <c r="J43" i="61"/>
  <c r="F84" i="61"/>
  <c r="K44" i="61"/>
  <c r="F85" i="61"/>
  <c r="K45" i="61"/>
  <c r="F30" i="61"/>
  <c r="I48" i="61"/>
  <c r="J48" i="61"/>
  <c r="G50" i="61"/>
  <c r="G57" i="61" s="1"/>
  <c r="F32" i="61"/>
  <c r="G140" i="61"/>
  <c r="F122" i="61"/>
  <c r="F89" i="61"/>
  <c r="K49" i="61"/>
  <c r="I50" i="61"/>
  <c r="J50" i="61"/>
  <c r="O58" i="61"/>
  <c r="O59" i="61" s="1"/>
  <c r="O72" i="61" s="1"/>
  <c r="F67" i="61"/>
  <c r="K138" i="61"/>
  <c r="K139" i="61"/>
  <c r="I140" i="61"/>
  <c r="J140" i="61"/>
  <c r="I143" i="61"/>
  <c r="J143" i="61"/>
  <c r="K144" i="61"/>
  <c r="K145" i="61"/>
  <c r="F130" i="61"/>
  <c r="I148" i="61"/>
  <c r="J148" i="61"/>
  <c r="I149" i="61"/>
  <c r="J149" i="61"/>
  <c r="K150" i="61"/>
  <c r="K243" i="61"/>
  <c r="F226" i="61"/>
  <c r="I244" i="61"/>
  <c r="J244" i="61"/>
  <c r="J247" i="61"/>
  <c r="K248" i="61"/>
  <c r="K249" i="61"/>
  <c r="K252" i="61"/>
  <c r="K253" i="61"/>
  <c r="F236" i="61"/>
  <c r="I254" i="61"/>
  <c r="J254" i="61"/>
  <c r="F271" i="61"/>
  <c r="F313" i="61"/>
  <c r="I346" i="61"/>
  <c r="J346" i="61"/>
  <c r="K347" i="61"/>
  <c r="F330" i="61"/>
  <c r="I348" i="61"/>
  <c r="J348" i="61"/>
  <c r="K351" i="61"/>
  <c r="F394" i="61"/>
  <c r="K352" i="61"/>
  <c r="F335" i="61"/>
  <c r="I353" i="61"/>
  <c r="J353" i="61"/>
  <c r="J357" i="61"/>
  <c r="F79" i="61"/>
  <c r="F80" i="61"/>
  <c r="L58" i="61"/>
  <c r="L59" i="61" s="1"/>
  <c r="L72" i="61" s="1"/>
  <c r="N58" i="61"/>
  <c r="N59" i="61" s="1"/>
  <c r="N72" i="61" s="1"/>
  <c r="F83" i="61"/>
  <c r="F90" i="61"/>
  <c r="F21" i="61"/>
  <c r="F25" i="61"/>
  <c r="F27" i="61"/>
  <c r="F31" i="61"/>
  <c r="F180" i="61"/>
  <c r="F181" i="61"/>
  <c r="F192" i="61"/>
  <c r="F182" i="61"/>
  <c r="O158" i="61"/>
  <c r="O159" i="61" s="1"/>
  <c r="O172" i="61" s="1"/>
  <c r="F121" i="61"/>
  <c r="F125" i="61"/>
  <c r="F127" i="61"/>
  <c r="F131" i="61"/>
  <c r="F284" i="61"/>
  <c r="K242" i="61"/>
  <c r="G243" i="61"/>
  <c r="G260" i="61" s="1"/>
  <c r="G278" i="61" s="1"/>
  <c r="G73" i="78" s="1"/>
  <c r="F225" i="61"/>
  <c r="F285" i="61"/>
  <c r="H262" i="61"/>
  <c r="H263" i="61" s="1"/>
  <c r="H276" i="61" s="1"/>
  <c r="I247" i="61"/>
  <c r="F290" i="61"/>
  <c r="F291" i="61"/>
  <c r="F294" i="61"/>
  <c r="F295" i="61"/>
  <c r="O262" i="61"/>
  <c r="O263" i="61" s="1"/>
  <c r="O276" i="61" s="1"/>
  <c r="F120" i="61"/>
  <c r="F286" i="61"/>
  <c r="G247" i="61"/>
  <c r="F229" i="61"/>
  <c r="F231" i="61"/>
  <c r="F235" i="61"/>
  <c r="H366" i="61"/>
  <c r="H367" i="61" s="1"/>
  <c r="H380" i="61" s="1"/>
  <c r="M366" i="61"/>
  <c r="M367" i="61" s="1"/>
  <c r="M380" i="61" s="1"/>
  <c r="L366" i="61"/>
  <c r="L367" i="61" s="1"/>
  <c r="L380" i="61" s="1"/>
  <c r="N366" i="61"/>
  <c r="N367" i="61" s="1"/>
  <c r="N380" i="61" s="1"/>
  <c r="F328" i="61"/>
  <c r="F389" i="61"/>
  <c r="J408" i="61"/>
  <c r="J409" i="61" s="1"/>
  <c r="J422" i="61" s="1"/>
  <c r="O408" i="61"/>
  <c r="O409" i="61" s="1"/>
  <c r="O422" i="61" s="1"/>
  <c r="F393" i="61"/>
  <c r="F334" i="61"/>
  <c r="F395" i="61"/>
  <c r="F338" i="61"/>
  <c r="F399" i="61"/>
  <c r="F340" i="61"/>
  <c r="O366" i="61"/>
  <c r="O367" i="61" s="1"/>
  <c r="O380" i="61" s="1"/>
  <c r="F390" i="61"/>
  <c r="K486" i="47"/>
  <c r="K509" i="47" s="1"/>
  <c r="F459" i="47"/>
  <c r="J193" i="47"/>
  <c r="I495" i="47"/>
  <c r="F146" i="47"/>
  <c r="F447" i="47"/>
  <c r="I475" i="47"/>
  <c r="J475" i="47"/>
  <c r="K480" i="47"/>
  <c r="F453" i="47"/>
  <c r="I481" i="47"/>
  <c r="J495" i="47"/>
  <c r="K204" i="47"/>
  <c r="F269" i="47"/>
  <c r="K208" i="47"/>
  <c r="F271" i="47"/>
  <c r="K209" i="47"/>
  <c r="K342" i="47"/>
  <c r="K365" i="47" s="1"/>
  <c r="F405" i="47"/>
  <c r="K343" i="47"/>
  <c r="K366" i="47" s="1"/>
  <c r="F318" i="47"/>
  <c r="I487" i="47"/>
  <c r="I510" i="47" s="1"/>
  <c r="J487" i="47"/>
  <c r="J510" i="47" s="1"/>
  <c r="F468" i="47"/>
  <c r="F107" i="47"/>
  <c r="O136" i="47"/>
  <c r="M78" i="47"/>
  <c r="J136" i="47"/>
  <c r="H78" i="47"/>
  <c r="O135" i="47"/>
  <c r="M77" i="47"/>
  <c r="J135" i="47"/>
  <c r="J50" i="47"/>
  <c r="H77" i="47"/>
  <c r="F112" i="47"/>
  <c r="F113" i="47"/>
  <c r="F114" i="47"/>
  <c r="F117" i="47"/>
  <c r="F118" i="47"/>
  <c r="F119" i="47"/>
  <c r="F122" i="47"/>
  <c r="F123" i="47"/>
  <c r="F124" i="47"/>
  <c r="F127" i="47"/>
  <c r="F128" i="47"/>
  <c r="F129" i="47"/>
  <c r="F159" i="47"/>
  <c r="I187" i="47"/>
  <c r="J187" i="47"/>
  <c r="J277" i="47"/>
  <c r="O277" i="47"/>
  <c r="J278" i="47"/>
  <c r="O278" i="47"/>
  <c r="K194" i="47"/>
  <c r="I346" i="47"/>
  <c r="J346" i="47"/>
  <c r="I347" i="47"/>
  <c r="J347" i="47"/>
  <c r="K482" i="47"/>
  <c r="F457" i="47"/>
  <c r="I485" i="47"/>
  <c r="J485" i="47"/>
  <c r="K490" i="47"/>
  <c r="F463" i="47"/>
  <c r="I491" i="47"/>
  <c r="J491" i="47"/>
  <c r="I496" i="47"/>
  <c r="J496" i="47"/>
  <c r="K198" i="47"/>
  <c r="K221" i="47" s="1"/>
  <c r="F261" i="47"/>
  <c r="K199" i="47"/>
  <c r="K222" i="47" s="1"/>
  <c r="F174" i="47"/>
  <c r="I202" i="47"/>
  <c r="I203" i="47"/>
  <c r="J203" i="47"/>
  <c r="K336" i="47"/>
  <c r="F399" i="47"/>
  <c r="K337" i="47"/>
  <c r="F310" i="47"/>
  <c r="I338" i="47"/>
  <c r="J338" i="47"/>
  <c r="I341" i="47"/>
  <c r="J341" i="47"/>
  <c r="J481" i="47"/>
  <c r="I199" i="47"/>
  <c r="I222" i="47" s="1"/>
  <c r="K202" i="47"/>
  <c r="F265" i="47"/>
  <c r="K203" i="47"/>
  <c r="F176" i="47"/>
  <c r="I204" i="47"/>
  <c r="J204" i="47"/>
  <c r="I207" i="47"/>
  <c r="J207" i="47"/>
  <c r="I209" i="47"/>
  <c r="J209" i="47"/>
  <c r="I331" i="47"/>
  <c r="J331" i="47"/>
  <c r="K332" i="47"/>
  <c r="F332" i="47" s="1"/>
  <c r="K333" i="47"/>
  <c r="F333" i="47" s="1"/>
  <c r="F308" i="47"/>
  <c r="I336" i="47"/>
  <c r="J336" i="47"/>
  <c r="I337" i="47"/>
  <c r="J337" i="47"/>
  <c r="K338" i="47"/>
  <c r="F403" i="47"/>
  <c r="K341" i="47"/>
  <c r="F314" i="47"/>
  <c r="I342" i="47"/>
  <c r="I365" i="47" s="1"/>
  <c r="J342" i="47"/>
  <c r="J365" i="47" s="1"/>
  <c r="I343" i="47"/>
  <c r="I366" i="47" s="1"/>
  <c r="J343" i="47"/>
  <c r="J366" i="47" s="1"/>
  <c r="K346" i="47"/>
  <c r="F409" i="47"/>
  <c r="K347" i="47"/>
  <c r="F320" i="47"/>
  <c r="I348" i="47"/>
  <c r="I360" i="47" s="1"/>
  <c r="J348" i="47"/>
  <c r="I351" i="47"/>
  <c r="J351" i="47"/>
  <c r="K352" i="47"/>
  <c r="F352" i="47" s="1"/>
  <c r="F415" i="47"/>
  <c r="K353" i="47"/>
  <c r="F353" i="47" s="1"/>
  <c r="F536" i="47"/>
  <c r="K475" i="47"/>
  <c r="F475" i="47" s="1"/>
  <c r="F448" i="47"/>
  <c r="I476" i="47"/>
  <c r="I503" i="47" s="1"/>
  <c r="J476" i="47"/>
  <c r="F538" i="47"/>
  <c r="H565" i="47"/>
  <c r="K477" i="47"/>
  <c r="K504" i="47" s="1"/>
  <c r="N504" i="47"/>
  <c r="F452" i="47"/>
  <c r="I480" i="47"/>
  <c r="J480" i="47"/>
  <c r="F542" i="47"/>
  <c r="K481" i="47"/>
  <c r="F481" i="47" s="1"/>
  <c r="F454" i="47"/>
  <c r="I482" i="47"/>
  <c r="J482" i="47"/>
  <c r="F546" i="47"/>
  <c r="K485" i="47"/>
  <c r="F458" i="47"/>
  <c r="I486" i="47"/>
  <c r="I509" i="47" s="1"/>
  <c r="I530" i="47" s="1"/>
  <c r="I117" i="78" s="1"/>
  <c r="J486" i="47"/>
  <c r="J509" i="47" s="1"/>
  <c r="J530" i="47" s="1"/>
  <c r="J117" i="78" s="1"/>
  <c r="G510" i="47"/>
  <c r="F548" i="47"/>
  <c r="K487" i="47"/>
  <c r="K510" i="47" s="1"/>
  <c r="F462" i="47"/>
  <c r="I490" i="47"/>
  <c r="J490" i="47"/>
  <c r="F552" i="47"/>
  <c r="K491" i="47"/>
  <c r="F491" i="47" s="1"/>
  <c r="F464" i="47"/>
  <c r="I492" i="47"/>
  <c r="J492" i="47"/>
  <c r="F556" i="47"/>
  <c r="K495" i="47"/>
  <c r="I497" i="47"/>
  <c r="J497" i="47"/>
  <c r="N78" i="47"/>
  <c r="L78" i="47"/>
  <c r="K187" i="47"/>
  <c r="F187" i="47" s="1"/>
  <c r="K188" i="47"/>
  <c r="F161" i="47"/>
  <c r="I189" i="47"/>
  <c r="J189" i="47"/>
  <c r="K192" i="47"/>
  <c r="F255" i="47"/>
  <c r="F166" i="47"/>
  <c r="I194" i="47"/>
  <c r="J194" i="47"/>
  <c r="I197" i="47"/>
  <c r="J197" i="47"/>
  <c r="F204" i="47"/>
  <c r="J359" i="47"/>
  <c r="G503" i="47"/>
  <c r="F537" i="47"/>
  <c r="H564" i="47"/>
  <c r="H582" i="47" s="1"/>
  <c r="J504" i="47"/>
  <c r="F480" i="47"/>
  <c r="G509" i="47"/>
  <c r="G497" i="47"/>
  <c r="F469" i="47"/>
  <c r="F557" i="47"/>
  <c r="G365" i="47"/>
  <c r="G366" i="47"/>
  <c r="G359" i="47"/>
  <c r="G360" i="47"/>
  <c r="I188" i="47"/>
  <c r="J188" i="47"/>
  <c r="K189" i="47"/>
  <c r="J192" i="47"/>
  <c r="I198" i="47"/>
  <c r="I221" i="47" s="1"/>
  <c r="J198" i="47"/>
  <c r="J221" i="47" s="1"/>
  <c r="J199" i="47"/>
  <c r="J222" i="47" s="1"/>
  <c r="F303" i="47"/>
  <c r="F394" i="47"/>
  <c r="H421" i="47"/>
  <c r="F305" i="47"/>
  <c r="F398" i="47"/>
  <c r="F309" i="47"/>
  <c r="F400" i="47"/>
  <c r="F313" i="47"/>
  <c r="F404" i="47"/>
  <c r="F315" i="47"/>
  <c r="F408" i="47"/>
  <c r="F319" i="47"/>
  <c r="F410" i="47"/>
  <c r="F323" i="47"/>
  <c r="F414" i="47"/>
  <c r="F325" i="47"/>
  <c r="F109" i="47"/>
  <c r="F108" i="47"/>
  <c r="K193" i="47"/>
  <c r="K215" i="47" s="1"/>
  <c r="J202" i="47"/>
  <c r="K207" i="47"/>
  <c r="F180" i="47"/>
  <c r="I208" i="47"/>
  <c r="J208" i="47"/>
  <c r="F395" i="47"/>
  <c r="H422" i="47"/>
  <c r="F22" i="47"/>
  <c r="F26" i="47"/>
  <c r="F28" i="47"/>
  <c r="F32" i="47"/>
  <c r="F36" i="47"/>
  <c r="F38" i="47"/>
  <c r="F42" i="47"/>
  <c r="G216" i="47"/>
  <c r="F23" i="47"/>
  <c r="F27" i="47"/>
  <c r="F31" i="47"/>
  <c r="F33" i="47"/>
  <c r="F37" i="47"/>
  <c r="F41" i="47"/>
  <c r="F43" i="47"/>
  <c r="G221" i="47"/>
  <c r="G222" i="47"/>
  <c r="F250" i="47"/>
  <c r="H277" i="47"/>
  <c r="F254" i="47"/>
  <c r="F165" i="47"/>
  <c r="F256" i="47"/>
  <c r="F169" i="47"/>
  <c r="F260" i="47"/>
  <c r="F171" i="47"/>
  <c r="F264" i="47"/>
  <c r="F175" i="47"/>
  <c r="F266" i="47"/>
  <c r="F179" i="47"/>
  <c r="F270" i="47"/>
  <c r="F181" i="47"/>
  <c r="F249" i="47"/>
  <c r="F160" i="47"/>
  <c r="F251" i="47"/>
  <c r="H278" i="47"/>
  <c r="I50" i="47"/>
  <c r="K55" i="47"/>
  <c r="K56" i="47"/>
  <c r="K59" i="47"/>
  <c r="K60" i="47"/>
  <c r="K83" i="47" s="1"/>
  <c r="K61" i="47"/>
  <c r="K84" i="47" s="1"/>
  <c r="K64" i="47"/>
  <c r="K65" i="47"/>
  <c r="K66" i="47"/>
  <c r="K69" i="47"/>
  <c r="K71" i="47"/>
  <c r="J49" i="47"/>
  <c r="I49" i="47"/>
  <c r="K51" i="47"/>
  <c r="G78" i="47"/>
  <c r="N77" i="47"/>
  <c r="L77" i="47"/>
  <c r="G77" i="47"/>
  <c r="I54" i="47"/>
  <c r="J54" i="47"/>
  <c r="I64" i="47"/>
  <c r="I65" i="47"/>
  <c r="J65" i="47"/>
  <c r="I66" i="47"/>
  <c r="J66" i="47"/>
  <c r="I69" i="47"/>
  <c r="I70" i="47"/>
  <c r="J70" i="47"/>
  <c r="I71" i="47"/>
  <c r="J71" i="47"/>
  <c r="K49" i="47"/>
  <c r="J51" i="47"/>
  <c r="I51" i="47"/>
  <c r="K54" i="47"/>
  <c r="G83" i="47"/>
  <c r="K70" i="47"/>
  <c r="K50" i="47"/>
  <c r="I55" i="47"/>
  <c r="J55" i="47"/>
  <c r="I56" i="47"/>
  <c r="J56" i="47"/>
  <c r="I59" i="47"/>
  <c r="J59" i="47"/>
  <c r="I60" i="47"/>
  <c r="I83" i="47" s="1"/>
  <c r="J60" i="47"/>
  <c r="J83" i="47" s="1"/>
  <c r="I61" i="47"/>
  <c r="I84" i="47" s="1"/>
  <c r="J61" i="47"/>
  <c r="J84" i="47" s="1"/>
  <c r="J64" i="47"/>
  <c r="J69" i="47"/>
  <c r="F434" i="60"/>
  <c r="F429" i="60"/>
  <c r="F412" i="60"/>
  <c r="F407" i="60"/>
  <c r="F385" i="60"/>
  <c r="F363" i="60"/>
  <c r="F328" i="60"/>
  <c r="F327" i="60"/>
  <c r="F326" i="60"/>
  <c r="F323" i="60"/>
  <c r="F322" i="60"/>
  <c r="F319" i="60"/>
  <c r="F318" i="60"/>
  <c r="F315" i="60"/>
  <c r="F314" i="60"/>
  <c r="F308" i="60"/>
  <c r="F307" i="60"/>
  <c r="F306" i="60"/>
  <c r="F303" i="60"/>
  <c r="F302" i="60"/>
  <c r="F299" i="60"/>
  <c r="F298" i="60"/>
  <c r="F295" i="60"/>
  <c r="F294" i="60"/>
  <c r="F242" i="60"/>
  <c r="F241" i="60"/>
  <c r="F240" i="60"/>
  <c r="F237" i="60"/>
  <c r="F236" i="60"/>
  <c r="F233" i="60"/>
  <c r="F232" i="60"/>
  <c r="F229" i="60"/>
  <c r="F228" i="60"/>
  <c r="F222" i="60"/>
  <c r="F221" i="60"/>
  <c r="F220" i="60"/>
  <c r="F217" i="60"/>
  <c r="F216" i="60"/>
  <c r="F213" i="60"/>
  <c r="F212" i="60"/>
  <c r="F209" i="60"/>
  <c r="F208" i="60"/>
  <c r="F156" i="60"/>
  <c r="F155" i="60"/>
  <c r="F154" i="60"/>
  <c r="F151" i="60"/>
  <c r="F150" i="60"/>
  <c r="F147" i="60"/>
  <c r="F146" i="60"/>
  <c r="F143" i="60"/>
  <c r="F142" i="60"/>
  <c r="F136" i="60"/>
  <c r="F135" i="60"/>
  <c r="F134" i="60"/>
  <c r="F131" i="60"/>
  <c r="F130" i="60"/>
  <c r="F127" i="60"/>
  <c r="F126" i="60"/>
  <c r="F123" i="60"/>
  <c r="F122" i="60"/>
  <c r="F70" i="60"/>
  <c r="F69" i="60"/>
  <c r="F68" i="60"/>
  <c r="F65" i="60"/>
  <c r="F64" i="60"/>
  <c r="F61" i="60"/>
  <c r="F60" i="60"/>
  <c r="F57" i="60"/>
  <c r="F56" i="60"/>
  <c r="F50" i="60"/>
  <c r="F49" i="60"/>
  <c r="F48" i="60"/>
  <c r="F45" i="60"/>
  <c r="F44" i="60"/>
  <c r="F41" i="60"/>
  <c r="F40" i="60"/>
  <c r="F37" i="60"/>
  <c r="F36" i="60"/>
  <c r="M263" i="61" l="1"/>
  <c r="M276" i="61" s="1"/>
  <c r="L384" i="47"/>
  <c r="I243" i="47"/>
  <c r="I27" i="78" s="1"/>
  <c r="N386" i="47"/>
  <c r="N71" i="78" s="1"/>
  <c r="J243" i="47"/>
  <c r="J27" i="78" s="1"/>
  <c r="O216" i="61"/>
  <c r="O37" i="78" s="1"/>
  <c r="J216" i="61"/>
  <c r="J37" i="78" s="1"/>
  <c r="O320" i="61"/>
  <c r="O82" i="78" s="1"/>
  <c r="J320" i="61"/>
  <c r="J82" i="78" s="1"/>
  <c r="H320" i="61"/>
  <c r="H82" i="78" s="1"/>
  <c r="N384" i="47"/>
  <c r="L383" i="47"/>
  <c r="F582" i="47"/>
  <c r="H126" i="78"/>
  <c r="F126" i="78" s="1"/>
  <c r="F242" i="61"/>
  <c r="M174" i="61"/>
  <c r="M28" i="78" s="1"/>
  <c r="H174" i="61"/>
  <c r="H28" i="78" s="1"/>
  <c r="M278" i="61"/>
  <c r="M73" i="78" s="1"/>
  <c r="H278" i="61"/>
  <c r="H73" i="78" s="1"/>
  <c r="L278" i="61"/>
  <c r="L73" i="78" s="1"/>
  <c r="N278" i="61"/>
  <c r="N73" i="78" s="1"/>
  <c r="F352" i="61"/>
  <c r="F43" i="61"/>
  <c r="J99" i="61"/>
  <c r="J112" i="61" s="1"/>
  <c r="F40" i="61"/>
  <c r="F38" i="61"/>
  <c r="F356" i="61"/>
  <c r="F248" i="61"/>
  <c r="F39" i="61"/>
  <c r="N263" i="61"/>
  <c r="N276" i="61" s="1"/>
  <c r="H30" i="49"/>
  <c r="O120" i="49"/>
  <c r="J129" i="49"/>
  <c r="L120" i="49"/>
  <c r="H120" i="49"/>
  <c r="L75" i="49"/>
  <c r="H75" i="49"/>
  <c r="O75" i="49"/>
  <c r="M75" i="49"/>
  <c r="O30" i="49"/>
  <c r="N159" i="61"/>
  <c r="N172" i="61" s="1"/>
  <c r="M30" i="49"/>
  <c r="O129" i="49"/>
  <c r="N120" i="49"/>
  <c r="M120" i="49"/>
  <c r="O84" i="49"/>
  <c r="J84" i="49"/>
  <c r="F252" i="61"/>
  <c r="H59" i="61"/>
  <c r="H72" i="61" s="1"/>
  <c r="J39" i="49"/>
  <c r="J295" i="47"/>
  <c r="J36" i="78" s="1"/>
  <c r="H295" i="47"/>
  <c r="H36" i="78" s="1"/>
  <c r="H439" i="47"/>
  <c r="H81" i="78" s="1"/>
  <c r="F351" i="47"/>
  <c r="F209" i="47"/>
  <c r="O295" i="47"/>
  <c r="O36" i="78" s="1"/>
  <c r="O439" i="47"/>
  <c r="O81" i="78" s="1"/>
  <c r="J439" i="47"/>
  <c r="J81" i="78" s="1"/>
  <c r="G383" i="47"/>
  <c r="G384" i="47"/>
  <c r="G530" i="47"/>
  <c r="G117" i="78" s="1"/>
  <c r="G239" i="47"/>
  <c r="G240" i="47"/>
  <c r="H239" i="47"/>
  <c r="H240" i="47"/>
  <c r="L239" i="47"/>
  <c r="L240" i="47"/>
  <c r="M384" i="47"/>
  <c r="M383" i="47"/>
  <c r="H383" i="47"/>
  <c r="H384" i="47"/>
  <c r="M527" i="47"/>
  <c r="M529" i="47"/>
  <c r="M116" i="78" s="1"/>
  <c r="N527" i="47"/>
  <c r="N529" i="47"/>
  <c r="N116" i="78" s="1"/>
  <c r="K530" i="47"/>
  <c r="K117" i="78" s="1"/>
  <c r="M240" i="47"/>
  <c r="M239" i="47"/>
  <c r="N239" i="47"/>
  <c r="N240" i="47"/>
  <c r="L527" i="47"/>
  <c r="L529" i="47"/>
  <c r="L116" i="78" s="1"/>
  <c r="I387" i="47"/>
  <c r="I72" i="78" s="1"/>
  <c r="K243" i="47"/>
  <c r="K27" i="78" s="1"/>
  <c r="M242" i="47"/>
  <c r="M26" i="78" s="1"/>
  <c r="N242" i="47"/>
  <c r="N26" i="78" s="1"/>
  <c r="G243" i="47"/>
  <c r="G27" i="78" s="1"/>
  <c r="G386" i="47"/>
  <c r="G71" i="78" s="1"/>
  <c r="G387" i="47"/>
  <c r="G72" i="78" s="1"/>
  <c r="J387" i="47"/>
  <c r="J72" i="78" s="1"/>
  <c r="K387" i="47"/>
  <c r="K72" i="78" s="1"/>
  <c r="G242" i="47"/>
  <c r="G26" i="78" s="1"/>
  <c r="H242" i="47"/>
  <c r="H26" i="78" s="1"/>
  <c r="L242" i="47"/>
  <c r="L26" i="78" s="1"/>
  <c r="M386" i="47"/>
  <c r="M71" i="78" s="1"/>
  <c r="H386" i="47"/>
  <c r="H71" i="78" s="1"/>
  <c r="F337" i="47"/>
  <c r="F138" i="61"/>
  <c r="F357" i="61"/>
  <c r="F187" i="61"/>
  <c r="F139" i="61"/>
  <c r="F50" i="61"/>
  <c r="F188" i="47"/>
  <c r="F189" i="47"/>
  <c r="F207" i="47"/>
  <c r="J360" i="47"/>
  <c r="J383" i="47" s="1"/>
  <c r="F203" i="47"/>
  <c r="F199" i="47"/>
  <c r="F198" i="47"/>
  <c r="F348" i="47"/>
  <c r="I359" i="47"/>
  <c r="I504" i="47"/>
  <c r="I527" i="47" s="1"/>
  <c r="F202" i="47"/>
  <c r="K216" i="47"/>
  <c r="K240" i="47" s="1"/>
  <c r="F343" i="47"/>
  <c r="F342" i="47"/>
  <c r="F336" i="47"/>
  <c r="F492" i="47"/>
  <c r="F331" i="47"/>
  <c r="F496" i="47"/>
  <c r="F368" i="60"/>
  <c r="F390" i="60"/>
  <c r="F482" i="47"/>
  <c r="F358" i="61"/>
  <c r="I364" i="61"/>
  <c r="F150" i="61"/>
  <c r="F490" i="47"/>
  <c r="F346" i="61"/>
  <c r="J364" i="61"/>
  <c r="L159" i="61"/>
  <c r="L172" i="61" s="1"/>
  <c r="O201" i="61"/>
  <c r="O214" i="61" s="1"/>
  <c r="G157" i="61"/>
  <c r="G158" i="61" s="1"/>
  <c r="F495" i="47"/>
  <c r="K503" i="47"/>
  <c r="J503" i="47"/>
  <c r="F486" i="47"/>
  <c r="F485" i="47"/>
  <c r="F476" i="47"/>
  <c r="F347" i="47"/>
  <c r="F346" i="47"/>
  <c r="F193" i="47"/>
  <c r="F145" i="61"/>
  <c r="G192" i="47"/>
  <c r="F164" i="47"/>
  <c r="F148" i="61"/>
  <c r="I157" i="61"/>
  <c r="I158" i="61" s="1"/>
  <c r="G144" i="61"/>
  <c r="F126" i="61"/>
  <c r="I192" i="47"/>
  <c r="J365" i="61"/>
  <c r="J366" i="61" s="1"/>
  <c r="J261" i="61"/>
  <c r="J262" i="61" s="1"/>
  <c r="F143" i="61"/>
  <c r="F140" i="61"/>
  <c r="J157" i="61"/>
  <c r="J158" i="61" s="1"/>
  <c r="K156" i="61"/>
  <c r="F48" i="61"/>
  <c r="I57" i="61"/>
  <c r="K365" i="61"/>
  <c r="K366" i="61" s="1"/>
  <c r="J156" i="61"/>
  <c r="J260" i="61"/>
  <c r="I56" i="61"/>
  <c r="K157" i="61"/>
  <c r="K158" i="61" s="1"/>
  <c r="I365" i="61"/>
  <c r="I366" i="61" s="1"/>
  <c r="I367" i="61" s="1"/>
  <c r="I380" i="61" s="1"/>
  <c r="K364" i="61"/>
  <c r="K382" i="61" s="1"/>
  <c r="K118" i="78" s="1"/>
  <c r="I261" i="61"/>
  <c r="I262" i="61" s="1"/>
  <c r="K260" i="61"/>
  <c r="J57" i="61"/>
  <c r="J58" i="61" s="1"/>
  <c r="K56" i="61"/>
  <c r="K261" i="61"/>
  <c r="K262" i="61" s="1"/>
  <c r="I156" i="61"/>
  <c r="I174" i="61" s="1"/>
  <c r="I28" i="78" s="1"/>
  <c r="K57" i="61"/>
  <c r="K58" i="61" s="1"/>
  <c r="I260" i="61"/>
  <c r="J56" i="61"/>
  <c r="F149" i="61"/>
  <c r="F353" i="61"/>
  <c r="F351" i="61"/>
  <c r="F254" i="61"/>
  <c r="F253" i="61"/>
  <c r="F49" i="61"/>
  <c r="F45" i="61"/>
  <c r="F44" i="61"/>
  <c r="K367" i="61"/>
  <c r="K380" i="61" s="1"/>
  <c r="F348" i="61"/>
  <c r="F347" i="61"/>
  <c r="F244" i="61"/>
  <c r="F249" i="61"/>
  <c r="F406" i="61"/>
  <c r="F247" i="61"/>
  <c r="F302" i="61"/>
  <c r="F243" i="61"/>
  <c r="F198" i="61"/>
  <c r="H98" i="61"/>
  <c r="F98" i="61" s="1"/>
  <c r="F97" i="61"/>
  <c r="G58" i="61"/>
  <c r="G59" i="61" s="1"/>
  <c r="F407" i="61"/>
  <c r="H408" i="61"/>
  <c r="F408" i="61" s="1"/>
  <c r="G366" i="61"/>
  <c r="F303" i="61"/>
  <c r="H304" i="61"/>
  <c r="F304" i="61" s="1"/>
  <c r="G262" i="61"/>
  <c r="H200" i="61"/>
  <c r="F200" i="61" s="1"/>
  <c r="F199" i="61"/>
  <c r="F96" i="61"/>
  <c r="F497" i="47"/>
  <c r="F197" i="47"/>
  <c r="F194" i="47"/>
  <c r="J216" i="47"/>
  <c r="F341" i="47"/>
  <c r="F338" i="47"/>
  <c r="F51" i="47"/>
  <c r="F71" i="47"/>
  <c r="F70" i="47"/>
  <c r="F54" i="47"/>
  <c r="F208" i="47"/>
  <c r="I216" i="47"/>
  <c r="F487" i="47"/>
  <c r="F477" i="47"/>
  <c r="K360" i="47"/>
  <c r="F360" i="47" s="1"/>
  <c r="F509" i="47"/>
  <c r="F564" i="47"/>
  <c r="F510" i="47"/>
  <c r="F565" i="47"/>
  <c r="G504" i="47"/>
  <c r="G527" i="47" s="1"/>
  <c r="K359" i="47"/>
  <c r="F84" i="47"/>
  <c r="F59" i="47"/>
  <c r="F56" i="47"/>
  <c r="F55" i="47"/>
  <c r="F69" i="47"/>
  <c r="F66" i="47"/>
  <c r="F65" i="47"/>
  <c r="K78" i="47"/>
  <c r="F422" i="47"/>
  <c r="F421" i="47"/>
  <c r="J215" i="47"/>
  <c r="F366" i="47"/>
  <c r="F83" i="47"/>
  <c r="F64" i="47"/>
  <c r="F50" i="47"/>
  <c r="I215" i="47"/>
  <c r="F365" i="47"/>
  <c r="J77" i="47"/>
  <c r="K77" i="47"/>
  <c r="F278" i="47"/>
  <c r="F221" i="47"/>
  <c r="F61" i="47"/>
  <c r="F277" i="47"/>
  <c r="F222" i="47"/>
  <c r="F60" i="47"/>
  <c r="I77" i="47"/>
  <c r="J78" i="47"/>
  <c r="I78" i="47"/>
  <c r="F442" i="17"/>
  <c r="F437" i="17"/>
  <c r="F420" i="17"/>
  <c r="F415" i="17"/>
  <c r="F393" i="17"/>
  <c r="F371" i="17"/>
  <c r="F334" i="17"/>
  <c r="F333" i="17"/>
  <c r="F332" i="17"/>
  <c r="F329" i="17"/>
  <c r="F328" i="17"/>
  <c r="F325" i="17"/>
  <c r="F324" i="17"/>
  <c r="F321" i="17"/>
  <c r="F320" i="17"/>
  <c r="F314" i="17"/>
  <c r="F313" i="17"/>
  <c r="F312" i="17"/>
  <c r="F309" i="17"/>
  <c r="F308" i="17"/>
  <c r="F305" i="17"/>
  <c r="F304" i="17"/>
  <c r="F301" i="17"/>
  <c r="F300" i="17"/>
  <c r="F246" i="17"/>
  <c r="F245" i="17"/>
  <c r="F244" i="17"/>
  <c r="F241" i="17"/>
  <c r="F240" i="17"/>
  <c r="F237" i="17"/>
  <c r="F236" i="17"/>
  <c r="F233" i="17"/>
  <c r="F232" i="17"/>
  <c r="F226" i="17"/>
  <c r="F225" i="17"/>
  <c r="F224" i="17"/>
  <c r="F221" i="17"/>
  <c r="F220" i="17"/>
  <c r="F217" i="17"/>
  <c r="F216" i="17"/>
  <c r="F213" i="17"/>
  <c r="F212" i="17"/>
  <c r="F158" i="17"/>
  <c r="F157" i="17"/>
  <c r="F156" i="17"/>
  <c r="F153" i="17"/>
  <c r="F152" i="17"/>
  <c r="F149" i="17"/>
  <c r="F148" i="17"/>
  <c r="F145" i="17"/>
  <c r="F144" i="17"/>
  <c r="F138" i="17"/>
  <c r="F137" i="17"/>
  <c r="F136" i="17"/>
  <c r="F133" i="17"/>
  <c r="F132" i="17"/>
  <c r="F129" i="17"/>
  <c r="F128" i="17"/>
  <c r="F125" i="17"/>
  <c r="F124" i="17"/>
  <c r="F70" i="17"/>
  <c r="F69" i="17"/>
  <c r="F68" i="17"/>
  <c r="F65" i="17"/>
  <c r="F64" i="17"/>
  <c r="F61" i="17"/>
  <c r="F60" i="17"/>
  <c r="F57" i="17"/>
  <c r="F56" i="17"/>
  <c r="F50" i="17"/>
  <c r="F49" i="17"/>
  <c r="F48" i="17"/>
  <c r="F45" i="17"/>
  <c r="F44" i="17"/>
  <c r="F41" i="17"/>
  <c r="F40" i="17"/>
  <c r="F37" i="17"/>
  <c r="F36" i="17"/>
  <c r="O184" i="50"/>
  <c r="O187" i="60" s="1"/>
  <c r="O249" i="60" s="1"/>
  <c r="N184" i="50"/>
  <c r="N187" i="60" s="1"/>
  <c r="N249" i="60" s="1"/>
  <c r="M184" i="50"/>
  <c r="M187" i="60" s="1"/>
  <c r="M249" i="60" s="1"/>
  <c r="L184" i="50"/>
  <c r="L187" i="60" s="1"/>
  <c r="L249" i="60" s="1"/>
  <c r="K184" i="50"/>
  <c r="K187" i="60" s="1"/>
  <c r="K249" i="60" s="1"/>
  <c r="J184" i="50"/>
  <c r="J187" i="60" s="1"/>
  <c r="J249" i="60" s="1"/>
  <c r="I184" i="50"/>
  <c r="I187" i="60" s="1"/>
  <c r="I249" i="60" s="1"/>
  <c r="H184" i="50"/>
  <c r="H187" i="60" s="1"/>
  <c r="H249" i="60" s="1"/>
  <c r="G184" i="50"/>
  <c r="G187" i="60" s="1"/>
  <c r="O183" i="50"/>
  <c r="O186" i="60" s="1"/>
  <c r="N183" i="50"/>
  <c r="N186" i="60" s="1"/>
  <c r="M183" i="50"/>
  <c r="M186" i="60" s="1"/>
  <c r="L183" i="50"/>
  <c r="L186" i="60" s="1"/>
  <c r="K183" i="50"/>
  <c r="K186" i="60" s="1"/>
  <c r="J183" i="50"/>
  <c r="J186" i="60" s="1"/>
  <c r="I183" i="50"/>
  <c r="I186" i="60" s="1"/>
  <c r="H183" i="50"/>
  <c r="H186" i="60" s="1"/>
  <c r="G183" i="50"/>
  <c r="G186" i="60" s="1"/>
  <c r="O120" i="50"/>
  <c r="O101" i="60" s="1"/>
  <c r="O163" i="60" s="1"/>
  <c r="N120" i="50"/>
  <c r="N101" i="60" s="1"/>
  <c r="N163" i="60" s="1"/>
  <c r="M120" i="50"/>
  <c r="M101" i="60" s="1"/>
  <c r="M163" i="60" s="1"/>
  <c r="L120" i="50"/>
  <c r="L101" i="60" s="1"/>
  <c r="L163" i="60" s="1"/>
  <c r="K120" i="50"/>
  <c r="K101" i="60" s="1"/>
  <c r="K163" i="60" s="1"/>
  <c r="J120" i="50"/>
  <c r="J101" i="60" s="1"/>
  <c r="J163" i="60" s="1"/>
  <c r="I120" i="50"/>
  <c r="I101" i="60" s="1"/>
  <c r="I163" i="60" s="1"/>
  <c r="H120" i="50"/>
  <c r="H101" i="60" s="1"/>
  <c r="H163" i="60" s="1"/>
  <c r="G120" i="50"/>
  <c r="G101" i="60" s="1"/>
  <c r="O119" i="50"/>
  <c r="O100" i="60" s="1"/>
  <c r="N119" i="50"/>
  <c r="N100" i="60" s="1"/>
  <c r="M119" i="50"/>
  <c r="M100" i="60" s="1"/>
  <c r="L119" i="50"/>
  <c r="L100" i="60" s="1"/>
  <c r="K119" i="50"/>
  <c r="K100" i="60" s="1"/>
  <c r="J119" i="50"/>
  <c r="J100" i="60" s="1"/>
  <c r="I119" i="50"/>
  <c r="I100" i="60" s="1"/>
  <c r="H119" i="50"/>
  <c r="H100" i="60" s="1"/>
  <c r="G119" i="50"/>
  <c r="G100" i="60" s="1"/>
  <c r="O56" i="50"/>
  <c r="O15" i="60" s="1"/>
  <c r="O77" i="60" s="1"/>
  <c r="N56" i="50"/>
  <c r="N15" i="60" s="1"/>
  <c r="N77" i="60" s="1"/>
  <c r="M56" i="50"/>
  <c r="M15" i="60" s="1"/>
  <c r="M77" i="60" s="1"/>
  <c r="L56" i="50"/>
  <c r="L15" i="60" s="1"/>
  <c r="L77" i="60" s="1"/>
  <c r="K56" i="50"/>
  <c r="K15" i="60" s="1"/>
  <c r="K77" i="60" s="1"/>
  <c r="J56" i="50"/>
  <c r="J15" i="60" s="1"/>
  <c r="J77" i="60" s="1"/>
  <c r="I56" i="50"/>
  <c r="I15" i="60" s="1"/>
  <c r="I77" i="60" s="1"/>
  <c r="H56" i="50"/>
  <c r="H15" i="60" s="1"/>
  <c r="H77" i="60" s="1"/>
  <c r="G56" i="50"/>
  <c r="G15" i="60" s="1"/>
  <c r="O55" i="50"/>
  <c r="O14" i="60" s="1"/>
  <c r="N55" i="50"/>
  <c r="N14" i="60" s="1"/>
  <c r="M55" i="50"/>
  <c r="M14" i="60" s="1"/>
  <c r="L55" i="50"/>
  <c r="L14" i="60" s="1"/>
  <c r="K55" i="50"/>
  <c r="K14" i="60" s="1"/>
  <c r="J55" i="50"/>
  <c r="J14" i="60" s="1"/>
  <c r="I55" i="50"/>
  <c r="I14" i="60" s="1"/>
  <c r="H55" i="50"/>
  <c r="H14" i="60" s="1"/>
  <c r="G55" i="50"/>
  <c r="G14" i="60" s="1"/>
  <c r="F216" i="61" l="1"/>
  <c r="H76" i="60"/>
  <c r="J76" i="60"/>
  <c r="L76" i="60"/>
  <c r="N76" i="60"/>
  <c r="H162" i="60"/>
  <c r="J162" i="60"/>
  <c r="L162" i="60"/>
  <c r="N162" i="60"/>
  <c r="H248" i="60"/>
  <c r="J248" i="60"/>
  <c r="L248" i="60"/>
  <c r="N248" i="60"/>
  <c r="F72" i="78"/>
  <c r="F27" i="78"/>
  <c r="F117" i="78"/>
  <c r="F81" i="78"/>
  <c r="F320" i="61"/>
  <c r="I76" i="60"/>
  <c r="K76" i="60"/>
  <c r="M76" i="60"/>
  <c r="O76" i="60"/>
  <c r="G162" i="60"/>
  <c r="I162" i="60"/>
  <c r="K162" i="60"/>
  <c r="M162" i="60"/>
  <c r="O162" i="60"/>
  <c r="I248" i="60"/>
  <c r="K248" i="60"/>
  <c r="M248" i="60"/>
  <c r="O248" i="60"/>
  <c r="F36" i="78"/>
  <c r="I278" i="61"/>
  <c r="I73" i="78" s="1"/>
  <c r="J278" i="61"/>
  <c r="J73" i="78" s="1"/>
  <c r="N75" i="49"/>
  <c r="J174" i="61"/>
  <c r="J28" i="78" s="1"/>
  <c r="J382" i="61"/>
  <c r="J118" i="78" s="1"/>
  <c r="I382" i="61"/>
  <c r="I118" i="78" s="1"/>
  <c r="K278" i="61"/>
  <c r="K174" i="61"/>
  <c r="K28" i="78" s="1"/>
  <c r="F157" i="61"/>
  <c r="I120" i="49"/>
  <c r="O39" i="49"/>
  <c r="K120" i="49"/>
  <c r="L30" i="49"/>
  <c r="N30" i="49"/>
  <c r="F530" i="47"/>
  <c r="F295" i="47"/>
  <c r="F439" i="47"/>
  <c r="I242" i="47"/>
  <c r="I26" i="78" s="1"/>
  <c r="I240" i="47"/>
  <c r="I239" i="47"/>
  <c r="K386" i="47"/>
  <c r="K71" i="78" s="1"/>
  <c r="K384" i="47"/>
  <c r="K383" i="47"/>
  <c r="K527" i="47"/>
  <c r="K529" i="47"/>
  <c r="K116" i="78" s="1"/>
  <c r="I529" i="47"/>
  <c r="I116" i="78" s="1"/>
  <c r="G529" i="47"/>
  <c r="G116" i="78" s="1"/>
  <c r="K239" i="47"/>
  <c r="J384" i="47"/>
  <c r="J242" i="47"/>
  <c r="J26" i="78" s="1"/>
  <c r="J239" i="47"/>
  <c r="J240" i="47"/>
  <c r="J527" i="47"/>
  <c r="J529" i="47"/>
  <c r="J116" i="78" s="1"/>
  <c r="I386" i="47"/>
  <c r="I71" i="78" s="1"/>
  <c r="I384" i="47"/>
  <c r="I383" i="47"/>
  <c r="F383" i="47" s="1"/>
  <c r="L33" i="26" s="1"/>
  <c r="J386" i="47"/>
  <c r="J71" i="78" s="1"/>
  <c r="K242" i="47"/>
  <c r="F387" i="47"/>
  <c r="F243" i="47"/>
  <c r="F186" i="60"/>
  <c r="F187" i="60"/>
  <c r="F359" i="47"/>
  <c r="F14" i="60"/>
  <c r="G76" i="60"/>
  <c r="G248" i="60"/>
  <c r="F248" i="60" s="1"/>
  <c r="G249" i="60"/>
  <c r="F249" i="60" s="1"/>
  <c r="F100" i="60"/>
  <c r="G77" i="60"/>
  <c r="F77" i="60" s="1"/>
  <c r="F15" i="60"/>
  <c r="F101" i="60"/>
  <c r="G163" i="60"/>
  <c r="F163" i="60" s="1"/>
  <c r="F261" i="61"/>
  <c r="J263" i="61"/>
  <c r="J276" i="61" s="1"/>
  <c r="F364" i="61"/>
  <c r="F365" i="61"/>
  <c r="I263" i="61"/>
  <c r="I276" i="61" s="1"/>
  <c r="K263" i="61"/>
  <c r="K276" i="61" s="1"/>
  <c r="I159" i="61"/>
  <c r="I172" i="61" s="1"/>
  <c r="J159" i="61"/>
  <c r="J172" i="61" s="1"/>
  <c r="K159" i="61"/>
  <c r="K172" i="61" s="1"/>
  <c r="F57" i="61"/>
  <c r="H99" i="61"/>
  <c r="H112" i="61" s="1"/>
  <c r="F112" i="61" s="1"/>
  <c r="I58" i="61"/>
  <c r="I59" i="61" s="1"/>
  <c r="I72" i="61" s="1"/>
  <c r="J59" i="61"/>
  <c r="J72" i="61" s="1"/>
  <c r="F56" i="61"/>
  <c r="F503" i="47"/>
  <c r="F216" i="47"/>
  <c r="F158" i="61"/>
  <c r="G156" i="61"/>
  <c r="G174" i="61" s="1"/>
  <c r="F144" i="61"/>
  <c r="F192" i="47"/>
  <c r="K59" i="61"/>
  <c r="K72" i="61" s="1"/>
  <c r="F262" i="61"/>
  <c r="F366" i="61"/>
  <c r="J367" i="61"/>
  <c r="J380" i="61" s="1"/>
  <c r="G367" i="61"/>
  <c r="G380" i="61" s="1"/>
  <c r="H201" i="61"/>
  <c r="H214" i="61" s="1"/>
  <c r="H409" i="61"/>
  <c r="G72" i="61"/>
  <c r="F260" i="61"/>
  <c r="G263" i="61"/>
  <c r="H305" i="61"/>
  <c r="F215" i="47"/>
  <c r="F504" i="47"/>
  <c r="F78" i="47"/>
  <c r="F77" i="47"/>
  <c r="F376" i="17"/>
  <c r="F398" i="17"/>
  <c r="F162" i="60" l="1"/>
  <c r="F76" i="60"/>
  <c r="F527" i="47"/>
  <c r="M34" i="26" s="1"/>
  <c r="F116" i="78"/>
  <c r="F71" i="78"/>
  <c r="F239" i="47"/>
  <c r="K32" i="26" s="1"/>
  <c r="F242" i="47"/>
  <c r="K26" i="78"/>
  <c r="F26" i="78" s="1"/>
  <c r="F278" i="61"/>
  <c r="K73" i="78"/>
  <c r="F382" i="61"/>
  <c r="F174" i="61"/>
  <c r="G28" i="78"/>
  <c r="K30" i="49"/>
  <c r="I30" i="49"/>
  <c r="I75" i="49"/>
  <c r="J120" i="49"/>
  <c r="J30" i="49"/>
  <c r="K75" i="49"/>
  <c r="J75" i="49"/>
  <c r="F386" i="47"/>
  <c r="F529" i="47"/>
  <c r="F240" i="47"/>
  <c r="K33" i="26" s="1"/>
  <c r="F384" i="47"/>
  <c r="L34" i="26" s="1"/>
  <c r="F380" i="61"/>
  <c r="G120" i="49"/>
  <c r="F58" i="61"/>
  <c r="F99" i="61"/>
  <c r="F59" i="61"/>
  <c r="F156" i="61"/>
  <c r="G159" i="61"/>
  <c r="F72" i="61"/>
  <c r="F367" i="61"/>
  <c r="G276" i="61"/>
  <c r="F263" i="61"/>
  <c r="H318" i="61"/>
  <c r="F305" i="61"/>
  <c r="F201" i="61"/>
  <c r="H422" i="61"/>
  <c r="F409" i="61"/>
  <c r="F127" i="78" l="1"/>
  <c r="F37" i="78"/>
  <c r="F82" i="78"/>
  <c r="F28" i="78"/>
  <c r="F118" i="78"/>
  <c r="F422" i="61"/>
  <c r="F214" i="61"/>
  <c r="F318" i="61"/>
  <c r="F120" i="49"/>
  <c r="H129" i="49"/>
  <c r="F129" i="49" s="1"/>
  <c r="H84" i="49"/>
  <c r="F84" i="49" s="1"/>
  <c r="F276" i="61"/>
  <c r="G75" i="49"/>
  <c r="F75" i="49" s="1"/>
  <c r="H39" i="49"/>
  <c r="F39" i="49" s="1"/>
  <c r="G172" i="61"/>
  <c r="F159" i="61"/>
  <c r="F73" i="78" l="1"/>
  <c r="F172" i="61"/>
  <c r="G30" i="49"/>
  <c r="F30" i="49" s="1"/>
  <c r="H28" i="21" l="1"/>
  <c r="J28" i="21"/>
  <c r="O28" i="21"/>
  <c r="O27" i="21"/>
  <c r="J27" i="21"/>
  <c r="H27" i="21"/>
  <c r="O214" i="21" l="1"/>
  <c r="O28" i="76" s="1"/>
  <c r="J214" i="21"/>
  <c r="H214" i="21"/>
  <c r="H28" i="76" s="1"/>
  <c r="O49" i="21"/>
  <c r="O49" i="76" s="1"/>
  <c r="N49" i="21"/>
  <c r="N49" i="76" s="1"/>
  <c r="M49" i="21"/>
  <c r="M49" i="76" s="1"/>
  <c r="L49" i="21"/>
  <c r="L49" i="76" s="1"/>
  <c r="K49" i="21"/>
  <c r="K49" i="76" s="1"/>
  <c r="J49" i="21"/>
  <c r="J49" i="76" s="1"/>
  <c r="I49" i="21"/>
  <c r="I49" i="76" s="1"/>
  <c r="H49" i="21"/>
  <c r="H49" i="76" s="1"/>
  <c r="G49" i="21"/>
  <c r="G49" i="76" s="1"/>
  <c r="O79" i="21"/>
  <c r="O79" i="76" s="1"/>
  <c r="N79" i="21"/>
  <c r="N79" i="76" s="1"/>
  <c r="M79" i="21"/>
  <c r="M79" i="76" s="1"/>
  <c r="L79" i="21"/>
  <c r="L79" i="76" s="1"/>
  <c r="K79" i="21"/>
  <c r="K79" i="76" s="1"/>
  <c r="J79" i="21"/>
  <c r="J79" i="76" s="1"/>
  <c r="I79" i="21"/>
  <c r="I79" i="76" s="1"/>
  <c r="H79" i="21"/>
  <c r="H79" i="76" s="1"/>
  <c r="G79" i="21"/>
  <c r="G79" i="76" s="1"/>
  <c r="O99" i="21"/>
  <c r="O99" i="76" s="1"/>
  <c r="N99" i="21"/>
  <c r="N99" i="76" s="1"/>
  <c r="M99" i="21"/>
  <c r="M99" i="76" s="1"/>
  <c r="L99" i="21"/>
  <c r="L99" i="76" s="1"/>
  <c r="K99" i="21"/>
  <c r="K99" i="76" s="1"/>
  <c r="J99" i="21"/>
  <c r="J99" i="76" s="1"/>
  <c r="I99" i="21"/>
  <c r="I99" i="76" s="1"/>
  <c r="H99" i="21"/>
  <c r="H99" i="76" s="1"/>
  <c r="G99" i="21"/>
  <c r="G99" i="76" s="1"/>
  <c r="O117" i="21"/>
  <c r="O117" i="76" s="1"/>
  <c r="N117" i="21"/>
  <c r="N117" i="76" s="1"/>
  <c r="M117" i="21"/>
  <c r="M117" i="76" s="1"/>
  <c r="L117" i="21"/>
  <c r="L117" i="76" s="1"/>
  <c r="K117" i="21"/>
  <c r="K117" i="76" s="1"/>
  <c r="J117" i="21"/>
  <c r="J117" i="76" s="1"/>
  <c r="I117" i="21"/>
  <c r="I117" i="76" s="1"/>
  <c r="H117" i="21"/>
  <c r="H117" i="76" s="1"/>
  <c r="G117" i="21"/>
  <c r="G117" i="76" s="1"/>
  <c r="O147" i="21"/>
  <c r="O147" i="76" s="1"/>
  <c r="N147" i="21"/>
  <c r="N147" i="76" s="1"/>
  <c r="M147" i="21"/>
  <c r="M147" i="76" s="1"/>
  <c r="L147" i="21"/>
  <c r="L147" i="76" s="1"/>
  <c r="K147" i="21"/>
  <c r="K147" i="76" s="1"/>
  <c r="J147" i="21"/>
  <c r="J147" i="76" s="1"/>
  <c r="I147" i="21"/>
  <c r="I147" i="76" s="1"/>
  <c r="H147" i="21"/>
  <c r="H147" i="76" s="1"/>
  <c r="G147" i="21"/>
  <c r="G147" i="76" s="1"/>
  <c r="O144" i="21"/>
  <c r="O144" i="76" s="1"/>
  <c r="N144" i="21"/>
  <c r="N144" i="76" s="1"/>
  <c r="M144" i="21"/>
  <c r="M144" i="76" s="1"/>
  <c r="L144" i="21"/>
  <c r="L144" i="76" s="1"/>
  <c r="K144" i="21"/>
  <c r="K144" i="76" s="1"/>
  <c r="J144" i="21"/>
  <c r="J144" i="76" s="1"/>
  <c r="I144" i="21"/>
  <c r="I144" i="76" s="1"/>
  <c r="H144" i="21"/>
  <c r="H144" i="76" s="1"/>
  <c r="G144" i="21"/>
  <c r="G144" i="76" s="1"/>
  <c r="O143" i="21"/>
  <c r="O143" i="76" s="1"/>
  <c r="N143" i="21"/>
  <c r="N143" i="76" s="1"/>
  <c r="M143" i="21"/>
  <c r="M143" i="76" s="1"/>
  <c r="L143" i="21"/>
  <c r="L143" i="76" s="1"/>
  <c r="K143" i="21"/>
  <c r="K143" i="76" s="1"/>
  <c r="J143" i="21"/>
  <c r="J143" i="76" s="1"/>
  <c r="I143" i="21"/>
  <c r="I143" i="76" s="1"/>
  <c r="H143" i="21"/>
  <c r="H143" i="76" s="1"/>
  <c r="G143" i="21"/>
  <c r="G143" i="76" s="1"/>
  <c r="O142" i="21"/>
  <c r="O142" i="76" s="1"/>
  <c r="N142" i="21"/>
  <c r="N142" i="76" s="1"/>
  <c r="M142" i="21"/>
  <c r="M142" i="76" s="1"/>
  <c r="L142" i="21"/>
  <c r="L142" i="76" s="1"/>
  <c r="K142" i="21"/>
  <c r="K142" i="76" s="1"/>
  <c r="J142" i="21"/>
  <c r="J142" i="76" s="1"/>
  <c r="I142" i="21"/>
  <c r="I142" i="76" s="1"/>
  <c r="H142" i="21"/>
  <c r="H142" i="76" s="1"/>
  <c r="G142" i="21"/>
  <c r="G142" i="76" s="1"/>
  <c r="O141" i="21"/>
  <c r="O141" i="76" s="1"/>
  <c r="N141" i="21"/>
  <c r="N141" i="76" s="1"/>
  <c r="M141" i="21"/>
  <c r="M141" i="76" s="1"/>
  <c r="L141" i="21"/>
  <c r="L141" i="76" s="1"/>
  <c r="K141" i="21"/>
  <c r="K141" i="76" s="1"/>
  <c r="J141" i="21"/>
  <c r="J141" i="76" s="1"/>
  <c r="I141" i="21"/>
  <c r="I141" i="76" s="1"/>
  <c r="H141" i="21"/>
  <c r="H141" i="76" s="1"/>
  <c r="G141" i="21"/>
  <c r="G141" i="76" s="1"/>
  <c r="O140" i="21"/>
  <c r="O140" i="76" s="1"/>
  <c r="N140" i="21"/>
  <c r="N140" i="76" s="1"/>
  <c r="M140" i="21"/>
  <c r="M140" i="76" s="1"/>
  <c r="L140" i="21"/>
  <c r="L140" i="76" s="1"/>
  <c r="K140" i="21"/>
  <c r="K140" i="76" s="1"/>
  <c r="J140" i="21"/>
  <c r="J140" i="76" s="1"/>
  <c r="I140" i="21"/>
  <c r="I140" i="76" s="1"/>
  <c r="H140" i="21"/>
  <c r="H140" i="76" s="1"/>
  <c r="G140" i="21"/>
  <c r="G140" i="76" s="1"/>
  <c r="O139" i="21"/>
  <c r="O139" i="76" s="1"/>
  <c r="N139" i="21"/>
  <c r="N139" i="76" s="1"/>
  <c r="M139" i="21"/>
  <c r="M139" i="76" s="1"/>
  <c r="L139" i="21"/>
  <c r="L139" i="76" s="1"/>
  <c r="K139" i="21"/>
  <c r="K139" i="76" s="1"/>
  <c r="J139" i="21"/>
  <c r="J139" i="76" s="1"/>
  <c r="I139" i="21"/>
  <c r="I139" i="76" s="1"/>
  <c r="H139" i="21"/>
  <c r="H139" i="76" s="1"/>
  <c r="G139" i="21"/>
  <c r="G139" i="76" s="1"/>
  <c r="O138" i="21"/>
  <c r="O138" i="76" s="1"/>
  <c r="N138" i="21"/>
  <c r="N138" i="76" s="1"/>
  <c r="M138" i="21"/>
  <c r="M138" i="76" s="1"/>
  <c r="L138" i="21"/>
  <c r="L138" i="76" s="1"/>
  <c r="K138" i="21"/>
  <c r="K138" i="76" s="1"/>
  <c r="J138" i="21"/>
  <c r="J138" i="76" s="1"/>
  <c r="I138" i="21"/>
  <c r="I138" i="76" s="1"/>
  <c r="H138" i="21"/>
  <c r="H138" i="76" s="1"/>
  <c r="G138" i="21"/>
  <c r="G138" i="76" s="1"/>
  <c r="O137" i="21"/>
  <c r="O137" i="76" s="1"/>
  <c r="N137" i="21"/>
  <c r="N137" i="76" s="1"/>
  <c r="M137" i="21"/>
  <c r="M137" i="76" s="1"/>
  <c r="L137" i="21"/>
  <c r="L137" i="76" s="1"/>
  <c r="K137" i="21"/>
  <c r="K137" i="76" s="1"/>
  <c r="J137" i="21"/>
  <c r="J137" i="76" s="1"/>
  <c r="I137" i="21"/>
  <c r="I137" i="76" s="1"/>
  <c r="H137" i="21"/>
  <c r="H137" i="76" s="1"/>
  <c r="G137" i="21"/>
  <c r="G137" i="76" s="1"/>
  <c r="O136" i="21"/>
  <c r="O136" i="76" s="1"/>
  <c r="N136" i="21"/>
  <c r="N136" i="76" s="1"/>
  <c r="M136" i="21"/>
  <c r="M136" i="76" s="1"/>
  <c r="L136" i="21"/>
  <c r="L136" i="76" s="1"/>
  <c r="K136" i="21"/>
  <c r="K136" i="76" s="1"/>
  <c r="J136" i="21"/>
  <c r="J136" i="76" s="1"/>
  <c r="I136" i="21"/>
  <c r="I136" i="76" s="1"/>
  <c r="H136" i="21"/>
  <c r="H136" i="76" s="1"/>
  <c r="G136" i="21"/>
  <c r="G136" i="76" s="1"/>
  <c r="O135" i="21"/>
  <c r="O135" i="76" s="1"/>
  <c r="N135" i="21"/>
  <c r="N135" i="76" s="1"/>
  <c r="M135" i="21"/>
  <c r="M135" i="76" s="1"/>
  <c r="L135" i="21"/>
  <c r="L135" i="76" s="1"/>
  <c r="K135" i="21"/>
  <c r="K135" i="76" s="1"/>
  <c r="J135" i="21"/>
  <c r="J135" i="76" s="1"/>
  <c r="I135" i="21"/>
  <c r="I135" i="76" s="1"/>
  <c r="H135" i="21"/>
  <c r="H135" i="76" s="1"/>
  <c r="G135" i="21"/>
  <c r="G135" i="76" s="1"/>
  <c r="O132" i="21"/>
  <c r="O132" i="76" s="1"/>
  <c r="N132" i="21"/>
  <c r="N132" i="76" s="1"/>
  <c r="M132" i="21"/>
  <c r="M132" i="76" s="1"/>
  <c r="L132" i="21"/>
  <c r="L132" i="76" s="1"/>
  <c r="K132" i="21"/>
  <c r="K132" i="76" s="1"/>
  <c r="J132" i="21"/>
  <c r="J132" i="76" s="1"/>
  <c r="I132" i="21"/>
  <c r="I132" i="76" s="1"/>
  <c r="H132" i="21"/>
  <c r="H132" i="76" s="1"/>
  <c r="G132" i="21"/>
  <c r="G132" i="76" s="1"/>
  <c r="O131" i="21"/>
  <c r="O131" i="76" s="1"/>
  <c r="N131" i="21"/>
  <c r="N131" i="76" s="1"/>
  <c r="M131" i="21"/>
  <c r="M131" i="76" s="1"/>
  <c r="L131" i="21"/>
  <c r="L131" i="76" s="1"/>
  <c r="K131" i="21"/>
  <c r="K131" i="76" s="1"/>
  <c r="J131" i="21"/>
  <c r="J131" i="76" s="1"/>
  <c r="I131" i="21"/>
  <c r="I131" i="76" s="1"/>
  <c r="H131" i="21"/>
  <c r="H131" i="76" s="1"/>
  <c r="G131" i="21"/>
  <c r="G131" i="76" s="1"/>
  <c r="O130" i="21"/>
  <c r="O130" i="76" s="1"/>
  <c r="N130" i="21"/>
  <c r="N130" i="76" s="1"/>
  <c r="M130" i="21"/>
  <c r="M130" i="76" s="1"/>
  <c r="L130" i="21"/>
  <c r="L130" i="76" s="1"/>
  <c r="K130" i="21"/>
  <c r="K130" i="76" s="1"/>
  <c r="J130" i="21"/>
  <c r="J130" i="76" s="1"/>
  <c r="I130" i="21"/>
  <c r="I130" i="76" s="1"/>
  <c r="H130" i="21"/>
  <c r="H130" i="76" s="1"/>
  <c r="G130" i="21"/>
  <c r="G130" i="76" s="1"/>
  <c r="O129" i="21"/>
  <c r="O129" i="76" s="1"/>
  <c r="N129" i="21"/>
  <c r="N129" i="76" s="1"/>
  <c r="M129" i="21"/>
  <c r="M129" i="76" s="1"/>
  <c r="L129" i="21"/>
  <c r="L129" i="76" s="1"/>
  <c r="K129" i="21"/>
  <c r="K129" i="76" s="1"/>
  <c r="J129" i="21"/>
  <c r="J129" i="76" s="1"/>
  <c r="I129" i="21"/>
  <c r="I129" i="76" s="1"/>
  <c r="H129" i="21"/>
  <c r="H129" i="76" s="1"/>
  <c r="G129" i="21"/>
  <c r="G129" i="76" s="1"/>
  <c r="O128" i="21"/>
  <c r="O128" i="76" s="1"/>
  <c r="N128" i="21"/>
  <c r="N128" i="76" s="1"/>
  <c r="M128" i="21"/>
  <c r="M128" i="76" s="1"/>
  <c r="L128" i="21"/>
  <c r="L128" i="76" s="1"/>
  <c r="K128" i="21"/>
  <c r="K128" i="76" s="1"/>
  <c r="J128" i="21"/>
  <c r="J128" i="76" s="1"/>
  <c r="I128" i="21"/>
  <c r="I128" i="76" s="1"/>
  <c r="H128" i="21"/>
  <c r="H128" i="76" s="1"/>
  <c r="G128" i="21"/>
  <c r="G128" i="76" s="1"/>
  <c r="O127" i="21"/>
  <c r="O127" i="76" s="1"/>
  <c r="N127" i="21"/>
  <c r="N127" i="76" s="1"/>
  <c r="M127" i="21"/>
  <c r="M127" i="76" s="1"/>
  <c r="L127" i="21"/>
  <c r="L127" i="76" s="1"/>
  <c r="K127" i="21"/>
  <c r="K127" i="76" s="1"/>
  <c r="J127" i="21"/>
  <c r="J127" i="76" s="1"/>
  <c r="I127" i="21"/>
  <c r="I127" i="76" s="1"/>
  <c r="H127" i="21"/>
  <c r="H127" i="76" s="1"/>
  <c r="G127" i="21"/>
  <c r="G127" i="76" s="1"/>
  <c r="O126" i="21"/>
  <c r="O126" i="76" s="1"/>
  <c r="N126" i="21"/>
  <c r="N126" i="76" s="1"/>
  <c r="M126" i="21"/>
  <c r="M126" i="76" s="1"/>
  <c r="L126" i="21"/>
  <c r="L126" i="76" s="1"/>
  <c r="K126" i="21"/>
  <c r="K126" i="76" s="1"/>
  <c r="J126" i="21"/>
  <c r="J126" i="76" s="1"/>
  <c r="I126" i="21"/>
  <c r="I126" i="76" s="1"/>
  <c r="H126" i="21"/>
  <c r="H126" i="76" s="1"/>
  <c r="G126" i="21"/>
  <c r="G126" i="76" s="1"/>
  <c r="O125" i="21"/>
  <c r="O125" i="76" s="1"/>
  <c r="N125" i="21"/>
  <c r="N125" i="76" s="1"/>
  <c r="M125" i="21"/>
  <c r="M125" i="76" s="1"/>
  <c r="L125" i="21"/>
  <c r="L125" i="76" s="1"/>
  <c r="K125" i="21"/>
  <c r="K125" i="76" s="1"/>
  <c r="J125" i="21"/>
  <c r="J125" i="76" s="1"/>
  <c r="I125" i="21"/>
  <c r="I125" i="76" s="1"/>
  <c r="H125" i="21"/>
  <c r="H125" i="76" s="1"/>
  <c r="G125" i="21"/>
  <c r="G125" i="76" s="1"/>
  <c r="O124" i="21"/>
  <c r="O124" i="76" s="1"/>
  <c r="N124" i="21"/>
  <c r="N124" i="76" s="1"/>
  <c r="M124" i="21"/>
  <c r="M124" i="76" s="1"/>
  <c r="L124" i="21"/>
  <c r="L124" i="76" s="1"/>
  <c r="K124" i="21"/>
  <c r="K124" i="76" s="1"/>
  <c r="J124" i="21"/>
  <c r="J124" i="76" s="1"/>
  <c r="I124" i="21"/>
  <c r="I124" i="76" s="1"/>
  <c r="H124" i="21"/>
  <c r="H124" i="76" s="1"/>
  <c r="G124" i="21"/>
  <c r="G124" i="76" s="1"/>
  <c r="O123" i="21"/>
  <c r="O123" i="76" s="1"/>
  <c r="N123" i="21"/>
  <c r="N123" i="76" s="1"/>
  <c r="M123" i="21"/>
  <c r="M123" i="76" s="1"/>
  <c r="L123" i="21"/>
  <c r="L123" i="76" s="1"/>
  <c r="K123" i="21"/>
  <c r="K123" i="76" s="1"/>
  <c r="J123" i="21"/>
  <c r="J123" i="76" s="1"/>
  <c r="I123" i="21"/>
  <c r="I123" i="76" s="1"/>
  <c r="H123" i="21"/>
  <c r="H123" i="76" s="1"/>
  <c r="G123" i="21"/>
  <c r="G123" i="76" s="1"/>
  <c r="O114" i="21"/>
  <c r="O114" i="76" s="1"/>
  <c r="N114" i="21"/>
  <c r="N114" i="76" s="1"/>
  <c r="M114" i="21"/>
  <c r="M114" i="76" s="1"/>
  <c r="L114" i="21"/>
  <c r="L114" i="76" s="1"/>
  <c r="K114" i="21"/>
  <c r="K114" i="76" s="1"/>
  <c r="J114" i="21"/>
  <c r="J114" i="76" s="1"/>
  <c r="I114" i="21"/>
  <c r="I114" i="76" s="1"/>
  <c r="H114" i="21"/>
  <c r="H114" i="76" s="1"/>
  <c r="G114" i="21"/>
  <c r="G114" i="76" s="1"/>
  <c r="O113" i="21"/>
  <c r="O113" i="76" s="1"/>
  <c r="N113" i="21"/>
  <c r="N113" i="76" s="1"/>
  <c r="M113" i="21"/>
  <c r="M113" i="76" s="1"/>
  <c r="L113" i="21"/>
  <c r="L113" i="76" s="1"/>
  <c r="K113" i="21"/>
  <c r="K113" i="76" s="1"/>
  <c r="J113" i="21"/>
  <c r="J113" i="76" s="1"/>
  <c r="I113" i="21"/>
  <c r="I113" i="76" s="1"/>
  <c r="H113" i="21"/>
  <c r="H113" i="76" s="1"/>
  <c r="G113" i="21"/>
  <c r="G113" i="76" s="1"/>
  <c r="O112" i="21"/>
  <c r="O112" i="76" s="1"/>
  <c r="N112" i="21"/>
  <c r="N112" i="76" s="1"/>
  <c r="M112" i="21"/>
  <c r="M112" i="76" s="1"/>
  <c r="L112" i="21"/>
  <c r="L112" i="76" s="1"/>
  <c r="K112" i="21"/>
  <c r="K112" i="76" s="1"/>
  <c r="J112" i="21"/>
  <c r="J112" i="76" s="1"/>
  <c r="I112" i="21"/>
  <c r="I112" i="76" s="1"/>
  <c r="H112" i="21"/>
  <c r="H112" i="76" s="1"/>
  <c r="G112" i="21"/>
  <c r="G112" i="76" s="1"/>
  <c r="O111" i="21"/>
  <c r="O111" i="76" s="1"/>
  <c r="N111" i="21"/>
  <c r="N111" i="76" s="1"/>
  <c r="M111" i="21"/>
  <c r="M111" i="76" s="1"/>
  <c r="L111" i="21"/>
  <c r="L111" i="76" s="1"/>
  <c r="K111" i="21"/>
  <c r="K111" i="76" s="1"/>
  <c r="J111" i="21"/>
  <c r="J111" i="76" s="1"/>
  <c r="I111" i="21"/>
  <c r="I111" i="76" s="1"/>
  <c r="H111" i="21"/>
  <c r="H111" i="76" s="1"/>
  <c r="G111" i="21"/>
  <c r="G111" i="76" s="1"/>
  <c r="O108" i="21"/>
  <c r="O108" i="76" s="1"/>
  <c r="N108" i="21"/>
  <c r="N108" i="76" s="1"/>
  <c r="M108" i="21"/>
  <c r="M108" i="76" s="1"/>
  <c r="L108" i="21"/>
  <c r="L108" i="76" s="1"/>
  <c r="K108" i="21"/>
  <c r="K108" i="76" s="1"/>
  <c r="J108" i="21"/>
  <c r="J108" i="76" s="1"/>
  <c r="I108" i="21"/>
  <c r="I108" i="76" s="1"/>
  <c r="H108" i="21"/>
  <c r="H108" i="76" s="1"/>
  <c r="G108" i="21"/>
  <c r="G108" i="76" s="1"/>
  <c r="O107" i="21"/>
  <c r="O107" i="76" s="1"/>
  <c r="N107" i="21"/>
  <c r="N107" i="76" s="1"/>
  <c r="M107" i="21"/>
  <c r="M107" i="76" s="1"/>
  <c r="L107" i="21"/>
  <c r="L107" i="76" s="1"/>
  <c r="K107" i="21"/>
  <c r="K107" i="76" s="1"/>
  <c r="J107" i="21"/>
  <c r="J107" i="76" s="1"/>
  <c r="I107" i="21"/>
  <c r="I107" i="76" s="1"/>
  <c r="H107" i="21"/>
  <c r="H107" i="76" s="1"/>
  <c r="G107" i="21"/>
  <c r="G107" i="76" s="1"/>
  <c r="O106" i="21"/>
  <c r="O106" i="76" s="1"/>
  <c r="N106" i="21"/>
  <c r="N106" i="76" s="1"/>
  <c r="M106" i="21"/>
  <c r="M106" i="76" s="1"/>
  <c r="L106" i="21"/>
  <c r="L106" i="76" s="1"/>
  <c r="K106" i="21"/>
  <c r="K106" i="76" s="1"/>
  <c r="J106" i="21"/>
  <c r="J106" i="76" s="1"/>
  <c r="I106" i="21"/>
  <c r="I106" i="76" s="1"/>
  <c r="H106" i="21"/>
  <c r="H106" i="76" s="1"/>
  <c r="G106" i="21"/>
  <c r="G106" i="76" s="1"/>
  <c r="O105" i="21"/>
  <c r="O105" i="76" s="1"/>
  <c r="N105" i="21"/>
  <c r="N105" i="76" s="1"/>
  <c r="M105" i="21"/>
  <c r="M105" i="76" s="1"/>
  <c r="L105" i="21"/>
  <c r="L105" i="76" s="1"/>
  <c r="K105" i="21"/>
  <c r="K105" i="76" s="1"/>
  <c r="J105" i="21"/>
  <c r="J105" i="76" s="1"/>
  <c r="I105" i="21"/>
  <c r="I105" i="76" s="1"/>
  <c r="H105" i="21"/>
  <c r="H105" i="76" s="1"/>
  <c r="G105" i="21"/>
  <c r="G105" i="76" s="1"/>
  <c r="O96" i="21"/>
  <c r="O96" i="76" s="1"/>
  <c r="N96" i="21"/>
  <c r="N96" i="76" s="1"/>
  <c r="M96" i="21"/>
  <c r="M96" i="76" s="1"/>
  <c r="L96" i="21"/>
  <c r="L96" i="76" s="1"/>
  <c r="K96" i="21"/>
  <c r="K96" i="76" s="1"/>
  <c r="J96" i="21"/>
  <c r="J96" i="76" s="1"/>
  <c r="I96" i="21"/>
  <c r="I96" i="76" s="1"/>
  <c r="H96" i="21"/>
  <c r="H96" i="76" s="1"/>
  <c r="G96" i="21"/>
  <c r="G96" i="76" s="1"/>
  <c r="O95" i="21"/>
  <c r="O95" i="76" s="1"/>
  <c r="N95" i="21"/>
  <c r="N95" i="76" s="1"/>
  <c r="M95" i="21"/>
  <c r="M95" i="76" s="1"/>
  <c r="L95" i="21"/>
  <c r="L95" i="76" s="1"/>
  <c r="K95" i="21"/>
  <c r="K95" i="76" s="1"/>
  <c r="J95" i="21"/>
  <c r="J95" i="76" s="1"/>
  <c r="I95" i="21"/>
  <c r="I95" i="76" s="1"/>
  <c r="H95" i="21"/>
  <c r="H95" i="76" s="1"/>
  <c r="G95" i="21"/>
  <c r="G95" i="76" s="1"/>
  <c r="O94" i="21"/>
  <c r="O94" i="76" s="1"/>
  <c r="N94" i="21"/>
  <c r="N94" i="76" s="1"/>
  <c r="M94" i="21"/>
  <c r="M94" i="76" s="1"/>
  <c r="L94" i="21"/>
  <c r="L94" i="76" s="1"/>
  <c r="K94" i="21"/>
  <c r="K94" i="76" s="1"/>
  <c r="J94" i="21"/>
  <c r="J94" i="76" s="1"/>
  <c r="I94" i="21"/>
  <c r="I94" i="76" s="1"/>
  <c r="H94" i="21"/>
  <c r="H94" i="76" s="1"/>
  <c r="G94" i="21"/>
  <c r="G94" i="76" s="1"/>
  <c r="O93" i="21"/>
  <c r="O93" i="76" s="1"/>
  <c r="N93" i="21"/>
  <c r="N93" i="76" s="1"/>
  <c r="M93" i="21"/>
  <c r="M93" i="76" s="1"/>
  <c r="L93" i="21"/>
  <c r="L93" i="76" s="1"/>
  <c r="K93" i="21"/>
  <c r="K93" i="76" s="1"/>
  <c r="J93" i="21"/>
  <c r="J93" i="76" s="1"/>
  <c r="I93" i="21"/>
  <c r="I93" i="76" s="1"/>
  <c r="H93" i="21"/>
  <c r="H93" i="76" s="1"/>
  <c r="G93" i="21"/>
  <c r="G93" i="76" s="1"/>
  <c r="O90" i="21"/>
  <c r="O90" i="76" s="1"/>
  <c r="N90" i="21"/>
  <c r="N90" i="76" s="1"/>
  <c r="M90" i="21"/>
  <c r="M90" i="76" s="1"/>
  <c r="L90" i="21"/>
  <c r="L90" i="76" s="1"/>
  <c r="K90" i="21"/>
  <c r="K90" i="76" s="1"/>
  <c r="J90" i="21"/>
  <c r="J90" i="76" s="1"/>
  <c r="I90" i="21"/>
  <c r="I90" i="76" s="1"/>
  <c r="H90" i="21"/>
  <c r="H90" i="76" s="1"/>
  <c r="G90" i="21"/>
  <c r="G90" i="76" s="1"/>
  <c r="O89" i="21"/>
  <c r="O89" i="76" s="1"/>
  <c r="N89" i="21"/>
  <c r="N89" i="76" s="1"/>
  <c r="M89" i="21"/>
  <c r="M89" i="76" s="1"/>
  <c r="L89" i="21"/>
  <c r="L89" i="76" s="1"/>
  <c r="K89" i="21"/>
  <c r="K89" i="76" s="1"/>
  <c r="J89" i="21"/>
  <c r="J89" i="76" s="1"/>
  <c r="I89" i="21"/>
  <c r="I89" i="76" s="1"/>
  <c r="H89" i="21"/>
  <c r="H89" i="76" s="1"/>
  <c r="G89" i="21"/>
  <c r="G89" i="76" s="1"/>
  <c r="O88" i="21"/>
  <c r="O88" i="76" s="1"/>
  <c r="N88" i="21"/>
  <c r="N88" i="76" s="1"/>
  <c r="M88" i="21"/>
  <c r="M88" i="76" s="1"/>
  <c r="L88" i="21"/>
  <c r="L88" i="76" s="1"/>
  <c r="K88" i="21"/>
  <c r="K88" i="76" s="1"/>
  <c r="J88" i="21"/>
  <c r="J88" i="76" s="1"/>
  <c r="I88" i="21"/>
  <c r="I88" i="76" s="1"/>
  <c r="H88" i="21"/>
  <c r="H88" i="76" s="1"/>
  <c r="G88" i="21"/>
  <c r="G88" i="76" s="1"/>
  <c r="O87" i="21"/>
  <c r="O87" i="76" s="1"/>
  <c r="N87" i="21"/>
  <c r="N87" i="76" s="1"/>
  <c r="M87" i="21"/>
  <c r="M87" i="76" s="1"/>
  <c r="L87" i="21"/>
  <c r="L87" i="76" s="1"/>
  <c r="K87" i="21"/>
  <c r="K87" i="76" s="1"/>
  <c r="J87" i="21"/>
  <c r="J87" i="76" s="1"/>
  <c r="I87" i="21"/>
  <c r="I87" i="76" s="1"/>
  <c r="H87" i="21"/>
  <c r="H87" i="76" s="1"/>
  <c r="G87" i="21"/>
  <c r="G87" i="76" s="1"/>
  <c r="O76" i="21"/>
  <c r="O76" i="76" s="1"/>
  <c r="N76" i="21"/>
  <c r="N76" i="76" s="1"/>
  <c r="M76" i="21"/>
  <c r="M76" i="76" s="1"/>
  <c r="L76" i="21"/>
  <c r="L76" i="76" s="1"/>
  <c r="K76" i="21"/>
  <c r="K76" i="76" s="1"/>
  <c r="J76" i="21"/>
  <c r="J76" i="76" s="1"/>
  <c r="I76" i="21"/>
  <c r="I76" i="76" s="1"/>
  <c r="H76" i="21"/>
  <c r="H76" i="76" s="1"/>
  <c r="G76" i="21"/>
  <c r="G76" i="76" s="1"/>
  <c r="O75" i="21"/>
  <c r="O75" i="76" s="1"/>
  <c r="N75" i="21"/>
  <c r="N75" i="76" s="1"/>
  <c r="M75" i="21"/>
  <c r="M75" i="76" s="1"/>
  <c r="L75" i="21"/>
  <c r="L75" i="76" s="1"/>
  <c r="K75" i="21"/>
  <c r="K75" i="76" s="1"/>
  <c r="J75" i="21"/>
  <c r="J75" i="76" s="1"/>
  <c r="I75" i="21"/>
  <c r="I75" i="76" s="1"/>
  <c r="H75" i="21"/>
  <c r="H75" i="76" s="1"/>
  <c r="G75" i="21"/>
  <c r="G75" i="76" s="1"/>
  <c r="O74" i="21"/>
  <c r="O74" i="76" s="1"/>
  <c r="N74" i="21"/>
  <c r="N74" i="76" s="1"/>
  <c r="M74" i="21"/>
  <c r="M74" i="76" s="1"/>
  <c r="L74" i="21"/>
  <c r="L74" i="76" s="1"/>
  <c r="K74" i="21"/>
  <c r="K74" i="76" s="1"/>
  <c r="J74" i="21"/>
  <c r="J74" i="76" s="1"/>
  <c r="I74" i="21"/>
  <c r="I74" i="76" s="1"/>
  <c r="H74" i="21"/>
  <c r="H74" i="76" s="1"/>
  <c r="G74" i="21"/>
  <c r="G74" i="76" s="1"/>
  <c r="O73" i="21"/>
  <c r="O73" i="76" s="1"/>
  <c r="N73" i="21"/>
  <c r="N73" i="76" s="1"/>
  <c r="M73" i="21"/>
  <c r="M73" i="76" s="1"/>
  <c r="L73" i="21"/>
  <c r="L73" i="76" s="1"/>
  <c r="K73" i="21"/>
  <c r="K73" i="76" s="1"/>
  <c r="J73" i="21"/>
  <c r="J73" i="76" s="1"/>
  <c r="I73" i="21"/>
  <c r="I73" i="76" s="1"/>
  <c r="H73" i="21"/>
  <c r="H73" i="76" s="1"/>
  <c r="G73" i="21"/>
  <c r="G73" i="76" s="1"/>
  <c r="O72" i="21"/>
  <c r="O72" i="76" s="1"/>
  <c r="N72" i="21"/>
  <c r="N72" i="76" s="1"/>
  <c r="M72" i="21"/>
  <c r="M72" i="76" s="1"/>
  <c r="L72" i="21"/>
  <c r="L72" i="76" s="1"/>
  <c r="K72" i="21"/>
  <c r="K72" i="76" s="1"/>
  <c r="J72" i="21"/>
  <c r="J72" i="76" s="1"/>
  <c r="I72" i="21"/>
  <c r="I72" i="76" s="1"/>
  <c r="H72" i="21"/>
  <c r="H72" i="76" s="1"/>
  <c r="G72" i="21"/>
  <c r="G72" i="76" s="1"/>
  <c r="O71" i="21"/>
  <c r="O71" i="76" s="1"/>
  <c r="N71" i="21"/>
  <c r="N71" i="76" s="1"/>
  <c r="M71" i="21"/>
  <c r="M71" i="76" s="1"/>
  <c r="L71" i="21"/>
  <c r="L71" i="76" s="1"/>
  <c r="K71" i="21"/>
  <c r="K71" i="76" s="1"/>
  <c r="J71" i="21"/>
  <c r="J71" i="76" s="1"/>
  <c r="I71" i="21"/>
  <c r="I71" i="76" s="1"/>
  <c r="H71" i="21"/>
  <c r="H71" i="76" s="1"/>
  <c r="G71" i="21"/>
  <c r="G71" i="76" s="1"/>
  <c r="O70" i="21"/>
  <c r="O70" i="76" s="1"/>
  <c r="N70" i="21"/>
  <c r="N70" i="76" s="1"/>
  <c r="M70" i="21"/>
  <c r="M70" i="76" s="1"/>
  <c r="L70" i="21"/>
  <c r="L70" i="76" s="1"/>
  <c r="K70" i="21"/>
  <c r="K70" i="76" s="1"/>
  <c r="J70" i="21"/>
  <c r="J70" i="76" s="1"/>
  <c r="I70" i="21"/>
  <c r="I70" i="76" s="1"/>
  <c r="H70" i="21"/>
  <c r="H70" i="76" s="1"/>
  <c r="G70" i="21"/>
  <c r="G70" i="76" s="1"/>
  <c r="O69" i="21"/>
  <c r="O69" i="76" s="1"/>
  <c r="N69" i="21"/>
  <c r="N69" i="76" s="1"/>
  <c r="M69" i="21"/>
  <c r="M69" i="76" s="1"/>
  <c r="L69" i="21"/>
  <c r="L69" i="76" s="1"/>
  <c r="K69" i="21"/>
  <c r="K69" i="76" s="1"/>
  <c r="J69" i="21"/>
  <c r="J69" i="76" s="1"/>
  <c r="I69" i="21"/>
  <c r="I69" i="76" s="1"/>
  <c r="H69" i="21"/>
  <c r="H69" i="76" s="1"/>
  <c r="G69" i="21"/>
  <c r="G69" i="76" s="1"/>
  <c r="O68" i="21"/>
  <c r="O68" i="76" s="1"/>
  <c r="N68" i="21"/>
  <c r="N68" i="76" s="1"/>
  <c r="M68" i="21"/>
  <c r="M68" i="76" s="1"/>
  <c r="L68" i="21"/>
  <c r="L68" i="76" s="1"/>
  <c r="K68" i="21"/>
  <c r="K68" i="76" s="1"/>
  <c r="J68" i="21"/>
  <c r="J68" i="76" s="1"/>
  <c r="I68" i="21"/>
  <c r="I68" i="76" s="1"/>
  <c r="H68" i="21"/>
  <c r="H68" i="76" s="1"/>
  <c r="G68" i="21"/>
  <c r="G68" i="76" s="1"/>
  <c r="O67" i="21"/>
  <c r="O67" i="76" s="1"/>
  <c r="N67" i="21"/>
  <c r="N67" i="76" s="1"/>
  <c r="M67" i="21"/>
  <c r="M67" i="76" s="1"/>
  <c r="L67" i="21"/>
  <c r="L67" i="76" s="1"/>
  <c r="K67" i="21"/>
  <c r="K67" i="76" s="1"/>
  <c r="J67" i="21"/>
  <c r="J67" i="76" s="1"/>
  <c r="I67" i="21"/>
  <c r="I67" i="76" s="1"/>
  <c r="H67" i="21"/>
  <c r="H67" i="76" s="1"/>
  <c r="G67" i="21"/>
  <c r="G67" i="76" s="1"/>
  <c r="O64" i="21"/>
  <c r="O64" i="76" s="1"/>
  <c r="N64" i="21"/>
  <c r="N64" i="76" s="1"/>
  <c r="M64" i="21"/>
  <c r="M64" i="76" s="1"/>
  <c r="L64" i="21"/>
  <c r="L64" i="76" s="1"/>
  <c r="K64" i="21"/>
  <c r="K64" i="76" s="1"/>
  <c r="J64" i="21"/>
  <c r="J64" i="76" s="1"/>
  <c r="I64" i="21"/>
  <c r="I64" i="76" s="1"/>
  <c r="H64" i="21"/>
  <c r="H64" i="76" s="1"/>
  <c r="G64" i="21"/>
  <c r="G64" i="76" s="1"/>
  <c r="O63" i="21"/>
  <c r="O63" i="76" s="1"/>
  <c r="N63" i="21"/>
  <c r="N63" i="76" s="1"/>
  <c r="M63" i="21"/>
  <c r="M63" i="76" s="1"/>
  <c r="L63" i="21"/>
  <c r="L63" i="76" s="1"/>
  <c r="K63" i="21"/>
  <c r="K63" i="76" s="1"/>
  <c r="J63" i="21"/>
  <c r="J63" i="76" s="1"/>
  <c r="I63" i="21"/>
  <c r="I63" i="76" s="1"/>
  <c r="H63" i="21"/>
  <c r="H63" i="76" s="1"/>
  <c r="G63" i="21"/>
  <c r="G63" i="76" s="1"/>
  <c r="O62" i="21"/>
  <c r="O62" i="76" s="1"/>
  <c r="N62" i="21"/>
  <c r="N62" i="76" s="1"/>
  <c r="M62" i="21"/>
  <c r="M62" i="76" s="1"/>
  <c r="L62" i="21"/>
  <c r="L62" i="76" s="1"/>
  <c r="K62" i="21"/>
  <c r="K62" i="76" s="1"/>
  <c r="J62" i="21"/>
  <c r="J62" i="76" s="1"/>
  <c r="I62" i="21"/>
  <c r="I62" i="76" s="1"/>
  <c r="H62" i="21"/>
  <c r="H62" i="76" s="1"/>
  <c r="G62" i="21"/>
  <c r="G62" i="76" s="1"/>
  <c r="O61" i="21"/>
  <c r="O61" i="76" s="1"/>
  <c r="N61" i="21"/>
  <c r="N61" i="76" s="1"/>
  <c r="M61" i="21"/>
  <c r="M61" i="76" s="1"/>
  <c r="L61" i="21"/>
  <c r="L61" i="76" s="1"/>
  <c r="K61" i="21"/>
  <c r="K61" i="76" s="1"/>
  <c r="J61" i="21"/>
  <c r="J61" i="76" s="1"/>
  <c r="I61" i="21"/>
  <c r="I61" i="76" s="1"/>
  <c r="H61" i="21"/>
  <c r="H61" i="76" s="1"/>
  <c r="G61" i="21"/>
  <c r="G61" i="76" s="1"/>
  <c r="O60" i="21"/>
  <c r="O60" i="76" s="1"/>
  <c r="N60" i="21"/>
  <c r="N60" i="76" s="1"/>
  <c r="M60" i="21"/>
  <c r="M60" i="76" s="1"/>
  <c r="L60" i="21"/>
  <c r="L60" i="76" s="1"/>
  <c r="K60" i="21"/>
  <c r="K60" i="76" s="1"/>
  <c r="J60" i="21"/>
  <c r="J60" i="76" s="1"/>
  <c r="I60" i="21"/>
  <c r="I60" i="76" s="1"/>
  <c r="H60" i="21"/>
  <c r="H60" i="76" s="1"/>
  <c r="G60" i="21"/>
  <c r="G60" i="76" s="1"/>
  <c r="O59" i="21"/>
  <c r="O59" i="76" s="1"/>
  <c r="N59" i="21"/>
  <c r="N59" i="76" s="1"/>
  <c r="M59" i="21"/>
  <c r="M59" i="76" s="1"/>
  <c r="L59" i="21"/>
  <c r="L59" i="76" s="1"/>
  <c r="K59" i="21"/>
  <c r="K59" i="76" s="1"/>
  <c r="J59" i="21"/>
  <c r="J59" i="76" s="1"/>
  <c r="I59" i="21"/>
  <c r="I59" i="76" s="1"/>
  <c r="H59" i="21"/>
  <c r="H59" i="76" s="1"/>
  <c r="G59" i="21"/>
  <c r="G59" i="76" s="1"/>
  <c r="O58" i="21"/>
  <c r="O58" i="76" s="1"/>
  <c r="N58" i="21"/>
  <c r="N58" i="76" s="1"/>
  <c r="M58" i="21"/>
  <c r="M58" i="76" s="1"/>
  <c r="L58" i="21"/>
  <c r="L58" i="76" s="1"/>
  <c r="K58" i="21"/>
  <c r="K58" i="76" s="1"/>
  <c r="J58" i="21"/>
  <c r="J58" i="76" s="1"/>
  <c r="I58" i="21"/>
  <c r="I58" i="76" s="1"/>
  <c r="H58" i="21"/>
  <c r="H58" i="76" s="1"/>
  <c r="G58" i="21"/>
  <c r="G58" i="76" s="1"/>
  <c r="O57" i="21"/>
  <c r="O57" i="76" s="1"/>
  <c r="N57" i="21"/>
  <c r="N57" i="76" s="1"/>
  <c r="M57" i="21"/>
  <c r="M57" i="76" s="1"/>
  <c r="L57" i="21"/>
  <c r="L57" i="76" s="1"/>
  <c r="K57" i="21"/>
  <c r="K57" i="76" s="1"/>
  <c r="J57" i="21"/>
  <c r="J57" i="76" s="1"/>
  <c r="I57" i="21"/>
  <c r="I57" i="76" s="1"/>
  <c r="H57" i="21"/>
  <c r="H57" i="76" s="1"/>
  <c r="G57" i="21"/>
  <c r="G57" i="76" s="1"/>
  <c r="O56" i="21"/>
  <c r="O56" i="76" s="1"/>
  <c r="N56" i="21"/>
  <c r="N56" i="76" s="1"/>
  <c r="M56" i="21"/>
  <c r="M56" i="76" s="1"/>
  <c r="L56" i="21"/>
  <c r="L56" i="76" s="1"/>
  <c r="K56" i="21"/>
  <c r="K56" i="76" s="1"/>
  <c r="J56" i="21"/>
  <c r="J56" i="76" s="1"/>
  <c r="I56" i="21"/>
  <c r="I56" i="76" s="1"/>
  <c r="H56" i="21"/>
  <c r="H56" i="76" s="1"/>
  <c r="G56" i="21"/>
  <c r="G56" i="76" s="1"/>
  <c r="O55" i="21"/>
  <c r="O55" i="76" s="1"/>
  <c r="N55" i="21"/>
  <c r="N55" i="76" s="1"/>
  <c r="M55" i="21"/>
  <c r="M55" i="76" s="1"/>
  <c r="L55" i="21"/>
  <c r="L55" i="76" s="1"/>
  <c r="K55" i="21"/>
  <c r="K55" i="76" s="1"/>
  <c r="J55" i="21"/>
  <c r="J55" i="76" s="1"/>
  <c r="I55" i="21"/>
  <c r="I55" i="76" s="1"/>
  <c r="H55" i="21"/>
  <c r="H55" i="76" s="1"/>
  <c r="G55" i="21"/>
  <c r="G55" i="76" s="1"/>
  <c r="O46" i="21"/>
  <c r="O46" i="76" s="1"/>
  <c r="N46" i="21"/>
  <c r="N46" i="76" s="1"/>
  <c r="M46" i="21"/>
  <c r="M46" i="76" s="1"/>
  <c r="L46" i="21"/>
  <c r="L46" i="76" s="1"/>
  <c r="K46" i="21"/>
  <c r="K46" i="76" s="1"/>
  <c r="J46" i="21"/>
  <c r="J46" i="76" s="1"/>
  <c r="I46" i="21"/>
  <c r="I46" i="76" s="1"/>
  <c r="H46" i="21"/>
  <c r="H46" i="76" s="1"/>
  <c r="G46" i="21"/>
  <c r="G46" i="76" s="1"/>
  <c r="O45" i="21"/>
  <c r="O45" i="76" s="1"/>
  <c r="N45" i="21"/>
  <c r="N45" i="76" s="1"/>
  <c r="M45" i="21"/>
  <c r="M45" i="76" s="1"/>
  <c r="L45" i="21"/>
  <c r="L45" i="76" s="1"/>
  <c r="K45" i="21"/>
  <c r="K45" i="76" s="1"/>
  <c r="J45" i="21"/>
  <c r="J45" i="76" s="1"/>
  <c r="I45" i="21"/>
  <c r="I45" i="76" s="1"/>
  <c r="H45" i="21"/>
  <c r="H45" i="76" s="1"/>
  <c r="G45" i="21"/>
  <c r="G45" i="76" s="1"/>
  <c r="O44" i="21"/>
  <c r="O44" i="76" s="1"/>
  <c r="N44" i="21"/>
  <c r="N44" i="76" s="1"/>
  <c r="M44" i="21"/>
  <c r="M44" i="76" s="1"/>
  <c r="L44" i="21"/>
  <c r="L44" i="76" s="1"/>
  <c r="K44" i="21"/>
  <c r="K44" i="76" s="1"/>
  <c r="J44" i="21"/>
  <c r="J44" i="76" s="1"/>
  <c r="I44" i="21"/>
  <c r="I44" i="76" s="1"/>
  <c r="H44" i="21"/>
  <c r="H44" i="76" s="1"/>
  <c r="G44" i="21"/>
  <c r="G44" i="76" s="1"/>
  <c r="O43" i="21"/>
  <c r="O43" i="76" s="1"/>
  <c r="N43" i="21"/>
  <c r="N43" i="76" s="1"/>
  <c r="M43" i="21"/>
  <c r="M43" i="76" s="1"/>
  <c r="L43" i="21"/>
  <c r="L43" i="76" s="1"/>
  <c r="K43" i="21"/>
  <c r="K43" i="76" s="1"/>
  <c r="J43" i="21"/>
  <c r="J43" i="76" s="1"/>
  <c r="I43" i="21"/>
  <c r="I43" i="76" s="1"/>
  <c r="H43" i="21"/>
  <c r="H43" i="76" s="1"/>
  <c r="G43" i="21"/>
  <c r="G43" i="76" s="1"/>
  <c r="H37" i="21"/>
  <c r="H37" i="76" s="1"/>
  <c r="I37" i="21"/>
  <c r="I37" i="76" s="1"/>
  <c r="J37" i="21"/>
  <c r="J37" i="76" s="1"/>
  <c r="K37" i="21"/>
  <c r="K37" i="76" s="1"/>
  <c r="L37" i="21"/>
  <c r="L37" i="76" s="1"/>
  <c r="M37" i="21"/>
  <c r="M37" i="76" s="1"/>
  <c r="N37" i="21"/>
  <c r="N37" i="76" s="1"/>
  <c r="O37" i="21"/>
  <c r="O37" i="76" s="1"/>
  <c r="H38" i="21"/>
  <c r="H38" i="76" s="1"/>
  <c r="I38" i="21"/>
  <c r="I38" i="76" s="1"/>
  <c r="J38" i="21"/>
  <c r="J38" i="76" s="1"/>
  <c r="K38" i="21"/>
  <c r="K38" i="76" s="1"/>
  <c r="L38" i="21"/>
  <c r="L38" i="76" s="1"/>
  <c r="M38" i="21"/>
  <c r="M38" i="76" s="1"/>
  <c r="N38" i="21"/>
  <c r="N38" i="76" s="1"/>
  <c r="O38" i="21"/>
  <c r="O38" i="76" s="1"/>
  <c r="H39" i="21"/>
  <c r="H39" i="76" s="1"/>
  <c r="I39" i="21"/>
  <c r="I39" i="76" s="1"/>
  <c r="J39" i="21"/>
  <c r="J39" i="76" s="1"/>
  <c r="K39" i="21"/>
  <c r="K39" i="76" s="1"/>
  <c r="L39" i="21"/>
  <c r="L39" i="76" s="1"/>
  <c r="M39" i="21"/>
  <c r="M39" i="76" s="1"/>
  <c r="N39" i="21"/>
  <c r="N39" i="76" s="1"/>
  <c r="O39" i="21"/>
  <c r="O39" i="76" s="1"/>
  <c r="H40" i="21"/>
  <c r="H40" i="76" s="1"/>
  <c r="I40" i="21"/>
  <c r="I40" i="76" s="1"/>
  <c r="J40" i="21"/>
  <c r="J40" i="76" s="1"/>
  <c r="K40" i="21"/>
  <c r="K40" i="76" s="1"/>
  <c r="L40" i="21"/>
  <c r="L40" i="76" s="1"/>
  <c r="M40" i="21"/>
  <c r="M40" i="76" s="1"/>
  <c r="N40" i="21"/>
  <c r="N40" i="76" s="1"/>
  <c r="O40" i="21"/>
  <c r="O40" i="76" s="1"/>
  <c r="G38" i="21"/>
  <c r="G38" i="76" s="1"/>
  <c r="G39" i="21"/>
  <c r="G39" i="76" s="1"/>
  <c r="G40" i="21"/>
  <c r="G40" i="76" s="1"/>
  <c r="G37" i="21"/>
  <c r="G37" i="76" s="1"/>
  <c r="O213" i="21"/>
  <c r="O27" i="76" s="1"/>
  <c r="J213" i="21"/>
  <c r="J27" i="76" s="1"/>
  <c r="H213" i="21"/>
  <c r="H27" i="76" s="1"/>
  <c r="O24" i="21"/>
  <c r="N24" i="21"/>
  <c r="M24" i="21"/>
  <c r="L24" i="21"/>
  <c r="K24" i="21"/>
  <c r="J24" i="21"/>
  <c r="I24" i="21"/>
  <c r="H24" i="21"/>
  <c r="G24" i="21"/>
  <c r="O23" i="21"/>
  <c r="N23" i="21"/>
  <c r="M23" i="21"/>
  <c r="L23" i="21"/>
  <c r="K23" i="21"/>
  <c r="J23" i="21"/>
  <c r="I23" i="21"/>
  <c r="H23" i="21"/>
  <c r="G23" i="21"/>
  <c r="O22" i="21"/>
  <c r="N22" i="21"/>
  <c r="M22" i="21"/>
  <c r="L22" i="21"/>
  <c r="K22" i="21"/>
  <c r="J22" i="21"/>
  <c r="I22" i="21"/>
  <c r="H22" i="21"/>
  <c r="G22" i="21"/>
  <c r="O21" i="21"/>
  <c r="N21" i="21"/>
  <c r="M21" i="21"/>
  <c r="L21" i="21"/>
  <c r="K21" i="21"/>
  <c r="J21" i="21"/>
  <c r="I21" i="21"/>
  <c r="H21" i="21"/>
  <c r="G21" i="21"/>
  <c r="O18" i="21"/>
  <c r="N18" i="21"/>
  <c r="M18" i="21"/>
  <c r="L18" i="21"/>
  <c r="K18" i="21"/>
  <c r="J18" i="21"/>
  <c r="I18" i="21"/>
  <c r="H18" i="21"/>
  <c r="G18" i="21"/>
  <c r="O17" i="21"/>
  <c r="O202" i="21" s="1"/>
  <c r="N17" i="21"/>
  <c r="N202" i="21" s="1"/>
  <c r="N16" i="76" s="1"/>
  <c r="M17" i="21"/>
  <c r="M202" i="21" s="1"/>
  <c r="M16" i="76" s="1"/>
  <c r="L17" i="21"/>
  <c r="L202" i="21" s="1"/>
  <c r="L16" i="76" s="1"/>
  <c r="K17" i="21"/>
  <c r="K202" i="21" s="1"/>
  <c r="K16" i="76" s="1"/>
  <c r="J17" i="21"/>
  <c r="J202" i="21" s="1"/>
  <c r="J16" i="76" s="1"/>
  <c r="I17" i="21"/>
  <c r="I202" i="21" s="1"/>
  <c r="I16" i="76" s="1"/>
  <c r="H17" i="21"/>
  <c r="H202" i="21" s="1"/>
  <c r="H16" i="76" s="1"/>
  <c r="G17" i="21"/>
  <c r="G202" i="21" s="1"/>
  <c r="G16" i="76" s="1"/>
  <c r="H13" i="21"/>
  <c r="I13" i="21"/>
  <c r="J13" i="21"/>
  <c r="K13" i="21"/>
  <c r="L13" i="21"/>
  <c r="M13" i="21"/>
  <c r="N13" i="21"/>
  <c r="O13" i="21"/>
  <c r="H14" i="21"/>
  <c r="I14" i="21"/>
  <c r="J14" i="21"/>
  <c r="K14" i="21"/>
  <c r="L14" i="21"/>
  <c r="M14" i="21"/>
  <c r="N14" i="21"/>
  <c r="O14" i="21"/>
  <c r="G14" i="21"/>
  <c r="G13" i="21"/>
  <c r="G198" i="21" s="1"/>
  <c r="O97" i="30"/>
  <c r="J97" i="30"/>
  <c r="H97" i="30"/>
  <c r="O115" i="30"/>
  <c r="J115" i="30"/>
  <c r="H115" i="30"/>
  <c r="O145" i="30"/>
  <c r="O290" i="76" s="1"/>
  <c r="J145" i="30"/>
  <c r="J290" i="76" s="1"/>
  <c r="H145" i="30"/>
  <c r="O142" i="30"/>
  <c r="N142" i="30"/>
  <c r="M142" i="30"/>
  <c r="L142" i="30"/>
  <c r="K142" i="30"/>
  <c r="J142" i="30"/>
  <c r="I142" i="30"/>
  <c r="H142" i="30"/>
  <c r="G142" i="30"/>
  <c r="O141" i="30"/>
  <c r="N141" i="30"/>
  <c r="M141" i="30"/>
  <c r="L141" i="30"/>
  <c r="K141" i="30"/>
  <c r="J141" i="30"/>
  <c r="I141" i="30"/>
  <c r="H141" i="30"/>
  <c r="G141" i="30"/>
  <c r="O140" i="30"/>
  <c r="N140" i="30"/>
  <c r="M140" i="30"/>
  <c r="L140" i="30"/>
  <c r="K140" i="30"/>
  <c r="J140" i="30"/>
  <c r="I140" i="30"/>
  <c r="H140" i="30"/>
  <c r="G140" i="30"/>
  <c r="O139" i="30"/>
  <c r="N139" i="30"/>
  <c r="M139" i="30"/>
  <c r="L139" i="30"/>
  <c r="K139" i="30"/>
  <c r="J139" i="30"/>
  <c r="I139" i="30"/>
  <c r="H139" i="30"/>
  <c r="G139" i="30"/>
  <c r="O138" i="30"/>
  <c r="N138" i="30"/>
  <c r="M138" i="30"/>
  <c r="L138" i="30"/>
  <c r="K138" i="30"/>
  <c r="J138" i="30"/>
  <c r="I138" i="30"/>
  <c r="H138" i="30"/>
  <c r="G138" i="30"/>
  <c r="O137" i="30"/>
  <c r="N137" i="30"/>
  <c r="M137" i="30"/>
  <c r="L137" i="30"/>
  <c r="K137" i="30"/>
  <c r="J137" i="30"/>
  <c r="I137" i="30"/>
  <c r="H137" i="30"/>
  <c r="G137" i="30"/>
  <c r="O136" i="30"/>
  <c r="N136" i="30"/>
  <c r="M136" i="30"/>
  <c r="L136" i="30"/>
  <c r="K136" i="30"/>
  <c r="J136" i="30"/>
  <c r="I136" i="30"/>
  <c r="H136" i="30"/>
  <c r="G136" i="30"/>
  <c r="O135" i="30"/>
  <c r="N135" i="30"/>
  <c r="M135" i="30"/>
  <c r="L135" i="30"/>
  <c r="K135" i="30"/>
  <c r="J135" i="30"/>
  <c r="I135" i="30"/>
  <c r="H135" i="30"/>
  <c r="G135" i="30"/>
  <c r="O134" i="30"/>
  <c r="N134" i="30"/>
  <c r="M134" i="30"/>
  <c r="L134" i="30"/>
  <c r="K134" i="30"/>
  <c r="J134" i="30"/>
  <c r="I134" i="30"/>
  <c r="H134" i="30"/>
  <c r="G134" i="30"/>
  <c r="O133" i="30"/>
  <c r="N133" i="30"/>
  <c r="M133" i="30"/>
  <c r="L133" i="30"/>
  <c r="K133" i="30"/>
  <c r="J133" i="30"/>
  <c r="I133" i="30"/>
  <c r="H133" i="30"/>
  <c r="G133" i="30"/>
  <c r="O130" i="30"/>
  <c r="N130" i="30"/>
  <c r="M130" i="30"/>
  <c r="L130" i="30"/>
  <c r="K130" i="30"/>
  <c r="J130" i="30"/>
  <c r="I130" i="30"/>
  <c r="H130" i="30"/>
  <c r="G130" i="30"/>
  <c r="O129" i="30"/>
  <c r="N129" i="30"/>
  <c r="M129" i="30"/>
  <c r="L129" i="30"/>
  <c r="K129" i="30"/>
  <c r="J129" i="30"/>
  <c r="I129" i="30"/>
  <c r="H129" i="30"/>
  <c r="G129" i="30"/>
  <c r="O128" i="30"/>
  <c r="N128" i="30"/>
  <c r="M128" i="30"/>
  <c r="L128" i="30"/>
  <c r="K128" i="30"/>
  <c r="J128" i="30"/>
  <c r="I128" i="30"/>
  <c r="H128" i="30"/>
  <c r="G128" i="30"/>
  <c r="O127" i="30"/>
  <c r="N127" i="30"/>
  <c r="M127" i="30"/>
  <c r="L127" i="30"/>
  <c r="K127" i="30"/>
  <c r="J127" i="30"/>
  <c r="I127" i="30"/>
  <c r="H127" i="30"/>
  <c r="G127" i="30"/>
  <c r="O126" i="30"/>
  <c r="N126" i="30"/>
  <c r="M126" i="30"/>
  <c r="L126" i="30"/>
  <c r="K126" i="30"/>
  <c r="J126" i="30"/>
  <c r="I126" i="30"/>
  <c r="H126" i="30"/>
  <c r="G126" i="30"/>
  <c r="O125" i="30"/>
  <c r="N125" i="30"/>
  <c r="M125" i="30"/>
  <c r="L125" i="30"/>
  <c r="K125" i="30"/>
  <c r="J125" i="30"/>
  <c r="I125" i="30"/>
  <c r="H125" i="30"/>
  <c r="G125" i="30"/>
  <c r="O124" i="30"/>
  <c r="N124" i="30"/>
  <c r="M124" i="30"/>
  <c r="L124" i="30"/>
  <c r="K124" i="30"/>
  <c r="J124" i="30"/>
  <c r="I124" i="30"/>
  <c r="H124" i="30"/>
  <c r="G124" i="30"/>
  <c r="O123" i="30"/>
  <c r="N123" i="30"/>
  <c r="M123" i="30"/>
  <c r="L123" i="30"/>
  <c r="K123" i="30"/>
  <c r="J123" i="30"/>
  <c r="I123" i="30"/>
  <c r="H123" i="30"/>
  <c r="G123" i="30"/>
  <c r="O122" i="30"/>
  <c r="N122" i="30"/>
  <c r="M122" i="30"/>
  <c r="L122" i="30"/>
  <c r="K122" i="30"/>
  <c r="J122" i="30"/>
  <c r="I122" i="30"/>
  <c r="H122" i="30"/>
  <c r="G122" i="30"/>
  <c r="O121" i="30"/>
  <c r="N121" i="30"/>
  <c r="M121" i="30"/>
  <c r="L121" i="30"/>
  <c r="K121" i="30"/>
  <c r="J121" i="30"/>
  <c r="I121" i="30"/>
  <c r="H121" i="30"/>
  <c r="G121" i="30"/>
  <c r="O112" i="30"/>
  <c r="N112" i="30"/>
  <c r="M112" i="30"/>
  <c r="L112" i="30"/>
  <c r="K112" i="30"/>
  <c r="J112" i="30"/>
  <c r="I112" i="30"/>
  <c r="H112" i="30"/>
  <c r="G112" i="30"/>
  <c r="O111" i="30"/>
  <c r="N111" i="30"/>
  <c r="M111" i="30"/>
  <c r="L111" i="30"/>
  <c r="K111" i="30"/>
  <c r="J111" i="30"/>
  <c r="I111" i="30"/>
  <c r="H111" i="30"/>
  <c r="G111" i="30"/>
  <c r="O110" i="30"/>
  <c r="N110" i="30"/>
  <c r="M110" i="30"/>
  <c r="L110" i="30"/>
  <c r="K110" i="30"/>
  <c r="J110" i="30"/>
  <c r="I110" i="30"/>
  <c r="H110" i="30"/>
  <c r="G110" i="30"/>
  <c r="O109" i="30"/>
  <c r="N109" i="30"/>
  <c r="M109" i="30"/>
  <c r="L109" i="30"/>
  <c r="K109" i="30"/>
  <c r="J109" i="30"/>
  <c r="I109" i="30"/>
  <c r="H109" i="30"/>
  <c r="G109" i="30"/>
  <c r="O106" i="30"/>
  <c r="N106" i="30"/>
  <c r="M106" i="30"/>
  <c r="L106" i="30"/>
  <c r="K106" i="30"/>
  <c r="J106" i="30"/>
  <c r="I106" i="30"/>
  <c r="H106" i="30"/>
  <c r="G106" i="30"/>
  <c r="O105" i="30"/>
  <c r="N105" i="30"/>
  <c r="M105" i="30"/>
  <c r="L105" i="30"/>
  <c r="K105" i="30"/>
  <c r="J105" i="30"/>
  <c r="I105" i="30"/>
  <c r="H105" i="30"/>
  <c r="G105" i="30"/>
  <c r="O104" i="30"/>
  <c r="N104" i="30"/>
  <c r="M104" i="30"/>
  <c r="L104" i="30"/>
  <c r="K104" i="30"/>
  <c r="J104" i="30"/>
  <c r="I104" i="30"/>
  <c r="H104" i="30"/>
  <c r="G104" i="30"/>
  <c r="O103" i="30"/>
  <c r="N103" i="30"/>
  <c r="M103" i="30"/>
  <c r="L103" i="30"/>
  <c r="K103" i="30"/>
  <c r="J103" i="30"/>
  <c r="I103" i="30"/>
  <c r="H103" i="30"/>
  <c r="G103" i="30"/>
  <c r="O94" i="30"/>
  <c r="N94" i="30"/>
  <c r="M94" i="30"/>
  <c r="L94" i="30"/>
  <c r="K94" i="30"/>
  <c r="J94" i="30"/>
  <c r="I94" i="30"/>
  <c r="H94" i="30"/>
  <c r="G94" i="30"/>
  <c r="O93" i="30"/>
  <c r="N93" i="30"/>
  <c r="M93" i="30"/>
  <c r="L93" i="30"/>
  <c r="K93" i="30"/>
  <c r="J93" i="30"/>
  <c r="I93" i="30"/>
  <c r="H93" i="30"/>
  <c r="G93" i="30"/>
  <c r="O92" i="30"/>
  <c r="N92" i="30"/>
  <c r="M92" i="30"/>
  <c r="L92" i="30"/>
  <c r="K92" i="30"/>
  <c r="J92" i="30"/>
  <c r="I92" i="30"/>
  <c r="H92" i="30"/>
  <c r="O91" i="30"/>
  <c r="N91" i="30"/>
  <c r="M91" i="30"/>
  <c r="L91" i="30"/>
  <c r="K91" i="30"/>
  <c r="J91" i="30"/>
  <c r="I91" i="30"/>
  <c r="H91" i="30"/>
  <c r="G91" i="30"/>
  <c r="O88" i="30"/>
  <c r="N88" i="30"/>
  <c r="M88" i="30"/>
  <c r="L88" i="30"/>
  <c r="K88" i="30"/>
  <c r="J88" i="30"/>
  <c r="I88" i="30"/>
  <c r="H88" i="30"/>
  <c r="G88" i="30"/>
  <c r="O87" i="30"/>
  <c r="N87" i="30"/>
  <c r="M87" i="30"/>
  <c r="L87" i="30"/>
  <c r="K87" i="30"/>
  <c r="J87" i="30"/>
  <c r="I87" i="30"/>
  <c r="H87" i="30"/>
  <c r="G87" i="30"/>
  <c r="O86" i="30"/>
  <c r="N86" i="30"/>
  <c r="M86" i="30"/>
  <c r="L86" i="30"/>
  <c r="K86" i="30"/>
  <c r="J86" i="30"/>
  <c r="I86" i="30"/>
  <c r="H86" i="30"/>
  <c r="G86" i="30"/>
  <c r="O85" i="30"/>
  <c r="N85" i="30"/>
  <c r="M85" i="30"/>
  <c r="L85" i="30"/>
  <c r="K85" i="30"/>
  <c r="J85" i="30"/>
  <c r="I85" i="30"/>
  <c r="H85" i="30"/>
  <c r="G85" i="30"/>
  <c r="O47" i="30"/>
  <c r="J47" i="30"/>
  <c r="H47" i="30"/>
  <c r="O77" i="30"/>
  <c r="J77" i="30"/>
  <c r="H77" i="30"/>
  <c r="O74" i="30"/>
  <c r="N74" i="30"/>
  <c r="M74" i="30"/>
  <c r="L74" i="30"/>
  <c r="K74" i="30"/>
  <c r="J74" i="30"/>
  <c r="I74" i="30"/>
  <c r="H74" i="30"/>
  <c r="G74" i="30"/>
  <c r="F74" i="30" s="1"/>
  <c r="O73" i="30"/>
  <c r="N73" i="30"/>
  <c r="M73" i="30"/>
  <c r="L73" i="30"/>
  <c r="K73" i="30"/>
  <c r="J73" i="30"/>
  <c r="I73" i="30"/>
  <c r="H73" i="30"/>
  <c r="G73" i="30"/>
  <c r="O72" i="30"/>
  <c r="N72" i="30"/>
  <c r="M72" i="30"/>
  <c r="L72" i="30"/>
  <c r="K72" i="30"/>
  <c r="J72" i="30"/>
  <c r="I72" i="30"/>
  <c r="H72" i="30"/>
  <c r="G72" i="30"/>
  <c r="O71" i="30"/>
  <c r="N71" i="30"/>
  <c r="M71" i="30"/>
  <c r="L71" i="30"/>
  <c r="K71" i="30"/>
  <c r="J71" i="30"/>
  <c r="I71" i="30"/>
  <c r="H71" i="30"/>
  <c r="G71" i="30"/>
  <c r="O70" i="30"/>
  <c r="N70" i="30"/>
  <c r="M70" i="30"/>
  <c r="L70" i="30"/>
  <c r="K70" i="30"/>
  <c r="J70" i="30"/>
  <c r="I70" i="30"/>
  <c r="H70" i="30"/>
  <c r="G70" i="30"/>
  <c r="O69" i="30"/>
  <c r="N69" i="30"/>
  <c r="M69" i="30"/>
  <c r="L69" i="30"/>
  <c r="K69" i="30"/>
  <c r="J69" i="30"/>
  <c r="I69" i="30"/>
  <c r="H69" i="30"/>
  <c r="G69" i="30"/>
  <c r="O68" i="30"/>
  <c r="N68" i="30"/>
  <c r="M68" i="30"/>
  <c r="L68" i="30"/>
  <c r="K68" i="30"/>
  <c r="J68" i="30"/>
  <c r="I68" i="30"/>
  <c r="H68" i="30"/>
  <c r="G68" i="30"/>
  <c r="O67" i="30"/>
  <c r="N67" i="30"/>
  <c r="M67" i="30"/>
  <c r="L67" i="30"/>
  <c r="K67" i="30"/>
  <c r="J67" i="30"/>
  <c r="I67" i="30"/>
  <c r="H67" i="30"/>
  <c r="G67" i="30"/>
  <c r="O66" i="30"/>
  <c r="N66" i="30"/>
  <c r="M66" i="30"/>
  <c r="L66" i="30"/>
  <c r="K66" i="30"/>
  <c r="J66" i="30"/>
  <c r="I66" i="30"/>
  <c r="H66" i="30"/>
  <c r="G66" i="30"/>
  <c r="O65" i="30"/>
  <c r="N65" i="30"/>
  <c r="M65" i="30"/>
  <c r="L65" i="30"/>
  <c r="K65" i="30"/>
  <c r="J65" i="30"/>
  <c r="I65" i="30"/>
  <c r="H65" i="30"/>
  <c r="G65" i="30"/>
  <c r="O62" i="30"/>
  <c r="N62" i="30"/>
  <c r="M62" i="30"/>
  <c r="L62" i="30"/>
  <c r="K62" i="30"/>
  <c r="J62" i="30"/>
  <c r="I62" i="30"/>
  <c r="H62" i="30"/>
  <c r="G62" i="30"/>
  <c r="O61" i="30"/>
  <c r="N61" i="30"/>
  <c r="M61" i="30"/>
  <c r="L61" i="30"/>
  <c r="K61" i="30"/>
  <c r="J61" i="30"/>
  <c r="I61" i="30"/>
  <c r="H61" i="30"/>
  <c r="G61" i="30"/>
  <c r="O60" i="30"/>
  <c r="N60" i="30"/>
  <c r="M60" i="30"/>
  <c r="L60" i="30"/>
  <c r="K60" i="30"/>
  <c r="J60" i="30"/>
  <c r="I60" i="30"/>
  <c r="H60" i="30"/>
  <c r="G60" i="30"/>
  <c r="O59" i="30"/>
  <c r="N59" i="30"/>
  <c r="M59" i="30"/>
  <c r="L59" i="30"/>
  <c r="K59" i="30"/>
  <c r="J59" i="30"/>
  <c r="I59" i="30"/>
  <c r="H59" i="30"/>
  <c r="G59" i="30"/>
  <c r="O58" i="30"/>
  <c r="N58" i="30"/>
  <c r="M58" i="30"/>
  <c r="L58" i="30"/>
  <c r="K58" i="30"/>
  <c r="J58" i="30"/>
  <c r="I58" i="30"/>
  <c r="H58" i="30"/>
  <c r="G58" i="30"/>
  <c r="O57" i="30"/>
  <c r="N57" i="30"/>
  <c r="M57" i="30"/>
  <c r="L57" i="30"/>
  <c r="K57" i="30"/>
  <c r="J57" i="30"/>
  <c r="I57" i="30"/>
  <c r="H57" i="30"/>
  <c r="G57" i="30"/>
  <c r="O56" i="30"/>
  <c r="N56" i="30"/>
  <c r="M56" i="30"/>
  <c r="L56" i="30"/>
  <c r="K56" i="30"/>
  <c r="J56" i="30"/>
  <c r="I56" i="30"/>
  <c r="H56" i="30"/>
  <c r="G56" i="30"/>
  <c r="O55" i="30"/>
  <c r="N55" i="30"/>
  <c r="M55" i="30"/>
  <c r="L55" i="30"/>
  <c r="K55" i="30"/>
  <c r="J55" i="30"/>
  <c r="I55" i="30"/>
  <c r="H55" i="30"/>
  <c r="G55" i="30"/>
  <c r="O54" i="30"/>
  <c r="N54" i="30"/>
  <c r="M54" i="30"/>
  <c r="L54" i="30"/>
  <c r="K54" i="30"/>
  <c r="J54" i="30"/>
  <c r="I54" i="30"/>
  <c r="H54" i="30"/>
  <c r="G54" i="30"/>
  <c r="O53" i="30"/>
  <c r="N53" i="30"/>
  <c r="M53" i="30"/>
  <c r="L53" i="30"/>
  <c r="K53" i="30"/>
  <c r="J53" i="30"/>
  <c r="I53" i="30"/>
  <c r="H53" i="30"/>
  <c r="G53" i="30"/>
  <c r="O44" i="30"/>
  <c r="N44" i="30"/>
  <c r="M44" i="30"/>
  <c r="L44" i="30"/>
  <c r="K44" i="30"/>
  <c r="J44" i="30"/>
  <c r="I44" i="30"/>
  <c r="H44" i="30"/>
  <c r="G44" i="30"/>
  <c r="O43" i="30"/>
  <c r="N43" i="30"/>
  <c r="M43" i="30"/>
  <c r="L43" i="30"/>
  <c r="K43" i="30"/>
  <c r="J43" i="30"/>
  <c r="I43" i="30"/>
  <c r="H43" i="30"/>
  <c r="G43" i="30"/>
  <c r="O42" i="30"/>
  <c r="N42" i="30"/>
  <c r="M42" i="30"/>
  <c r="L42" i="30"/>
  <c r="K42" i="30"/>
  <c r="J42" i="30"/>
  <c r="I42" i="30"/>
  <c r="H42" i="30"/>
  <c r="G42" i="30"/>
  <c r="O41" i="30"/>
  <c r="N41" i="30"/>
  <c r="M41" i="30"/>
  <c r="L41" i="30"/>
  <c r="K41" i="30"/>
  <c r="J41" i="30"/>
  <c r="I41" i="30"/>
  <c r="H41" i="30"/>
  <c r="G41" i="30"/>
  <c r="H35" i="30"/>
  <c r="I35" i="30"/>
  <c r="J35" i="30"/>
  <c r="K35" i="30"/>
  <c r="L35" i="30"/>
  <c r="M35" i="30"/>
  <c r="N35" i="30"/>
  <c r="O35" i="30"/>
  <c r="H36" i="30"/>
  <c r="I36" i="30"/>
  <c r="J36" i="30"/>
  <c r="K36" i="30"/>
  <c r="L36" i="30"/>
  <c r="M36" i="30"/>
  <c r="N36" i="30"/>
  <c r="O36" i="30"/>
  <c r="H37" i="30"/>
  <c r="I37" i="30"/>
  <c r="J37" i="30"/>
  <c r="K37" i="30"/>
  <c r="L37" i="30"/>
  <c r="M37" i="30"/>
  <c r="N37" i="30"/>
  <c r="O37" i="30"/>
  <c r="H38" i="30"/>
  <c r="I38" i="30"/>
  <c r="J38" i="30"/>
  <c r="K38" i="30"/>
  <c r="L38" i="30"/>
  <c r="M38" i="30"/>
  <c r="N38" i="30"/>
  <c r="O38" i="30"/>
  <c r="G36" i="30"/>
  <c r="G37" i="30"/>
  <c r="G38" i="30"/>
  <c r="G35" i="30"/>
  <c r="F129" i="30"/>
  <c r="F97" i="30"/>
  <c r="F54" i="30"/>
  <c r="O250" i="59"/>
  <c r="O272" i="59" s="1"/>
  <c r="O248" i="59"/>
  <c r="O271" i="59" s="1"/>
  <c r="J250" i="59"/>
  <c r="J272" i="59" s="1"/>
  <c r="J248" i="59"/>
  <c r="J271" i="59" s="1"/>
  <c r="H250" i="59"/>
  <c r="H272" i="59" s="1"/>
  <c r="F272" i="59" s="1"/>
  <c r="H248" i="59"/>
  <c r="H271" i="59" s="1"/>
  <c r="O190" i="59"/>
  <c r="O212" i="59" s="1"/>
  <c r="O188" i="59"/>
  <c r="O211" i="59" s="1"/>
  <c r="J190" i="59"/>
  <c r="J212" i="59" s="1"/>
  <c r="J188" i="59"/>
  <c r="J211" i="59" s="1"/>
  <c r="H190" i="59"/>
  <c r="H188" i="59"/>
  <c r="H211" i="59" s="1"/>
  <c r="O130" i="59"/>
  <c r="O152" i="59" s="1"/>
  <c r="O26" i="30" s="1"/>
  <c r="J130" i="59"/>
  <c r="J152" i="59" s="1"/>
  <c r="H130" i="59"/>
  <c r="H152" i="59" s="1"/>
  <c r="O119" i="59"/>
  <c r="O151" i="59" s="1"/>
  <c r="O25" i="30" s="1"/>
  <c r="J119" i="59"/>
  <c r="J151" i="59" s="1"/>
  <c r="H119" i="59"/>
  <c r="H151" i="59" s="1"/>
  <c r="H25" i="30" s="1"/>
  <c r="O165" i="59"/>
  <c r="N165" i="59"/>
  <c r="M165" i="59"/>
  <c r="L165" i="59"/>
  <c r="K165" i="59"/>
  <c r="J165" i="59"/>
  <c r="I165" i="59"/>
  <c r="H165" i="59"/>
  <c r="G165" i="59"/>
  <c r="O164" i="59"/>
  <c r="N164" i="59"/>
  <c r="M164" i="59"/>
  <c r="L164" i="59"/>
  <c r="K164" i="59"/>
  <c r="J164" i="59"/>
  <c r="I164" i="59"/>
  <c r="H164" i="59"/>
  <c r="G164" i="59"/>
  <c r="O163" i="59"/>
  <c r="N163" i="59"/>
  <c r="M163" i="59"/>
  <c r="L163" i="59"/>
  <c r="K163" i="59"/>
  <c r="J163" i="59"/>
  <c r="I163" i="59"/>
  <c r="H163" i="59"/>
  <c r="G163" i="59"/>
  <c r="O162" i="59"/>
  <c r="N162" i="59"/>
  <c r="M162" i="59"/>
  <c r="L162" i="59"/>
  <c r="K162" i="59"/>
  <c r="J162" i="59"/>
  <c r="I162" i="59"/>
  <c r="H162" i="59"/>
  <c r="G162" i="59"/>
  <c r="O161" i="59"/>
  <c r="N161" i="59"/>
  <c r="M161" i="59"/>
  <c r="L161" i="59"/>
  <c r="K161" i="59"/>
  <c r="J161" i="59"/>
  <c r="I161" i="59"/>
  <c r="H161" i="59"/>
  <c r="G161" i="59"/>
  <c r="O172" i="59"/>
  <c r="N172" i="59"/>
  <c r="M172" i="59"/>
  <c r="L172" i="59"/>
  <c r="K172" i="59"/>
  <c r="J172" i="59"/>
  <c r="I172" i="59"/>
  <c r="H172" i="59"/>
  <c r="G172" i="59"/>
  <c r="O171" i="59"/>
  <c r="N171" i="59"/>
  <c r="M171" i="59"/>
  <c r="L171" i="59"/>
  <c r="K171" i="59"/>
  <c r="J171" i="59"/>
  <c r="I171" i="59"/>
  <c r="H171" i="59"/>
  <c r="G171" i="59"/>
  <c r="O170" i="59"/>
  <c r="N170" i="59"/>
  <c r="M170" i="59"/>
  <c r="L170" i="59"/>
  <c r="K170" i="59"/>
  <c r="J170" i="59"/>
  <c r="I170" i="59"/>
  <c r="H170" i="59"/>
  <c r="G170" i="59"/>
  <c r="O169" i="59"/>
  <c r="N169" i="59"/>
  <c r="M169" i="59"/>
  <c r="L169" i="59"/>
  <c r="K169" i="59"/>
  <c r="J169" i="59"/>
  <c r="I169" i="59"/>
  <c r="H169" i="59"/>
  <c r="G169" i="59"/>
  <c r="O168" i="59"/>
  <c r="N168" i="59"/>
  <c r="M168" i="59"/>
  <c r="L168" i="59"/>
  <c r="K168" i="59"/>
  <c r="J168" i="59"/>
  <c r="I168" i="59"/>
  <c r="H168" i="59"/>
  <c r="G168" i="59"/>
  <c r="O225" i="59"/>
  <c r="N225" i="59"/>
  <c r="M225" i="59"/>
  <c r="L225" i="59"/>
  <c r="K225" i="59"/>
  <c r="J225" i="59"/>
  <c r="I225" i="59"/>
  <c r="H225" i="59"/>
  <c r="G225" i="59"/>
  <c r="O224" i="59"/>
  <c r="N224" i="59"/>
  <c r="M224" i="59"/>
  <c r="L224" i="59"/>
  <c r="K224" i="59"/>
  <c r="J224" i="59"/>
  <c r="I224" i="59"/>
  <c r="H224" i="59"/>
  <c r="G224" i="59"/>
  <c r="O223" i="59"/>
  <c r="N223" i="59"/>
  <c r="M223" i="59"/>
  <c r="L223" i="59"/>
  <c r="K223" i="59"/>
  <c r="J223" i="59"/>
  <c r="I223" i="59"/>
  <c r="H223" i="59"/>
  <c r="G223" i="59"/>
  <c r="O222" i="59"/>
  <c r="N222" i="59"/>
  <c r="M222" i="59"/>
  <c r="L222" i="59"/>
  <c r="K222" i="59"/>
  <c r="J222" i="59"/>
  <c r="I222" i="59"/>
  <c r="H222" i="59"/>
  <c r="G222" i="59"/>
  <c r="O221" i="59"/>
  <c r="N221" i="59"/>
  <c r="M221" i="59"/>
  <c r="L221" i="59"/>
  <c r="K221" i="59"/>
  <c r="J221" i="59"/>
  <c r="I221" i="59"/>
  <c r="H221" i="59"/>
  <c r="G221" i="59"/>
  <c r="G229" i="59"/>
  <c r="H229" i="59"/>
  <c r="I229" i="59"/>
  <c r="J229" i="59"/>
  <c r="K229" i="59"/>
  <c r="L229" i="59"/>
  <c r="M229" i="59"/>
  <c r="N229" i="59"/>
  <c r="O229" i="59"/>
  <c r="G230" i="59"/>
  <c r="H230" i="59"/>
  <c r="I230" i="59"/>
  <c r="J230" i="59"/>
  <c r="K230" i="59"/>
  <c r="L230" i="59"/>
  <c r="M230" i="59"/>
  <c r="N230" i="59"/>
  <c r="O230" i="59"/>
  <c r="G231" i="59"/>
  <c r="H231" i="59"/>
  <c r="I231" i="59"/>
  <c r="J231" i="59"/>
  <c r="K231" i="59"/>
  <c r="L231" i="59"/>
  <c r="M231" i="59"/>
  <c r="N231" i="59"/>
  <c r="O231" i="59"/>
  <c r="G232" i="59"/>
  <c r="H232" i="59"/>
  <c r="I232" i="59"/>
  <c r="J232" i="59"/>
  <c r="K232" i="59"/>
  <c r="L232" i="59"/>
  <c r="M232" i="59"/>
  <c r="N232" i="59"/>
  <c r="O232" i="59"/>
  <c r="O243" i="59"/>
  <c r="O267" i="59" s="1"/>
  <c r="N243" i="59"/>
  <c r="N267" i="59" s="1"/>
  <c r="M243" i="59"/>
  <c r="M267" i="59" s="1"/>
  <c r="L243" i="59"/>
  <c r="L267" i="59" s="1"/>
  <c r="K243" i="59"/>
  <c r="K267" i="59" s="1"/>
  <c r="J243" i="59"/>
  <c r="J267" i="59" s="1"/>
  <c r="I243" i="59"/>
  <c r="I267" i="59" s="1"/>
  <c r="H243" i="59"/>
  <c r="H267" i="59" s="1"/>
  <c r="G243" i="59"/>
  <c r="G267" i="59" s="1"/>
  <c r="O241" i="59"/>
  <c r="O265" i="59" s="1"/>
  <c r="N241" i="59"/>
  <c r="N265" i="59" s="1"/>
  <c r="M241" i="59"/>
  <c r="M265" i="59" s="1"/>
  <c r="L241" i="59"/>
  <c r="L265" i="59" s="1"/>
  <c r="K241" i="59"/>
  <c r="K265" i="59" s="1"/>
  <c r="J241" i="59"/>
  <c r="J265" i="59" s="1"/>
  <c r="I241" i="59"/>
  <c r="I265" i="59" s="1"/>
  <c r="H241" i="59"/>
  <c r="H265" i="59" s="1"/>
  <c r="G241" i="59"/>
  <c r="G265" i="59" s="1"/>
  <c r="O240" i="59"/>
  <c r="O266" i="59" s="1"/>
  <c r="N240" i="59"/>
  <c r="M240" i="59"/>
  <c r="M266" i="59" s="1"/>
  <c r="L240" i="59"/>
  <c r="K240" i="59"/>
  <c r="K266" i="59" s="1"/>
  <c r="J240" i="59"/>
  <c r="I240" i="59"/>
  <c r="I266" i="59" s="1"/>
  <c r="H240" i="59"/>
  <c r="G240" i="59"/>
  <c r="G266" i="59" s="1"/>
  <c r="O237" i="59"/>
  <c r="O264" i="59" s="1"/>
  <c r="N237" i="59"/>
  <c r="N264" i="59" s="1"/>
  <c r="M237" i="59"/>
  <c r="M264" i="59" s="1"/>
  <c r="L237" i="59"/>
  <c r="L264" i="59" s="1"/>
  <c r="K237" i="59"/>
  <c r="K264" i="59" s="1"/>
  <c r="J237" i="59"/>
  <c r="J264" i="59" s="1"/>
  <c r="I237" i="59"/>
  <c r="I264" i="59" s="1"/>
  <c r="H237" i="59"/>
  <c r="H264" i="59" s="1"/>
  <c r="G237" i="59"/>
  <c r="G264" i="59" s="1"/>
  <c r="O228" i="59"/>
  <c r="N228" i="59"/>
  <c r="M228" i="59"/>
  <c r="L228" i="59"/>
  <c r="K228" i="59"/>
  <c r="J228" i="59"/>
  <c r="I228" i="59"/>
  <c r="H228" i="59"/>
  <c r="G228" i="59"/>
  <c r="O220" i="59"/>
  <c r="N220" i="59"/>
  <c r="M220" i="59"/>
  <c r="L220" i="59"/>
  <c r="K220" i="59"/>
  <c r="J220" i="59"/>
  <c r="I220" i="59"/>
  <c r="H220" i="59"/>
  <c r="G220" i="59"/>
  <c r="O183" i="59"/>
  <c r="O207" i="59" s="1"/>
  <c r="N183" i="59"/>
  <c r="N207" i="59" s="1"/>
  <c r="M183" i="59"/>
  <c r="M207" i="59" s="1"/>
  <c r="L183" i="59"/>
  <c r="L207" i="59" s="1"/>
  <c r="K183" i="59"/>
  <c r="K207" i="59" s="1"/>
  <c r="J183" i="59"/>
  <c r="J207" i="59" s="1"/>
  <c r="I183" i="59"/>
  <c r="I207" i="59" s="1"/>
  <c r="H183" i="59"/>
  <c r="H207" i="59" s="1"/>
  <c r="G183" i="59"/>
  <c r="G207" i="59" s="1"/>
  <c r="O181" i="59"/>
  <c r="O205" i="59" s="1"/>
  <c r="N181" i="59"/>
  <c r="N205" i="59" s="1"/>
  <c r="M181" i="59"/>
  <c r="M205" i="59" s="1"/>
  <c r="L181" i="59"/>
  <c r="L205" i="59" s="1"/>
  <c r="K181" i="59"/>
  <c r="K205" i="59" s="1"/>
  <c r="J181" i="59"/>
  <c r="J205" i="59" s="1"/>
  <c r="I181" i="59"/>
  <c r="I205" i="59" s="1"/>
  <c r="H181" i="59"/>
  <c r="H205" i="59" s="1"/>
  <c r="G181" i="59"/>
  <c r="G205" i="59" s="1"/>
  <c r="O180" i="59"/>
  <c r="O206" i="59" s="1"/>
  <c r="N180" i="59"/>
  <c r="M180" i="59"/>
  <c r="M206" i="59" s="1"/>
  <c r="L180" i="59"/>
  <c r="K180" i="59"/>
  <c r="K206" i="59" s="1"/>
  <c r="J180" i="59"/>
  <c r="I180" i="59"/>
  <c r="I206" i="59" s="1"/>
  <c r="H180" i="59"/>
  <c r="G180" i="59"/>
  <c r="G206" i="59" s="1"/>
  <c r="O177" i="59"/>
  <c r="O204" i="59" s="1"/>
  <c r="N177" i="59"/>
  <c r="N204" i="59" s="1"/>
  <c r="M177" i="59"/>
  <c r="M204" i="59" s="1"/>
  <c r="L177" i="59"/>
  <c r="L204" i="59" s="1"/>
  <c r="K177" i="59"/>
  <c r="K204" i="59" s="1"/>
  <c r="J177" i="59"/>
  <c r="J204" i="59" s="1"/>
  <c r="I177" i="59"/>
  <c r="I204" i="59" s="1"/>
  <c r="H177" i="59"/>
  <c r="H204" i="59" s="1"/>
  <c r="G177" i="59"/>
  <c r="G204" i="59" s="1"/>
  <c r="O160" i="59"/>
  <c r="N160" i="59"/>
  <c r="M160" i="59"/>
  <c r="L160" i="59"/>
  <c r="K160" i="59"/>
  <c r="J160" i="59"/>
  <c r="I160" i="59"/>
  <c r="H160" i="59"/>
  <c r="G160" i="59"/>
  <c r="O128" i="59"/>
  <c r="O147" i="59" s="1"/>
  <c r="N128" i="59"/>
  <c r="N147" i="59" s="1"/>
  <c r="M128" i="59"/>
  <c r="M147" i="59" s="1"/>
  <c r="L128" i="59"/>
  <c r="L147" i="59" s="1"/>
  <c r="K128" i="59"/>
  <c r="K147" i="59" s="1"/>
  <c r="J128" i="59"/>
  <c r="J147" i="59" s="1"/>
  <c r="I128" i="59"/>
  <c r="I147" i="59" s="1"/>
  <c r="H128" i="59"/>
  <c r="H147" i="59" s="1"/>
  <c r="G128" i="59"/>
  <c r="G147" i="59" s="1"/>
  <c r="O126" i="59"/>
  <c r="O145" i="59" s="1"/>
  <c r="N126" i="59"/>
  <c r="M126" i="59"/>
  <c r="M145" i="59" s="1"/>
  <c r="L126" i="59"/>
  <c r="K126" i="59"/>
  <c r="K145" i="59" s="1"/>
  <c r="J126" i="59"/>
  <c r="I126" i="59"/>
  <c r="I145" i="59" s="1"/>
  <c r="H126" i="59"/>
  <c r="G126" i="59"/>
  <c r="G145" i="59" s="1"/>
  <c r="O125" i="59"/>
  <c r="N125" i="59"/>
  <c r="N146" i="59" s="1"/>
  <c r="M125" i="59"/>
  <c r="L125" i="59"/>
  <c r="L146" i="59" s="1"/>
  <c r="K125" i="59"/>
  <c r="J125" i="59"/>
  <c r="J146" i="59" s="1"/>
  <c r="I125" i="59"/>
  <c r="H125" i="59"/>
  <c r="H146" i="59" s="1"/>
  <c r="G125" i="59"/>
  <c r="O117" i="59"/>
  <c r="N117" i="59"/>
  <c r="M117" i="59"/>
  <c r="L117" i="59"/>
  <c r="K117" i="59"/>
  <c r="J117" i="59"/>
  <c r="I117" i="59"/>
  <c r="H117" i="59"/>
  <c r="G117" i="59"/>
  <c r="O115" i="59"/>
  <c r="N115" i="59"/>
  <c r="M115" i="59"/>
  <c r="L115" i="59"/>
  <c r="K115" i="59"/>
  <c r="J115" i="59"/>
  <c r="I115" i="59"/>
  <c r="H115" i="59"/>
  <c r="G115" i="59"/>
  <c r="O114" i="59"/>
  <c r="N114" i="59"/>
  <c r="M114" i="59"/>
  <c r="L114" i="59"/>
  <c r="K114" i="59"/>
  <c r="J114" i="59"/>
  <c r="I114" i="59"/>
  <c r="H114" i="59"/>
  <c r="G114" i="59"/>
  <c r="O108" i="59"/>
  <c r="N108" i="59"/>
  <c r="M108" i="59"/>
  <c r="L108" i="59"/>
  <c r="K108" i="59"/>
  <c r="J108" i="59"/>
  <c r="I108" i="59"/>
  <c r="H108" i="59"/>
  <c r="G108" i="59"/>
  <c r="O107" i="59"/>
  <c r="N107" i="59"/>
  <c r="M107" i="59"/>
  <c r="L107" i="59"/>
  <c r="K107" i="59"/>
  <c r="J107" i="59"/>
  <c r="I107" i="59"/>
  <c r="H107" i="59"/>
  <c r="G107" i="59"/>
  <c r="O106" i="59"/>
  <c r="N106" i="59"/>
  <c r="M106" i="59"/>
  <c r="L106" i="59"/>
  <c r="K106" i="59"/>
  <c r="J106" i="59"/>
  <c r="I106" i="59"/>
  <c r="H106" i="59"/>
  <c r="G106" i="59"/>
  <c r="O105" i="59"/>
  <c r="N105" i="59"/>
  <c r="M105" i="59"/>
  <c r="L105" i="59"/>
  <c r="K105" i="59"/>
  <c r="J105" i="59"/>
  <c r="I105" i="59"/>
  <c r="H105" i="59"/>
  <c r="G105" i="59"/>
  <c r="O104" i="59"/>
  <c r="N104" i="59"/>
  <c r="M104" i="59"/>
  <c r="L104" i="59"/>
  <c r="K104" i="59"/>
  <c r="J104" i="59"/>
  <c r="I104" i="59"/>
  <c r="H104" i="59"/>
  <c r="G104" i="59"/>
  <c r="H96" i="59"/>
  <c r="I96" i="59"/>
  <c r="J96" i="59"/>
  <c r="K96" i="59"/>
  <c r="L96" i="59"/>
  <c r="M96" i="59"/>
  <c r="N96" i="59"/>
  <c r="O96" i="59"/>
  <c r="H97" i="59"/>
  <c r="I97" i="59"/>
  <c r="J97" i="59"/>
  <c r="K97" i="59"/>
  <c r="L97" i="59"/>
  <c r="M97" i="59"/>
  <c r="N97" i="59"/>
  <c r="O97" i="59"/>
  <c r="H98" i="59"/>
  <c r="I98" i="59"/>
  <c r="J98" i="59"/>
  <c r="K98" i="59"/>
  <c r="L98" i="59"/>
  <c r="M98" i="59"/>
  <c r="N98" i="59"/>
  <c r="O98" i="59"/>
  <c r="H99" i="59"/>
  <c r="I99" i="59"/>
  <c r="J99" i="59"/>
  <c r="K99" i="59"/>
  <c r="L99" i="59"/>
  <c r="M99" i="59"/>
  <c r="N99" i="59"/>
  <c r="O99" i="59"/>
  <c r="H100" i="59"/>
  <c r="I100" i="59"/>
  <c r="J100" i="59"/>
  <c r="K100" i="59"/>
  <c r="L100" i="59"/>
  <c r="M100" i="59"/>
  <c r="N100" i="59"/>
  <c r="O100" i="59"/>
  <c r="H101" i="59"/>
  <c r="I101" i="59"/>
  <c r="J101" i="59"/>
  <c r="K101" i="59"/>
  <c r="L101" i="59"/>
  <c r="M101" i="59"/>
  <c r="N101" i="59"/>
  <c r="O101" i="59"/>
  <c r="G97" i="59"/>
  <c r="G98" i="59"/>
  <c r="G99" i="59"/>
  <c r="G100" i="59"/>
  <c r="G101" i="59"/>
  <c r="G96" i="59"/>
  <c r="O66" i="59"/>
  <c r="O88" i="59" s="1"/>
  <c r="J66" i="59"/>
  <c r="J88" i="59" s="1"/>
  <c r="H66" i="59"/>
  <c r="H88" i="59" s="1"/>
  <c r="O55" i="59"/>
  <c r="O87" i="59" s="1"/>
  <c r="J55" i="59"/>
  <c r="J87" i="59" s="1"/>
  <c r="H55" i="59"/>
  <c r="H87" i="59" s="1"/>
  <c r="O64" i="59"/>
  <c r="O83" i="59" s="1"/>
  <c r="N64" i="59"/>
  <c r="N83" i="59" s="1"/>
  <c r="M64" i="59"/>
  <c r="M83" i="59" s="1"/>
  <c r="L64" i="59"/>
  <c r="L83" i="59" s="1"/>
  <c r="K64" i="59"/>
  <c r="K83" i="59" s="1"/>
  <c r="J64" i="59"/>
  <c r="J83" i="59" s="1"/>
  <c r="I64" i="59"/>
  <c r="I83" i="59" s="1"/>
  <c r="H64" i="59"/>
  <c r="H83" i="59" s="1"/>
  <c r="G64" i="59"/>
  <c r="G83" i="59" s="1"/>
  <c r="O62" i="59"/>
  <c r="O81" i="59" s="1"/>
  <c r="N62" i="59"/>
  <c r="N81" i="59" s="1"/>
  <c r="M62" i="59"/>
  <c r="M81" i="59" s="1"/>
  <c r="L62" i="59"/>
  <c r="L81" i="59" s="1"/>
  <c r="K62" i="59"/>
  <c r="K81" i="59" s="1"/>
  <c r="J62" i="59"/>
  <c r="J81" i="59" s="1"/>
  <c r="I62" i="59"/>
  <c r="I81" i="59" s="1"/>
  <c r="H62" i="59"/>
  <c r="H81" i="59" s="1"/>
  <c r="G62" i="59"/>
  <c r="G81" i="59" s="1"/>
  <c r="O61" i="59"/>
  <c r="O82" i="59" s="1"/>
  <c r="N61" i="59"/>
  <c r="N82" i="59" s="1"/>
  <c r="M61" i="59"/>
  <c r="M82" i="59" s="1"/>
  <c r="L61" i="59"/>
  <c r="L82" i="59" s="1"/>
  <c r="K61" i="59"/>
  <c r="K82" i="59" s="1"/>
  <c r="J61" i="59"/>
  <c r="J82" i="59" s="1"/>
  <c r="I61" i="59"/>
  <c r="I82" i="59" s="1"/>
  <c r="H61" i="59"/>
  <c r="H82" i="59" s="1"/>
  <c r="G61" i="59"/>
  <c r="G82" i="59" s="1"/>
  <c r="O53" i="59"/>
  <c r="N53" i="59"/>
  <c r="M53" i="59"/>
  <c r="L53" i="59"/>
  <c r="K53" i="59"/>
  <c r="J53" i="59"/>
  <c r="I53" i="59"/>
  <c r="H53" i="59"/>
  <c r="G53" i="59"/>
  <c r="O51" i="59"/>
  <c r="N51" i="59"/>
  <c r="M51" i="59"/>
  <c r="L51" i="59"/>
  <c r="K51" i="59"/>
  <c r="J51" i="59"/>
  <c r="I51" i="59"/>
  <c r="H51" i="59"/>
  <c r="G51" i="59"/>
  <c r="O50" i="59"/>
  <c r="N50" i="59"/>
  <c r="M50" i="59"/>
  <c r="L50" i="59"/>
  <c r="K50" i="59"/>
  <c r="J50" i="59"/>
  <c r="I50" i="59"/>
  <c r="H50" i="59"/>
  <c r="G50" i="59"/>
  <c r="O44" i="59"/>
  <c r="N44" i="59"/>
  <c r="M44" i="59"/>
  <c r="L44" i="59"/>
  <c r="K44" i="59"/>
  <c r="J44" i="59"/>
  <c r="I44" i="59"/>
  <c r="H44" i="59"/>
  <c r="G44" i="59"/>
  <c r="O43" i="59"/>
  <c r="N43" i="59"/>
  <c r="M43" i="59"/>
  <c r="L43" i="59"/>
  <c r="K43" i="59"/>
  <c r="J43" i="59"/>
  <c r="I43" i="59"/>
  <c r="H43" i="59"/>
  <c r="G43" i="59"/>
  <c r="O42" i="59"/>
  <c r="N42" i="59"/>
  <c r="M42" i="59"/>
  <c r="L42" i="59"/>
  <c r="K42" i="59"/>
  <c r="J42" i="59"/>
  <c r="I42" i="59"/>
  <c r="H42" i="59"/>
  <c r="G42" i="59"/>
  <c r="O41" i="59"/>
  <c r="N41" i="59"/>
  <c r="M41" i="59"/>
  <c r="L41" i="59"/>
  <c r="K41" i="59"/>
  <c r="J41" i="59"/>
  <c r="I41" i="59"/>
  <c r="H41" i="59"/>
  <c r="G41" i="59"/>
  <c r="O40" i="59"/>
  <c r="N40" i="59"/>
  <c r="M40" i="59"/>
  <c r="L40" i="59"/>
  <c r="K40" i="59"/>
  <c r="J40" i="59"/>
  <c r="I40" i="59"/>
  <c r="H40" i="59"/>
  <c r="G40" i="59"/>
  <c r="H32" i="59"/>
  <c r="I32" i="59"/>
  <c r="J32" i="59"/>
  <c r="K32" i="59"/>
  <c r="L32" i="59"/>
  <c r="M32" i="59"/>
  <c r="N32" i="59"/>
  <c r="O32" i="59"/>
  <c r="H33" i="59"/>
  <c r="I33" i="59"/>
  <c r="J33" i="59"/>
  <c r="K33" i="59"/>
  <c r="L33" i="59"/>
  <c r="M33" i="59"/>
  <c r="N33" i="59"/>
  <c r="O33" i="59"/>
  <c r="H34" i="59"/>
  <c r="I34" i="59"/>
  <c r="J34" i="59"/>
  <c r="K34" i="59"/>
  <c r="L34" i="59"/>
  <c r="M34" i="59"/>
  <c r="N34" i="59"/>
  <c r="O34" i="59"/>
  <c r="H35" i="59"/>
  <c r="I35" i="59"/>
  <c r="J35" i="59"/>
  <c r="K35" i="59"/>
  <c r="L35" i="59"/>
  <c r="M35" i="59"/>
  <c r="N35" i="59"/>
  <c r="O35" i="59"/>
  <c r="H36" i="59"/>
  <c r="I36" i="59"/>
  <c r="J36" i="59"/>
  <c r="K36" i="59"/>
  <c r="L36" i="59"/>
  <c r="M36" i="59"/>
  <c r="N36" i="59"/>
  <c r="O36" i="59"/>
  <c r="H37" i="59"/>
  <c r="I37" i="59"/>
  <c r="J37" i="59"/>
  <c r="K37" i="59"/>
  <c r="L37" i="59"/>
  <c r="M37" i="59"/>
  <c r="N37" i="59"/>
  <c r="O37" i="59"/>
  <c r="G33" i="59"/>
  <c r="G34" i="59"/>
  <c r="G35" i="59"/>
  <c r="G36" i="59"/>
  <c r="G37" i="59"/>
  <c r="G32" i="59"/>
  <c r="F478" i="58"/>
  <c r="F475" i="58"/>
  <c r="F474" i="58"/>
  <c r="F473" i="58"/>
  <c r="F472" i="58"/>
  <c r="F471" i="58"/>
  <c r="F470" i="58"/>
  <c r="F469" i="58"/>
  <c r="F468" i="58"/>
  <c r="F467" i="58"/>
  <c r="F466" i="58"/>
  <c r="F463" i="58"/>
  <c r="F462" i="58"/>
  <c r="F461" i="58"/>
  <c r="F460" i="58"/>
  <c r="F459" i="58"/>
  <c r="F458" i="58"/>
  <c r="F457" i="58"/>
  <c r="F456" i="58"/>
  <c r="F455" i="58"/>
  <c r="F454" i="58"/>
  <c r="F448" i="58"/>
  <c r="F445" i="58"/>
  <c r="F444" i="58"/>
  <c r="F443" i="58"/>
  <c r="F442" i="58"/>
  <c r="F439" i="58"/>
  <c r="F438" i="58"/>
  <c r="F437" i="58"/>
  <c r="F436" i="58"/>
  <c r="F430" i="58"/>
  <c r="F427" i="58"/>
  <c r="F426" i="58"/>
  <c r="F425" i="58"/>
  <c r="F424" i="58"/>
  <c r="F421" i="58"/>
  <c r="F420" i="58"/>
  <c r="F419" i="58"/>
  <c r="F418" i="58"/>
  <c r="F410" i="58"/>
  <c r="F407" i="58"/>
  <c r="F406" i="58"/>
  <c r="F405" i="58"/>
  <c r="F404" i="58"/>
  <c r="F403" i="58"/>
  <c r="F402" i="58"/>
  <c r="F401" i="58"/>
  <c r="F400" i="58"/>
  <c r="F399" i="58"/>
  <c r="F398" i="58"/>
  <c r="F395" i="58"/>
  <c r="F394" i="58"/>
  <c r="F393" i="58"/>
  <c r="F392" i="58"/>
  <c r="F391" i="58"/>
  <c r="F390" i="58"/>
  <c r="F389" i="58"/>
  <c r="F388" i="58"/>
  <c r="F387" i="58"/>
  <c r="F386" i="58"/>
  <c r="F380" i="58"/>
  <c r="F377" i="58"/>
  <c r="F376" i="58"/>
  <c r="F375" i="58"/>
  <c r="F374" i="58"/>
  <c r="F371" i="58"/>
  <c r="F370" i="58"/>
  <c r="F369" i="58"/>
  <c r="F368" i="58"/>
  <c r="F360" i="58"/>
  <c r="F357" i="58"/>
  <c r="F356" i="58"/>
  <c r="F355" i="58"/>
  <c r="F354" i="58"/>
  <c r="F353" i="58"/>
  <c r="F352" i="58"/>
  <c r="F351" i="58"/>
  <c r="F350" i="58"/>
  <c r="F349" i="58"/>
  <c r="F348" i="58"/>
  <c r="F345" i="58"/>
  <c r="F344" i="58"/>
  <c r="F343" i="58"/>
  <c r="F342" i="58"/>
  <c r="F341" i="58"/>
  <c r="F340" i="58"/>
  <c r="F339" i="58"/>
  <c r="F338" i="58"/>
  <c r="F337" i="58"/>
  <c r="F336" i="58"/>
  <c r="F330" i="58"/>
  <c r="F327" i="58"/>
  <c r="F326" i="58"/>
  <c r="F325" i="58"/>
  <c r="F324" i="58"/>
  <c r="F321" i="58"/>
  <c r="F320" i="58"/>
  <c r="F319" i="58"/>
  <c r="F318" i="58"/>
  <c r="F312" i="58"/>
  <c r="F309" i="58"/>
  <c r="F308" i="58"/>
  <c r="F307" i="58"/>
  <c r="F306" i="58"/>
  <c r="F303" i="58"/>
  <c r="F302" i="58"/>
  <c r="F301" i="58"/>
  <c r="F300" i="58"/>
  <c r="F292" i="58"/>
  <c r="F289" i="58"/>
  <c r="F288" i="58"/>
  <c r="F287" i="58"/>
  <c r="F286" i="58"/>
  <c r="F285" i="58"/>
  <c r="F284" i="58"/>
  <c r="F283" i="58"/>
  <c r="F282" i="58"/>
  <c r="F281" i="58"/>
  <c r="F280" i="58"/>
  <c r="F277" i="58"/>
  <c r="F276" i="58"/>
  <c r="F275" i="58"/>
  <c r="F274" i="58"/>
  <c r="F273" i="58"/>
  <c r="F272" i="58"/>
  <c r="F271" i="58"/>
  <c r="F270" i="58"/>
  <c r="F269" i="58"/>
  <c r="F268" i="58"/>
  <c r="F262" i="58"/>
  <c r="F259" i="58"/>
  <c r="F258" i="58"/>
  <c r="F257" i="58"/>
  <c r="F256" i="58"/>
  <c r="F253" i="58"/>
  <c r="F252" i="58"/>
  <c r="F251" i="58"/>
  <c r="F250" i="58"/>
  <c r="F242" i="58"/>
  <c r="F239" i="58"/>
  <c r="F238" i="58"/>
  <c r="F237" i="58"/>
  <c r="F236" i="58"/>
  <c r="F235" i="58"/>
  <c r="F234" i="58"/>
  <c r="F233" i="58"/>
  <c r="F232" i="58"/>
  <c r="F231" i="58"/>
  <c r="F230" i="58"/>
  <c r="F227" i="58"/>
  <c r="F226" i="58"/>
  <c r="F225" i="58"/>
  <c r="F224" i="58"/>
  <c r="F223" i="58"/>
  <c r="F222" i="58"/>
  <c r="F221" i="58"/>
  <c r="F220" i="58"/>
  <c r="F219" i="58"/>
  <c r="F218" i="58"/>
  <c r="F212" i="58"/>
  <c r="F209" i="58"/>
  <c r="F208" i="58"/>
  <c r="F207" i="58"/>
  <c r="F206" i="58"/>
  <c r="F203" i="58"/>
  <c r="F202" i="58"/>
  <c r="F201" i="58"/>
  <c r="F200" i="58"/>
  <c r="F194" i="58"/>
  <c r="F191" i="58"/>
  <c r="F190" i="58"/>
  <c r="F189" i="58"/>
  <c r="F188" i="58"/>
  <c r="F185" i="58"/>
  <c r="F184" i="58"/>
  <c r="F183" i="58"/>
  <c r="F182" i="58"/>
  <c r="F174" i="58"/>
  <c r="F171" i="58"/>
  <c r="F170" i="58"/>
  <c r="F169" i="58"/>
  <c r="F168" i="58"/>
  <c r="F167" i="58"/>
  <c r="F166" i="58"/>
  <c r="F165" i="58"/>
  <c r="F164" i="58"/>
  <c r="F163" i="58"/>
  <c r="F162" i="58"/>
  <c r="F159" i="58"/>
  <c r="F158" i="58"/>
  <c r="F157" i="58"/>
  <c r="F156" i="58"/>
  <c r="F155" i="58"/>
  <c r="F154" i="58"/>
  <c r="F153" i="58"/>
  <c r="F152" i="58"/>
  <c r="F151" i="58"/>
  <c r="F150" i="58"/>
  <c r="F144" i="58"/>
  <c r="F141" i="58"/>
  <c r="F140" i="58"/>
  <c r="F139" i="58"/>
  <c r="F138" i="58"/>
  <c r="F135" i="58"/>
  <c r="F134" i="58"/>
  <c r="F133" i="58"/>
  <c r="F132" i="58"/>
  <c r="F14" i="58"/>
  <c r="F15" i="58"/>
  <c r="F16" i="58"/>
  <c r="F17" i="58"/>
  <c r="F20" i="58"/>
  <c r="F21" i="58"/>
  <c r="F22" i="58"/>
  <c r="F23" i="58"/>
  <c r="F26" i="58"/>
  <c r="F32" i="58"/>
  <c r="F33" i="58"/>
  <c r="F34" i="58"/>
  <c r="F35" i="58"/>
  <c r="F36" i="58"/>
  <c r="F37" i="58"/>
  <c r="F38" i="58"/>
  <c r="F39" i="58"/>
  <c r="F40" i="58"/>
  <c r="F41" i="58"/>
  <c r="F44" i="58"/>
  <c r="F45" i="58"/>
  <c r="F46" i="58"/>
  <c r="F47" i="58"/>
  <c r="F48" i="58"/>
  <c r="F49" i="58"/>
  <c r="F50" i="58"/>
  <c r="F51" i="58"/>
  <c r="F52" i="58"/>
  <c r="F53" i="58"/>
  <c r="F56" i="58"/>
  <c r="F64" i="58"/>
  <c r="F65" i="58"/>
  <c r="F66" i="58"/>
  <c r="F67" i="58"/>
  <c r="F70" i="58"/>
  <c r="F71" i="58"/>
  <c r="F72" i="58"/>
  <c r="F73" i="58"/>
  <c r="F76" i="58"/>
  <c r="F82" i="58"/>
  <c r="F83" i="58"/>
  <c r="F84" i="58"/>
  <c r="F85" i="58"/>
  <c r="F88" i="58"/>
  <c r="F89" i="58"/>
  <c r="F90" i="58"/>
  <c r="F91" i="58"/>
  <c r="F94" i="58"/>
  <c r="F100" i="58"/>
  <c r="F101" i="58"/>
  <c r="F102" i="58"/>
  <c r="F103" i="58"/>
  <c r="F104" i="58"/>
  <c r="F105" i="58"/>
  <c r="F106" i="58"/>
  <c r="F107" i="58"/>
  <c r="F108" i="58"/>
  <c r="F109" i="58"/>
  <c r="F112" i="58"/>
  <c r="F113" i="58"/>
  <c r="F114" i="58"/>
  <c r="F115" i="58"/>
  <c r="F116" i="58"/>
  <c r="F117" i="58"/>
  <c r="F118" i="58"/>
  <c r="F119" i="58"/>
  <c r="F120" i="58"/>
  <c r="F121" i="58"/>
  <c r="F124" i="58"/>
  <c r="O359" i="50"/>
  <c r="O424" i="60" s="1"/>
  <c r="O439" i="60" s="1"/>
  <c r="J424" i="60"/>
  <c r="J439" i="60" s="1"/>
  <c r="F357" i="50"/>
  <c r="F356" i="50"/>
  <c r="F355" i="50"/>
  <c r="F352" i="50"/>
  <c r="F351" i="50"/>
  <c r="F348" i="50"/>
  <c r="F344" i="50"/>
  <c r="F343" i="50"/>
  <c r="O335" i="50"/>
  <c r="O402" i="60" s="1"/>
  <c r="O417" i="60" s="1"/>
  <c r="J402" i="60"/>
  <c r="J417" i="60" s="1"/>
  <c r="F333" i="50"/>
  <c r="F332" i="50"/>
  <c r="F331" i="50"/>
  <c r="F328" i="50"/>
  <c r="F327" i="50"/>
  <c r="F324" i="50"/>
  <c r="F323" i="50"/>
  <c r="F320" i="50"/>
  <c r="F319" i="50"/>
  <c r="O311" i="50"/>
  <c r="O380" i="60" s="1"/>
  <c r="O395" i="60" s="1"/>
  <c r="J380" i="60"/>
  <c r="J395" i="60" s="1"/>
  <c r="F309" i="50"/>
  <c r="F308" i="50"/>
  <c r="F307" i="50"/>
  <c r="F304" i="50"/>
  <c r="F303" i="50"/>
  <c r="F300" i="50"/>
  <c r="F299" i="50"/>
  <c r="F296" i="50"/>
  <c r="F295" i="50"/>
  <c r="H358" i="60"/>
  <c r="J287" i="50"/>
  <c r="J358" i="60" s="1"/>
  <c r="J373" i="60" s="1"/>
  <c r="O287" i="50"/>
  <c r="O358" i="60" s="1"/>
  <c r="O373" i="60" s="1"/>
  <c r="F285" i="50"/>
  <c r="F284" i="50"/>
  <c r="F283" i="50"/>
  <c r="F280" i="50"/>
  <c r="F279" i="50"/>
  <c r="F276" i="50"/>
  <c r="F275" i="50"/>
  <c r="F272" i="50"/>
  <c r="F271" i="50"/>
  <c r="F167" i="41"/>
  <c r="F165" i="41"/>
  <c r="F160" i="41"/>
  <c r="F158" i="41"/>
  <c r="F157" i="41"/>
  <c r="F154" i="41"/>
  <c r="F149" i="41"/>
  <c r="F148" i="41"/>
  <c r="F147" i="41"/>
  <c r="F146" i="41"/>
  <c r="F145" i="41"/>
  <c r="F142" i="41"/>
  <c r="F141" i="41"/>
  <c r="F140" i="41"/>
  <c r="F139" i="41"/>
  <c r="F138" i="41"/>
  <c r="F137" i="41"/>
  <c r="F108" i="41"/>
  <c r="F109" i="41"/>
  <c r="F110" i="41"/>
  <c r="F111" i="41"/>
  <c r="F129" i="41"/>
  <c r="F127" i="41"/>
  <c r="F122" i="41"/>
  <c r="F120" i="41"/>
  <c r="F119" i="41"/>
  <c r="F116" i="41"/>
  <c r="F107" i="41"/>
  <c r="F104" i="41"/>
  <c r="F100" i="41"/>
  <c r="F101" i="41"/>
  <c r="F102" i="41"/>
  <c r="F103" i="41"/>
  <c r="F99" i="41"/>
  <c r="F91" i="41"/>
  <c r="F89" i="41"/>
  <c r="F87" i="41"/>
  <c r="F86" i="41"/>
  <c r="F80" i="41"/>
  <c r="F78" i="41"/>
  <c r="F76" i="41"/>
  <c r="F75" i="41"/>
  <c r="F69" i="41"/>
  <c r="F66" i="41"/>
  <c r="F67" i="41"/>
  <c r="F68" i="41"/>
  <c r="F65" i="41"/>
  <c r="F58" i="41"/>
  <c r="F59" i="41"/>
  <c r="F60" i="41"/>
  <c r="F61" i="41"/>
  <c r="F62" i="41"/>
  <c r="F57" i="41"/>
  <c r="F48" i="41"/>
  <c r="F46" i="41"/>
  <c r="F44" i="41"/>
  <c r="F43" i="41"/>
  <c r="F37" i="41"/>
  <c r="F35" i="41"/>
  <c r="F33" i="41"/>
  <c r="F32" i="41"/>
  <c r="F26" i="41"/>
  <c r="F25" i="41"/>
  <c r="F24" i="41"/>
  <c r="F23" i="41"/>
  <c r="F22" i="41"/>
  <c r="F15" i="41"/>
  <c r="F16" i="41"/>
  <c r="F17" i="41"/>
  <c r="F18" i="41"/>
  <c r="F19" i="41"/>
  <c r="F14" i="41"/>
  <c r="O485" i="39"/>
  <c r="J485" i="39"/>
  <c r="H485" i="39"/>
  <c r="O484" i="39"/>
  <c r="J484" i="39"/>
  <c r="H484" i="39"/>
  <c r="F484" i="39" s="1"/>
  <c r="O483" i="39"/>
  <c r="J483" i="39"/>
  <c r="H483" i="39"/>
  <c r="O480" i="39"/>
  <c r="J480" i="39"/>
  <c r="H480" i="39"/>
  <c r="O479" i="39"/>
  <c r="J479" i="39"/>
  <c r="H479" i="39"/>
  <c r="F479" i="39" s="1"/>
  <c r="J476" i="39"/>
  <c r="H476" i="39"/>
  <c r="O475" i="39"/>
  <c r="O472" i="39"/>
  <c r="J472" i="39"/>
  <c r="H472" i="39"/>
  <c r="O471" i="39"/>
  <c r="J471" i="39"/>
  <c r="H471" i="39"/>
  <c r="F471" i="39" s="1"/>
  <c r="F465" i="39"/>
  <c r="F464" i="39"/>
  <c r="F463" i="39"/>
  <c r="F460" i="39"/>
  <c r="F459" i="39"/>
  <c r="F452" i="39"/>
  <c r="F451" i="39"/>
  <c r="F445" i="39"/>
  <c r="F444" i="39"/>
  <c r="F443" i="39"/>
  <c r="F440" i="39"/>
  <c r="F439" i="39"/>
  <c r="F436" i="39"/>
  <c r="O425" i="39"/>
  <c r="J425" i="39"/>
  <c r="H425" i="39"/>
  <c r="F425" i="39" s="1"/>
  <c r="O424" i="39"/>
  <c r="J424" i="39"/>
  <c r="H424" i="39"/>
  <c r="O423" i="39"/>
  <c r="J423" i="39"/>
  <c r="H423" i="39"/>
  <c r="F423" i="39" s="1"/>
  <c r="O420" i="39"/>
  <c r="J420" i="39"/>
  <c r="H420" i="39"/>
  <c r="O419" i="39"/>
  <c r="J419" i="39"/>
  <c r="H419" i="39"/>
  <c r="F419" i="39" s="1"/>
  <c r="O416" i="39"/>
  <c r="J416" i="39"/>
  <c r="H416" i="39"/>
  <c r="O415" i="39"/>
  <c r="J415" i="39"/>
  <c r="H415" i="39"/>
  <c r="O412" i="39"/>
  <c r="J412" i="39"/>
  <c r="H412" i="39"/>
  <c r="O411" i="39"/>
  <c r="J411" i="39"/>
  <c r="H411" i="39"/>
  <c r="H427" i="39" s="1"/>
  <c r="F405" i="39"/>
  <c r="F404" i="39"/>
  <c r="F403" i="39"/>
  <c r="F400" i="39"/>
  <c r="F399" i="39"/>
  <c r="F396" i="39"/>
  <c r="F395" i="39"/>
  <c r="F392" i="39"/>
  <c r="F391" i="39"/>
  <c r="F385" i="39"/>
  <c r="F384" i="39"/>
  <c r="F383" i="39"/>
  <c r="F380" i="39"/>
  <c r="F379" i="39"/>
  <c r="F376" i="39"/>
  <c r="F375" i="39"/>
  <c r="O365" i="39"/>
  <c r="J365" i="39"/>
  <c r="H365" i="39"/>
  <c r="O364" i="39"/>
  <c r="J364" i="39"/>
  <c r="H364" i="39"/>
  <c r="F364" i="39" s="1"/>
  <c r="O363" i="39"/>
  <c r="J363" i="39"/>
  <c r="H363" i="39"/>
  <c r="O360" i="39"/>
  <c r="J360" i="39"/>
  <c r="H360" i="39"/>
  <c r="F360" i="39" s="1"/>
  <c r="O359" i="39"/>
  <c r="J359" i="39"/>
  <c r="H359" i="39"/>
  <c r="O356" i="39"/>
  <c r="J356" i="39"/>
  <c r="H356" i="39"/>
  <c r="O355" i="39"/>
  <c r="J355" i="39"/>
  <c r="H355" i="39"/>
  <c r="O352" i="39"/>
  <c r="J352" i="39"/>
  <c r="H352" i="39"/>
  <c r="F352" i="39" s="1"/>
  <c r="O351" i="39"/>
  <c r="J351" i="39"/>
  <c r="J367" i="39" s="1"/>
  <c r="J388" i="17" s="1"/>
  <c r="H351" i="39"/>
  <c r="F345" i="39"/>
  <c r="F344" i="39"/>
  <c r="F343" i="39"/>
  <c r="F340" i="39"/>
  <c r="F339" i="39"/>
  <c r="F336" i="39"/>
  <c r="F335" i="39"/>
  <c r="F332" i="39"/>
  <c r="F331" i="39"/>
  <c r="F325" i="39"/>
  <c r="F324" i="39"/>
  <c r="F323" i="39"/>
  <c r="F320" i="39"/>
  <c r="F319" i="39"/>
  <c r="F316" i="39"/>
  <c r="F315" i="39"/>
  <c r="O305" i="39"/>
  <c r="J305" i="39"/>
  <c r="H305" i="39"/>
  <c r="F305" i="39" s="1"/>
  <c r="O304" i="39"/>
  <c r="J304" i="39"/>
  <c r="H304" i="39"/>
  <c r="O303" i="39"/>
  <c r="J303" i="39"/>
  <c r="H303" i="39"/>
  <c r="O300" i="39"/>
  <c r="J300" i="39"/>
  <c r="H300" i="39"/>
  <c r="O299" i="39"/>
  <c r="J299" i="39"/>
  <c r="H299" i="39"/>
  <c r="F299" i="39" s="1"/>
  <c r="O296" i="39"/>
  <c r="J296" i="39"/>
  <c r="H296" i="39"/>
  <c r="O295" i="39"/>
  <c r="J295" i="39"/>
  <c r="H295" i="39"/>
  <c r="O292" i="39"/>
  <c r="J292" i="39"/>
  <c r="H292" i="39"/>
  <c r="O291" i="39"/>
  <c r="O307" i="39" s="1"/>
  <c r="O366" i="17" s="1"/>
  <c r="O381" i="17" s="1"/>
  <c r="J291" i="39"/>
  <c r="H291" i="39"/>
  <c r="H307" i="39" s="1"/>
  <c r="H366" i="17" s="1"/>
  <c r="F285" i="39"/>
  <c r="F284" i="39"/>
  <c r="F283" i="39"/>
  <c r="F280" i="39"/>
  <c r="F279" i="39"/>
  <c r="F276" i="39"/>
  <c r="F275" i="39"/>
  <c r="F272" i="39"/>
  <c r="F271" i="39"/>
  <c r="F265" i="39"/>
  <c r="F264" i="39"/>
  <c r="F263" i="39"/>
  <c r="F260" i="39"/>
  <c r="F259" i="39"/>
  <c r="F256" i="39"/>
  <c r="F255" i="39"/>
  <c r="F122" i="30" l="1"/>
  <c r="F211" i="59"/>
  <c r="F271" i="59"/>
  <c r="H196" i="59"/>
  <c r="J196" i="59"/>
  <c r="L196" i="59"/>
  <c r="N196" i="59"/>
  <c r="E24" i="84"/>
  <c r="H170" i="76"/>
  <c r="E24" i="91"/>
  <c r="O170" i="76"/>
  <c r="J71" i="83"/>
  <c r="G183" i="76"/>
  <c r="J69" i="83"/>
  <c r="G181" i="76"/>
  <c r="J71" i="90"/>
  <c r="N183" i="76"/>
  <c r="J71" i="88"/>
  <c r="L183" i="76"/>
  <c r="J71" i="86"/>
  <c r="J183" i="76"/>
  <c r="J71" i="84"/>
  <c r="H183" i="76"/>
  <c r="J70" i="90"/>
  <c r="N182" i="76"/>
  <c r="J70" i="88"/>
  <c r="L182" i="76"/>
  <c r="J70" i="86"/>
  <c r="J182" i="76"/>
  <c r="J70" i="84"/>
  <c r="H182" i="76"/>
  <c r="J69" i="90"/>
  <c r="N181" i="76"/>
  <c r="J69" i="88"/>
  <c r="L181" i="76"/>
  <c r="J69" i="86"/>
  <c r="J181" i="76"/>
  <c r="J69" i="84"/>
  <c r="H181" i="76"/>
  <c r="J68" i="90"/>
  <c r="N180" i="76"/>
  <c r="J68" i="88"/>
  <c r="L180" i="76"/>
  <c r="J68" i="86"/>
  <c r="J180" i="76"/>
  <c r="J68" i="84"/>
  <c r="H180" i="76"/>
  <c r="J74" i="84"/>
  <c r="H186" i="76"/>
  <c r="J74" i="86"/>
  <c r="J186" i="76"/>
  <c r="J74" i="88"/>
  <c r="L186" i="76"/>
  <c r="J74" i="90"/>
  <c r="N186" i="76"/>
  <c r="J75" i="83"/>
  <c r="G187" i="76"/>
  <c r="J75" i="85"/>
  <c r="I187" i="76"/>
  <c r="J75" i="87"/>
  <c r="K187" i="76"/>
  <c r="J75" i="89"/>
  <c r="M187" i="76"/>
  <c r="J75" i="91"/>
  <c r="O187" i="76"/>
  <c r="J76" i="84"/>
  <c r="H188" i="76"/>
  <c r="J76" i="86"/>
  <c r="J188" i="76"/>
  <c r="J76" i="88"/>
  <c r="L188" i="76"/>
  <c r="J76" i="90"/>
  <c r="N188" i="76"/>
  <c r="J77" i="83"/>
  <c r="G189" i="76"/>
  <c r="J77" i="85"/>
  <c r="I189" i="76"/>
  <c r="J77" i="87"/>
  <c r="K189" i="76"/>
  <c r="J77" i="89"/>
  <c r="M189" i="76"/>
  <c r="J77" i="91"/>
  <c r="O189" i="76"/>
  <c r="J39" i="84"/>
  <c r="H198" i="76"/>
  <c r="J39" i="86"/>
  <c r="J198" i="76"/>
  <c r="J39" i="88"/>
  <c r="L198" i="76"/>
  <c r="J39" i="90"/>
  <c r="N198" i="76"/>
  <c r="J40" i="83"/>
  <c r="G199" i="76"/>
  <c r="J40" i="85"/>
  <c r="I199" i="76"/>
  <c r="J40" i="87"/>
  <c r="K199" i="76"/>
  <c r="J40" i="89"/>
  <c r="M199" i="76"/>
  <c r="J40" i="91"/>
  <c r="O199" i="76"/>
  <c r="J41" i="84"/>
  <c r="H200" i="76"/>
  <c r="J41" i="88"/>
  <c r="L200" i="76"/>
  <c r="J41" i="90"/>
  <c r="N200" i="76"/>
  <c r="J42" i="83"/>
  <c r="G201" i="76"/>
  <c r="J42" i="85"/>
  <c r="I201" i="76"/>
  <c r="J42" i="87"/>
  <c r="K201" i="76"/>
  <c r="J42" i="89"/>
  <c r="M201" i="76"/>
  <c r="J42" i="91"/>
  <c r="O201" i="76"/>
  <c r="J43" i="84"/>
  <c r="H202" i="76"/>
  <c r="J43" i="86"/>
  <c r="J202" i="76"/>
  <c r="J43" i="88"/>
  <c r="L202" i="76"/>
  <c r="J43" i="90"/>
  <c r="N202" i="76"/>
  <c r="J44" i="83"/>
  <c r="G203" i="76"/>
  <c r="J44" i="85"/>
  <c r="I203" i="76"/>
  <c r="J44" i="87"/>
  <c r="K203" i="76"/>
  <c r="J44" i="89"/>
  <c r="M203" i="76"/>
  <c r="J44" i="91"/>
  <c r="O203" i="76"/>
  <c r="J45" i="84"/>
  <c r="H204" i="76"/>
  <c r="J45" i="86"/>
  <c r="J204" i="76"/>
  <c r="J45" i="88"/>
  <c r="L204" i="76"/>
  <c r="J45" i="90"/>
  <c r="N204" i="76"/>
  <c r="J46" i="83"/>
  <c r="G205" i="76"/>
  <c r="J46" i="85"/>
  <c r="I205" i="76"/>
  <c r="J46" i="87"/>
  <c r="K205" i="76"/>
  <c r="J46" i="89"/>
  <c r="M205" i="76"/>
  <c r="J46" i="91"/>
  <c r="O205" i="76"/>
  <c r="J47" i="84"/>
  <c r="H206" i="76"/>
  <c r="J47" i="86"/>
  <c r="J206" i="76"/>
  <c r="J47" i="88"/>
  <c r="L206" i="76"/>
  <c r="J47" i="90"/>
  <c r="N206" i="76"/>
  <c r="J48" i="83"/>
  <c r="G207" i="76"/>
  <c r="J48" i="85"/>
  <c r="I207" i="76"/>
  <c r="J48" i="87"/>
  <c r="K207" i="76"/>
  <c r="J48" i="89"/>
  <c r="M207" i="76"/>
  <c r="J48" i="91"/>
  <c r="O207" i="76"/>
  <c r="J51" i="84"/>
  <c r="H210" i="76"/>
  <c r="J51" i="86"/>
  <c r="J210" i="76"/>
  <c r="J51" i="88"/>
  <c r="L210" i="76"/>
  <c r="J51" i="90"/>
  <c r="N210" i="76"/>
  <c r="J52" i="83"/>
  <c r="G211" i="76"/>
  <c r="J52" i="85"/>
  <c r="I211" i="76"/>
  <c r="J52" i="87"/>
  <c r="K211" i="76"/>
  <c r="J52" i="89"/>
  <c r="M211" i="76"/>
  <c r="J52" i="91"/>
  <c r="O211" i="76"/>
  <c r="J53" i="84"/>
  <c r="H212" i="76"/>
  <c r="J53" i="86"/>
  <c r="J212" i="76"/>
  <c r="J53" i="88"/>
  <c r="L212" i="76"/>
  <c r="J53" i="90"/>
  <c r="N212" i="76"/>
  <c r="J54" i="83"/>
  <c r="G213" i="76"/>
  <c r="J54" i="85"/>
  <c r="I213" i="76"/>
  <c r="J54" i="87"/>
  <c r="K213" i="76"/>
  <c r="J54" i="89"/>
  <c r="M213" i="76"/>
  <c r="J54" i="91"/>
  <c r="O213" i="76"/>
  <c r="J55" i="84"/>
  <c r="H214" i="76"/>
  <c r="J55" i="86"/>
  <c r="J214" i="76"/>
  <c r="J55" i="88"/>
  <c r="L214" i="76"/>
  <c r="J55" i="90"/>
  <c r="N214" i="76"/>
  <c r="J56" i="83"/>
  <c r="G215" i="76"/>
  <c r="J56" i="85"/>
  <c r="I215" i="76"/>
  <c r="J56" i="87"/>
  <c r="K215" i="76"/>
  <c r="J56" i="89"/>
  <c r="M215" i="76"/>
  <c r="J56" i="91"/>
  <c r="O215" i="76"/>
  <c r="J57" i="84"/>
  <c r="H216" i="76"/>
  <c r="J57" i="86"/>
  <c r="J216" i="76"/>
  <c r="J57" i="88"/>
  <c r="L216" i="76"/>
  <c r="J57" i="90"/>
  <c r="N216" i="76"/>
  <c r="J58" i="83"/>
  <c r="G217" i="76"/>
  <c r="J58" i="85"/>
  <c r="I217" i="76"/>
  <c r="J58" i="87"/>
  <c r="K217" i="76"/>
  <c r="J58" i="89"/>
  <c r="M217" i="76"/>
  <c r="J58" i="91"/>
  <c r="O217" i="76"/>
  <c r="J59" i="84"/>
  <c r="H218" i="76"/>
  <c r="J59" i="86"/>
  <c r="J218" i="76"/>
  <c r="J59" i="88"/>
  <c r="L218" i="76"/>
  <c r="J59" i="90"/>
  <c r="N218" i="76"/>
  <c r="J60" i="83"/>
  <c r="G219" i="76"/>
  <c r="J60" i="85"/>
  <c r="I219" i="76"/>
  <c r="J60" i="87"/>
  <c r="K219" i="76"/>
  <c r="J60" i="89"/>
  <c r="M219" i="76"/>
  <c r="J60" i="91"/>
  <c r="O219" i="76"/>
  <c r="J80" i="84"/>
  <c r="H192" i="76"/>
  <c r="J80" i="91"/>
  <c r="O192" i="76"/>
  <c r="E68" i="84"/>
  <c r="H230" i="76"/>
  <c r="E68" i="86"/>
  <c r="J230" i="76"/>
  <c r="E68" i="88"/>
  <c r="L230" i="76"/>
  <c r="E68" i="90"/>
  <c r="N230" i="76"/>
  <c r="E69" i="83"/>
  <c r="G231" i="76"/>
  <c r="E69" i="85"/>
  <c r="I231" i="76"/>
  <c r="E69" i="87"/>
  <c r="K231" i="76"/>
  <c r="E69" i="89"/>
  <c r="M231" i="76"/>
  <c r="E69" i="91"/>
  <c r="O231" i="76"/>
  <c r="E70" i="84"/>
  <c r="H232" i="76"/>
  <c r="E70" i="86"/>
  <c r="J232" i="76"/>
  <c r="E70" i="88"/>
  <c r="L232" i="76"/>
  <c r="E70" i="90"/>
  <c r="N232" i="76"/>
  <c r="E71" i="83"/>
  <c r="G233" i="76"/>
  <c r="E71" i="85"/>
  <c r="I233" i="76"/>
  <c r="E71" i="87"/>
  <c r="K233" i="76"/>
  <c r="E71" i="89"/>
  <c r="M233" i="76"/>
  <c r="E71" i="91"/>
  <c r="O233" i="76"/>
  <c r="E74" i="84"/>
  <c r="H236" i="76"/>
  <c r="E74" i="86"/>
  <c r="J236" i="76"/>
  <c r="E74" i="88"/>
  <c r="L236" i="76"/>
  <c r="E74" i="90"/>
  <c r="N236" i="76"/>
  <c r="E75" i="84"/>
  <c r="H237" i="76"/>
  <c r="E75" i="86"/>
  <c r="J237" i="76"/>
  <c r="E75" i="88"/>
  <c r="L237" i="76"/>
  <c r="E75" i="90"/>
  <c r="N237" i="76"/>
  <c r="E76" i="83"/>
  <c r="G238" i="76"/>
  <c r="E76" i="85"/>
  <c r="I238" i="76"/>
  <c r="E76" i="87"/>
  <c r="K238" i="76"/>
  <c r="E76" i="89"/>
  <c r="M238" i="76"/>
  <c r="E76" i="91"/>
  <c r="O238" i="76"/>
  <c r="E77" i="84"/>
  <c r="H239" i="76"/>
  <c r="E77" i="86"/>
  <c r="J239" i="76"/>
  <c r="E77" i="88"/>
  <c r="L239" i="76"/>
  <c r="E77" i="90"/>
  <c r="N239" i="76"/>
  <c r="F103" i="30"/>
  <c r="E85" i="83"/>
  <c r="G248" i="76"/>
  <c r="E85" i="85"/>
  <c r="I248" i="76"/>
  <c r="E85" i="87"/>
  <c r="K248" i="76"/>
  <c r="E85" i="89"/>
  <c r="M248" i="76"/>
  <c r="E85" i="91"/>
  <c r="O248" i="76"/>
  <c r="E86" i="84"/>
  <c r="H249" i="76"/>
  <c r="E86" i="86"/>
  <c r="J249" i="76"/>
  <c r="E86" i="88"/>
  <c r="L249" i="76"/>
  <c r="E86" i="90"/>
  <c r="N249" i="76"/>
  <c r="E87" i="83"/>
  <c r="G250" i="76"/>
  <c r="E87" i="85"/>
  <c r="I250" i="76"/>
  <c r="E87" i="87"/>
  <c r="K250" i="76"/>
  <c r="E87" i="89"/>
  <c r="M250" i="76"/>
  <c r="E87" i="91"/>
  <c r="O250" i="76"/>
  <c r="E88" i="84"/>
  <c r="H251" i="76"/>
  <c r="E88" i="86"/>
  <c r="J251" i="76"/>
  <c r="E88" i="88"/>
  <c r="L251" i="76"/>
  <c r="E88" i="90"/>
  <c r="N251" i="76"/>
  <c r="F109" i="30"/>
  <c r="E91" i="83"/>
  <c r="G254" i="76"/>
  <c r="E91" i="85"/>
  <c r="I254" i="76"/>
  <c r="E91" i="87"/>
  <c r="K254" i="76"/>
  <c r="E91" i="89"/>
  <c r="M254" i="76"/>
  <c r="E91" i="91"/>
  <c r="O254" i="76"/>
  <c r="E92" i="84"/>
  <c r="H255" i="76"/>
  <c r="E92" i="86"/>
  <c r="J255" i="76"/>
  <c r="E92" i="88"/>
  <c r="L255" i="76"/>
  <c r="E92" i="90"/>
  <c r="N255" i="76"/>
  <c r="F111" i="30"/>
  <c r="E93" i="83"/>
  <c r="G256" i="76"/>
  <c r="E93" i="85"/>
  <c r="I256" i="76"/>
  <c r="E93" i="87"/>
  <c r="K256" i="76"/>
  <c r="E93" i="89"/>
  <c r="M256" i="76"/>
  <c r="E93" i="91"/>
  <c r="O256" i="76"/>
  <c r="E94" i="84"/>
  <c r="H257" i="76"/>
  <c r="E94" i="86"/>
  <c r="J257" i="76"/>
  <c r="E94" i="88"/>
  <c r="L257" i="76"/>
  <c r="E94" i="90"/>
  <c r="N257" i="76"/>
  <c r="E39" i="83"/>
  <c r="G266" i="76"/>
  <c r="E39" i="85"/>
  <c r="I266" i="76"/>
  <c r="E39" i="87"/>
  <c r="K266" i="76"/>
  <c r="E39" i="89"/>
  <c r="M266" i="76"/>
  <c r="E39" i="91"/>
  <c r="O266" i="76"/>
  <c r="E40" i="84"/>
  <c r="H267" i="76"/>
  <c r="E40" i="86"/>
  <c r="J267" i="76"/>
  <c r="E40" i="88"/>
  <c r="L267" i="76"/>
  <c r="E40" i="90"/>
  <c r="N267" i="76"/>
  <c r="E41" i="83"/>
  <c r="G268" i="76"/>
  <c r="E41" i="85"/>
  <c r="I268" i="76"/>
  <c r="E41" i="87"/>
  <c r="K268" i="76"/>
  <c r="E41" i="89"/>
  <c r="M268" i="76"/>
  <c r="E41" i="91"/>
  <c r="O268" i="76"/>
  <c r="E42" i="84"/>
  <c r="H269" i="76"/>
  <c r="E42" i="86"/>
  <c r="J269" i="76"/>
  <c r="E42" i="88"/>
  <c r="L269" i="76"/>
  <c r="E42" i="90"/>
  <c r="N269" i="76"/>
  <c r="F125" i="30"/>
  <c r="E43" i="83"/>
  <c r="G270" i="76"/>
  <c r="E43" i="85"/>
  <c r="I270" i="76"/>
  <c r="E43" i="87"/>
  <c r="K270" i="76"/>
  <c r="E43" i="89"/>
  <c r="M270" i="76"/>
  <c r="E43" i="91"/>
  <c r="O270" i="76"/>
  <c r="E44" i="84"/>
  <c r="H271" i="76"/>
  <c r="E44" i="86"/>
  <c r="J271" i="76"/>
  <c r="E44" i="88"/>
  <c r="L271" i="76"/>
  <c r="E44" i="90"/>
  <c r="N271" i="76"/>
  <c r="E45" i="83"/>
  <c r="G272" i="76"/>
  <c r="E45" i="85"/>
  <c r="I272" i="76"/>
  <c r="E45" i="87"/>
  <c r="K272" i="76"/>
  <c r="E45" i="89"/>
  <c r="M272" i="76"/>
  <c r="E45" i="91"/>
  <c r="O272" i="76"/>
  <c r="E46" i="84"/>
  <c r="H273" i="76"/>
  <c r="E46" i="86"/>
  <c r="J273" i="76"/>
  <c r="E46" i="88"/>
  <c r="L273" i="76"/>
  <c r="E46" i="90"/>
  <c r="N273" i="76"/>
  <c r="E47" i="83"/>
  <c r="G274" i="76"/>
  <c r="E47" i="85"/>
  <c r="I274" i="76"/>
  <c r="E47" i="87"/>
  <c r="K274" i="76"/>
  <c r="E47" i="89"/>
  <c r="M274" i="76"/>
  <c r="E47" i="91"/>
  <c r="O274" i="76"/>
  <c r="E48" i="84"/>
  <c r="H275" i="76"/>
  <c r="E48" i="86"/>
  <c r="J275" i="76"/>
  <c r="E48" i="88"/>
  <c r="L275" i="76"/>
  <c r="E48" i="90"/>
  <c r="N275" i="76"/>
  <c r="E51" i="83"/>
  <c r="G278" i="76"/>
  <c r="E51" i="85"/>
  <c r="I278" i="76"/>
  <c r="E51" i="87"/>
  <c r="K278" i="76"/>
  <c r="E51" i="89"/>
  <c r="M278" i="76"/>
  <c r="E51" i="91"/>
  <c r="O278" i="76"/>
  <c r="F134" i="30"/>
  <c r="E52" i="84"/>
  <c r="H279" i="76"/>
  <c r="E52" i="86"/>
  <c r="J279" i="76"/>
  <c r="E52" i="88"/>
  <c r="L279" i="76"/>
  <c r="E52" i="90"/>
  <c r="N279" i="76"/>
  <c r="E53" i="83"/>
  <c r="G280" i="76"/>
  <c r="E53" i="85"/>
  <c r="I280" i="76"/>
  <c r="E53" i="87"/>
  <c r="K280" i="76"/>
  <c r="F135" i="30"/>
  <c r="E53" i="89"/>
  <c r="M280" i="76"/>
  <c r="E53" i="91"/>
  <c r="O280" i="76"/>
  <c r="F136" i="30"/>
  <c r="E54" i="84"/>
  <c r="H281" i="76"/>
  <c r="E54" i="86"/>
  <c r="J281" i="76"/>
  <c r="E54" i="88"/>
  <c r="L281" i="76"/>
  <c r="E54" i="90"/>
  <c r="N281" i="76"/>
  <c r="E55" i="83"/>
  <c r="G282" i="76"/>
  <c r="E55" i="85"/>
  <c r="I282" i="76"/>
  <c r="E55" i="87"/>
  <c r="K282" i="76"/>
  <c r="E55" i="89"/>
  <c r="M282" i="76"/>
  <c r="E55" i="91"/>
  <c r="O282" i="76"/>
  <c r="E56" i="84"/>
  <c r="H283" i="76"/>
  <c r="E56" i="86"/>
  <c r="J283" i="76"/>
  <c r="E56" i="88"/>
  <c r="L283" i="76"/>
  <c r="E56" i="90"/>
  <c r="N283" i="76"/>
  <c r="E57" i="83"/>
  <c r="G284" i="76"/>
  <c r="E57" i="85"/>
  <c r="I284" i="76"/>
  <c r="E57" i="87"/>
  <c r="K284" i="76"/>
  <c r="E57" i="89"/>
  <c r="M284" i="76"/>
  <c r="E57" i="91"/>
  <c r="O284" i="76"/>
  <c r="E58" i="84"/>
  <c r="H285" i="76"/>
  <c r="E58" i="86"/>
  <c r="J285" i="76"/>
  <c r="E58" i="88"/>
  <c r="L285" i="76"/>
  <c r="E58" i="90"/>
  <c r="N285" i="76"/>
  <c r="E59" i="83"/>
  <c r="G286" i="76"/>
  <c r="E59" i="85"/>
  <c r="I286" i="76"/>
  <c r="E59" i="87"/>
  <c r="K286" i="76"/>
  <c r="E59" i="89"/>
  <c r="M286" i="76"/>
  <c r="E59" i="91"/>
  <c r="O286" i="76"/>
  <c r="E60" i="84"/>
  <c r="H287" i="76"/>
  <c r="E60" i="86"/>
  <c r="J287" i="76"/>
  <c r="E60" i="88"/>
  <c r="L287" i="76"/>
  <c r="E60" i="90"/>
  <c r="N287" i="76"/>
  <c r="F145" i="30"/>
  <c r="H290" i="76"/>
  <c r="F115" i="30"/>
  <c r="E97" i="86"/>
  <c r="J260" i="76"/>
  <c r="E80" i="84"/>
  <c r="H242" i="76"/>
  <c r="E80" i="91"/>
  <c r="O242" i="76"/>
  <c r="J507" i="21"/>
  <c r="J28" i="76"/>
  <c r="G137" i="59"/>
  <c r="G141" i="59"/>
  <c r="H144" i="59"/>
  <c r="H18" i="30" s="1"/>
  <c r="J144" i="59"/>
  <c r="J18" i="30" s="1"/>
  <c r="G146" i="59"/>
  <c r="G148" i="59" s="1"/>
  <c r="I146" i="59"/>
  <c r="I148" i="59" s="1"/>
  <c r="K146" i="59"/>
  <c r="K148" i="59" s="1"/>
  <c r="M146" i="59"/>
  <c r="M148" i="59" s="1"/>
  <c r="O146" i="59"/>
  <c r="O148" i="59" s="1"/>
  <c r="H145" i="59"/>
  <c r="J145" i="59"/>
  <c r="L145" i="59"/>
  <c r="N145" i="59"/>
  <c r="G21" i="30"/>
  <c r="I21" i="30"/>
  <c r="K21" i="30"/>
  <c r="M21" i="30"/>
  <c r="O21" i="30"/>
  <c r="H208" i="59"/>
  <c r="H206" i="59"/>
  <c r="J208" i="59"/>
  <c r="J206" i="59"/>
  <c r="L208" i="59"/>
  <c r="L206" i="59"/>
  <c r="N208" i="59"/>
  <c r="N206" i="59"/>
  <c r="H268" i="59"/>
  <c r="H266" i="59"/>
  <c r="J268" i="59"/>
  <c r="J266" i="59"/>
  <c r="L268" i="59"/>
  <c r="L266" i="59"/>
  <c r="N268" i="59"/>
  <c r="N266" i="59"/>
  <c r="H200" i="59"/>
  <c r="J200" i="59"/>
  <c r="F152" i="59"/>
  <c r="E25" i="91"/>
  <c r="O171" i="76"/>
  <c r="J68" i="83"/>
  <c r="G180" i="76"/>
  <c r="F37" i="30"/>
  <c r="J70" i="83"/>
  <c r="G182" i="76"/>
  <c r="J71" i="91"/>
  <c r="O183" i="76"/>
  <c r="J71" i="89"/>
  <c r="M183" i="76"/>
  <c r="J71" i="87"/>
  <c r="K183" i="76"/>
  <c r="J71" i="85"/>
  <c r="I183" i="76"/>
  <c r="J70" i="91"/>
  <c r="O182" i="76"/>
  <c r="J70" i="89"/>
  <c r="M182" i="76"/>
  <c r="J70" i="87"/>
  <c r="K182" i="76"/>
  <c r="J70" i="85"/>
  <c r="I182" i="76"/>
  <c r="J69" i="91"/>
  <c r="O181" i="76"/>
  <c r="J69" i="89"/>
  <c r="M181" i="76"/>
  <c r="J69" i="87"/>
  <c r="K181" i="76"/>
  <c r="J69" i="85"/>
  <c r="I181" i="76"/>
  <c r="J68" i="91"/>
  <c r="O180" i="76"/>
  <c r="J68" i="89"/>
  <c r="M180" i="76"/>
  <c r="J68" i="87"/>
  <c r="K180" i="76"/>
  <c r="J68" i="85"/>
  <c r="I180" i="76"/>
  <c r="J74" i="83"/>
  <c r="G186" i="76"/>
  <c r="J74" i="85"/>
  <c r="I186" i="76"/>
  <c r="J74" i="87"/>
  <c r="K186" i="76"/>
  <c r="J74" i="89"/>
  <c r="M186" i="76"/>
  <c r="J74" i="91"/>
  <c r="O186" i="76"/>
  <c r="J75" i="84"/>
  <c r="H187" i="76"/>
  <c r="J75" i="86"/>
  <c r="J187" i="76"/>
  <c r="J75" i="88"/>
  <c r="L187" i="76"/>
  <c r="J75" i="90"/>
  <c r="N187" i="76"/>
  <c r="J76" i="83"/>
  <c r="G188" i="76"/>
  <c r="J76" i="85"/>
  <c r="I188" i="76"/>
  <c r="J76" i="87"/>
  <c r="K188" i="76"/>
  <c r="J76" i="89"/>
  <c r="M188" i="76"/>
  <c r="J76" i="91"/>
  <c r="O188" i="76"/>
  <c r="J77" i="84"/>
  <c r="H189" i="76"/>
  <c r="J77" i="86"/>
  <c r="J189" i="76"/>
  <c r="J77" i="88"/>
  <c r="L189" i="76"/>
  <c r="J77" i="90"/>
  <c r="N189" i="76"/>
  <c r="J39" i="83"/>
  <c r="G198" i="76"/>
  <c r="J39" i="85"/>
  <c r="I198" i="76"/>
  <c r="J39" i="87"/>
  <c r="K198" i="76"/>
  <c r="J39" i="89"/>
  <c r="M198" i="76"/>
  <c r="J39" i="91"/>
  <c r="O198" i="76"/>
  <c r="J40" i="84"/>
  <c r="H199" i="76"/>
  <c r="J40" i="86"/>
  <c r="J199" i="76"/>
  <c r="J40" i="88"/>
  <c r="L199" i="76"/>
  <c r="J40" i="90"/>
  <c r="N199" i="76"/>
  <c r="J41" i="83"/>
  <c r="G200" i="76"/>
  <c r="J41" i="85"/>
  <c r="I200" i="76"/>
  <c r="J41" i="87"/>
  <c r="K200" i="76"/>
  <c r="J41" i="89"/>
  <c r="M200" i="76"/>
  <c r="J41" i="91"/>
  <c r="O200" i="76"/>
  <c r="J42" i="84"/>
  <c r="H201" i="76"/>
  <c r="J42" i="86"/>
  <c r="J201" i="76"/>
  <c r="J42" i="88"/>
  <c r="L201" i="76"/>
  <c r="J42" i="90"/>
  <c r="N201" i="76"/>
  <c r="J43" i="83"/>
  <c r="G202" i="76"/>
  <c r="J43" i="85"/>
  <c r="I202" i="76"/>
  <c r="J43" i="87"/>
  <c r="K202" i="76"/>
  <c r="J43" i="89"/>
  <c r="M202" i="76"/>
  <c r="J43" i="91"/>
  <c r="O202" i="76"/>
  <c r="F58" i="30"/>
  <c r="J44" i="84"/>
  <c r="H203" i="76"/>
  <c r="J44" i="86"/>
  <c r="J203" i="76"/>
  <c r="J44" i="88"/>
  <c r="L203" i="76"/>
  <c r="L296" i="76" s="1"/>
  <c r="J44" i="90"/>
  <c r="N203" i="76"/>
  <c r="J45" i="83"/>
  <c r="G204" i="76"/>
  <c r="J45" i="85"/>
  <c r="I204" i="76"/>
  <c r="J45" i="87"/>
  <c r="K204" i="76"/>
  <c r="J45" i="89"/>
  <c r="M204" i="76"/>
  <c r="J45" i="91"/>
  <c r="O204" i="76"/>
  <c r="J46" i="84"/>
  <c r="H205" i="76"/>
  <c r="J46" i="86"/>
  <c r="J205" i="76"/>
  <c r="J46" i="88"/>
  <c r="L205" i="76"/>
  <c r="J46" i="90"/>
  <c r="N205" i="76"/>
  <c r="J47" i="83"/>
  <c r="G206" i="76"/>
  <c r="J47" i="85"/>
  <c r="I206" i="76"/>
  <c r="J47" i="87"/>
  <c r="K206" i="76"/>
  <c r="J47" i="89"/>
  <c r="M206" i="76"/>
  <c r="J47" i="91"/>
  <c r="O206" i="76"/>
  <c r="J48" i="84"/>
  <c r="H207" i="76"/>
  <c r="J48" i="86"/>
  <c r="J207" i="76"/>
  <c r="J48" i="88"/>
  <c r="L207" i="76"/>
  <c r="J48" i="90"/>
  <c r="N207" i="76"/>
  <c r="J51" i="83"/>
  <c r="G210" i="76"/>
  <c r="J51" i="85"/>
  <c r="I210" i="76"/>
  <c r="J51" i="87"/>
  <c r="K210" i="76"/>
  <c r="J51" i="89"/>
  <c r="M210" i="76"/>
  <c r="J51" i="91"/>
  <c r="O210" i="76"/>
  <c r="J52" i="84"/>
  <c r="H211" i="76"/>
  <c r="J52" i="86"/>
  <c r="J211" i="76"/>
  <c r="J52" i="88"/>
  <c r="L211" i="76"/>
  <c r="J52" i="90"/>
  <c r="N211" i="76"/>
  <c r="J53" i="83"/>
  <c r="G212" i="76"/>
  <c r="J53" i="85"/>
  <c r="I212" i="76"/>
  <c r="J53" i="87"/>
  <c r="K212" i="76"/>
  <c r="J53" i="89"/>
  <c r="M212" i="76"/>
  <c r="J53" i="91"/>
  <c r="O212" i="76"/>
  <c r="F68" i="30"/>
  <c r="J54" i="84"/>
  <c r="H213" i="76"/>
  <c r="J54" i="86"/>
  <c r="J213" i="76"/>
  <c r="J54" i="88"/>
  <c r="L213" i="76"/>
  <c r="J54" i="90"/>
  <c r="N213" i="76"/>
  <c r="J55" i="83"/>
  <c r="G214" i="76"/>
  <c r="J55" i="85"/>
  <c r="I214" i="76"/>
  <c r="J55" i="87"/>
  <c r="K214" i="76"/>
  <c r="J55" i="89"/>
  <c r="M214" i="76"/>
  <c r="J55" i="91"/>
  <c r="O214" i="76"/>
  <c r="J56" i="84"/>
  <c r="H215" i="76"/>
  <c r="J56" i="86"/>
  <c r="J215" i="76"/>
  <c r="J56" i="88"/>
  <c r="L215" i="76"/>
  <c r="J56" i="90"/>
  <c r="N215" i="76"/>
  <c r="J57" i="83"/>
  <c r="G216" i="76"/>
  <c r="J57" i="85"/>
  <c r="I216" i="76"/>
  <c r="J57" i="87"/>
  <c r="K216" i="76"/>
  <c r="J57" i="89"/>
  <c r="M216" i="76"/>
  <c r="J57" i="91"/>
  <c r="O216" i="76"/>
  <c r="J58" i="84"/>
  <c r="H217" i="76"/>
  <c r="J58" i="86"/>
  <c r="J217" i="76"/>
  <c r="J58" i="88"/>
  <c r="L217" i="76"/>
  <c r="J58" i="90"/>
  <c r="N217" i="76"/>
  <c r="J59" i="83"/>
  <c r="G218" i="76"/>
  <c r="J59" i="85"/>
  <c r="I218" i="76"/>
  <c r="J59" i="87"/>
  <c r="K218" i="76"/>
  <c r="J59" i="89"/>
  <c r="M218" i="76"/>
  <c r="J59" i="91"/>
  <c r="O218" i="76"/>
  <c r="J60" i="84"/>
  <c r="H219" i="76"/>
  <c r="J60" i="86"/>
  <c r="J219" i="76"/>
  <c r="J60" i="88"/>
  <c r="L219" i="76"/>
  <c r="J60" i="90"/>
  <c r="N219" i="76"/>
  <c r="J63" i="84"/>
  <c r="H222" i="76"/>
  <c r="J63" i="91"/>
  <c r="O222" i="76"/>
  <c r="J80" i="86"/>
  <c r="J192" i="76"/>
  <c r="E68" i="83"/>
  <c r="G230" i="76"/>
  <c r="E68" i="85"/>
  <c r="I230" i="76"/>
  <c r="E68" i="87"/>
  <c r="K230" i="76"/>
  <c r="E68" i="89"/>
  <c r="M230" i="76"/>
  <c r="E68" i="91"/>
  <c r="O230" i="76"/>
  <c r="E69" i="84"/>
  <c r="H231" i="76"/>
  <c r="E69" i="86"/>
  <c r="J231" i="76"/>
  <c r="E69" i="88"/>
  <c r="L231" i="76"/>
  <c r="E69" i="90"/>
  <c r="N231" i="76"/>
  <c r="E70" i="83"/>
  <c r="G232" i="76"/>
  <c r="E70" i="85"/>
  <c r="I232" i="76"/>
  <c r="E70" i="87"/>
  <c r="K232" i="76"/>
  <c r="E70" i="89"/>
  <c r="M232" i="76"/>
  <c r="E70" i="91"/>
  <c r="O232" i="76"/>
  <c r="E71" i="84"/>
  <c r="H233" i="76"/>
  <c r="E71" i="86"/>
  <c r="J233" i="76"/>
  <c r="E71" i="88"/>
  <c r="L233" i="76"/>
  <c r="E71" i="90"/>
  <c r="N233" i="76"/>
  <c r="E74" i="83"/>
  <c r="G236" i="76"/>
  <c r="E74" i="85"/>
  <c r="I236" i="76"/>
  <c r="E74" i="87"/>
  <c r="K236" i="76"/>
  <c r="E74" i="89"/>
  <c r="M236" i="76"/>
  <c r="E74" i="91"/>
  <c r="O236" i="76"/>
  <c r="E75" i="85"/>
  <c r="I237" i="76"/>
  <c r="E75" i="87"/>
  <c r="K237" i="76"/>
  <c r="E75" i="89"/>
  <c r="M237" i="76"/>
  <c r="E75" i="91"/>
  <c r="O237" i="76"/>
  <c r="E76" i="84"/>
  <c r="H238" i="76"/>
  <c r="E76" i="86"/>
  <c r="J238" i="76"/>
  <c r="E76" i="88"/>
  <c r="L238" i="76"/>
  <c r="E76" i="90"/>
  <c r="N238" i="76"/>
  <c r="E77" i="83"/>
  <c r="G239" i="76"/>
  <c r="E77" i="85"/>
  <c r="I239" i="76"/>
  <c r="E77" i="87"/>
  <c r="K239" i="76"/>
  <c r="E77" i="89"/>
  <c r="M239" i="76"/>
  <c r="E77" i="91"/>
  <c r="O239" i="76"/>
  <c r="E85" i="84"/>
  <c r="H248" i="76"/>
  <c r="E85" i="86"/>
  <c r="J248" i="76"/>
  <c r="E85" i="88"/>
  <c r="L248" i="76"/>
  <c r="E85" i="90"/>
  <c r="N248" i="76"/>
  <c r="E86" i="83"/>
  <c r="G249" i="76"/>
  <c r="E86" i="85"/>
  <c r="I249" i="76"/>
  <c r="E86" i="87"/>
  <c r="K249" i="76"/>
  <c r="E86" i="89"/>
  <c r="M249" i="76"/>
  <c r="E86" i="91"/>
  <c r="O249" i="76"/>
  <c r="E87" i="84"/>
  <c r="H250" i="76"/>
  <c r="E87" i="86"/>
  <c r="J250" i="76"/>
  <c r="E87" i="88"/>
  <c r="L250" i="76"/>
  <c r="E87" i="90"/>
  <c r="N250" i="76"/>
  <c r="E88" i="83"/>
  <c r="G251" i="76"/>
  <c r="E88" i="85"/>
  <c r="I251" i="76"/>
  <c r="E88" i="87"/>
  <c r="K251" i="76"/>
  <c r="E88" i="89"/>
  <c r="M251" i="76"/>
  <c r="E88" i="91"/>
  <c r="O251" i="76"/>
  <c r="E91" i="84"/>
  <c r="H254" i="76"/>
  <c r="E91" i="86"/>
  <c r="J254" i="76"/>
  <c r="E91" i="88"/>
  <c r="L254" i="76"/>
  <c r="E91" i="90"/>
  <c r="N254" i="76"/>
  <c r="E92" i="83"/>
  <c r="G255" i="76"/>
  <c r="E92" i="85"/>
  <c r="I255" i="76"/>
  <c r="E92" i="87"/>
  <c r="K255" i="76"/>
  <c r="E92" i="89"/>
  <c r="M255" i="76"/>
  <c r="E92" i="91"/>
  <c r="O255" i="76"/>
  <c r="E93" i="84"/>
  <c r="H256" i="76"/>
  <c r="E93" i="86"/>
  <c r="J256" i="76"/>
  <c r="E93" i="88"/>
  <c r="L256" i="76"/>
  <c r="E93" i="90"/>
  <c r="N256" i="76"/>
  <c r="E94" i="83"/>
  <c r="G257" i="76"/>
  <c r="E94" i="85"/>
  <c r="I257" i="76"/>
  <c r="E94" i="87"/>
  <c r="K257" i="76"/>
  <c r="E94" i="89"/>
  <c r="M257" i="76"/>
  <c r="E94" i="91"/>
  <c r="O257" i="76"/>
  <c r="E39" i="84"/>
  <c r="H266" i="76"/>
  <c r="E39" i="86"/>
  <c r="J266" i="76"/>
  <c r="E39" i="88"/>
  <c r="L266" i="76"/>
  <c r="E39" i="90"/>
  <c r="N266" i="76"/>
  <c r="E40" i="83"/>
  <c r="G267" i="76"/>
  <c r="E40" i="85"/>
  <c r="I267" i="76"/>
  <c r="E40" i="87"/>
  <c r="K267" i="76"/>
  <c r="E40" i="89"/>
  <c r="M267" i="76"/>
  <c r="E40" i="91"/>
  <c r="O267" i="76"/>
  <c r="E41" i="84"/>
  <c r="H268" i="76"/>
  <c r="E41" i="86"/>
  <c r="J268" i="76"/>
  <c r="E41" i="88"/>
  <c r="L268" i="76"/>
  <c r="E41" i="90"/>
  <c r="N268" i="76"/>
  <c r="E42" i="83"/>
  <c r="G269" i="76"/>
  <c r="E42" i="85"/>
  <c r="I269" i="76"/>
  <c r="E42" i="87"/>
  <c r="K269" i="76"/>
  <c r="E42" i="89"/>
  <c r="M269" i="76"/>
  <c r="E42" i="91"/>
  <c r="O269" i="76"/>
  <c r="E43" i="84"/>
  <c r="H270" i="76"/>
  <c r="E43" i="86"/>
  <c r="J270" i="76"/>
  <c r="E43" i="88"/>
  <c r="L270" i="76"/>
  <c r="E43" i="90"/>
  <c r="N270" i="76"/>
  <c r="E44" i="83"/>
  <c r="G271" i="76"/>
  <c r="E44" i="85"/>
  <c r="I271" i="76"/>
  <c r="E44" i="87"/>
  <c r="K271" i="76"/>
  <c r="E44" i="89"/>
  <c r="M271" i="76"/>
  <c r="E44" i="91"/>
  <c r="O271" i="76"/>
  <c r="E45" i="84"/>
  <c r="H272" i="76"/>
  <c r="E45" i="86"/>
  <c r="J272" i="76"/>
  <c r="E45" i="88"/>
  <c r="L272" i="76"/>
  <c r="E45" i="90"/>
  <c r="N272" i="76"/>
  <c r="E46" i="83"/>
  <c r="G273" i="76"/>
  <c r="E46" i="85"/>
  <c r="I273" i="76"/>
  <c r="E46" i="87"/>
  <c r="K273" i="76"/>
  <c r="E46" i="89"/>
  <c r="M273" i="76"/>
  <c r="E46" i="91"/>
  <c r="O273" i="76"/>
  <c r="E47" i="84"/>
  <c r="H274" i="76"/>
  <c r="E47" i="86"/>
  <c r="J274" i="76"/>
  <c r="E47" i="88"/>
  <c r="L274" i="76"/>
  <c r="E47" i="90"/>
  <c r="N274" i="76"/>
  <c r="E48" i="83"/>
  <c r="G275" i="76"/>
  <c r="E48" i="85"/>
  <c r="I275" i="76"/>
  <c r="E48" i="87"/>
  <c r="K275" i="76"/>
  <c r="E48" i="89"/>
  <c r="M275" i="76"/>
  <c r="E48" i="91"/>
  <c r="O275" i="76"/>
  <c r="E51" i="84"/>
  <c r="H278" i="76"/>
  <c r="E51" i="86"/>
  <c r="J278" i="76"/>
  <c r="E51" i="88"/>
  <c r="L278" i="76"/>
  <c r="E51" i="90"/>
  <c r="N278" i="76"/>
  <c r="E52" i="83"/>
  <c r="G279" i="76"/>
  <c r="E52" i="85"/>
  <c r="I279" i="76"/>
  <c r="E52" i="87"/>
  <c r="K279" i="76"/>
  <c r="E52" i="89"/>
  <c r="M279" i="76"/>
  <c r="E52" i="91"/>
  <c r="O279" i="76"/>
  <c r="E53" i="84"/>
  <c r="H280" i="76"/>
  <c r="E53" i="86"/>
  <c r="J280" i="76"/>
  <c r="E53" i="88"/>
  <c r="L280" i="76"/>
  <c r="E53" i="90"/>
  <c r="N280" i="76"/>
  <c r="E54" i="83"/>
  <c r="G281" i="76"/>
  <c r="E54" i="85"/>
  <c r="I281" i="76"/>
  <c r="E54" i="87"/>
  <c r="K281" i="76"/>
  <c r="E54" i="89"/>
  <c r="M281" i="76"/>
  <c r="E54" i="91"/>
  <c r="O281" i="76"/>
  <c r="E55" i="84"/>
  <c r="H282" i="76"/>
  <c r="E55" i="86"/>
  <c r="J282" i="76"/>
  <c r="E55" i="88"/>
  <c r="L282" i="76"/>
  <c r="E55" i="90"/>
  <c r="N282" i="76"/>
  <c r="E56" i="83"/>
  <c r="G283" i="76"/>
  <c r="E56" i="85"/>
  <c r="I283" i="76"/>
  <c r="E56" i="87"/>
  <c r="K283" i="76"/>
  <c r="E56" i="89"/>
  <c r="M283" i="76"/>
  <c r="E56" i="91"/>
  <c r="O283" i="76"/>
  <c r="E57" i="84"/>
  <c r="H284" i="76"/>
  <c r="E57" i="86"/>
  <c r="J284" i="76"/>
  <c r="E57" i="88"/>
  <c r="L284" i="76"/>
  <c r="E57" i="90"/>
  <c r="N284" i="76"/>
  <c r="E58" i="83"/>
  <c r="G285" i="76"/>
  <c r="E58" i="85"/>
  <c r="I285" i="76"/>
  <c r="E58" i="87"/>
  <c r="K285" i="76"/>
  <c r="E58" i="89"/>
  <c r="M285" i="76"/>
  <c r="E58" i="91"/>
  <c r="O285" i="76"/>
  <c r="E59" i="84"/>
  <c r="H286" i="76"/>
  <c r="E59" i="86"/>
  <c r="J286" i="76"/>
  <c r="E59" i="88"/>
  <c r="L286" i="76"/>
  <c r="E59" i="90"/>
  <c r="N286" i="76"/>
  <c r="E60" i="83"/>
  <c r="G287" i="76"/>
  <c r="E60" i="85"/>
  <c r="I287" i="76"/>
  <c r="E60" i="87"/>
  <c r="K287" i="76"/>
  <c r="E60" i="89"/>
  <c r="M287" i="76"/>
  <c r="E60" i="91"/>
  <c r="O287" i="76"/>
  <c r="E97" i="84"/>
  <c r="H260" i="76"/>
  <c r="E97" i="91"/>
  <c r="O260" i="76"/>
  <c r="E80" i="86"/>
  <c r="J242" i="76"/>
  <c r="G12" i="76"/>
  <c r="O349" i="21"/>
  <c r="O16" i="76"/>
  <c r="N296" i="76"/>
  <c r="J63" i="86"/>
  <c r="J222" i="76"/>
  <c r="J200" i="76"/>
  <c r="F185" i="21"/>
  <c r="J41" i="86"/>
  <c r="J34" i="49"/>
  <c r="J32" i="78"/>
  <c r="O79" i="49"/>
  <c r="O77" i="78"/>
  <c r="O124" i="49"/>
  <c r="O122" i="78"/>
  <c r="O34" i="49"/>
  <c r="O32" i="78"/>
  <c r="J79" i="49"/>
  <c r="J77" i="78"/>
  <c r="J124" i="49"/>
  <c r="J122" i="78"/>
  <c r="F94" i="30"/>
  <c r="F126" i="30"/>
  <c r="F130" i="30"/>
  <c r="F112" i="30"/>
  <c r="F110" i="30"/>
  <c r="F140" i="30"/>
  <c r="F142" i="30"/>
  <c r="F128" i="30"/>
  <c r="F62" i="30"/>
  <c r="F137" i="30"/>
  <c r="F139" i="30"/>
  <c r="F141" i="30"/>
  <c r="F133" i="30"/>
  <c r="F127" i="30"/>
  <c r="F93" i="30"/>
  <c r="F124" i="30"/>
  <c r="F106" i="30"/>
  <c r="F88" i="30"/>
  <c r="F35" i="30"/>
  <c r="L200" i="59"/>
  <c r="H76" i="59"/>
  <c r="J76" i="59"/>
  <c r="L76" i="59"/>
  <c r="N76" i="59"/>
  <c r="G80" i="59"/>
  <c r="I80" i="59"/>
  <c r="K80" i="59"/>
  <c r="M80" i="59"/>
  <c r="O80" i="59"/>
  <c r="J84" i="59"/>
  <c r="L84" i="59"/>
  <c r="N84" i="59"/>
  <c r="F87" i="59"/>
  <c r="H19" i="30"/>
  <c r="J19" i="30"/>
  <c r="L19" i="30"/>
  <c r="N19" i="30"/>
  <c r="G20" i="30"/>
  <c r="I20" i="30"/>
  <c r="K20" i="30"/>
  <c r="M20" i="30"/>
  <c r="O20" i="30"/>
  <c r="H21" i="30"/>
  <c r="J21" i="30"/>
  <c r="L21" i="30"/>
  <c r="N21" i="30"/>
  <c r="G268" i="59"/>
  <c r="I268" i="59"/>
  <c r="K268" i="59"/>
  <c r="M268" i="59"/>
  <c r="O268" i="59"/>
  <c r="F480" i="39"/>
  <c r="F483" i="39"/>
  <c r="F291" i="39"/>
  <c r="J307" i="39"/>
  <c r="J366" i="17" s="1"/>
  <c r="J381" i="17" s="1"/>
  <c r="F303" i="39"/>
  <c r="F292" i="39"/>
  <c r="F300" i="39"/>
  <c r="F304" i="39"/>
  <c r="J506" i="21"/>
  <c r="F43" i="30"/>
  <c r="F55" i="30"/>
  <c r="F56" i="30"/>
  <c r="F59" i="30"/>
  <c r="F60" i="30"/>
  <c r="F61" i="30"/>
  <c r="F65" i="30"/>
  <c r="F66" i="30"/>
  <c r="F67" i="30"/>
  <c r="F69" i="30"/>
  <c r="F70" i="30"/>
  <c r="F71" i="30"/>
  <c r="F72" i="30"/>
  <c r="F73" i="30"/>
  <c r="F77" i="30"/>
  <c r="F47" i="30"/>
  <c r="F85" i="30"/>
  <c r="F87" i="30"/>
  <c r="F91" i="30"/>
  <c r="F57" i="30"/>
  <c r="F295" i="39"/>
  <c r="H367" i="39"/>
  <c r="H388" i="17" s="1"/>
  <c r="H403" i="17" s="1"/>
  <c r="F355" i="39"/>
  <c r="F359" i="39"/>
  <c r="F363" i="39"/>
  <c r="F365" i="39"/>
  <c r="F412" i="39"/>
  <c r="F420" i="39"/>
  <c r="F424" i="39"/>
  <c r="F472" i="39"/>
  <c r="F485" i="39"/>
  <c r="L144" i="59"/>
  <c r="L18" i="30" s="1"/>
  <c r="N144" i="59"/>
  <c r="N18" i="30" s="1"/>
  <c r="N200" i="59"/>
  <c r="F86" i="30"/>
  <c r="F53" i="30"/>
  <c r="F92" i="30"/>
  <c r="F105" i="30"/>
  <c r="F138" i="30"/>
  <c r="H84" i="59"/>
  <c r="F82" i="59"/>
  <c r="J26" i="30"/>
  <c r="H360" i="21"/>
  <c r="N198" i="21"/>
  <c r="N12" i="76" s="1"/>
  <c r="L198" i="21"/>
  <c r="L12" i="76" s="1"/>
  <c r="J198" i="21"/>
  <c r="J12" i="76" s="1"/>
  <c r="H198" i="21"/>
  <c r="H12" i="76" s="1"/>
  <c r="O198" i="21"/>
  <c r="M198" i="21"/>
  <c r="M12" i="76" s="1"/>
  <c r="K198" i="21"/>
  <c r="K12" i="76" s="1"/>
  <c r="I198" i="21"/>
  <c r="I12" i="76" s="1"/>
  <c r="F335" i="50"/>
  <c r="H402" i="60"/>
  <c r="F311" i="50"/>
  <c r="H380" i="60"/>
  <c r="H373" i="60"/>
  <c r="F358" i="60"/>
  <c r="O427" i="39"/>
  <c r="O410" i="17" s="1"/>
  <c r="O425" i="17" s="1"/>
  <c r="F415" i="39"/>
  <c r="J427" i="39"/>
  <c r="J410" i="17" s="1"/>
  <c r="J425" i="17" s="1"/>
  <c r="F416" i="39"/>
  <c r="F427" i="39"/>
  <c r="H410" i="17"/>
  <c r="O367" i="39"/>
  <c r="O388" i="17" s="1"/>
  <c r="O403" i="17" s="1"/>
  <c r="J403" i="17"/>
  <c r="J31" i="78" s="1"/>
  <c r="J46" i="78" s="1"/>
  <c r="F388" i="17"/>
  <c r="F356" i="39"/>
  <c r="F367" i="39"/>
  <c r="F296" i="39"/>
  <c r="H381" i="17"/>
  <c r="F366" i="17"/>
  <c r="O360" i="21"/>
  <c r="O506" i="21"/>
  <c r="O361" i="21"/>
  <c r="O683" i="21" s="1"/>
  <c r="O507" i="21"/>
  <c r="N155" i="21"/>
  <c r="N164" i="21" s="1"/>
  <c r="G153" i="21"/>
  <c r="I153" i="21"/>
  <c r="K153" i="21"/>
  <c r="M153" i="21"/>
  <c r="O153" i="21"/>
  <c r="H154" i="21"/>
  <c r="J154" i="21"/>
  <c r="L154" i="21"/>
  <c r="N154" i="21"/>
  <c r="G155" i="21"/>
  <c r="I155" i="21"/>
  <c r="I164" i="21" s="1"/>
  <c r="K155" i="21"/>
  <c r="M155" i="21"/>
  <c r="M164" i="21" s="1"/>
  <c r="O155" i="21"/>
  <c r="H153" i="21"/>
  <c r="J153" i="21"/>
  <c r="L153" i="21"/>
  <c r="N153" i="21"/>
  <c r="G154" i="21"/>
  <c r="I154" i="21"/>
  <c r="K154" i="21"/>
  <c r="M154" i="21"/>
  <c r="O154" i="21"/>
  <c r="H155" i="21"/>
  <c r="J155" i="21"/>
  <c r="J164" i="21" s="1"/>
  <c r="L155" i="21"/>
  <c r="J25" i="30"/>
  <c r="F121" i="30"/>
  <c r="F123" i="30"/>
  <c r="F104" i="30"/>
  <c r="F36" i="30"/>
  <c r="F41" i="30"/>
  <c r="F44" i="30"/>
  <c r="F38" i="30"/>
  <c r="F42" i="30"/>
  <c r="G19" i="30"/>
  <c r="I19" i="30"/>
  <c r="K19" i="30"/>
  <c r="M19" i="30"/>
  <c r="O19" i="30"/>
  <c r="G208" i="59"/>
  <c r="I208" i="59"/>
  <c r="K208" i="59"/>
  <c r="M208" i="59"/>
  <c r="O208" i="59"/>
  <c r="G84" i="59"/>
  <c r="I84" i="59"/>
  <c r="K84" i="59"/>
  <c r="M84" i="59"/>
  <c r="O84" i="59"/>
  <c r="H148" i="59"/>
  <c r="H22" i="30" s="1"/>
  <c r="H161" i="21" s="1"/>
  <c r="J148" i="59"/>
  <c r="J22" i="30" s="1"/>
  <c r="J161" i="21" s="1"/>
  <c r="L148" i="59"/>
  <c r="L22" i="30" s="1"/>
  <c r="L161" i="21" s="1"/>
  <c r="N148" i="59"/>
  <c r="N22" i="30" s="1"/>
  <c r="N161" i="21" s="1"/>
  <c r="G196" i="59"/>
  <c r="G201" i="59"/>
  <c r="O200" i="59"/>
  <c r="F206" i="59"/>
  <c r="F264" i="59"/>
  <c r="F266" i="59"/>
  <c r="G200" i="59"/>
  <c r="O136" i="59"/>
  <c r="O137" i="59"/>
  <c r="M136" i="59"/>
  <c r="M137" i="59"/>
  <c r="K136" i="59"/>
  <c r="K137" i="59"/>
  <c r="I136" i="59"/>
  <c r="I137" i="59"/>
  <c r="N136" i="59"/>
  <c r="N137" i="59"/>
  <c r="L136" i="59"/>
  <c r="L137" i="59"/>
  <c r="J136" i="59"/>
  <c r="J137" i="59"/>
  <c r="H136" i="59"/>
  <c r="H137" i="59"/>
  <c r="H140" i="59"/>
  <c r="H141" i="59"/>
  <c r="J140" i="59"/>
  <c r="J141" i="59"/>
  <c r="L140" i="59"/>
  <c r="L141" i="59"/>
  <c r="N140" i="59"/>
  <c r="N141" i="59"/>
  <c r="I144" i="59"/>
  <c r="I18" i="30" s="1"/>
  <c r="K144" i="59"/>
  <c r="K18" i="30" s="1"/>
  <c r="M144" i="59"/>
  <c r="M18" i="30" s="1"/>
  <c r="O144" i="59"/>
  <c r="O18" i="30" s="1"/>
  <c r="I196" i="59"/>
  <c r="I197" i="59"/>
  <c r="K196" i="59"/>
  <c r="K197" i="59"/>
  <c r="M196" i="59"/>
  <c r="M197" i="59"/>
  <c r="O196" i="59"/>
  <c r="O197" i="59"/>
  <c r="H256" i="59"/>
  <c r="H257" i="59"/>
  <c r="J256" i="59"/>
  <c r="J257" i="59"/>
  <c r="L256" i="59"/>
  <c r="L257" i="59"/>
  <c r="N256" i="59"/>
  <c r="N257" i="59"/>
  <c r="G261" i="59"/>
  <c r="G260" i="59"/>
  <c r="I261" i="59"/>
  <c r="I260" i="59"/>
  <c r="K261" i="59"/>
  <c r="K260" i="59"/>
  <c r="M261" i="59"/>
  <c r="M260" i="59"/>
  <c r="O261" i="59"/>
  <c r="O260" i="59"/>
  <c r="F265" i="59"/>
  <c r="F267" i="59"/>
  <c r="I200" i="59"/>
  <c r="K200" i="59"/>
  <c r="M200" i="59"/>
  <c r="F151" i="59"/>
  <c r="G197" i="59"/>
  <c r="N201" i="59"/>
  <c r="L201" i="59"/>
  <c r="J201" i="59"/>
  <c r="H201" i="59"/>
  <c r="N197" i="59"/>
  <c r="J197" i="59"/>
  <c r="I140" i="59"/>
  <c r="I141" i="59"/>
  <c r="K140" i="59"/>
  <c r="K14" i="30" s="1"/>
  <c r="K141" i="59"/>
  <c r="M140" i="59"/>
  <c r="M141" i="59"/>
  <c r="O140" i="59"/>
  <c r="O14" i="30" s="1"/>
  <c r="O141" i="59"/>
  <c r="F145" i="59"/>
  <c r="F147" i="59"/>
  <c r="G257" i="59"/>
  <c r="G256" i="59"/>
  <c r="I257" i="59"/>
  <c r="I256" i="59"/>
  <c r="K257" i="59"/>
  <c r="K256" i="59"/>
  <c r="M257" i="59"/>
  <c r="M256" i="59"/>
  <c r="O257" i="59"/>
  <c r="O256" i="59"/>
  <c r="H260" i="59"/>
  <c r="H261" i="59"/>
  <c r="J260" i="59"/>
  <c r="J261" i="59"/>
  <c r="L260" i="59"/>
  <c r="L261" i="59"/>
  <c r="N260" i="59"/>
  <c r="N261" i="59"/>
  <c r="H212" i="59"/>
  <c r="H26" i="30" s="1"/>
  <c r="O201" i="59"/>
  <c r="M201" i="59"/>
  <c r="K201" i="59"/>
  <c r="I201" i="59"/>
  <c r="L197" i="59"/>
  <c r="H197" i="59"/>
  <c r="F146" i="59"/>
  <c r="F205" i="59"/>
  <c r="F204" i="59"/>
  <c r="F81" i="59"/>
  <c r="F83" i="59"/>
  <c r="F88" i="59"/>
  <c r="F207" i="59"/>
  <c r="N73" i="59"/>
  <c r="L73" i="59"/>
  <c r="J73" i="59"/>
  <c r="G73" i="59"/>
  <c r="O72" i="59"/>
  <c r="M72" i="59"/>
  <c r="K72" i="59"/>
  <c r="I72" i="59"/>
  <c r="G77" i="59"/>
  <c r="I76" i="59"/>
  <c r="K76" i="59"/>
  <c r="M76" i="59"/>
  <c r="O76" i="59"/>
  <c r="H80" i="59"/>
  <c r="J80" i="59"/>
  <c r="L80" i="59"/>
  <c r="N80" i="59"/>
  <c r="G144" i="59"/>
  <c r="G18" i="30" s="1"/>
  <c r="H73" i="59"/>
  <c r="G72" i="59"/>
  <c r="N72" i="59"/>
  <c r="L72" i="59"/>
  <c r="J72" i="59"/>
  <c r="H72" i="59"/>
  <c r="O73" i="59"/>
  <c r="M73" i="59"/>
  <c r="K73" i="59"/>
  <c r="I73" i="59"/>
  <c r="G76" i="59"/>
  <c r="O77" i="59"/>
  <c r="M77" i="59"/>
  <c r="K77" i="59"/>
  <c r="I77" i="59"/>
  <c r="G136" i="59"/>
  <c r="G140" i="59"/>
  <c r="N77" i="59"/>
  <c r="L77" i="59"/>
  <c r="J77" i="59"/>
  <c r="H77" i="59"/>
  <c r="F287" i="50"/>
  <c r="F411" i="39"/>
  <c r="F351" i="39"/>
  <c r="H296" i="76" l="1"/>
  <c r="N20" i="30"/>
  <c r="L20" i="30"/>
  <c r="J20" i="30"/>
  <c r="H20" i="30"/>
  <c r="G296" i="76"/>
  <c r="I296" i="76"/>
  <c r="K296" i="76"/>
  <c r="M296" i="76"/>
  <c r="O296" i="76"/>
  <c r="N159" i="21"/>
  <c r="E20" i="90"/>
  <c r="N165" i="76"/>
  <c r="L159" i="21"/>
  <c r="E20" i="88"/>
  <c r="L165" i="76"/>
  <c r="J159" i="21"/>
  <c r="E20" i="86"/>
  <c r="J165" i="76"/>
  <c r="H159" i="21"/>
  <c r="E20" i="84"/>
  <c r="H165" i="76"/>
  <c r="E18" i="85"/>
  <c r="I163" i="76"/>
  <c r="O158" i="21"/>
  <c r="E19" i="91"/>
  <c r="O164" i="76"/>
  <c r="K158" i="21"/>
  <c r="E19" i="87"/>
  <c r="K164" i="76"/>
  <c r="M159" i="21"/>
  <c r="E20" i="89"/>
  <c r="M165" i="76"/>
  <c r="J158" i="21"/>
  <c r="E19" i="86"/>
  <c r="J164" i="76"/>
  <c r="M160" i="21"/>
  <c r="E21" i="89"/>
  <c r="M166" i="76"/>
  <c r="I160" i="21"/>
  <c r="E21" i="85"/>
  <c r="I166" i="76"/>
  <c r="E18" i="86"/>
  <c r="J163" i="76"/>
  <c r="E63" i="88"/>
  <c r="E63" i="91"/>
  <c r="E63" i="89"/>
  <c r="E63" i="87"/>
  <c r="E63" i="85"/>
  <c r="E63" i="90"/>
  <c r="E63" i="86"/>
  <c r="E63" i="84"/>
  <c r="E63" i="83"/>
  <c r="E18" i="83"/>
  <c r="G163" i="76"/>
  <c r="E18" i="89"/>
  <c r="M163" i="76"/>
  <c r="G158" i="21"/>
  <c r="E19" i="83"/>
  <c r="G164" i="76"/>
  <c r="E18" i="90"/>
  <c r="N163" i="76"/>
  <c r="L160" i="21"/>
  <c r="E21" i="88"/>
  <c r="L166" i="76"/>
  <c r="H160" i="21"/>
  <c r="E21" i="84"/>
  <c r="H166" i="76"/>
  <c r="I159" i="21"/>
  <c r="E20" i="85"/>
  <c r="I165" i="76"/>
  <c r="N158" i="21"/>
  <c r="E19" i="90"/>
  <c r="N164" i="76"/>
  <c r="F26" i="30"/>
  <c r="E25" i="84"/>
  <c r="H171" i="76"/>
  <c r="E14" i="91"/>
  <c r="O159" i="76"/>
  <c r="K349" i="21"/>
  <c r="E14" i="87"/>
  <c r="K159" i="76"/>
  <c r="E18" i="91"/>
  <c r="O163" i="76"/>
  <c r="E18" i="87"/>
  <c r="K163" i="76"/>
  <c r="O22" i="30"/>
  <c r="O161" i="21" s="1"/>
  <c r="K22" i="30"/>
  <c r="K161" i="21" s="1"/>
  <c r="M158" i="21"/>
  <c r="E19" i="89"/>
  <c r="M164" i="76"/>
  <c r="I158" i="21"/>
  <c r="E19" i="85"/>
  <c r="I164" i="76"/>
  <c r="J360" i="21"/>
  <c r="E24" i="86"/>
  <c r="J170" i="76"/>
  <c r="F307" i="39"/>
  <c r="O345" i="21"/>
  <c r="O12" i="76"/>
  <c r="J361" i="21"/>
  <c r="J683" i="21" s="1"/>
  <c r="E25" i="86"/>
  <c r="J171" i="76"/>
  <c r="E18" i="88"/>
  <c r="L163" i="76"/>
  <c r="N160" i="21"/>
  <c r="E21" i="90"/>
  <c r="N166" i="76"/>
  <c r="J160" i="21"/>
  <c r="E21" i="86"/>
  <c r="J166" i="76"/>
  <c r="O159" i="21"/>
  <c r="E20" i="91"/>
  <c r="O165" i="76"/>
  <c r="K159" i="21"/>
  <c r="E20" i="87"/>
  <c r="K165" i="76"/>
  <c r="G159" i="21"/>
  <c r="E20" i="83"/>
  <c r="G165" i="76"/>
  <c r="L158" i="21"/>
  <c r="E19" i="88"/>
  <c r="L164" i="76"/>
  <c r="H158" i="21"/>
  <c r="E19" i="84"/>
  <c r="H164" i="76"/>
  <c r="J296" i="76"/>
  <c r="O160" i="21"/>
  <c r="E21" i="91"/>
  <c r="O166" i="76"/>
  <c r="K160" i="21"/>
  <c r="E21" i="87"/>
  <c r="K166" i="76"/>
  <c r="G160" i="21"/>
  <c r="E21" i="83"/>
  <c r="G166" i="76"/>
  <c r="E18" i="84"/>
  <c r="H163" i="76"/>
  <c r="O33" i="49"/>
  <c r="O31" i="78"/>
  <c r="O46" i="78" s="1"/>
  <c r="J78" i="49"/>
  <c r="J76" i="78"/>
  <c r="J91" i="78" s="1"/>
  <c r="O78" i="49"/>
  <c r="O76" i="78"/>
  <c r="O91" i="78" s="1"/>
  <c r="H33" i="49"/>
  <c r="H31" i="78"/>
  <c r="F268" i="59"/>
  <c r="F21" i="30"/>
  <c r="M14" i="30"/>
  <c r="G10" i="30"/>
  <c r="M22" i="30"/>
  <c r="M161" i="21" s="1"/>
  <c r="I22" i="30"/>
  <c r="I161" i="21" s="1"/>
  <c r="F20" i="30"/>
  <c r="F212" i="59"/>
  <c r="F360" i="21"/>
  <c r="F25" i="30"/>
  <c r="H361" i="21"/>
  <c r="H683" i="21" s="1"/>
  <c r="G14" i="30"/>
  <c r="L164" i="21"/>
  <c r="H164" i="21"/>
  <c r="H417" i="60"/>
  <c r="H77" i="78" s="1"/>
  <c r="F77" i="78" s="1"/>
  <c r="F402" i="60"/>
  <c r="H395" i="60"/>
  <c r="H32" i="78" s="1"/>
  <c r="F32" i="78" s="1"/>
  <c r="F380" i="60"/>
  <c r="F373" i="60"/>
  <c r="H425" i="17"/>
  <c r="H76" i="78" s="1"/>
  <c r="F410" i="17"/>
  <c r="J33" i="49"/>
  <c r="F403" i="17"/>
  <c r="F381" i="17"/>
  <c r="K164" i="21"/>
  <c r="F76" i="59"/>
  <c r="F84" i="59"/>
  <c r="F18" i="30"/>
  <c r="I14" i="30"/>
  <c r="N14" i="30"/>
  <c r="L14" i="30"/>
  <c r="J14" i="30"/>
  <c r="H14" i="30"/>
  <c r="G15" i="30"/>
  <c r="H10" i="30"/>
  <c r="J10" i="30"/>
  <c r="L10" i="30"/>
  <c r="N10" i="30"/>
  <c r="G11" i="30"/>
  <c r="F208" i="59"/>
  <c r="F19" i="30"/>
  <c r="G22" i="30"/>
  <c r="F201" i="59"/>
  <c r="N15" i="30"/>
  <c r="L15" i="30"/>
  <c r="J15" i="30"/>
  <c r="H15" i="30"/>
  <c r="O15" i="30"/>
  <c r="M15" i="30"/>
  <c r="K15" i="30"/>
  <c r="I15" i="30"/>
  <c r="F197" i="59"/>
  <c r="H11" i="30"/>
  <c r="J11" i="30"/>
  <c r="L11" i="30"/>
  <c r="N11" i="30"/>
  <c r="I11" i="30"/>
  <c r="K11" i="30"/>
  <c r="M11" i="30"/>
  <c r="O11" i="30"/>
  <c r="I10" i="30"/>
  <c r="K10" i="30"/>
  <c r="M10" i="30"/>
  <c r="O10" i="30"/>
  <c r="F148" i="59"/>
  <c r="F257" i="59"/>
  <c r="F260" i="59"/>
  <c r="F256" i="59"/>
  <c r="F261" i="59"/>
  <c r="F141" i="59"/>
  <c r="F80" i="59"/>
  <c r="F137" i="59"/>
  <c r="F136" i="59"/>
  <c r="F72" i="59"/>
  <c r="F196" i="59"/>
  <c r="F144" i="59"/>
  <c r="F73" i="59"/>
  <c r="F140" i="59"/>
  <c r="F200" i="59"/>
  <c r="F77" i="59"/>
  <c r="O261" i="50"/>
  <c r="O286" i="60" s="1"/>
  <c r="O348" i="60" s="1"/>
  <c r="N261" i="50"/>
  <c r="N286" i="60" s="1"/>
  <c r="N348" i="60" s="1"/>
  <c r="M261" i="50"/>
  <c r="M286" i="60" s="1"/>
  <c r="M348" i="60" s="1"/>
  <c r="L261" i="50"/>
  <c r="L286" i="60" s="1"/>
  <c r="L348" i="60" s="1"/>
  <c r="K261" i="50"/>
  <c r="K286" i="60" s="1"/>
  <c r="K348" i="60" s="1"/>
  <c r="J261" i="50"/>
  <c r="J286" i="60" s="1"/>
  <c r="J348" i="60" s="1"/>
  <c r="I261" i="50"/>
  <c r="I286" i="60" s="1"/>
  <c r="I348" i="60" s="1"/>
  <c r="H261" i="50"/>
  <c r="H286" i="60" s="1"/>
  <c r="H348" i="60" s="1"/>
  <c r="G261" i="50"/>
  <c r="G286" i="60" s="1"/>
  <c r="O260" i="50"/>
  <c r="O285" i="60" s="1"/>
  <c r="O347" i="60" s="1"/>
  <c r="N260" i="50"/>
  <c r="N285" i="60" s="1"/>
  <c r="N347" i="60" s="1"/>
  <c r="M260" i="50"/>
  <c r="M285" i="60" s="1"/>
  <c r="M347" i="60" s="1"/>
  <c r="L260" i="50"/>
  <c r="L285" i="60" s="1"/>
  <c r="L347" i="60" s="1"/>
  <c r="K260" i="50"/>
  <c r="K285" i="60" s="1"/>
  <c r="K347" i="60" s="1"/>
  <c r="J260" i="50"/>
  <c r="J285" i="60" s="1"/>
  <c r="J347" i="60" s="1"/>
  <c r="I260" i="50"/>
  <c r="I285" i="60" s="1"/>
  <c r="I347" i="60" s="1"/>
  <c r="H260" i="50"/>
  <c r="H285" i="60" s="1"/>
  <c r="H347" i="60" s="1"/>
  <c r="G260" i="50"/>
  <c r="O259" i="50"/>
  <c r="O284" i="60" s="1"/>
  <c r="O346" i="60" s="1"/>
  <c r="N259" i="50"/>
  <c r="N284" i="60" s="1"/>
  <c r="N346" i="60" s="1"/>
  <c r="M259" i="50"/>
  <c r="M284" i="60" s="1"/>
  <c r="M346" i="60" s="1"/>
  <c r="L259" i="50"/>
  <c r="L284" i="60" s="1"/>
  <c r="L346" i="60" s="1"/>
  <c r="K259" i="50"/>
  <c r="K284" i="60" s="1"/>
  <c r="K346" i="60" s="1"/>
  <c r="J259" i="50"/>
  <c r="J284" i="60" s="1"/>
  <c r="J346" i="60" s="1"/>
  <c r="I259" i="50"/>
  <c r="I284" i="60" s="1"/>
  <c r="I346" i="60" s="1"/>
  <c r="H259" i="50"/>
  <c r="H284" i="60" s="1"/>
  <c r="H346" i="60" s="1"/>
  <c r="G259" i="50"/>
  <c r="G284" i="60" s="1"/>
  <c r="O256" i="50"/>
  <c r="O281" i="60" s="1"/>
  <c r="O343" i="60" s="1"/>
  <c r="N256" i="50"/>
  <c r="N281" i="60" s="1"/>
  <c r="N343" i="60" s="1"/>
  <c r="M256" i="50"/>
  <c r="M281" i="60" s="1"/>
  <c r="M343" i="60" s="1"/>
  <c r="L256" i="50"/>
  <c r="L281" i="60" s="1"/>
  <c r="L343" i="60" s="1"/>
  <c r="K256" i="50"/>
  <c r="K281" i="60" s="1"/>
  <c r="K343" i="60" s="1"/>
  <c r="J256" i="50"/>
  <c r="J281" i="60" s="1"/>
  <c r="J343" i="60" s="1"/>
  <c r="I256" i="50"/>
  <c r="I281" i="60" s="1"/>
  <c r="I343" i="60" s="1"/>
  <c r="H256" i="50"/>
  <c r="H281" i="60" s="1"/>
  <c r="H343" i="60" s="1"/>
  <c r="G256" i="50"/>
  <c r="O255" i="50"/>
  <c r="O280" i="60" s="1"/>
  <c r="O342" i="60" s="1"/>
  <c r="N255" i="50"/>
  <c r="N280" i="60" s="1"/>
  <c r="N342" i="60" s="1"/>
  <c r="M255" i="50"/>
  <c r="M280" i="60" s="1"/>
  <c r="M342" i="60" s="1"/>
  <c r="L255" i="50"/>
  <c r="L280" i="60" s="1"/>
  <c r="L342" i="60" s="1"/>
  <c r="K255" i="50"/>
  <c r="K280" i="60" s="1"/>
  <c r="K342" i="60" s="1"/>
  <c r="J255" i="50"/>
  <c r="J280" i="60" s="1"/>
  <c r="J342" i="60" s="1"/>
  <c r="I255" i="50"/>
  <c r="I280" i="60" s="1"/>
  <c r="I342" i="60" s="1"/>
  <c r="H255" i="50"/>
  <c r="H280" i="60" s="1"/>
  <c r="H342" i="60" s="1"/>
  <c r="G255" i="50"/>
  <c r="G280" i="60" s="1"/>
  <c r="F241" i="50"/>
  <c r="F240" i="50"/>
  <c r="F239" i="50"/>
  <c r="F236" i="50"/>
  <c r="F235" i="50"/>
  <c r="F228" i="50"/>
  <c r="F227" i="50"/>
  <c r="F221" i="50"/>
  <c r="F220" i="50"/>
  <c r="F219" i="50"/>
  <c r="F216" i="50"/>
  <c r="F215" i="50"/>
  <c r="O197" i="50"/>
  <c r="O200" i="60" s="1"/>
  <c r="O262" i="60" s="1"/>
  <c r="N197" i="50"/>
  <c r="N200" i="60" s="1"/>
  <c r="N262" i="60" s="1"/>
  <c r="M197" i="50"/>
  <c r="M200" i="60" s="1"/>
  <c r="M262" i="60" s="1"/>
  <c r="L197" i="50"/>
  <c r="L200" i="60" s="1"/>
  <c r="L262" i="60" s="1"/>
  <c r="K197" i="50"/>
  <c r="K200" i="60" s="1"/>
  <c r="K262" i="60" s="1"/>
  <c r="J197" i="50"/>
  <c r="J200" i="60" s="1"/>
  <c r="J262" i="60" s="1"/>
  <c r="I197" i="50"/>
  <c r="I200" i="60" s="1"/>
  <c r="I262" i="60" s="1"/>
  <c r="H197" i="50"/>
  <c r="H200" i="60" s="1"/>
  <c r="H262" i="60" s="1"/>
  <c r="G197" i="50"/>
  <c r="O196" i="50"/>
  <c r="O199" i="60" s="1"/>
  <c r="O261" i="60" s="1"/>
  <c r="N196" i="50"/>
  <c r="N199" i="60" s="1"/>
  <c r="N261" i="60" s="1"/>
  <c r="M196" i="50"/>
  <c r="M199" i="60" s="1"/>
  <c r="M261" i="60" s="1"/>
  <c r="L196" i="50"/>
  <c r="L199" i="60" s="1"/>
  <c r="L261" i="60" s="1"/>
  <c r="K196" i="50"/>
  <c r="K199" i="60" s="1"/>
  <c r="K261" i="60" s="1"/>
  <c r="J196" i="50"/>
  <c r="J199" i="60" s="1"/>
  <c r="J261" i="60" s="1"/>
  <c r="I196" i="50"/>
  <c r="I199" i="60" s="1"/>
  <c r="I261" i="60" s="1"/>
  <c r="H196" i="50"/>
  <c r="H199" i="60" s="1"/>
  <c r="H261" i="60" s="1"/>
  <c r="G196" i="50"/>
  <c r="G199" i="60" s="1"/>
  <c r="O195" i="50"/>
  <c r="O198" i="60" s="1"/>
  <c r="O260" i="60" s="1"/>
  <c r="N195" i="50"/>
  <c r="N198" i="60" s="1"/>
  <c r="N260" i="60" s="1"/>
  <c r="M195" i="50"/>
  <c r="M198" i="60" s="1"/>
  <c r="M260" i="60" s="1"/>
  <c r="L195" i="50"/>
  <c r="L198" i="60" s="1"/>
  <c r="L260" i="60" s="1"/>
  <c r="K195" i="50"/>
  <c r="K198" i="60" s="1"/>
  <c r="K260" i="60" s="1"/>
  <c r="J195" i="50"/>
  <c r="J198" i="60" s="1"/>
  <c r="J260" i="60" s="1"/>
  <c r="I195" i="50"/>
  <c r="I198" i="60" s="1"/>
  <c r="I260" i="60" s="1"/>
  <c r="H195" i="50"/>
  <c r="H198" i="60" s="1"/>
  <c r="H260" i="60" s="1"/>
  <c r="G195" i="50"/>
  <c r="G198" i="60" s="1"/>
  <c r="O192" i="50"/>
  <c r="O195" i="60" s="1"/>
  <c r="O257" i="60" s="1"/>
  <c r="N192" i="50"/>
  <c r="N195" i="60" s="1"/>
  <c r="N257" i="60" s="1"/>
  <c r="M192" i="50"/>
  <c r="M195" i="60" s="1"/>
  <c r="M257" i="60" s="1"/>
  <c r="L192" i="50"/>
  <c r="L195" i="60" s="1"/>
  <c r="L257" i="60" s="1"/>
  <c r="K192" i="50"/>
  <c r="K195" i="60" s="1"/>
  <c r="K257" i="60" s="1"/>
  <c r="J192" i="50"/>
  <c r="J195" i="60" s="1"/>
  <c r="J257" i="60" s="1"/>
  <c r="I192" i="50"/>
  <c r="I195" i="60" s="1"/>
  <c r="I257" i="60" s="1"/>
  <c r="H192" i="50"/>
  <c r="H195" i="60" s="1"/>
  <c r="H257" i="60" s="1"/>
  <c r="G192" i="50"/>
  <c r="G195" i="60" s="1"/>
  <c r="O191" i="50"/>
  <c r="O194" i="60" s="1"/>
  <c r="O256" i="60" s="1"/>
  <c r="N191" i="50"/>
  <c r="N194" i="60" s="1"/>
  <c r="N256" i="60" s="1"/>
  <c r="M191" i="50"/>
  <c r="M194" i="60" s="1"/>
  <c r="M256" i="60" s="1"/>
  <c r="L191" i="50"/>
  <c r="L194" i="60" s="1"/>
  <c r="L256" i="60" s="1"/>
  <c r="K191" i="50"/>
  <c r="K194" i="60" s="1"/>
  <c r="K256" i="60" s="1"/>
  <c r="J191" i="50"/>
  <c r="J194" i="60" s="1"/>
  <c r="J256" i="60" s="1"/>
  <c r="I191" i="50"/>
  <c r="I194" i="60" s="1"/>
  <c r="I256" i="60" s="1"/>
  <c r="H191" i="50"/>
  <c r="H194" i="60" s="1"/>
  <c r="H256" i="60" s="1"/>
  <c r="G191" i="50"/>
  <c r="G194" i="60" s="1"/>
  <c r="O188" i="50"/>
  <c r="O191" i="60" s="1"/>
  <c r="O253" i="60" s="1"/>
  <c r="N188" i="50"/>
  <c r="N191" i="60" s="1"/>
  <c r="N253" i="60" s="1"/>
  <c r="M188" i="50"/>
  <c r="M191" i="60" s="1"/>
  <c r="M253" i="60" s="1"/>
  <c r="L188" i="50"/>
  <c r="L191" i="60" s="1"/>
  <c r="L253" i="60" s="1"/>
  <c r="K188" i="50"/>
  <c r="K191" i="60" s="1"/>
  <c r="K253" i="60" s="1"/>
  <c r="J188" i="50"/>
  <c r="J191" i="60" s="1"/>
  <c r="J253" i="60" s="1"/>
  <c r="I188" i="50"/>
  <c r="I191" i="60" s="1"/>
  <c r="I253" i="60" s="1"/>
  <c r="H188" i="50"/>
  <c r="H191" i="60" s="1"/>
  <c r="H253" i="60" s="1"/>
  <c r="G188" i="50"/>
  <c r="G191" i="60" s="1"/>
  <c r="O187" i="50"/>
  <c r="O190" i="60" s="1"/>
  <c r="O202" i="60" s="1"/>
  <c r="N187" i="50"/>
  <c r="N190" i="60" s="1"/>
  <c r="M187" i="50"/>
  <c r="M190" i="60" s="1"/>
  <c r="M202" i="60" s="1"/>
  <c r="L187" i="50"/>
  <c r="L190" i="60" s="1"/>
  <c r="K187" i="50"/>
  <c r="K190" i="60" s="1"/>
  <c r="K202" i="60" s="1"/>
  <c r="J187" i="50"/>
  <c r="J190" i="60" s="1"/>
  <c r="I187" i="50"/>
  <c r="I190" i="60" s="1"/>
  <c r="I202" i="60" s="1"/>
  <c r="H187" i="50"/>
  <c r="H190" i="60" s="1"/>
  <c r="G187" i="50"/>
  <c r="G190" i="60" s="1"/>
  <c r="F184" i="50"/>
  <c r="L199" i="50"/>
  <c r="H199" i="50"/>
  <c r="F183" i="50"/>
  <c r="F177" i="50"/>
  <c r="F176" i="50"/>
  <c r="F175" i="50"/>
  <c r="F172" i="50"/>
  <c r="F171" i="50"/>
  <c r="F168" i="50"/>
  <c r="F167" i="50"/>
  <c r="F164" i="50"/>
  <c r="F163" i="50"/>
  <c r="F157" i="50"/>
  <c r="F156" i="50"/>
  <c r="F155" i="50"/>
  <c r="F152" i="50"/>
  <c r="F151" i="50"/>
  <c r="F148" i="50"/>
  <c r="F147" i="50"/>
  <c r="F144" i="50"/>
  <c r="F143" i="50"/>
  <c r="O133" i="50"/>
  <c r="O114" i="60" s="1"/>
  <c r="O176" i="60" s="1"/>
  <c r="N133" i="50"/>
  <c r="N114" i="60" s="1"/>
  <c r="N176" i="60" s="1"/>
  <c r="M133" i="50"/>
  <c r="M114" i="60" s="1"/>
  <c r="M176" i="60" s="1"/>
  <c r="L133" i="50"/>
  <c r="L114" i="60" s="1"/>
  <c r="L176" i="60" s="1"/>
  <c r="K133" i="50"/>
  <c r="K114" i="60" s="1"/>
  <c r="K176" i="60" s="1"/>
  <c r="J133" i="50"/>
  <c r="J114" i="60" s="1"/>
  <c r="J176" i="60" s="1"/>
  <c r="I133" i="50"/>
  <c r="I114" i="60" s="1"/>
  <c r="I176" i="60" s="1"/>
  <c r="H133" i="50"/>
  <c r="H114" i="60" s="1"/>
  <c r="H176" i="60" s="1"/>
  <c r="G133" i="50"/>
  <c r="G114" i="60" s="1"/>
  <c r="O132" i="50"/>
  <c r="O113" i="60" s="1"/>
  <c r="O175" i="60" s="1"/>
  <c r="N132" i="50"/>
  <c r="N113" i="60" s="1"/>
  <c r="N175" i="60" s="1"/>
  <c r="L132" i="50"/>
  <c r="L113" i="60" s="1"/>
  <c r="L175" i="60" s="1"/>
  <c r="K132" i="50"/>
  <c r="K113" i="60" s="1"/>
  <c r="K175" i="60" s="1"/>
  <c r="J132" i="50"/>
  <c r="J113" i="60" s="1"/>
  <c r="J175" i="60" s="1"/>
  <c r="I132" i="50"/>
  <c r="I113" i="60" s="1"/>
  <c r="I175" i="60" s="1"/>
  <c r="H132" i="50"/>
  <c r="H113" i="60" s="1"/>
  <c r="H175" i="60" s="1"/>
  <c r="G132" i="50"/>
  <c r="O131" i="50"/>
  <c r="O112" i="60" s="1"/>
  <c r="N131" i="50"/>
  <c r="N112" i="60" s="1"/>
  <c r="N174" i="60" s="1"/>
  <c r="M131" i="50"/>
  <c r="M112" i="60" s="1"/>
  <c r="M174" i="60" s="1"/>
  <c r="L131" i="50"/>
  <c r="L112" i="60" s="1"/>
  <c r="L174" i="60" s="1"/>
  <c r="K131" i="50"/>
  <c r="K112" i="60" s="1"/>
  <c r="K174" i="60" s="1"/>
  <c r="J131" i="50"/>
  <c r="I131" i="50"/>
  <c r="I112" i="60" s="1"/>
  <c r="I174" i="60" s="1"/>
  <c r="H131" i="50"/>
  <c r="H112" i="60" s="1"/>
  <c r="H174" i="60" s="1"/>
  <c r="G131" i="50"/>
  <c r="G112" i="60" s="1"/>
  <c r="G174" i="60" s="1"/>
  <c r="O128" i="50"/>
  <c r="O109" i="60" s="1"/>
  <c r="O171" i="60" s="1"/>
  <c r="N128" i="50"/>
  <c r="N109" i="60" s="1"/>
  <c r="N171" i="60" s="1"/>
  <c r="M128" i="50"/>
  <c r="M109" i="60" s="1"/>
  <c r="M171" i="60" s="1"/>
  <c r="L128" i="50"/>
  <c r="L109" i="60" s="1"/>
  <c r="L171" i="60" s="1"/>
  <c r="K128" i="50"/>
  <c r="K109" i="60" s="1"/>
  <c r="K171" i="60" s="1"/>
  <c r="J128" i="50"/>
  <c r="J109" i="60" s="1"/>
  <c r="J171" i="60" s="1"/>
  <c r="I128" i="50"/>
  <c r="I109" i="60" s="1"/>
  <c r="I171" i="60" s="1"/>
  <c r="H128" i="50"/>
  <c r="H109" i="60" s="1"/>
  <c r="H171" i="60" s="1"/>
  <c r="G128" i="50"/>
  <c r="G109" i="60" s="1"/>
  <c r="O127" i="50"/>
  <c r="O108" i="60" s="1"/>
  <c r="O170" i="60" s="1"/>
  <c r="N127" i="50"/>
  <c r="N108" i="60" s="1"/>
  <c r="N170" i="60" s="1"/>
  <c r="M127" i="50"/>
  <c r="M108" i="60" s="1"/>
  <c r="M170" i="60" s="1"/>
  <c r="L127" i="50"/>
  <c r="L108" i="60" s="1"/>
  <c r="L170" i="60" s="1"/>
  <c r="K127" i="50"/>
  <c r="K108" i="60" s="1"/>
  <c r="K170" i="60" s="1"/>
  <c r="J127" i="50"/>
  <c r="J108" i="60" s="1"/>
  <c r="J170" i="60" s="1"/>
  <c r="I127" i="50"/>
  <c r="I108" i="60" s="1"/>
  <c r="I170" i="60" s="1"/>
  <c r="H127" i="50"/>
  <c r="H108" i="60" s="1"/>
  <c r="H170" i="60" s="1"/>
  <c r="G127" i="50"/>
  <c r="G108" i="60" s="1"/>
  <c r="O124" i="50"/>
  <c r="O105" i="60" s="1"/>
  <c r="O167" i="60" s="1"/>
  <c r="N124" i="50"/>
  <c r="N105" i="60" s="1"/>
  <c r="N167" i="60" s="1"/>
  <c r="M124" i="50"/>
  <c r="M105" i="60" s="1"/>
  <c r="M167" i="60" s="1"/>
  <c r="L124" i="50"/>
  <c r="L105" i="60" s="1"/>
  <c r="L167" i="60" s="1"/>
  <c r="K124" i="50"/>
  <c r="K105" i="60" s="1"/>
  <c r="K167" i="60" s="1"/>
  <c r="J124" i="50"/>
  <c r="J105" i="60" s="1"/>
  <c r="J167" i="60" s="1"/>
  <c r="I124" i="50"/>
  <c r="I105" i="60" s="1"/>
  <c r="I167" i="60" s="1"/>
  <c r="H124" i="50"/>
  <c r="H105" i="60" s="1"/>
  <c r="H167" i="60" s="1"/>
  <c r="G124" i="50"/>
  <c r="G105" i="60" s="1"/>
  <c r="O123" i="50"/>
  <c r="O104" i="60" s="1"/>
  <c r="O116" i="60" s="1"/>
  <c r="N123" i="50"/>
  <c r="N104" i="60" s="1"/>
  <c r="M123" i="50"/>
  <c r="M104" i="60" s="1"/>
  <c r="L123" i="50"/>
  <c r="L104" i="60" s="1"/>
  <c r="K123" i="50"/>
  <c r="K104" i="60" s="1"/>
  <c r="K116" i="60" s="1"/>
  <c r="J123" i="50"/>
  <c r="J104" i="60" s="1"/>
  <c r="I123" i="50"/>
  <c r="I104" i="60" s="1"/>
  <c r="I116" i="60" s="1"/>
  <c r="H123" i="50"/>
  <c r="H104" i="60" s="1"/>
  <c r="G123" i="50"/>
  <c r="G104" i="60" s="1"/>
  <c r="F120" i="50"/>
  <c r="N135" i="50"/>
  <c r="L135" i="50"/>
  <c r="J135" i="50"/>
  <c r="H135" i="50"/>
  <c r="F119" i="50"/>
  <c r="F113" i="50"/>
  <c r="F111" i="50"/>
  <c r="F108" i="50"/>
  <c r="F107" i="50"/>
  <c r="F104" i="50"/>
  <c r="F103" i="50"/>
  <c r="F100" i="50"/>
  <c r="F99" i="50"/>
  <c r="F93" i="50"/>
  <c r="F92" i="50"/>
  <c r="F91" i="50"/>
  <c r="F88" i="50"/>
  <c r="F87" i="50"/>
  <c r="F84" i="50"/>
  <c r="F83" i="50"/>
  <c r="F80" i="50"/>
  <c r="F79" i="50"/>
  <c r="F16" i="50"/>
  <c r="F15" i="50"/>
  <c r="O69" i="50"/>
  <c r="O28" i="60" s="1"/>
  <c r="O90" i="60" s="1"/>
  <c r="N69" i="50"/>
  <c r="N28" i="60" s="1"/>
  <c r="N90" i="60" s="1"/>
  <c r="M69" i="50"/>
  <c r="M28" i="60" s="1"/>
  <c r="M90" i="60" s="1"/>
  <c r="L69" i="50"/>
  <c r="L28" i="60" s="1"/>
  <c r="L90" i="60" s="1"/>
  <c r="K69" i="50"/>
  <c r="K28" i="60" s="1"/>
  <c r="K90" i="60" s="1"/>
  <c r="J69" i="50"/>
  <c r="J28" i="60" s="1"/>
  <c r="J90" i="60" s="1"/>
  <c r="I69" i="50"/>
  <c r="I28" i="60" s="1"/>
  <c r="I90" i="60" s="1"/>
  <c r="H69" i="50"/>
  <c r="H28" i="60" s="1"/>
  <c r="H90" i="60" s="1"/>
  <c r="G69" i="50"/>
  <c r="G28" i="60" s="1"/>
  <c r="O68" i="50"/>
  <c r="O27" i="60" s="1"/>
  <c r="O89" i="60" s="1"/>
  <c r="N68" i="50"/>
  <c r="N27" i="60" s="1"/>
  <c r="N89" i="60" s="1"/>
  <c r="M68" i="50"/>
  <c r="M27" i="60" s="1"/>
  <c r="M89" i="60" s="1"/>
  <c r="L68" i="50"/>
  <c r="L27" i="60" s="1"/>
  <c r="L89" i="60" s="1"/>
  <c r="K68" i="50"/>
  <c r="K27" i="60" s="1"/>
  <c r="K89" i="60" s="1"/>
  <c r="J68" i="50"/>
  <c r="J27" i="60" s="1"/>
  <c r="J89" i="60" s="1"/>
  <c r="I68" i="50"/>
  <c r="I27" i="60" s="1"/>
  <c r="I89" i="60" s="1"/>
  <c r="H68" i="50"/>
  <c r="H27" i="60" s="1"/>
  <c r="H89" i="60" s="1"/>
  <c r="G68" i="50"/>
  <c r="G27" i="60" s="1"/>
  <c r="O67" i="50"/>
  <c r="O26" i="60" s="1"/>
  <c r="N67" i="50"/>
  <c r="N26" i="60" s="1"/>
  <c r="N88" i="60" s="1"/>
  <c r="M67" i="50"/>
  <c r="M26" i="60" s="1"/>
  <c r="M88" i="60" s="1"/>
  <c r="L67" i="50"/>
  <c r="L26" i="60" s="1"/>
  <c r="L88" i="60" s="1"/>
  <c r="K67" i="50"/>
  <c r="K26" i="60" s="1"/>
  <c r="K88" i="60" s="1"/>
  <c r="J67" i="50"/>
  <c r="J26" i="60" s="1"/>
  <c r="J88" i="60" s="1"/>
  <c r="I67" i="50"/>
  <c r="I26" i="60" s="1"/>
  <c r="I88" i="60" s="1"/>
  <c r="H67" i="50"/>
  <c r="H26" i="60" s="1"/>
  <c r="H88" i="60" s="1"/>
  <c r="G67" i="50"/>
  <c r="O64" i="50"/>
  <c r="O23" i="60" s="1"/>
  <c r="O85" i="60" s="1"/>
  <c r="N64" i="50"/>
  <c r="N23" i="60" s="1"/>
  <c r="N85" i="60" s="1"/>
  <c r="M64" i="50"/>
  <c r="M23" i="60" s="1"/>
  <c r="M85" i="60" s="1"/>
  <c r="L64" i="50"/>
  <c r="L23" i="60" s="1"/>
  <c r="L85" i="60" s="1"/>
  <c r="K64" i="50"/>
  <c r="K23" i="60" s="1"/>
  <c r="K85" i="60" s="1"/>
  <c r="J64" i="50"/>
  <c r="J23" i="60" s="1"/>
  <c r="J85" i="60" s="1"/>
  <c r="I64" i="50"/>
  <c r="I23" i="60" s="1"/>
  <c r="I85" i="60" s="1"/>
  <c r="H64" i="50"/>
  <c r="H23" i="60" s="1"/>
  <c r="H85" i="60" s="1"/>
  <c r="G64" i="50"/>
  <c r="O63" i="50"/>
  <c r="O22" i="60" s="1"/>
  <c r="O84" i="60" s="1"/>
  <c r="N63" i="50"/>
  <c r="N22" i="60" s="1"/>
  <c r="N84" i="60" s="1"/>
  <c r="M63" i="50"/>
  <c r="M22" i="60" s="1"/>
  <c r="M84" i="60" s="1"/>
  <c r="L63" i="50"/>
  <c r="L22" i="60" s="1"/>
  <c r="L84" i="60" s="1"/>
  <c r="K63" i="50"/>
  <c r="K22" i="60" s="1"/>
  <c r="K84" i="60" s="1"/>
  <c r="J63" i="50"/>
  <c r="J22" i="60" s="1"/>
  <c r="J84" i="60" s="1"/>
  <c r="I63" i="50"/>
  <c r="I22" i="60" s="1"/>
  <c r="I84" i="60" s="1"/>
  <c r="H63" i="50"/>
  <c r="H22" i="60" s="1"/>
  <c r="H84" i="60" s="1"/>
  <c r="G63" i="50"/>
  <c r="G22" i="60" s="1"/>
  <c r="O60" i="50"/>
  <c r="O19" i="60" s="1"/>
  <c r="O81" i="60" s="1"/>
  <c r="N60" i="50"/>
  <c r="N19" i="60" s="1"/>
  <c r="N81" i="60" s="1"/>
  <c r="M60" i="50"/>
  <c r="M19" i="60" s="1"/>
  <c r="M81" i="60" s="1"/>
  <c r="L60" i="50"/>
  <c r="L19" i="60" s="1"/>
  <c r="L81" i="60" s="1"/>
  <c r="K60" i="50"/>
  <c r="K19" i="60" s="1"/>
  <c r="K81" i="60" s="1"/>
  <c r="J60" i="50"/>
  <c r="J19" i="60" s="1"/>
  <c r="J81" i="60" s="1"/>
  <c r="I60" i="50"/>
  <c r="I19" i="60" s="1"/>
  <c r="I81" i="60" s="1"/>
  <c r="H60" i="50"/>
  <c r="H19" i="60" s="1"/>
  <c r="H81" i="60" s="1"/>
  <c r="G60" i="50"/>
  <c r="G19" i="60" s="1"/>
  <c r="O59" i="50"/>
  <c r="O18" i="60" s="1"/>
  <c r="N59" i="50"/>
  <c r="N18" i="60" s="1"/>
  <c r="M59" i="50"/>
  <c r="M18" i="60" s="1"/>
  <c r="L59" i="50"/>
  <c r="L18" i="60" s="1"/>
  <c r="K59" i="50"/>
  <c r="K18" i="60" s="1"/>
  <c r="J59" i="50"/>
  <c r="J18" i="60" s="1"/>
  <c r="I59" i="50"/>
  <c r="I18" i="60" s="1"/>
  <c r="H59" i="50"/>
  <c r="H18" i="60" s="1"/>
  <c r="G59" i="50"/>
  <c r="F56" i="50"/>
  <c r="H71" i="50"/>
  <c r="F49" i="50"/>
  <c r="F48" i="50"/>
  <c r="F47" i="50"/>
  <c r="F44" i="50"/>
  <c r="F43" i="50"/>
  <c r="F40" i="50"/>
  <c r="F39" i="50"/>
  <c r="F36" i="50"/>
  <c r="F35" i="50"/>
  <c r="F29" i="50"/>
  <c r="F28" i="50"/>
  <c r="F27" i="50"/>
  <c r="F24" i="50"/>
  <c r="F23" i="50"/>
  <c r="F20" i="50"/>
  <c r="F19" i="50"/>
  <c r="O185" i="39"/>
  <c r="O204" i="17" s="1"/>
  <c r="O266" i="17" s="1"/>
  <c r="N185" i="39"/>
  <c r="N204" i="17" s="1"/>
  <c r="N266" i="17" s="1"/>
  <c r="M185" i="39"/>
  <c r="M204" i="17" s="1"/>
  <c r="M266" i="17" s="1"/>
  <c r="L185" i="39"/>
  <c r="L204" i="17" s="1"/>
  <c r="L266" i="17" s="1"/>
  <c r="K185" i="39"/>
  <c r="K204" i="17" s="1"/>
  <c r="K266" i="17" s="1"/>
  <c r="J185" i="39"/>
  <c r="J204" i="17" s="1"/>
  <c r="J266" i="17" s="1"/>
  <c r="I185" i="39"/>
  <c r="I204" i="17" s="1"/>
  <c r="I266" i="17" s="1"/>
  <c r="H185" i="39"/>
  <c r="H204" i="17" s="1"/>
  <c r="H266" i="17" s="1"/>
  <c r="G185" i="39"/>
  <c r="O184" i="39"/>
  <c r="O203" i="17" s="1"/>
  <c r="N184" i="39"/>
  <c r="N203" i="17" s="1"/>
  <c r="M184" i="39"/>
  <c r="M203" i="17" s="1"/>
  <c r="L184" i="39"/>
  <c r="L203" i="17" s="1"/>
  <c r="K184" i="39"/>
  <c r="K203" i="17" s="1"/>
  <c r="J184" i="39"/>
  <c r="J203" i="17" s="1"/>
  <c r="I184" i="39"/>
  <c r="I203" i="17" s="1"/>
  <c r="H184" i="39"/>
  <c r="H203" i="17" s="1"/>
  <c r="G184" i="39"/>
  <c r="G203" i="17" s="1"/>
  <c r="O183" i="39"/>
  <c r="O202" i="17" s="1"/>
  <c r="N183" i="39"/>
  <c r="M183" i="39"/>
  <c r="L183" i="39"/>
  <c r="K183" i="39"/>
  <c r="J183" i="39"/>
  <c r="I183" i="39"/>
  <c r="H183" i="39"/>
  <c r="G183" i="39"/>
  <c r="O180" i="39"/>
  <c r="O199" i="17" s="1"/>
  <c r="N180" i="39"/>
  <c r="N199" i="17" s="1"/>
  <c r="M180" i="39"/>
  <c r="M199" i="17" s="1"/>
  <c r="L180" i="39"/>
  <c r="L199" i="17" s="1"/>
  <c r="K180" i="39"/>
  <c r="K199" i="17" s="1"/>
  <c r="J180" i="39"/>
  <c r="J199" i="17" s="1"/>
  <c r="I180" i="39"/>
  <c r="I199" i="17" s="1"/>
  <c r="H180" i="39"/>
  <c r="H199" i="17" s="1"/>
  <c r="G180" i="39"/>
  <c r="G199" i="17" s="1"/>
  <c r="O179" i="39"/>
  <c r="O198" i="17" s="1"/>
  <c r="N179" i="39"/>
  <c r="N198" i="17" s="1"/>
  <c r="M179" i="39"/>
  <c r="M198" i="17" s="1"/>
  <c r="L179" i="39"/>
  <c r="L198" i="17" s="1"/>
  <c r="K179" i="39"/>
  <c r="K198" i="17" s="1"/>
  <c r="J179" i="39"/>
  <c r="J198" i="17" s="1"/>
  <c r="I179" i="39"/>
  <c r="I198" i="17" s="1"/>
  <c r="H179" i="39"/>
  <c r="H198" i="17" s="1"/>
  <c r="G179" i="39"/>
  <c r="G198" i="17" s="1"/>
  <c r="O176" i="39"/>
  <c r="O195" i="17" s="1"/>
  <c r="O257" i="17" s="1"/>
  <c r="N176" i="39"/>
  <c r="N195" i="17" s="1"/>
  <c r="N257" i="17" s="1"/>
  <c r="M176" i="39"/>
  <c r="M195" i="17" s="1"/>
  <c r="M257" i="17" s="1"/>
  <c r="L176" i="39"/>
  <c r="L195" i="17" s="1"/>
  <c r="L257" i="17" s="1"/>
  <c r="K176" i="39"/>
  <c r="K195" i="17" s="1"/>
  <c r="K257" i="17" s="1"/>
  <c r="J176" i="39"/>
  <c r="J195" i="17" s="1"/>
  <c r="J257" i="17" s="1"/>
  <c r="I176" i="39"/>
  <c r="I195" i="17" s="1"/>
  <c r="I257" i="17" s="1"/>
  <c r="H176" i="39"/>
  <c r="H195" i="17" s="1"/>
  <c r="H257" i="17" s="1"/>
  <c r="G176" i="39"/>
  <c r="G195" i="17" s="1"/>
  <c r="O175" i="39"/>
  <c r="O194" i="17" s="1"/>
  <c r="O256" i="17" s="1"/>
  <c r="N175" i="39"/>
  <c r="N194" i="17" s="1"/>
  <c r="N256" i="17" s="1"/>
  <c r="M175" i="39"/>
  <c r="M194" i="17" s="1"/>
  <c r="M256" i="17" s="1"/>
  <c r="L175" i="39"/>
  <c r="L194" i="17" s="1"/>
  <c r="L256" i="17" s="1"/>
  <c r="K175" i="39"/>
  <c r="K194" i="17" s="1"/>
  <c r="K256" i="17" s="1"/>
  <c r="J175" i="39"/>
  <c r="J194" i="17" s="1"/>
  <c r="J256" i="17" s="1"/>
  <c r="I175" i="39"/>
  <c r="I194" i="17" s="1"/>
  <c r="I256" i="17" s="1"/>
  <c r="H175" i="39"/>
  <c r="H194" i="17" s="1"/>
  <c r="H256" i="17" s="1"/>
  <c r="G175" i="39"/>
  <c r="G194" i="17" s="1"/>
  <c r="O172" i="39"/>
  <c r="O191" i="17" s="1"/>
  <c r="O253" i="17" s="1"/>
  <c r="N172" i="39"/>
  <c r="N191" i="17" s="1"/>
  <c r="N253" i="17" s="1"/>
  <c r="M172" i="39"/>
  <c r="M191" i="17" s="1"/>
  <c r="M253" i="17" s="1"/>
  <c r="L172" i="39"/>
  <c r="L191" i="17" s="1"/>
  <c r="L253" i="17" s="1"/>
  <c r="K172" i="39"/>
  <c r="K191" i="17" s="1"/>
  <c r="K253" i="17" s="1"/>
  <c r="J172" i="39"/>
  <c r="J191" i="17" s="1"/>
  <c r="J253" i="17" s="1"/>
  <c r="I172" i="39"/>
  <c r="I191" i="17" s="1"/>
  <c r="I253" i="17" s="1"/>
  <c r="H172" i="39"/>
  <c r="H191" i="17" s="1"/>
  <c r="H253" i="17" s="1"/>
  <c r="G172" i="39"/>
  <c r="G191" i="17" s="1"/>
  <c r="O171" i="39"/>
  <c r="N171" i="39"/>
  <c r="M171" i="39"/>
  <c r="L171" i="39"/>
  <c r="K171" i="39"/>
  <c r="J171" i="39"/>
  <c r="I171" i="39"/>
  <c r="H171" i="39"/>
  <c r="G171" i="39"/>
  <c r="F165" i="39"/>
  <c r="F164" i="39"/>
  <c r="F163" i="39"/>
  <c r="F160" i="39"/>
  <c r="F159" i="39"/>
  <c r="F156" i="39"/>
  <c r="F155" i="39"/>
  <c r="F152" i="39"/>
  <c r="F151" i="39"/>
  <c r="F145" i="39"/>
  <c r="F144" i="39"/>
  <c r="F143" i="39"/>
  <c r="F140" i="39"/>
  <c r="F139" i="39"/>
  <c r="F136" i="39"/>
  <c r="F135" i="39"/>
  <c r="O125" i="39"/>
  <c r="O116" i="17" s="1"/>
  <c r="O178" i="17" s="1"/>
  <c r="N125" i="39"/>
  <c r="N116" i="17" s="1"/>
  <c r="N178" i="17" s="1"/>
  <c r="M125" i="39"/>
  <c r="M116" i="17" s="1"/>
  <c r="M178" i="17" s="1"/>
  <c r="L125" i="39"/>
  <c r="L116" i="17" s="1"/>
  <c r="L178" i="17" s="1"/>
  <c r="K125" i="39"/>
  <c r="K116" i="17" s="1"/>
  <c r="K178" i="17" s="1"/>
  <c r="J125" i="39"/>
  <c r="J116" i="17" s="1"/>
  <c r="J178" i="17" s="1"/>
  <c r="I125" i="39"/>
  <c r="I116" i="17" s="1"/>
  <c r="I178" i="17" s="1"/>
  <c r="H125" i="39"/>
  <c r="H116" i="17" s="1"/>
  <c r="H178" i="17" s="1"/>
  <c r="G125" i="39"/>
  <c r="O124" i="39"/>
  <c r="O115" i="17" s="1"/>
  <c r="O177" i="17" s="1"/>
  <c r="N124" i="39"/>
  <c r="N115" i="17" s="1"/>
  <c r="N177" i="17" s="1"/>
  <c r="M124" i="39"/>
  <c r="M115" i="17" s="1"/>
  <c r="M177" i="17" s="1"/>
  <c r="L124" i="39"/>
  <c r="L115" i="17" s="1"/>
  <c r="L177" i="17" s="1"/>
  <c r="K124" i="39"/>
  <c r="K115" i="17" s="1"/>
  <c r="K177" i="17" s="1"/>
  <c r="J124" i="39"/>
  <c r="J115" i="17" s="1"/>
  <c r="J177" i="17" s="1"/>
  <c r="I124" i="39"/>
  <c r="I115" i="17" s="1"/>
  <c r="I177" i="17" s="1"/>
  <c r="H124" i="39"/>
  <c r="H115" i="17" s="1"/>
  <c r="H177" i="17" s="1"/>
  <c r="G124" i="39"/>
  <c r="G115" i="17" s="1"/>
  <c r="O123" i="39"/>
  <c r="O114" i="17" s="1"/>
  <c r="N123" i="39"/>
  <c r="M123" i="39"/>
  <c r="L123" i="39"/>
  <c r="K123" i="39"/>
  <c r="J123" i="39"/>
  <c r="J114" i="17" s="1"/>
  <c r="J176" i="17" s="1"/>
  <c r="I123" i="39"/>
  <c r="H123" i="39"/>
  <c r="G123" i="39"/>
  <c r="O120" i="39"/>
  <c r="O111" i="17" s="1"/>
  <c r="O173" i="17" s="1"/>
  <c r="N120" i="39"/>
  <c r="N111" i="17" s="1"/>
  <c r="N173" i="17" s="1"/>
  <c r="M120" i="39"/>
  <c r="M111" i="17" s="1"/>
  <c r="M173" i="17" s="1"/>
  <c r="L120" i="39"/>
  <c r="L111" i="17" s="1"/>
  <c r="L173" i="17" s="1"/>
  <c r="K120" i="39"/>
  <c r="K111" i="17" s="1"/>
  <c r="K173" i="17" s="1"/>
  <c r="J120" i="39"/>
  <c r="J111" i="17" s="1"/>
  <c r="J173" i="17" s="1"/>
  <c r="I120" i="39"/>
  <c r="I111" i="17" s="1"/>
  <c r="I173" i="17" s="1"/>
  <c r="H120" i="39"/>
  <c r="H111" i="17" s="1"/>
  <c r="H173" i="17" s="1"/>
  <c r="G120" i="39"/>
  <c r="G111" i="17" s="1"/>
  <c r="F120" i="39"/>
  <c r="O119" i="39"/>
  <c r="O110" i="17" s="1"/>
  <c r="O172" i="17" s="1"/>
  <c r="N119" i="39"/>
  <c r="N110" i="17" s="1"/>
  <c r="N172" i="17" s="1"/>
  <c r="M119" i="39"/>
  <c r="M110" i="17" s="1"/>
  <c r="M172" i="17" s="1"/>
  <c r="L119" i="39"/>
  <c r="L110" i="17" s="1"/>
  <c r="L172" i="17" s="1"/>
  <c r="K119" i="39"/>
  <c r="K110" i="17" s="1"/>
  <c r="K172" i="17" s="1"/>
  <c r="J119" i="39"/>
  <c r="J110" i="17" s="1"/>
  <c r="J172" i="17" s="1"/>
  <c r="I119" i="39"/>
  <c r="I110" i="17" s="1"/>
  <c r="I172" i="17" s="1"/>
  <c r="H119" i="39"/>
  <c r="H110" i="17" s="1"/>
  <c r="H172" i="17" s="1"/>
  <c r="G119" i="39"/>
  <c r="G110" i="17" s="1"/>
  <c r="O116" i="39"/>
  <c r="O107" i="17" s="1"/>
  <c r="O169" i="17" s="1"/>
  <c r="N116" i="39"/>
  <c r="N107" i="17" s="1"/>
  <c r="N169" i="17" s="1"/>
  <c r="M116" i="39"/>
  <c r="M107" i="17" s="1"/>
  <c r="M169" i="17" s="1"/>
  <c r="L116" i="39"/>
  <c r="L107" i="17" s="1"/>
  <c r="L169" i="17" s="1"/>
  <c r="K116" i="39"/>
  <c r="K107" i="17" s="1"/>
  <c r="K169" i="17" s="1"/>
  <c r="J116" i="39"/>
  <c r="J107" i="17" s="1"/>
  <c r="J169" i="17" s="1"/>
  <c r="I116" i="39"/>
  <c r="I107" i="17" s="1"/>
  <c r="I169" i="17" s="1"/>
  <c r="H116" i="39"/>
  <c r="H107" i="17" s="1"/>
  <c r="H169" i="17" s="1"/>
  <c r="G116" i="39"/>
  <c r="G107" i="17" s="1"/>
  <c r="O115" i="39"/>
  <c r="O106" i="17" s="1"/>
  <c r="O168" i="17" s="1"/>
  <c r="N115" i="39"/>
  <c r="N106" i="17" s="1"/>
  <c r="N168" i="17" s="1"/>
  <c r="M115" i="39"/>
  <c r="M106" i="17" s="1"/>
  <c r="M168" i="17" s="1"/>
  <c r="L115" i="39"/>
  <c r="L106" i="17" s="1"/>
  <c r="L168" i="17" s="1"/>
  <c r="K115" i="39"/>
  <c r="K106" i="17" s="1"/>
  <c r="K168" i="17" s="1"/>
  <c r="J115" i="39"/>
  <c r="J106" i="17" s="1"/>
  <c r="J168" i="17" s="1"/>
  <c r="I115" i="39"/>
  <c r="I106" i="17" s="1"/>
  <c r="I168" i="17" s="1"/>
  <c r="H115" i="39"/>
  <c r="H106" i="17" s="1"/>
  <c r="H168" i="17" s="1"/>
  <c r="G115" i="39"/>
  <c r="G106" i="17" s="1"/>
  <c r="O112" i="39"/>
  <c r="O103" i="17" s="1"/>
  <c r="O165" i="17" s="1"/>
  <c r="N112" i="39"/>
  <c r="N103" i="17" s="1"/>
  <c r="N165" i="17" s="1"/>
  <c r="M112" i="39"/>
  <c r="M103" i="17" s="1"/>
  <c r="M165" i="17" s="1"/>
  <c r="L112" i="39"/>
  <c r="L103" i="17" s="1"/>
  <c r="L165" i="17" s="1"/>
  <c r="K112" i="39"/>
  <c r="K103" i="17" s="1"/>
  <c r="K165" i="17" s="1"/>
  <c r="J112" i="39"/>
  <c r="J103" i="17" s="1"/>
  <c r="J165" i="17" s="1"/>
  <c r="I112" i="39"/>
  <c r="I103" i="17" s="1"/>
  <c r="I165" i="17" s="1"/>
  <c r="H112" i="39"/>
  <c r="H103" i="17" s="1"/>
  <c r="H165" i="17" s="1"/>
  <c r="G112" i="39"/>
  <c r="G103" i="17" s="1"/>
  <c r="O111" i="39"/>
  <c r="N111" i="39"/>
  <c r="M111" i="39"/>
  <c r="L111" i="39"/>
  <c r="K111" i="39"/>
  <c r="J111" i="39"/>
  <c r="I111" i="39"/>
  <c r="H111" i="39"/>
  <c r="G111" i="39"/>
  <c r="F105" i="39"/>
  <c r="F104" i="39"/>
  <c r="F103" i="39"/>
  <c r="F100" i="39"/>
  <c r="F99" i="39"/>
  <c r="F96" i="39"/>
  <c r="F95" i="39"/>
  <c r="F92" i="39"/>
  <c r="F91" i="39"/>
  <c r="F85" i="39"/>
  <c r="F84" i="39"/>
  <c r="F83" i="39"/>
  <c r="F80" i="39"/>
  <c r="F79" i="39"/>
  <c r="F76" i="39"/>
  <c r="F75" i="39"/>
  <c r="F25" i="39"/>
  <c r="F24" i="39"/>
  <c r="F23" i="39"/>
  <c r="F20" i="39"/>
  <c r="F19" i="39"/>
  <c r="F16" i="39"/>
  <c r="F15" i="39"/>
  <c r="F45" i="39"/>
  <c r="F44" i="39"/>
  <c r="F43" i="39"/>
  <c r="F40" i="39"/>
  <c r="F39" i="39"/>
  <c r="F36" i="39"/>
  <c r="F35" i="39"/>
  <c r="F32" i="39"/>
  <c r="F31" i="39"/>
  <c r="O65" i="39"/>
  <c r="O28" i="17" s="1"/>
  <c r="O90" i="17" s="1"/>
  <c r="N65" i="39"/>
  <c r="N28" i="17" s="1"/>
  <c r="N90" i="17" s="1"/>
  <c r="M65" i="39"/>
  <c r="M28" i="17" s="1"/>
  <c r="M90" i="17" s="1"/>
  <c r="L65" i="39"/>
  <c r="L28" i="17" s="1"/>
  <c r="L90" i="17" s="1"/>
  <c r="K65" i="39"/>
  <c r="K28" i="17" s="1"/>
  <c r="K90" i="17" s="1"/>
  <c r="J65" i="39"/>
  <c r="J28" i="17" s="1"/>
  <c r="J90" i="17" s="1"/>
  <c r="I65" i="39"/>
  <c r="I28" i="17" s="1"/>
  <c r="I90" i="17" s="1"/>
  <c r="H65" i="39"/>
  <c r="H28" i="17" s="1"/>
  <c r="H90" i="17" s="1"/>
  <c r="G65" i="39"/>
  <c r="O64" i="39"/>
  <c r="O27" i="17" s="1"/>
  <c r="O89" i="17" s="1"/>
  <c r="N64" i="39"/>
  <c r="N27" i="17" s="1"/>
  <c r="N89" i="17" s="1"/>
  <c r="M64" i="39"/>
  <c r="M27" i="17" s="1"/>
  <c r="M89" i="17" s="1"/>
  <c r="L64" i="39"/>
  <c r="L27" i="17" s="1"/>
  <c r="L89" i="17" s="1"/>
  <c r="K64" i="39"/>
  <c r="K27" i="17" s="1"/>
  <c r="K89" i="17" s="1"/>
  <c r="J64" i="39"/>
  <c r="J27" i="17" s="1"/>
  <c r="J89" i="17" s="1"/>
  <c r="I64" i="39"/>
  <c r="I27" i="17" s="1"/>
  <c r="I89" i="17" s="1"/>
  <c r="H64" i="39"/>
  <c r="H27" i="17" s="1"/>
  <c r="H89" i="17" s="1"/>
  <c r="G64" i="39"/>
  <c r="O63" i="39"/>
  <c r="O26" i="17" s="1"/>
  <c r="N63" i="39"/>
  <c r="N26" i="17" s="1"/>
  <c r="N88" i="17" s="1"/>
  <c r="M63" i="39"/>
  <c r="M26" i="17" s="1"/>
  <c r="M88" i="17" s="1"/>
  <c r="L63" i="39"/>
  <c r="L26" i="17" s="1"/>
  <c r="L88" i="17" s="1"/>
  <c r="K63" i="39"/>
  <c r="K26" i="17" s="1"/>
  <c r="K88" i="17" s="1"/>
  <c r="J63" i="39"/>
  <c r="J26" i="17" s="1"/>
  <c r="J88" i="17" s="1"/>
  <c r="I63" i="39"/>
  <c r="I26" i="17" s="1"/>
  <c r="I88" i="17" s="1"/>
  <c r="H63" i="39"/>
  <c r="H26" i="17" s="1"/>
  <c r="H88" i="17" s="1"/>
  <c r="G63" i="39"/>
  <c r="O60" i="39"/>
  <c r="O23" i="17" s="1"/>
  <c r="O85" i="17" s="1"/>
  <c r="N60" i="39"/>
  <c r="N23" i="17" s="1"/>
  <c r="N85" i="17" s="1"/>
  <c r="M60" i="39"/>
  <c r="M23" i="17" s="1"/>
  <c r="M85" i="17" s="1"/>
  <c r="L60" i="39"/>
  <c r="L23" i="17" s="1"/>
  <c r="L85" i="17" s="1"/>
  <c r="K60" i="39"/>
  <c r="K23" i="17" s="1"/>
  <c r="K85" i="17" s="1"/>
  <c r="J60" i="39"/>
  <c r="J23" i="17" s="1"/>
  <c r="J85" i="17" s="1"/>
  <c r="I60" i="39"/>
  <c r="I23" i="17" s="1"/>
  <c r="I85" i="17" s="1"/>
  <c r="H60" i="39"/>
  <c r="H23" i="17" s="1"/>
  <c r="H85" i="17" s="1"/>
  <c r="G60" i="39"/>
  <c r="O59" i="39"/>
  <c r="O22" i="17" s="1"/>
  <c r="O84" i="17" s="1"/>
  <c r="N59" i="39"/>
  <c r="N22" i="17" s="1"/>
  <c r="N84" i="17" s="1"/>
  <c r="M59" i="39"/>
  <c r="M22" i="17" s="1"/>
  <c r="M84" i="17" s="1"/>
  <c r="L59" i="39"/>
  <c r="L22" i="17" s="1"/>
  <c r="L84" i="17" s="1"/>
  <c r="K59" i="39"/>
  <c r="K22" i="17" s="1"/>
  <c r="K84" i="17" s="1"/>
  <c r="J59" i="39"/>
  <c r="J22" i="17" s="1"/>
  <c r="J84" i="17" s="1"/>
  <c r="I59" i="39"/>
  <c r="I22" i="17" s="1"/>
  <c r="I84" i="17" s="1"/>
  <c r="H59" i="39"/>
  <c r="H22" i="17" s="1"/>
  <c r="H84" i="17" s="1"/>
  <c r="G59" i="39"/>
  <c r="H55" i="39"/>
  <c r="J55" i="39"/>
  <c r="K55" i="39"/>
  <c r="L55" i="39"/>
  <c r="M55" i="39"/>
  <c r="N55" i="39"/>
  <c r="O55" i="39"/>
  <c r="H56" i="39"/>
  <c r="I56" i="39"/>
  <c r="J56" i="39"/>
  <c r="K56" i="39"/>
  <c r="L56" i="39"/>
  <c r="M56" i="39"/>
  <c r="N56" i="39"/>
  <c r="O56" i="39"/>
  <c r="G56" i="39"/>
  <c r="H51" i="39"/>
  <c r="H14" i="17" s="1"/>
  <c r="I51" i="39"/>
  <c r="I14" i="17" s="1"/>
  <c r="J51" i="39"/>
  <c r="J14" i="17" s="1"/>
  <c r="K51" i="39"/>
  <c r="K14" i="17" s="1"/>
  <c r="L51" i="39"/>
  <c r="L14" i="17" s="1"/>
  <c r="M51" i="39"/>
  <c r="M14" i="17" s="1"/>
  <c r="N51" i="39"/>
  <c r="N14" i="17" s="1"/>
  <c r="O51" i="39"/>
  <c r="O14" i="17" s="1"/>
  <c r="H52" i="39"/>
  <c r="H15" i="17" s="1"/>
  <c r="H77" i="17" s="1"/>
  <c r="I52" i="39"/>
  <c r="I15" i="17" s="1"/>
  <c r="I77" i="17" s="1"/>
  <c r="J52" i="39"/>
  <c r="J15" i="17" s="1"/>
  <c r="J77" i="17" s="1"/>
  <c r="K52" i="39"/>
  <c r="K15" i="17" s="1"/>
  <c r="K77" i="17" s="1"/>
  <c r="L52" i="39"/>
  <c r="L15" i="17" s="1"/>
  <c r="L77" i="17" s="1"/>
  <c r="M52" i="39"/>
  <c r="M15" i="17" s="1"/>
  <c r="M77" i="17" s="1"/>
  <c r="N52" i="39"/>
  <c r="N15" i="17" s="1"/>
  <c r="N77" i="17" s="1"/>
  <c r="O52" i="39"/>
  <c r="O15" i="17" s="1"/>
  <c r="O77" i="17" s="1"/>
  <c r="G52" i="39"/>
  <c r="G51" i="39"/>
  <c r="G55" i="39"/>
  <c r="H30" i="60" l="1"/>
  <c r="J30" i="60"/>
  <c r="L30" i="60"/>
  <c r="N30" i="60"/>
  <c r="H116" i="60"/>
  <c r="L116" i="60"/>
  <c r="N116" i="60"/>
  <c r="H202" i="60"/>
  <c r="J202" i="60"/>
  <c r="L202" i="60"/>
  <c r="N202" i="60"/>
  <c r="M177" i="21"/>
  <c r="E10" i="89"/>
  <c r="M155" i="76"/>
  <c r="I177" i="21"/>
  <c r="E10" i="85"/>
  <c r="I155" i="76"/>
  <c r="E11" i="89"/>
  <c r="M156" i="76"/>
  <c r="E11" i="85"/>
  <c r="I156" i="76"/>
  <c r="E11" i="88"/>
  <c r="L156" i="76"/>
  <c r="E11" i="84"/>
  <c r="H156" i="76"/>
  <c r="E15" i="85"/>
  <c r="I160" i="76"/>
  <c r="E15" i="89"/>
  <c r="M160" i="76"/>
  <c r="E15" i="84"/>
  <c r="H160" i="76"/>
  <c r="E15" i="88"/>
  <c r="L160" i="76"/>
  <c r="E11" i="83"/>
  <c r="G156" i="76"/>
  <c r="E10" i="88"/>
  <c r="L155" i="76"/>
  <c r="E10" i="84"/>
  <c r="H155" i="76"/>
  <c r="H349" i="21"/>
  <c r="E14" i="84"/>
  <c r="H159" i="76"/>
  <c r="L349" i="21"/>
  <c r="E14" i="88"/>
  <c r="L159" i="76"/>
  <c r="I349" i="21"/>
  <c r="E14" i="85"/>
  <c r="I159" i="76"/>
  <c r="M349" i="21"/>
  <c r="E14" i="89"/>
  <c r="M159" i="76"/>
  <c r="O76" i="17"/>
  <c r="M76" i="17"/>
  <c r="K76" i="17"/>
  <c r="I76" i="17"/>
  <c r="N76" i="17"/>
  <c r="L76" i="17"/>
  <c r="J76" i="17"/>
  <c r="H76" i="17"/>
  <c r="F171" i="39"/>
  <c r="L71" i="50"/>
  <c r="I30" i="60"/>
  <c r="K30" i="60"/>
  <c r="M30" i="60"/>
  <c r="O30" i="60"/>
  <c r="O177" i="21"/>
  <c r="E10" i="91"/>
  <c r="O155" i="76"/>
  <c r="K177" i="21"/>
  <c r="E10" i="87"/>
  <c r="K155" i="76"/>
  <c r="E11" i="91"/>
  <c r="O156" i="76"/>
  <c r="E11" i="87"/>
  <c r="K156" i="76"/>
  <c r="E11" i="90"/>
  <c r="N156" i="76"/>
  <c r="E11" i="86"/>
  <c r="J156" i="76"/>
  <c r="E15" i="87"/>
  <c r="K160" i="76"/>
  <c r="E15" i="91"/>
  <c r="O160" i="76"/>
  <c r="E15" i="86"/>
  <c r="J160" i="76"/>
  <c r="E15" i="90"/>
  <c r="N160" i="76"/>
  <c r="N345" i="21"/>
  <c r="E10" i="90"/>
  <c r="N155" i="76"/>
  <c r="E10" i="86"/>
  <c r="J155" i="76"/>
  <c r="E15" i="83"/>
  <c r="G160" i="76"/>
  <c r="J349" i="21"/>
  <c r="E14" i="86"/>
  <c r="J159" i="76"/>
  <c r="N349" i="21"/>
  <c r="E14" i="90"/>
  <c r="N159" i="76"/>
  <c r="G349" i="21"/>
  <c r="E14" i="83"/>
  <c r="G159" i="76"/>
  <c r="E10" i="83"/>
  <c r="G155" i="76"/>
  <c r="F127" i="50"/>
  <c r="H21" i="49"/>
  <c r="H19" i="78"/>
  <c r="J21" i="49"/>
  <c r="J19" i="78"/>
  <c r="L21" i="49"/>
  <c r="L19" i="78"/>
  <c r="N21" i="49"/>
  <c r="N19" i="78"/>
  <c r="F128" i="50"/>
  <c r="H22" i="49"/>
  <c r="H20" i="78"/>
  <c r="J22" i="49"/>
  <c r="J20" i="78"/>
  <c r="L22" i="49"/>
  <c r="L20" i="78"/>
  <c r="N22" i="49"/>
  <c r="N20" i="78"/>
  <c r="G23" i="49"/>
  <c r="G21" i="78"/>
  <c r="I23" i="49"/>
  <c r="I21" i="78"/>
  <c r="K23" i="49"/>
  <c r="K21" i="78"/>
  <c r="M23" i="49"/>
  <c r="M21" i="78"/>
  <c r="H66" i="49"/>
  <c r="H64" i="78"/>
  <c r="J66" i="49"/>
  <c r="J64" i="78"/>
  <c r="L66" i="49"/>
  <c r="L64" i="78"/>
  <c r="N66" i="49"/>
  <c r="N64" i="78"/>
  <c r="I67" i="49"/>
  <c r="I65" i="78"/>
  <c r="K67" i="49"/>
  <c r="K65" i="78"/>
  <c r="M67" i="49"/>
  <c r="M65" i="78"/>
  <c r="O67" i="49"/>
  <c r="O65" i="78"/>
  <c r="H68" i="49"/>
  <c r="H66" i="78"/>
  <c r="J68" i="49"/>
  <c r="J66" i="78"/>
  <c r="L68" i="49"/>
  <c r="L66" i="78"/>
  <c r="N68" i="49"/>
  <c r="N66" i="78"/>
  <c r="I111" i="49"/>
  <c r="I109" i="78"/>
  <c r="K111" i="49"/>
  <c r="K109" i="78"/>
  <c r="M111" i="49"/>
  <c r="M109" i="78"/>
  <c r="O111" i="49"/>
  <c r="O109" i="78"/>
  <c r="H112" i="49"/>
  <c r="H110" i="78"/>
  <c r="J112" i="49"/>
  <c r="J110" i="78"/>
  <c r="L112" i="49"/>
  <c r="L110" i="78"/>
  <c r="N112" i="49"/>
  <c r="N110" i="78"/>
  <c r="I113" i="49"/>
  <c r="I111" i="78"/>
  <c r="K113" i="49"/>
  <c r="K111" i="78"/>
  <c r="M113" i="49"/>
  <c r="M111" i="78"/>
  <c r="O113" i="49"/>
  <c r="O111" i="78"/>
  <c r="I21" i="49"/>
  <c r="I19" i="78"/>
  <c r="K21" i="49"/>
  <c r="K19" i="78"/>
  <c r="M21" i="49"/>
  <c r="M19" i="78"/>
  <c r="O21" i="49"/>
  <c r="O19" i="78"/>
  <c r="I22" i="49"/>
  <c r="I20" i="78"/>
  <c r="K22" i="49"/>
  <c r="K20" i="78"/>
  <c r="M22" i="49"/>
  <c r="M20" i="78"/>
  <c r="O22" i="49"/>
  <c r="O20" i="78"/>
  <c r="H23" i="49"/>
  <c r="H21" i="78"/>
  <c r="L23" i="49"/>
  <c r="L21" i="78"/>
  <c r="N23" i="49"/>
  <c r="N21" i="78"/>
  <c r="I66" i="49"/>
  <c r="I64" i="78"/>
  <c r="K66" i="49"/>
  <c r="K64" i="78"/>
  <c r="M66" i="49"/>
  <c r="M64" i="78"/>
  <c r="O66" i="49"/>
  <c r="O64" i="78"/>
  <c r="H67" i="49"/>
  <c r="H65" i="78"/>
  <c r="J67" i="49"/>
  <c r="J65" i="78"/>
  <c r="L67" i="49"/>
  <c r="L65" i="78"/>
  <c r="N67" i="49"/>
  <c r="N65" i="78"/>
  <c r="I68" i="49"/>
  <c r="I66" i="78"/>
  <c r="K68" i="49"/>
  <c r="K66" i="78"/>
  <c r="M68" i="49"/>
  <c r="M66" i="78"/>
  <c r="O68" i="49"/>
  <c r="O66" i="78"/>
  <c r="H111" i="49"/>
  <c r="H109" i="78"/>
  <c r="J111" i="49"/>
  <c r="J109" i="78"/>
  <c r="L111" i="49"/>
  <c r="L109" i="78"/>
  <c r="N111" i="49"/>
  <c r="N109" i="78"/>
  <c r="I112" i="49"/>
  <c r="I110" i="78"/>
  <c r="K112" i="49"/>
  <c r="K110" i="78"/>
  <c r="M112" i="49"/>
  <c r="M110" i="78"/>
  <c r="O112" i="49"/>
  <c r="O110" i="78"/>
  <c r="H113" i="49"/>
  <c r="H111" i="78"/>
  <c r="J113" i="49"/>
  <c r="J111" i="78"/>
  <c r="L113" i="49"/>
  <c r="L111" i="78"/>
  <c r="N113" i="49"/>
  <c r="N111" i="78"/>
  <c r="H16" i="49"/>
  <c r="H14" i="78"/>
  <c r="L16" i="49"/>
  <c r="L14" i="78"/>
  <c r="H17" i="49"/>
  <c r="H15" i="78"/>
  <c r="L17" i="49"/>
  <c r="L15" i="78"/>
  <c r="G114" i="17"/>
  <c r="G176" i="17" s="1"/>
  <c r="K114" i="17"/>
  <c r="K176" i="17" s="1"/>
  <c r="I202" i="17"/>
  <c r="I264" i="17" s="1"/>
  <c r="J16" i="49"/>
  <c r="J14" i="78"/>
  <c r="N16" i="49"/>
  <c r="N14" i="78"/>
  <c r="J17" i="49"/>
  <c r="J15" i="78"/>
  <c r="N17" i="49"/>
  <c r="N15" i="78"/>
  <c r="I114" i="17"/>
  <c r="I176" i="17" s="1"/>
  <c r="M114" i="17"/>
  <c r="M176" i="17" s="1"/>
  <c r="G202" i="17"/>
  <c r="K202" i="17"/>
  <c r="M202" i="17"/>
  <c r="F76" i="78"/>
  <c r="H91" i="78"/>
  <c r="F91" i="78" s="1"/>
  <c r="F31" i="78"/>
  <c r="H46" i="78"/>
  <c r="F46" i="78" s="1"/>
  <c r="I16" i="49"/>
  <c r="I14" i="78"/>
  <c r="K16" i="49"/>
  <c r="K14" i="78"/>
  <c r="M16" i="49"/>
  <c r="M14" i="78"/>
  <c r="O16" i="49"/>
  <c r="O14" i="78"/>
  <c r="I17" i="49"/>
  <c r="I15" i="78"/>
  <c r="K17" i="49"/>
  <c r="K15" i="78"/>
  <c r="M17" i="49"/>
  <c r="M15" i="78"/>
  <c r="O17" i="49"/>
  <c r="O15" i="78"/>
  <c r="H114" i="17"/>
  <c r="H176" i="17" s="1"/>
  <c r="J18" i="49"/>
  <c r="J16" i="78"/>
  <c r="L114" i="17"/>
  <c r="L176" i="17" s="1"/>
  <c r="N114" i="17"/>
  <c r="N176" i="17" s="1"/>
  <c r="F172" i="39"/>
  <c r="F175" i="39"/>
  <c r="F176" i="39"/>
  <c r="F179" i="39"/>
  <c r="F180" i="39"/>
  <c r="F183" i="39"/>
  <c r="H202" i="17"/>
  <c r="L202" i="17"/>
  <c r="L264" i="17" s="1"/>
  <c r="N202" i="17"/>
  <c r="F184" i="39"/>
  <c r="J202" i="17"/>
  <c r="J112" i="60"/>
  <c r="J174" i="60" s="1"/>
  <c r="G345" i="21"/>
  <c r="J199" i="50"/>
  <c r="N199" i="50"/>
  <c r="F195" i="50"/>
  <c r="F63" i="50"/>
  <c r="G89" i="60"/>
  <c r="F89" i="60" s="1"/>
  <c r="F27" i="60"/>
  <c r="G90" i="60"/>
  <c r="F90" i="60" s="1"/>
  <c r="F28" i="60"/>
  <c r="G170" i="60"/>
  <c r="G19" i="78" s="1"/>
  <c r="F108" i="60"/>
  <c r="G171" i="60"/>
  <c r="G20" i="78" s="1"/>
  <c r="F109" i="60"/>
  <c r="G113" i="60"/>
  <c r="G116" i="60" s="1"/>
  <c r="F191" i="50"/>
  <c r="F192" i="50"/>
  <c r="F196" i="50"/>
  <c r="G84" i="60"/>
  <c r="F84" i="60" s="1"/>
  <c r="F22" i="60"/>
  <c r="F67" i="50"/>
  <c r="G26" i="60"/>
  <c r="G88" i="60" s="1"/>
  <c r="F69" i="50"/>
  <c r="F123" i="50"/>
  <c r="F124" i="50"/>
  <c r="G176" i="60"/>
  <c r="F176" i="60" s="1"/>
  <c r="F114" i="60"/>
  <c r="F194" i="60"/>
  <c r="G256" i="60"/>
  <c r="G64" i="78" s="1"/>
  <c r="F195" i="60"/>
  <c r="G257" i="60"/>
  <c r="G65" i="78" s="1"/>
  <c r="F51" i="39"/>
  <c r="G14" i="17"/>
  <c r="F52" i="39"/>
  <c r="G15" i="17"/>
  <c r="F63" i="39"/>
  <c r="G26" i="17"/>
  <c r="G88" i="17" s="1"/>
  <c r="G127" i="39"/>
  <c r="G102" i="17"/>
  <c r="I127" i="39"/>
  <c r="I102" i="17"/>
  <c r="I118" i="17" s="1"/>
  <c r="K127" i="39"/>
  <c r="K102" i="17"/>
  <c r="K118" i="17" s="1"/>
  <c r="M127" i="39"/>
  <c r="M102" i="17"/>
  <c r="M118" i="17" s="1"/>
  <c r="O127" i="39"/>
  <c r="O102" i="17"/>
  <c r="G165" i="17"/>
  <c r="F165" i="17" s="1"/>
  <c r="F103" i="17"/>
  <c r="G168" i="17"/>
  <c r="F168" i="17" s="1"/>
  <c r="F106" i="17"/>
  <c r="G169" i="17"/>
  <c r="F169" i="17" s="1"/>
  <c r="F107" i="17"/>
  <c r="G172" i="17"/>
  <c r="G14" i="78" s="1"/>
  <c r="F110" i="17"/>
  <c r="G173" i="17"/>
  <c r="G15" i="78" s="1"/>
  <c r="F111" i="17"/>
  <c r="F124" i="39"/>
  <c r="F125" i="39"/>
  <c r="G116" i="17"/>
  <c r="G187" i="39"/>
  <c r="G190" i="17"/>
  <c r="I187" i="39"/>
  <c r="I190" i="17"/>
  <c r="K187" i="39"/>
  <c r="K190" i="17"/>
  <c r="M187" i="39"/>
  <c r="M190" i="17"/>
  <c r="O187" i="39"/>
  <c r="O190" i="17"/>
  <c r="G253" i="17"/>
  <c r="F253" i="17" s="1"/>
  <c r="F191" i="17"/>
  <c r="G256" i="17"/>
  <c r="F256" i="17" s="1"/>
  <c r="F194" i="17"/>
  <c r="G257" i="17"/>
  <c r="F257" i="17" s="1"/>
  <c r="F195" i="17"/>
  <c r="F64" i="39"/>
  <c r="G27" i="17"/>
  <c r="F111" i="39"/>
  <c r="H127" i="39"/>
  <c r="H102" i="17"/>
  <c r="H118" i="17" s="1"/>
  <c r="J127" i="39"/>
  <c r="J102" i="17"/>
  <c r="J118" i="17" s="1"/>
  <c r="L127" i="39"/>
  <c r="L102" i="17"/>
  <c r="L118" i="17" s="1"/>
  <c r="N127" i="39"/>
  <c r="N102" i="17"/>
  <c r="N118" i="17" s="1"/>
  <c r="F112" i="39"/>
  <c r="F115" i="39"/>
  <c r="F116" i="39"/>
  <c r="F119" i="39"/>
  <c r="G177" i="17"/>
  <c r="F177" i="17" s="1"/>
  <c r="F115" i="17"/>
  <c r="H187" i="39"/>
  <c r="H190" i="17"/>
  <c r="J187" i="39"/>
  <c r="J190" i="17"/>
  <c r="L187" i="39"/>
  <c r="L190" i="17"/>
  <c r="N187" i="39"/>
  <c r="N190" i="17"/>
  <c r="F185" i="39"/>
  <c r="G204" i="17"/>
  <c r="O174" i="60"/>
  <c r="O21" i="78" s="1"/>
  <c r="F131" i="50"/>
  <c r="O88" i="60"/>
  <c r="O88" i="17"/>
  <c r="O176" i="17"/>
  <c r="F114" i="17"/>
  <c r="F123" i="39"/>
  <c r="F256" i="50"/>
  <c r="G281" i="60"/>
  <c r="F260" i="50"/>
  <c r="G285" i="60"/>
  <c r="F280" i="60"/>
  <c r="G342" i="60"/>
  <c r="G109" i="78" s="1"/>
  <c r="F284" i="60"/>
  <c r="G346" i="60"/>
  <c r="G111" i="78" s="1"/>
  <c r="F286" i="60"/>
  <c r="G348" i="60"/>
  <c r="F348" i="60" s="1"/>
  <c r="F361" i="21"/>
  <c r="G176" i="21"/>
  <c r="G177" i="21"/>
  <c r="L176" i="21"/>
  <c r="L177" i="21"/>
  <c r="H176" i="21"/>
  <c r="H177" i="21"/>
  <c r="K345" i="21"/>
  <c r="O176" i="21"/>
  <c r="O178" i="21" s="1"/>
  <c r="O179" i="21" s="1"/>
  <c r="L345" i="21"/>
  <c r="M345" i="21"/>
  <c r="I176" i="21"/>
  <c r="I178" i="21" s="1"/>
  <c r="I179" i="21" s="1"/>
  <c r="N176" i="21"/>
  <c r="N177" i="21"/>
  <c r="J176" i="21"/>
  <c r="J177" i="21"/>
  <c r="J345" i="21"/>
  <c r="K176" i="21"/>
  <c r="K178" i="21" s="1"/>
  <c r="K179" i="21" s="1"/>
  <c r="K210" i="21" s="1"/>
  <c r="K357" i="21" s="1"/>
  <c r="H345" i="21"/>
  <c r="I345" i="21"/>
  <c r="M176" i="21"/>
  <c r="M178" i="21" s="1"/>
  <c r="M179" i="21" s="1"/>
  <c r="F22" i="30"/>
  <c r="F718" i="21" s="1"/>
  <c r="G161" i="21"/>
  <c r="G164" i="21" s="1"/>
  <c r="H79" i="49"/>
  <c r="F79" i="49" s="1"/>
  <c r="F417" i="60"/>
  <c r="H34" i="49"/>
  <c r="F395" i="60"/>
  <c r="F198" i="60"/>
  <c r="G260" i="60"/>
  <c r="G66" i="78" s="1"/>
  <c r="F66" i="78" s="1"/>
  <c r="G261" i="60"/>
  <c r="F261" i="60" s="1"/>
  <c r="F199" i="60"/>
  <c r="F197" i="50"/>
  <c r="G200" i="60"/>
  <c r="G202" i="60" s="1"/>
  <c r="G252" i="60"/>
  <c r="F190" i="60"/>
  <c r="I252" i="60"/>
  <c r="I264" i="60" s="1"/>
  <c r="K252" i="60"/>
  <c r="K264" i="60" s="1"/>
  <c r="M252" i="60"/>
  <c r="M264" i="60" s="1"/>
  <c r="O252" i="60"/>
  <c r="O264" i="60" s="1"/>
  <c r="F191" i="60"/>
  <c r="G253" i="60"/>
  <c r="F253" i="60" s="1"/>
  <c r="G199" i="50"/>
  <c r="I199" i="50"/>
  <c r="K199" i="50"/>
  <c r="F187" i="50"/>
  <c r="H252" i="60"/>
  <c r="H264" i="60" s="1"/>
  <c r="J252" i="60"/>
  <c r="J264" i="60" s="1"/>
  <c r="L252" i="60"/>
  <c r="L264" i="60" s="1"/>
  <c r="N252" i="60"/>
  <c r="N264" i="60" s="1"/>
  <c r="F188" i="50"/>
  <c r="F104" i="60"/>
  <c r="G166" i="60"/>
  <c r="I166" i="60"/>
  <c r="I178" i="60" s="1"/>
  <c r="K166" i="60"/>
  <c r="K178" i="60" s="1"/>
  <c r="M166" i="60"/>
  <c r="O166" i="60"/>
  <c r="F105" i="60"/>
  <c r="G167" i="60"/>
  <c r="F167" i="60" s="1"/>
  <c r="H166" i="60"/>
  <c r="H178" i="60" s="1"/>
  <c r="J166" i="60"/>
  <c r="L166" i="60"/>
  <c r="L178" i="60" s="1"/>
  <c r="N166" i="60"/>
  <c r="N178" i="60" s="1"/>
  <c r="J71" i="50"/>
  <c r="N71" i="50"/>
  <c r="F64" i="50"/>
  <c r="G23" i="60"/>
  <c r="F59" i="50"/>
  <c r="G18" i="60"/>
  <c r="G30" i="60" s="1"/>
  <c r="I80" i="60"/>
  <c r="I92" i="60" s="1"/>
  <c r="K80" i="60"/>
  <c r="K92" i="60" s="1"/>
  <c r="M80" i="60"/>
  <c r="M92" i="60" s="1"/>
  <c r="O80" i="60"/>
  <c r="H80" i="60"/>
  <c r="H92" i="60" s="1"/>
  <c r="J80" i="60"/>
  <c r="J92" i="60" s="1"/>
  <c r="L80" i="60"/>
  <c r="L92" i="60" s="1"/>
  <c r="N80" i="60"/>
  <c r="N92" i="60" s="1"/>
  <c r="G81" i="60"/>
  <c r="F81" i="60" s="1"/>
  <c r="F19" i="60"/>
  <c r="F425" i="17"/>
  <c r="H78" i="49"/>
  <c r="F33" i="49"/>
  <c r="I260" i="17"/>
  <c r="K260" i="17"/>
  <c r="M260" i="17"/>
  <c r="O260" i="17"/>
  <c r="G261" i="17"/>
  <c r="G60" i="78" s="1"/>
  <c r="F199" i="17"/>
  <c r="H260" i="17"/>
  <c r="J260" i="17"/>
  <c r="L260" i="17"/>
  <c r="N260" i="17"/>
  <c r="H264" i="17"/>
  <c r="J264" i="17"/>
  <c r="N264" i="17"/>
  <c r="K264" i="17"/>
  <c r="M264" i="17"/>
  <c r="O264" i="17"/>
  <c r="G265" i="17"/>
  <c r="F203" i="17"/>
  <c r="G264" i="17"/>
  <c r="F65" i="39"/>
  <c r="G28" i="17"/>
  <c r="O19" i="17"/>
  <c r="O81" i="17" s="1"/>
  <c r="M19" i="17"/>
  <c r="M81" i="17" s="1"/>
  <c r="K19" i="17"/>
  <c r="K81" i="17" s="1"/>
  <c r="I19" i="17"/>
  <c r="I81" i="17" s="1"/>
  <c r="F56" i="39"/>
  <c r="G19" i="17"/>
  <c r="N19" i="17"/>
  <c r="N81" i="17" s="1"/>
  <c r="L19" i="17"/>
  <c r="L81" i="17" s="1"/>
  <c r="J19" i="17"/>
  <c r="J81" i="17" s="1"/>
  <c r="H19" i="17"/>
  <c r="H81" i="17" s="1"/>
  <c r="N67" i="39"/>
  <c r="L67" i="39"/>
  <c r="J67" i="39"/>
  <c r="H67" i="39"/>
  <c r="F59" i="39"/>
  <c r="G22" i="17"/>
  <c r="F60" i="39"/>
  <c r="G23" i="17"/>
  <c r="F55" i="39"/>
  <c r="G18" i="17"/>
  <c r="M67" i="39"/>
  <c r="M18" i="17"/>
  <c r="M80" i="17" s="1"/>
  <c r="K67" i="39"/>
  <c r="K18" i="17"/>
  <c r="K80" i="17" s="1"/>
  <c r="I67" i="39"/>
  <c r="I18" i="17"/>
  <c r="I80" i="17" s="1"/>
  <c r="O67" i="39"/>
  <c r="O18" i="17"/>
  <c r="N18" i="17"/>
  <c r="N80" i="17" s="1"/>
  <c r="L18" i="17"/>
  <c r="L80" i="17" s="1"/>
  <c r="J18" i="17"/>
  <c r="J80" i="17" s="1"/>
  <c r="H18" i="17"/>
  <c r="H80" i="17" s="1"/>
  <c r="F14" i="30"/>
  <c r="F10" i="30"/>
  <c r="F15" i="30"/>
  <c r="F11" i="30"/>
  <c r="G71" i="50"/>
  <c r="I71" i="50"/>
  <c r="K71" i="50"/>
  <c r="M71" i="50"/>
  <c r="O71" i="50"/>
  <c r="F60" i="50"/>
  <c r="F68" i="50"/>
  <c r="G135" i="50"/>
  <c r="I135" i="50"/>
  <c r="K135" i="50"/>
  <c r="O135" i="50"/>
  <c r="F133" i="50"/>
  <c r="M199" i="50"/>
  <c r="O199" i="50"/>
  <c r="F255" i="50"/>
  <c r="F259" i="50"/>
  <c r="F261" i="50"/>
  <c r="F55" i="50"/>
  <c r="G67" i="39"/>
  <c r="F349" i="21" l="1"/>
  <c r="F495" i="21" s="1"/>
  <c r="F26" i="17"/>
  <c r="F111" i="78"/>
  <c r="F109" i="78"/>
  <c r="F65" i="78"/>
  <c r="F64" i="78"/>
  <c r="F20" i="78"/>
  <c r="F19" i="78"/>
  <c r="G118" i="17"/>
  <c r="L30" i="17"/>
  <c r="M30" i="17"/>
  <c r="H30" i="17"/>
  <c r="I30" i="17"/>
  <c r="N252" i="17"/>
  <c r="N206" i="17"/>
  <c r="L252" i="17"/>
  <c r="L206" i="17"/>
  <c r="J252" i="17"/>
  <c r="J206" i="17"/>
  <c r="H252" i="17"/>
  <c r="H206" i="17"/>
  <c r="O164" i="17"/>
  <c r="O118" i="17"/>
  <c r="G30" i="17"/>
  <c r="J30" i="17"/>
  <c r="N30" i="17"/>
  <c r="K30" i="17"/>
  <c r="O30" i="17"/>
  <c r="K92" i="17"/>
  <c r="J178" i="60"/>
  <c r="F112" i="60"/>
  <c r="O252" i="17"/>
  <c r="O206" i="17"/>
  <c r="M252" i="17"/>
  <c r="M206" i="17"/>
  <c r="K252" i="17"/>
  <c r="K206" i="17"/>
  <c r="I252" i="17"/>
  <c r="I206" i="17"/>
  <c r="G206" i="17"/>
  <c r="F15" i="78"/>
  <c r="J116" i="60"/>
  <c r="F88" i="60"/>
  <c r="F202" i="17"/>
  <c r="J23" i="49"/>
  <c r="J47" i="49" s="1"/>
  <c r="J21" i="78"/>
  <c r="J45" i="78" s="1"/>
  <c r="N20" i="49"/>
  <c r="N52" i="49" s="1"/>
  <c r="N18" i="78"/>
  <c r="N50" i="78" s="1"/>
  <c r="L20" i="49"/>
  <c r="L52" i="49" s="1"/>
  <c r="L18" i="78"/>
  <c r="L50" i="78" s="1"/>
  <c r="J20" i="49"/>
  <c r="J52" i="49" s="1"/>
  <c r="J18" i="78"/>
  <c r="J50" i="78" s="1"/>
  <c r="H20" i="49"/>
  <c r="H52" i="49" s="1"/>
  <c r="H18" i="78"/>
  <c r="H50" i="78" s="1"/>
  <c r="K20" i="49"/>
  <c r="K52" i="49" s="1"/>
  <c r="K18" i="78"/>
  <c r="K50" i="78" s="1"/>
  <c r="I20" i="49"/>
  <c r="I52" i="49" s="1"/>
  <c r="I18" i="78"/>
  <c r="I50" i="78" s="1"/>
  <c r="N65" i="49"/>
  <c r="N97" i="49" s="1"/>
  <c r="N63" i="78"/>
  <c r="N95" i="78" s="1"/>
  <c r="L65" i="49"/>
  <c r="L97" i="49" s="1"/>
  <c r="L63" i="78"/>
  <c r="L95" i="78" s="1"/>
  <c r="J65" i="49"/>
  <c r="J97" i="49" s="1"/>
  <c r="J63" i="78"/>
  <c r="J95" i="78" s="1"/>
  <c r="H65" i="49"/>
  <c r="H97" i="49" s="1"/>
  <c r="H63" i="78"/>
  <c r="H95" i="78" s="1"/>
  <c r="O65" i="49"/>
  <c r="O97" i="49" s="1"/>
  <c r="O63" i="78"/>
  <c r="O95" i="78" s="1"/>
  <c r="M65" i="49"/>
  <c r="M97" i="49" s="1"/>
  <c r="M63" i="78"/>
  <c r="M95" i="78" s="1"/>
  <c r="K65" i="49"/>
  <c r="K97" i="49" s="1"/>
  <c r="K63" i="78"/>
  <c r="K95" i="78" s="1"/>
  <c r="I65" i="49"/>
  <c r="I97" i="49" s="1"/>
  <c r="I63" i="78"/>
  <c r="I95" i="78" s="1"/>
  <c r="G63" i="49"/>
  <c r="G61" i="78"/>
  <c r="O63" i="49"/>
  <c r="O92" i="49" s="1"/>
  <c r="O61" i="78"/>
  <c r="O90" i="78" s="1"/>
  <c r="M63" i="49"/>
  <c r="M92" i="49" s="1"/>
  <c r="M61" i="78"/>
  <c r="M90" i="78" s="1"/>
  <c r="K63" i="49"/>
  <c r="K92" i="49" s="1"/>
  <c r="K61" i="78"/>
  <c r="K90" i="78" s="1"/>
  <c r="I63" i="49"/>
  <c r="I92" i="49" s="1"/>
  <c r="I61" i="78"/>
  <c r="I90" i="78" s="1"/>
  <c r="N63" i="49"/>
  <c r="N92" i="49" s="1"/>
  <c r="N61" i="78"/>
  <c r="N90" i="78" s="1"/>
  <c r="L63" i="49"/>
  <c r="L92" i="49" s="1"/>
  <c r="L61" i="78"/>
  <c r="L90" i="78" s="1"/>
  <c r="J63" i="49"/>
  <c r="J92" i="49" s="1"/>
  <c r="J61" i="78"/>
  <c r="J90" i="78" s="1"/>
  <c r="H63" i="49"/>
  <c r="H92" i="49" s="1"/>
  <c r="H61" i="78"/>
  <c r="H90" i="78" s="1"/>
  <c r="L61" i="49"/>
  <c r="L59" i="78"/>
  <c r="H61" i="49"/>
  <c r="H59" i="78"/>
  <c r="M61" i="49"/>
  <c r="M59" i="78"/>
  <c r="I61" i="49"/>
  <c r="I59" i="78"/>
  <c r="O18" i="49"/>
  <c r="O16" i="78"/>
  <c r="O45" i="78" s="1"/>
  <c r="F187" i="39"/>
  <c r="F127" i="39"/>
  <c r="G44" i="78"/>
  <c r="F14" i="78"/>
  <c r="O44" i="78"/>
  <c r="O37" i="79" s="1"/>
  <c r="M44" i="78"/>
  <c r="M37" i="79" s="1"/>
  <c r="K44" i="78"/>
  <c r="K37" i="79" s="1"/>
  <c r="I44" i="78"/>
  <c r="I37" i="79" s="1"/>
  <c r="N44" i="78"/>
  <c r="N37" i="79" s="1"/>
  <c r="J44" i="78"/>
  <c r="J37" i="79" s="1"/>
  <c r="L44" i="78"/>
  <c r="L37" i="79" s="1"/>
  <c r="H44" i="78"/>
  <c r="H37" i="79" s="1"/>
  <c r="N61" i="49"/>
  <c r="N59" i="78"/>
  <c r="J61" i="49"/>
  <c r="J59" i="78"/>
  <c r="O61" i="49"/>
  <c r="O59" i="78"/>
  <c r="K61" i="49"/>
  <c r="K59" i="78"/>
  <c r="N18" i="49"/>
  <c r="N47" i="49" s="1"/>
  <c r="N16" i="78"/>
  <c r="N45" i="78" s="1"/>
  <c r="L18" i="49"/>
  <c r="L47" i="49" s="1"/>
  <c r="L16" i="78"/>
  <c r="L45" i="78" s="1"/>
  <c r="H18" i="49"/>
  <c r="H47" i="49" s="1"/>
  <c r="H16" i="78"/>
  <c r="H45" i="78" s="1"/>
  <c r="M18" i="49"/>
  <c r="M47" i="49" s="1"/>
  <c r="M16" i="78"/>
  <c r="M45" i="78" s="1"/>
  <c r="I18" i="49"/>
  <c r="I47" i="49" s="1"/>
  <c r="I16" i="78"/>
  <c r="I45" i="78" s="1"/>
  <c r="K18" i="49"/>
  <c r="K47" i="49" s="1"/>
  <c r="K16" i="78"/>
  <c r="K45" i="78" s="1"/>
  <c r="G18" i="49"/>
  <c r="G47" i="49" s="1"/>
  <c r="G16" i="78"/>
  <c r="F260" i="60"/>
  <c r="G68" i="49"/>
  <c r="F68" i="49" s="1"/>
  <c r="F174" i="60"/>
  <c r="O23" i="49"/>
  <c r="F23" i="49" s="1"/>
  <c r="O92" i="60"/>
  <c r="O178" i="60"/>
  <c r="F346" i="60"/>
  <c r="G113" i="49"/>
  <c r="F113" i="49" s="1"/>
  <c r="H92" i="17"/>
  <c r="H94" i="17" s="1"/>
  <c r="L92" i="17"/>
  <c r="L94" i="17" s="1"/>
  <c r="I92" i="17"/>
  <c r="I94" i="17" s="1"/>
  <c r="M92" i="17"/>
  <c r="M94" i="17" s="1"/>
  <c r="K94" i="17"/>
  <c r="F63" i="49"/>
  <c r="F88" i="17"/>
  <c r="F18" i="49"/>
  <c r="G22" i="49"/>
  <c r="F22" i="49" s="1"/>
  <c r="F171" i="60"/>
  <c r="F170" i="60"/>
  <c r="G21" i="49"/>
  <c r="F21" i="49" s="1"/>
  <c r="F26" i="60"/>
  <c r="F257" i="60"/>
  <c r="G67" i="49"/>
  <c r="F67" i="49" s="1"/>
  <c r="F256" i="60"/>
  <c r="G66" i="49"/>
  <c r="F66" i="49" s="1"/>
  <c r="G175" i="60"/>
  <c r="G266" i="17"/>
  <c r="F266" i="17" s="1"/>
  <c r="F204" i="17"/>
  <c r="N164" i="17"/>
  <c r="N180" i="17" s="1"/>
  <c r="N13" i="78" s="1"/>
  <c r="L164" i="17"/>
  <c r="L180" i="17" s="1"/>
  <c r="L13" i="78" s="1"/>
  <c r="J164" i="17"/>
  <c r="J180" i="17" s="1"/>
  <c r="J13" i="78" s="1"/>
  <c r="H164" i="17"/>
  <c r="H180" i="17" s="1"/>
  <c r="H13" i="78" s="1"/>
  <c r="M164" i="17"/>
  <c r="M180" i="17" s="1"/>
  <c r="M13" i="78" s="1"/>
  <c r="K164" i="17"/>
  <c r="K180" i="17" s="1"/>
  <c r="K13" i="78" s="1"/>
  <c r="I164" i="17"/>
  <c r="I180" i="17" s="1"/>
  <c r="I13" i="78" s="1"/>
  <c r="G164" i="17"/>
  <c r="F102" i="17"/>
  <c r="G77" i="17"/>
  <c r="F77" i="17" s="1"/>
  <c r="F15" i="17"/>
  <c r="G76" i="17"/>
  <c r="F76" i="17" s="1"/>
  <c r="F14" i="17"/>
  <c r="G89" i="17"/>
  <c r="F89" i="17" s="1"/>
  <c r="F27" i="17"/>
  <c r="G252" i="17"/>
  <c r="F252" i="17" s="1"/>
  <c r="F190" i="17"/>
  <c r="G178" i="17"/>
  <c r="F178" i="17" s="1"/>
  <c r="F116" i="17"/>
  <c r="G17" i="49"/>
  <c r="F17" i="49" s="1"/>
  <c r="F173" i="17"/>
  <c r="G16" i="49"/>
  <c r="F16" i="49" s="1"/>
  <c r="F172" i="17"/>
  <c r="J92" i="17"/>
  <c r="N92" i="17"/>
  <c r="F206" i="17"/>
  <c r="O180" i="17"/>
  <c r="F176" i="17"/>
  <c r="F342" i="60"/>
  <c r="G111" i="49"/>
  <c r="F111" i="49" s="1"/>
  <c r="F285" i="60"/>
  <c r="G347" i="60"/>
  <c r="F347" i="60" s="1"/>
  <c r="F281" i="60"/>
  <c r="G343" i="60"/>
  <c r="G110" i="78" s="1"/>
  <c r="F110" i="78" s="1"/>
  <c r="F759" i="21"/>
  <c r="O71" i="20"/>
  <c r="M71" i="20"/>
  <c r="K71" i="20"/>
  <c r="I71" i="20"/>
  <c r="G71" i="20"/>
  <c r="N54" i="20"/>
  <c r="L54" i="20"/>
  <c r="J54" i="20"/>
  <c r="H54" i="20"/>
  <c r="O37" i="20"/>
  <c r="M37" i="20"/>
  <c r="K37" i="20"/>
  <c r="N71" i="20"/>
  <c r="J71" i="20"/>
  <c r="O54" i="20"/>
  <c r="K54" i="20"/>
  <c r="G54" i="20"/>
  <c r="L37" i="20"/>
  <c r="I37" i="20"/>
  <c r="G37" i="20"/>
  <c r="N20" i="20"/>
  <c r="L20" i="20"/>
  <c r="J20" i="20"/>
  <c r="H20" i="20"/>
  <c r="L71" i="20"/>
  <c r="H71" i="20"/>
  <c r="M54" i="20"/>
  <c r="I54" i="20"/>
  <c r="N37" i="20"/>
  <c r="J37" i="20"/>
  <c r="H37" i="20"/>
  <c r="O20" i="20"/>
  <c r="M20" i="20"/>
  <c r="K20" i="20"/>
  <c r="I20" i="20"/>
  <c r="G20" i="20"/>
  <c r="H178" i="21"/>
  <c r="H179" i="21" s="1"/>
  <c r="H206" i="21" s="1"/>
  <c r="L178" i="21"/>
  <c r="L179" i="21" s="1"/>
  <c r="L207" i="21" s="1"/>
  <c r="K208" i="21"/>
  <c r="G178" i="21"/>
  <c r="L203" i="21"/>
  <c r="G179" i="21"/>
  <c r="G199" i="21" s="1"/>
  <c r="K206" i="21"/>
  <c r="J178" i="21"/>
  <c r="J179" i="21" s="1"/>
  <c r="J203" i="21" s="1"/>
  <c r="N178" i="21"/>
  <c r="N179" i="21" s="1"/>
  <c r="N209" i="21" s="1"/>
  <c r="J208" i="21"/>
  <c r="K199" i="21"/>
  <c r="K13" i="76" s="1"/>
  <c r="K207" i="21"/>
  <c r="K209" i="21"/>
  <c r="K203" i="21"/>
  <c r="I206" i="21"/>
  <c r="I208" i="21"/>
  <c r="I210" i="21"/>
  <c r="I357" i="21" s="1"/>
  <c r="I207" i="21"/>
  <c r="I203" i="21"/>
  <c r="I209" i="21"/>
  <c r="I199" i="21"/>
  <c r="I13" i="76" s="1"/>
  <c r="I300" i="76" s="1"/>
  <c r="F177" i="21"/>
  <c r="M199" i="21"/>
  <c r="M13" i="76" s="1"/>
  <c r="M300" i="76" s="1"/>
  <c r="M208" i="21"/>
  <c r="M203" i="21"/>
  <c r="M206" i="21"/>
  <c r="M209" i="21"/>
  <c r="M210" i="21"/>
  <c r="M357" i="21" s="1"/>
  <c r="M207" i="21"/>
  <c r="J210" i="21"/>
  <c r="J357" i="21" s="1"/>
  <c r="N210" i="21"/>
  <c r="N357" i="21" s="1"/>
  <c r="O207" i="21"/>
  <c r="O209" i="21"/>
  <c r="O208" i="21"/>
  <c r="O210" i="21"/>
  <c r="O357" i="21" s="1"/>
  <c r="O199" i="21"/>
  <c r="O13" i="76" s="1"/>
  <c r="O203" i="21"/>
  <c r="O206" i="21"/>
  <c r="F345" i="21"/>
  <c r="F491" i="21" s="1"/>
  <c r="F176" i="21"/>
  <c r="F34" i="49"/>
  <c r="F199" i="50"/>
  <c r="G262" i="60"/>
  <c r="F262" i="60" s="1"/>
  <c r="F200" i="60"/>
  <c r="F252" i="60"/>
  <c r="F202" i="60"/>
  <c r="F166" i="60"/>
  <c r="F23" i="60"/>
  <c r="G85" i="60"/>
  <c r="G80" i="60"/>
  <c r="F18" i="60"/>
  <c r="F30" i="60"/>
  <c r="F78" i="49"/>
  <c r="G260" i="17"/>
  <c r="G59" i="78" s="1"/>
  <c r="F198" i="17"/>
  <c r="G62" i="49"/>
  <c r="F264" i="17"/>
  <c r="G90" i="17"/>
  <c r="F90" i="17" s="1"/>
  <c r="F28" i="17"/>
  <c r="F19" i="17"/>
  <c r="G81" i="17"/>
  <c r="F81" i="17" s="1"/>
  <c r="F67" i="39"/>
  <c r="G84" i="17"/>
  <c r="F22" i="17"/>
  <c r="G85" i="17"/>
  <c r="F23" i="17"/>
  <c r="O80" i="17"/>
  <c r="O92" i="17" s="1"/>
  <c r="G80" i="17"/>
  <c r="F18" i="17"/>
  <c r="F71" i="50"/>
  <c r="F21" i="78" l="1"/>
  <c r="H199" i="21"/>
  <c r="H13" i="76" s="1"/>
  <c r="H300" i="76" s="1"/>
  <c r="M100" i="93"/>
  <c r="I100" i="93"/>
  <c r="O353" i="21"/>
  <c r="O20" i="76"/>
  <c r="O300" i="76"/>
  <c r="O355" i="21"/>
  <c r="O22" i="76"/>
  <c r="O354" i="21"/>
  <c r="O21" i="76"/>
  <c r="M353" i="21"/>
  <c r="M20" i="76"/>
  <c r="M355" i="21"/>
  <c r="M22" i="76"/>
  <c r="I356" i="21"/>
  <c r="I23" i="76"/>
  <c r="I354" i="21"/>
  <c r="I21" i="76"/>
  <c r="I355" i="21"/>
  <c r="I22" i="76"/>
  <c r="K350" i="21"/>
  <c r="K17" i="76"/>
  <c r="K354" i="21"/>
  <c r="K21" i="76"/>
  <c r="J355" i="21"/>
  <c r="J22" i="76"/>
  <c r="J350" i="21"/>
  <c r="J17" i="76"/>
  <c r="G13" i="76"/>
  <c r="H353" i="21"/>
  <c r="H20" i="76"/>
  <c r="O350" i="21"/>
  <c r="O17" i="76"/>
  <c r="O356" i="21"/>
  <c r="O23" i="76"/>
  <c r="M354" i="21"/>
  <c r="M21" i="76"/>
  <c r="M356" i="21"/>
  <c r="M23" i="76"/>
  <c r="M350" i="21"/>
  <c r="M17" i="76"/>
  <c r="M301" i="76" s="1"/>
  <c r="I350" i="21"/>
  <c r="I17" i="76"/>
  <c r="I353" i="21"/>
  <c r="I20" i="76"/>
  <c r="K356" i="21"/>
  <c r="K23" i="76"/>
  <c r="N356" i="21"/>
  <c r="N23" i="76"/>
  <c r="K353" i="21"/>
  <c r="K20" i="76"/>
  <c r="L350" i="21"/>
  <c r="L17" i="76"/>
  <c r="K355" i="21"/>
  <c r="K22" i="76"/>
  <c r="L354" i="21"/>
  <c r="L21" i="76"/>
  <c r="K300" i="76"/>
  <c r="O20" i="49"/>
  <c r="O52" i="49" s="1"/>
  <c r="O18" i="78"/>
  <c r="O50" i="78" s="1"/>
  <c r="G37" i="79"/>
  <c r="F44" i="78"/>
  <c r="G90" i="78"/>
  <c r="F90" i="78" s="1"/>
  <c r="F61" i="78"/>
  <c r="G89" i="78"/>
  <c r="F59" i="78"/>
  <c r="O182" i="17"/>
  <c r="O13" i="78"/>
  <c r="I49" i="78"/>
  <c r="I42" i="78"/>
  <c r="K49" i="78"/>
  <c r="K42" i="78"/>
  <c r="M49" i="78"/>
  <c r="H49" i="78"/>
  <c r="H42" i="78"/>
  <c r="J49" i="78"/>
  <c r="J42" i="78"/>
  <c r="L49" i="78"/>
  <c r="L42" i="78"/>
  <c r="N49" i="78"/>
  <c r="N42" i="78"/>
  <c r="G45" i="78"/>
  <c r="F45" i="78" s="1"/>
  <c r="F16" i="78"/>
  <c r="G92" i="49"/>
  <c r="F92" i="49" s="1"/>
  <c r="O47" i="49"/>
  <c r="L209" i="21"/>
  <c r="L208" i="21"/>
  <c r="G178" i="60"/>
  <c r="G268" i="17"/>
  <c r="F118" i="17"/>
  <c r="O346" i="21"/>
  <c r="H346" i="21"/>
  <c r="M346" i="21"/>
  <c r="I346" i="21"/>
  <c r="K346" i="21"/>
  <c r="L199" i="21"/>
  <c r="L13" i="76" s="1"/>
  <c r="N206" i="21"/>
  <c r="O94" i="17"/>
  <c r="J94" i="17"/>
  <c r="N94" i="17"/>
  <c r="I15" i="49"/>
  <c r="I182" i="17"/>
  <c r="K15" i="49"/>
  <c r="K182" i="17"/>
  <c r="M15" i="49"/>
  <c r="M182" i="17"/>
  <c r="H15" i="49"/>
  <c r="H182" i="17"/>
  <c r="J15" i="49"/>
  <c r="J182" i="17"/>
  <c r="L15" i="49"/>
  <c r="L182" i="17"/>
  <c r="N15" i="49"/>
  <c r="N182" i="17"/>
  <c r="N203" i="21"/>
  <c r="N207" i="21"/>
  <c r="F164" i="17"/>
  <c r="G180" i="17"/>
  <c r="G13" i="78" s="1"/>
  <c r="G264" i="60"/>
  <c r="G209" i="21"/>
  <c r="H208" i="21"/>
  <c r="O15" i="49"/>
  <c r="F343" i="60"/>
  <c r="G112" i="49"/>
  <c r="F112" i="49" s="1"/>
  <c r="G207" i="21"/>
  <c r="H203" i="21"/>
  <c r="F54" i="20"/>
  <c r="F71" i="20"/>
  <c r="O67" i="20"/>
  <c r="M67" i="20"/>
  <c r="K67" i="20"/>
  <c r="I67" i="20"/>
  <c r="G67" i="20"/>
  <c r="N50" i="20"/>
  <c r="L50" i="20"/>
  <c r="J50" i="20"/>
  <c r="H50" i="20"/>
  <c r="O33" i="20"/>
  <c r="M33" i="20"/>
  <c r="K33" i="20"/>
  <c r="I33" i="20"/>
  <c r="G33" i="20"/>
  <c r="N16" i="20"/>
  <c r="L16" i="20"/>
  <c r="J16" i="20"/>
  <c r="H16" i="20"/>
  <c r="N67" i="20"/>
  <c r="L67" i="20"/>
  <c r="J67" i="20"/>
  <c r="H67" i="20"/>
  <c r="O50" i="20"/>
  <c r="M50" i="20"/>
  <c r="K50" i="20"/>
  <c r="I50" i="20"/>
  <c r="N33" i="20"/>
  <c r="J33" i="20"/>
  <c r="O16" i="20"/>
  <c r="K16" i="20"/>
  <c r="G16" i="20"/>
  <c r="G50" i="20"/>
  <c r="L33" i="20"/>
  <c r="H33" i="20"/>
  <c r="M16" i="20"/>
  <c r="I16" i="20"/>
  <c r="F20" i="20"/>
  <c r="F37" i="20"/>
  <c r="I101" i="20"/>
  <c r="K101" i="20"/>
  <c r="M101" i="20"/>
  <c r="O101" i="20"/>
  <c r="H101" i="20"/>
  <c r="J101" i="20"/>
  <c r="L101" i="20"/>
  <c r="N101" i="20"/>
  <c r="G101" i="20"/>
  <c r="F755" i="21"/>
  <c r="G208" i="21"/>
  <c r="H207" i="21"/>
  <c r="H210" i="21"/>
  <c r="H357" i="21" s="1"/>
  <c r="H209" i="21"/>
  <c r="G210" i="21"/>
  <c r="G357" i="21" s="1"/>
  <c r="G203" i="21"/>
  <c r="G206" i="21"/>
  <c r="G20" i="76" s="1"/>
  <c r="L210" i="21"/>
  <c r="L357" i="21" s="1"/>
  <c r="L206" i="21"/>
  <c r="J209" i="21"/>
  <c r="J207" i="21"/>
  <c r="F178" i="21"/>
  <c r="J199" i="21"/>
  <c r="J13" i="76" s="1"/>
  <c r="J206" i="21"/>
  <c r="N199" i="21"/>
  <c r="N13" i="76" s="1"/>
  <c r="N208" i="21"/>
  <c r="G353" i="21"/>
  <c r="G346" i="21"/>
  <c r="G65" i="49"/>
  <c r="F85" i="60"/>
  <c r="F80" i="60"/>
  <c r="G92" i="60"/>
  <c r="G61" i="49"/>
  <c r="F260" i="17"/>
  <c r="G60" i="49"/>
  <c r="F85" i="17"/>
  <c r="F84" i="17"/>
  <c r="F80" i="17"/>
  <c r="G92" i="17"/>
  <c r="F13" i="47"/>
  <c r="G79" i="47" s="1"/>
  <c r="G94" i="47"/>
  <c r="G101" i="47" s="1"/>
  <c r="H94" i="47"/>
  <c r="H101" i="47" s="1"/>
  <c r="I94" i="47"/>
  <c r="I101" i="47" s="1"/>
  <c r="J94" i="47"/>
  <c r="J101" i="47" s="1"/>
  <c r="K94" i="47"/>
  <c r="K101" i="47" s="1"/>
  <c r="L94" i="47"/>
  <c r="L101" i="47" s="1"/>
  <c r="M94" i="47"/>
  <c r="M101" i="47" s="1"/>
  <c r="N94" i="47"/>
  <c r="N101" i="47" s="1"/>
  <c r="G21" i="47"/>
  <c r="G39" i="7"/>
  <c r="F39" i="7" s="1"/>
  <c r="F53" i="40"/>
  <c r="G24" i="16"/>
  <c r="H24" i="16"/>
  <c r="H50" i="16" s="1"/>
  <c r="I24" i="16"/>
  <c r="J24" i="16"/>
  <c r="K24" i="16"/>
  <c r="K53" i="16" s="1"/>
  <c r="L53" i="16" s="1"/>
  <c r="L24" i="16"/>
  <c r="L54" i="16" s="1"/>
  <c r="M24" i="16"/>
  <c r="M55" i="16" s="1"/>
  <c r="N55" i="16" s="1"/>
  <c r="N24" i="16"/>
  <c r="N56" i="16" s="1"/>
  <c r="O24" i="16"/>
  <c r="P24" i="16"/>
  <c r="P58" i="16" s="1"/>
  <c r="Q24" i="16"/>
  <c r="Q59" i="16" s="1"/>
  <c r="R59" i="16" s="1"/>
  <c r="S59" i="16" s="1"/>
  <c r="R24" i="16"/>
  <c r="R60" i="16"/>
  <c r="S60" i="16" s="1"/>
  <c r="S24" i="16"/>
  <c r="S61" i="16" s="1"/>
  <c r="F31" i="16"/>
  <c r="F32" i="16" s="1"/>
  <c r="F33" i="16" s="1"/>
  <c r="F34" i="16" s="1"/>
  <c r="F35" i="16" s="1"/>
  <c r="F36" i="16" s="1"/>
  <c r="F37" i="16" s="1"/>
  <c r="F38" i="16" s="1"/>
  <c r="F39" i="16" s="1"/>
  <c r="F40" i="16" s="1"/>
  <c r="F41" i="16" s="1"/>
  <c r="F42" i="16" s="1"/>
  <c r="F43" i="16" s="1"/>
  <c r="G32" i="16"/>
  <c r="G33" i="16"/>
  <c r="G34" i="16" s="1"/>
  <c r="G35" i="16" s="1"/>
  <c r="G36" i="16" s="1"/>
  <c r="G37" i="16" s="1"/>
  <c r="G38" i="16" s="1"/>
  <c r="G39" i="16" s="1"/>
  <c r="G40" i="16" s="1"/>
  <c r="G41" i="16" s="1"/>
  <c r="G42" i="16" s="1"/>
  <c r="G43" i="16" s="1"/>
  <c r="H33" i="16"/>
  <c r="H34" i="16"/>
  <c r="H35" i="16" s="1"/>
  <c r="H36" i="16" s="1"/>
  <c r="H37" i="16" s="1"/>
  <c r="H38" i="16" s="1"/>
  <c r="H39" i="16" s="1"/>
  <c r="H40" i="16" s="1"/>
  <c r="H41" i="16" s="1"/>
  <c r="H42" i="16" s="1"/>
  <c r="H43" i="16" s="1"/>
  <c r="I34" i="16"/>
  <c r="J35" i="16"/>
  <c r="J36" i="16" s="1"/>
  <c r="J37" i="16" s="1"/>
  <c r="J38" i="16" s="1"/>
  <c r="J39" i="16" s="1"/>
  <c r="J40" i="16" s="1"/>
  <c r="J41" i="16" s="1"/>
  <c r="K36" i="16"/>
  <c r="L37" i="16"/>
  <c r="M38" i="16"/>
  <c r="M39" i="16" s="1"/>
  <c r="M40" i="16" s="1"/>
  <c r="M41" i="16" s="1"/>
  <c r="M42" i="16" s="1"/>
  <c r="N39" i="16"/>
  <c r="N40" i="16" s="1"/>
  <c r="N41" i="16" s="1"/>
  <c r="N42" i="16" s="1"/>
  <c r="O40" i="16"/>
  <c r="O41" i="16" s="1"/>
  <c r="O42" i="16" s="1"/>
  <c r="O43" i="16" s="1"/>
  <c r="J12" i="26" s="1"/>
  <c r="P41" i="16"/>
  <c r="P42" i="16" s="1"/>
  <c r="Q42" i="16"/>
  <c r="R43" i="16"/>
  <c r="I15" i="79" s="1"/>
  <c r="G49" i="16"/>
  <c r="H49" i="16"/>
  <c r="I49" i="16" s="1"/>
  <c r="J49" i="16" s="1"/>
  <c r="K49" i="16" s="1"/>
  <c r="L49" i="16" s="1"/>
  <c r="M49" i="16" s="1"/>
  <c r="N49" i="16" s="1"/>
  <c r="O49" i="16" s="1"/>
  <c r="P49" i="16" s="1"/>
  <c r="Q49" i="16" s="1"/>
  <c r="R49" i="16" s="1"/>
  <c r="S49" i="16" s="1"/>
  <c r="I51" i="16"/>
  <c r="J51" i="16" s="1"/>
  <c r="K51" i="16" s="1"/>
  <c r="L51" i="16" s="1"/>
  <c r="J52" i="16"/>
  <c r="K52" i="16" s="1"/>
  <c r="L52" i="16" s="1"/>
  <c r="M52" i="16" s="1"/>
  <c r="N52" i="16" s="1"/>
  <c r="O52" i="16" s="1"/>
  <c r="P52" i="16" s="1"/>
  <c r="Q52" i="16" s="1"/>
  <c r="R52" i="16" s="1"/>
  <c r="S52" i="16" s="1"/>
  <c r="O57" i="16"/>
  <c r="P57" i="16" s="1"/>
  <c r="Q57" i="16" s="1"/>
  <c r="R57" i="16" s="1"/>
  <c r="S57" i="16" s="1"/>
  <c r="Q43" i="16"/>
  <c r="H15" i="79" s="1"/>
  <c r="K37" i="16"/>
  <c r="K38" i="16" s="1"/>
  <c r="L38" i="16"/>
  <c r="L39" i="16" s="1"/>
  <c r="L40" i="16" s="1"/>
  <c r="L41" i="16" s="1"/>
  <c r="L42" i="16" s="1"/>
  <c r="L43" i="16" s="1"/>
  <c r="G85" i="47"/>
  <c r="K295" i="76" l="1"/>
  <c r="K297" i="76" s="1"/>
  <c r="K10" i="75" s="1"/>
  <c r="K29" i="75" s="1"/>
  <c r="K91" i="37" s="1"/>
  <c r="N355" i="21"/>
  <c r="N22" i="76"/>
  <c r="J353" i="21"/>
  <c r="J20" i="76"/>
  <c r="J356" i="21"/>
  <c r="J23" i="76"/>
  <c r="G350" i="21"/>
  <c r="G17" i="76"/>
  <c r="H356" i="21"/>
  <c r="H23" i="76"/>
  <c r="H354" i="21"/>
  <c r="H21" i="76"/>
  <c r="H350" i="21"/>
  <c r="H17" i="76"/>
  <c r="G356" i="21"/>
  <c r="G23" i="76"/>
  <c r="N354" i="21"/>
  <c r="N21" i="76"/>
  <c r="L300" i="76"/>
  <c r="L356" i="21"/>
  <c r="L23" i="76"/>
  <c r="K100" i="93"/>
  <c r="I301" i="76"/>
  <c r="I295" i="76"/>
  <c r="I297" i="76" s="1"/>
  <c r="I10" i="75" s="1"/>
  <c r="I29" i="75" s="1"/>
  <c r="I91" i="37" s="1"/>
  <c r="M101" i="93"/>
  <c r="M106" i="93" s="1"/>
  <c r="O301" i="76"/>
  <c r="H100" i="93"/>
  <c r="F187" i="21"/>
  <c r="K301" i="76"/>
  <c r="K101" i="93" s="1"/>
  <c r="O302" i="76"/>
  <c r="M104" i="93"/>
  <c r="N300" i="76"/>
  <c r="J300" i="76"/>
  <c r="J354" i="21"/>
  <c r="J21" i="76"/>
  <c r="J301" i="76" s="1"/>
  <c r="J101" i="93" s="1"/>
  <c r="L353" i="21"/>
  <c r="L20" i="76"/>
  <c r="G355" i="21"/>
  <c r="G22" i="76"/>
  <c r="G354" i="21"/>
  <c r="G21" i="76"/>
  <c r="G295" i="76" s="1"/>
  <c r="G297" i="76" s="1"/>
  <c r="H355" i="21"/>
  <c r="H22" i="76"/>
  <c r="N350" i="21"/>
  <c r="N17" i="76"/>
  <c r="N353" i="21"/>
  <c r="N20" i="76"/>
  <c r="L355" i="21"/>
  <c r="L22" i="76"/>
  <c r="M295" i="76"/>
  <c r="M297" i="76" s="1"/>
  <c r="M10" i="75" s="1"/>
  <c r="M29" i="75" s="1"/>
  <c r="M91" i="37" s="1"/>
  <c r="G300" i="76"/>
  <c r="O295" i="76"/>
  <c r="O297" i="76" s="1"/>
  <c r="O10" i="75" s="1"/>
  <c r="O29" i="75" s="1"/>
  <c r="O91" i="37" s="1"/>
  <c r="M302" i="76"/>
  <c r="F264" i="60"/>
  <c r="G63" i="78"/>
  <c r="G20" i="49"/>
  <c r="G18" i="78"/>
  <c r="G42" i="78" s="1"/>
  <c r="G49" i="78"/>
  <c r="F13" i="78"/>
  <c r="G38" i="79"/>
  <c r="F37" i="79"/>
  <c r="G270" i="17"/>
  <c r="G58" i="78"/>
  <c r="O49" i="78"/>
  <c r="O42" i="78"/>
  <c r="F101" i="47"/>
  <c r="J32" i="26" s="1"/>
  <c r="O55" i="16"/>
  <c r="P55" i="16" s="1"/>
  <c r="Q55" i="16" s="1"/>
  <c r="R55" i="16" s="1"/>
  <c r="S55" i="16" s="1"/>
  <c r="M51" i="16"/>
  <c r="N51" i="16" s="1"/>
  <c r="O51" i="16" s="1"/>
  <c r="P51" i="16" s="1"/>
  <c r="Q51" i="16" s="1"/>
  <c r="R51" i="16" s="1"/>
  <c r="S51" i="16" s="1"/>
  <c r="Q58" i="16"/>
  <c r="R58" i="16" s="1"/>
  <c r="S58" i="16" s="1"/>
  <c r="O56" i="16"/>
  <c r="P56" i="16" s="1"/>
  <c r="Q56" i="16" s="1"/>
  <c r="R56" i="16" s="1"/>
  <c r="S56" i="16" s="1"/>
  <c r="M54" i="16"/>
  <c r="N54" i="16" s="1"/>
  <c r="O54" i="16" s="1"/>
  <c r="P54" i="16" s="1"/>
  <c r="Q54" i="16" s="1"/>
  <c r="R54" i="16" s="1"/>
  <c r="S54" i="16" s="1"/>
  <c r="I50" i="16"/>
  <c r="J50" i="16" s="1"/>
  <c r="K50" i="16" s="1"/>
  <c r="L50" i="16" s="1"/>
  <c r="M50" i="16" s="1"/>
  <c r="N50" i="16" s="1"/>
  <c r="O50" i="16" s="1"/>
  <c r="P50" i="16" s="1"/>
  <c r="Q50" i="16" s="1"/>
  <c r="R50" i="16" s="1"/>
  <c r="S50" i="16" s="1"/>
  <c r="M53" i="16"/>
  <c r="N53" i="16" s="1"/>
  <c r="O53" i="16" s="1"/>
  <c r="P53" i="16" s="1"/>
  <c r="Q53" i="16" s="1"/>
  <c r="R53" i="16" s="1"/>
  <c r="S53" i="16" s="1"/>
  <c r="G640" i="21"/>
  <c r="G12" i="62"/>
  <c r="H179" i="49"/>
  <c r="H13" i="62"/>
  <c r="H641" i="21"/>
  <c r="I13" i="37"/>
  <c r="I179" i="49"/>
  <c r="I641" i="21"/>
  <c r="I13" i="62"/>
  <c r="G639" i="21"/>
  <c r="G11" i="62"/>
  <c r="L12" i="26"/>
  <c r="P43" i="16"/>
  <c r="G15" i="79" s="1"/>
  <c r="G68" i="79" s="1"/>
  <c r="H13" i="37"/>
  <c r="H12" i="62"/>
  <c r="H640" i="21"/>
  <c r="F47" i="49"/>
  <c r="N346" i="21"/>
  <c r="J346" i="21"/>
  <c r="F346" i="21" s="1"/>
  <c r="F680" i="21" s="1"/>
  <c r="L346" i="21"/>
  <c r="F350" i="21"/>
  <c r="F681" i="21" s="1"/>
  <c r="F65" i="49"/>
  <c r="G97" i="49"/>
  <c r="F97" i="49" s="1"/>
  <c r="F187" i="49" s="1"/>
  <c r="G15" i="49"/>
  <c r="G182" i="17"/>
  <c r="F182" i="17" s="1"/>
  <c r="K31" i="26" s="1"/>
  <c r="G94" i="17"/>
  <c r="F94" i="17" s="1"/>
  <c r="J31" i="26" s="1"/>
  <c r="F180" i="17"/>
  <c r="F101" i="20"/>
  <c r="F355" i="21"/>
  <c r="F501" i="21" s="1"/>
  <c r="F765" i="21" s="1"/>
  <c r="I97" i="20"/>
  <c r="K97" i="20"/>
  <c r="M97" i="20"/>
  <c r="O97" i="20"/>
  <c r="G97" i="20"/>
  <c r="J97" i="20"/>
  <c r="L97" i="20"/>
  <c r="N97" i="20"/>
  <c r="H97" i="20"/>
  <c r="F50" i="20"/>
  <c r="F33" i="20"/>
  <c r="F16" i="20"/>
  <c r="F67" i="20"/>
  <c r="F353" i="21"/>
  <c r="F499" i="21" s="1"/>
  <c r="F357" i="21"/>
  <c r="F682" i="21" s="1"/>
  <c r="F690" i="21" s="1"/>
  <c r="M43" i="16"/>
  <c r="J42" i="16"/>
  <c r="K39" i="16"/>
  <c r="N43" i="16"/>
  <c r="L252" i="50"/>
  <c r="L277" i="60" s="1"/>
  <c r="L339" i="60" s="1"/>
  <c r="H252" i="50"/>
  <c r="H277" i="60" s="1"/>
  <c r="H339" i="60" s="1"/>
  <c r="M251" i="50"/>
  <c r="M276" i="60" s="1"/>
  <c r="M338" i="60" s="1"/>
  <c r="I251" i="50"/>
  <c r="I276" i="60" s="1"/>
  <c r="I338" i="60" s="1"/>
  <c r="I247" i="50"/>
  <c r="K247" i="50"/>
  <c r="M247" i="50"/>
  <c r="O247" i="50"/>
  <c r="H248" i="50"/>
  <c r="H273" i="60" s="1"/>
  <c r="H335" i="60" s="1"/>
  <c r="J248" i="50"/>
  <c r="J273" i="60" s="1"/>
  <c r="J335" i="60" s="1"/>
  <c r="L248" i="50"/>
  <c r="L273" i="60" s="1"/>
  <c r="L335" i="60" s="1"/>
  <c r="N248" i="50"/>
  <c r="N273" i="60" s="1"/>
  <c r="N335" i="60" s="1"/>
  <c r="F455" i="39"/>
  <c r="F232" i="50"/>
  <c r="M252" i="50"/>
  <c r="M277" i="60" s="1"/>
  <c r="M339" i="60" s="1"/>
  <c r="I252" i="50"/>
  <c r="I277" i="60" s="1"/>
  <c r="I339" i="60" s="1"/>
  <c r="N251" i="50"/>
  <c r="N276" i="60" s="1"/>
  <c r="N338" i="60" s="1"/>
  <c r="J251" i="50"/>
  <c r="J276" i="60" s="1"/>
  <c r="J338" i="60" s="1"/>
  <c r="O248" i="50"/>
  <c r="O273" i="60" s="1"/>
  <c r="O335" i="60" s="1"/>
  <c r="J247" i="50"/>
  <c r="L247" i="50"/>
  <c r="N247" i="50"/>
  <c r="H247" i="50"/>
  <c r="I248" i="50"/>
  <c r="I273" i="60" s="1"/>
  <c r="I335" i="60" s="1"/>
  <c r="K248" i="50"/>
  <c r="K273" i="60" s="1"/>
  <c r="K335" i="60" s="1"/>
  <c r="M248" i="50"/>
  <c r="M273" i="60" s="1"/>
  <c r="M335" i="60" s="1"/>
  <c r="J475" i="39"/>
  <c r="J487" i="39" s="1"/>
  <c r="J432" i="17" s="1"/>
  <c r="J447" i="17" s="1"/>
  <c r="N232" i="39"/>
  <c r="L232" i="39"/>
  <c r="J232" i="39"/>
  <c r="H232" i="39"/>
  <c r="O231" i="39"/>
  <c r="M231" i="39"/>
  <c r="K231" i="39"/>
  <c r="I231" i="39"/>
  <c r="N245" i="39"/>
  <c r="N292" i="17" s="1"/>
  <c r="N354" i="17" s="1"/>
  <c r="J245" i="39"/>
  <c r="J292" i="17" s="1"/>
  <c r="J354" i="17" s="1"/>
  <c r="O244" i="39"/>
  <c r="O291" i="17" s="1"/>
  <c r="O353" i="17" s="1"/>
  <c r="K244" i="39"/>
  <c r="K291" i="17" s="1"/>
  <c r="K353" i="17" s="1"/>
  <c r="L243" i="39"/>
  <c r="H243" i="39"/>
  <c r="M240" i="39"/>
  <c r="M287" i="17" s="1"/>
  <c r="M349" i="17" s="1"/>
  <c r="I235" i="39"/>
  <c r="I282" i="17" s="1"/>
  <c r="I344" i="17" s="1"/>
  <c r="K235" i="39"/>
  <c r="K282" i="17" s="1"/>
  <c r="K344" i="17" s="1"/>
  <c r="M235" i="39"/>
  <c r="M282" i="17" s="1"/>
  <c r="M344" i="17" s="1"/>
  <c r="O235" i="39"/>
  <c r="O282" i="17" s="1"/>
  <c r="O344" i="17" s="1"/>
  <c r="F216" i="39"/>
  <c r="O232" i="39"/>
  <c r="M232" i="39"/>
  <c r="K232" i="39"/>
  <c r="I232" i="39"/>
  <c r="N231" i="39"/>
  <c r="L231" i="39"/>
  <c r="J231" i="39"/>
  <c r="H231" i="39"/>
  <c r="O245" i="39"/>
  <c r="O292" i="17" s="1"/>
  <c r="O354" i="17" s="1"/>
  <c r="M245" i="39"/>
  <c r="M292" i="17" s="1"/>
  <c r="M354" i="17" s="1"/>
  <c r="K245" i="39"/>
  <c r="K292" i="17" s="1"/>
  <c r="K354" i="17" s="1"/>
  <c r="I245" i="39"/>
  <c r="I292" i="17" s="1"/>
  <c r="I354" i="17" s="1"/>
  <c r="N244" i="39"/>
  <c r="N291" i="17" s="1"/>
  <c r="N353" i="17" s="1"/>
  <c r="L244" i="39"/>
  <c r="L291" i="17" s="1"/>
  <c r="L353" i="17" s="1"/>
  <c r="J244" i="39"/>
  <c r="J291" i="17" s="1"/>
  <c r="J353" i="17" s="1"/>
  <c r="H244" i="39"/>
  <c r="H291" i="17" s="1"/>
  <c r="H353" i="17" s="1"/>
  <c r="O243" i="39"/>
  <c r="O290" i="17" s="1"/>
  <c r="O352" i="17" s="1"/>
  <c r="M243" i="39"/>
  <c r="K243" i="39"/>
  <c r="I243" i="39"/>
  <c r="N240" i="39"/>
  <c r="N287" i="17" s="1"/>
  <c r="N349" i="17" s="1"/>
  <c r="L240" i="39"/>
  <c r="L287" i="17" s="1"/>
  <c r="L349" i="17" s="1"/>
  <c r="J240" i="39"/>
  <c r="J287" i="17" s="1"/>
  <c r="J349" i="17" s="1"/>
  <c r="H240" i="39"/>
  <c r="H287" i="17" s="1"/>
  <c r="H349" i="17" s="1"/>
  <c r="O239" i="39"/>
  <c r="O286" i="17" s="1"/>
  <c r="O348" i="17" s="1"/>
  <c r="M239" i="39"/>
  <c r="M286" i="17" s="1"/>
  <c r="M348" i="17" s="1"/>
  <c r="K239" i="39"/>
  <c r="K286" i="17" s="1"/>
  <c r="K348" i="17" s="1"/>
  <c r="I239" i="39"/>
  <c r="I286" i="17" s="1"/>
  <c r="I348" i="17" s="1"/>
  <c r="H236" i="39"/>
  <c r="J236" i="39"/>
  <c r="L236" i="39"/>
  <c r="N236" i="39"/>
  <c r="H235" i="39"/>
  <c r="H282" i="17" s="1"/>
  <c r="H344" i="17" s="1"/>
  <c r="J235" i="39"/>
  <c r="J282" i="17" s="1"/>
  <c r="J344" i="17" s="1"/>
  <c r="L235" i="39"/>
  <c r="L282" i="17" s="1"/>
  <c r="L344" i="17" s="1"/>
  <c r="N235" i="39"/>
  <c r="N282" i="17" s="1"/>
  <c r="N344" i="17" s="1"/>
  <c r="I35" i="16"/>
  <c r="M12" i="26"/>
  <c r="F92" i="60"/>
  <c r="F61" i="49"/>
  <c r="F94" i="47"/>
  <c r="O511" i="47"/>
  <c r="O512" i="47" s="1"/>
  <c r="O505" i="47"/>
  <c r="O506" i="47" s="1"/>
  <c r="O525" i="47" s="1"/>
  <c r="L505" i="47"/>
  <c r="L506" i="47" s="1"/>
  <c r="L525" i="47" s="1"/>
  <c r="N511" i="47"/>
  <c r="N512" i="47" s="1"/>
  <c r="H505" i="47"/>
  <c r="H506" i="47" s="1"/>
  <c r="H525" i="47" s="1"/>
  <c r="M505" i="47"/>
  <c r="M506" i="47" s="1"/>
  <c r="M525" i="47" s="1"/>
  <c r="I511" i="47"/>
  <c r="I512" i="47" s="1"/>
  <c r="M511" i="47"/>
  <c r="M512" i="47" s="1"/>
  <c r="L511" i="47"/>
  <c r="L512" i="47" s="1"/>
  <c r="J566" i="47"/>
  <c r="J567" i="47" s="1"/>
  <c r="J580" i="47" s="1"/>
  <c r="O566" i="47"/>
  <c r="O567" i="47" s="1"/>
  <c r="O580" i="47" s="1"/>
  <c r="H511" i="47"/>
  <c r="H512" i="47" s="1"/>
  <c r="J511" i="47"/>
  <c r="J512" i="47" s="1"/>
  <c r="N505" i="47"/>
  <c r="N506" i="47" s="1"/>
  <c r="N525" i="47" s="1"/>
  <c r="K511" i="47"/>
  <c r="K512" i="47" s="1"/>
  <c r="G511" i="47"/>
  <c r="I505" i="47"/>
  <c r="I506" i="47" s="1"/>
  <c r="I525" i="47" s="1"/>
  <c r="K505" i="47"/>
  <c r="K506" i="47" s="1"/>
  <c r="K525" i="47" s="1"/>
  <c r="J505" i="47"/>
  <c r="J506" i="47" s="1"/>
  <c r="J525" i="47" s="1"/>
  <c r="H566" i="47"/>
  <c r="G505" i="47"/>
  <c r="H361" i="47"/>
  <c r="H362" i="47" s="1"/>
  <c r="H381" i="47" s="1"/>
  <c r="J361" i="47"/>
  <c r="J362" i="47" s="1"/>
  <c r="J381" i="47" s="1"/>
  <c r="L367" i="47"/>
  <c r="L368" i="47" s="1"/>
  <c r="L361" i="47"/>
  <c r="L362" i="47" s="1"/>
  <c r="L381" i="47" s="1"/>
  <c r="H367" i="47"/>
  <c r="H368" i="47" s="1"/>
  <c r="J367" i="47"/>
  <c r="J368" i="47" s="1"/>
  <c r="O423" i="47"/>
  <c r="O424" i="47" s="1"/>
  <c r="O437" i="47" s="1"/>
  <c r="O367" i="47"/>
  <c r="O368" i="47" s="1"/>
  <c r="I361" i="47"/>
  <c r="I362" i="47" s="1"/>
  <c r="I381" i="47" s="1"/>
  <c r="M361" i="47"/>
  <c r="M362" i="47" s="1"/>
  <c r="M381" i="47" s="1"/>
  <c r="K367" i="47"/>
  <c r="K368" i="47" s="1"/>
  <c r="N367" i="47"/>
  <c r="N368" i="47" s="1"/>
  <c r="K361" i="47"/>
  <c r="K362" i="47" s="1"/>
  <c r="K381" i="47" s="1"/>
  <c r="N361" i="47"/>
  <c r="N362" i="47" s="1"/>
  <c r="N381" i="47" s="1"/>
  <c r="I367" i="47"/>
  <c r="I368" i="47" s="1"/>
  <c r="M367" i="47"/>
  <c r="M368" i="47" s="1"/>
  <c r="J423" i="47"/>
  <c r="J424" i="47" s="1"/>
  <c r="J437" i="47" s="1"/>
  <c r="O361" i="47"/>
  <c r="O362" i="47" s="1"/>
  <c r="O381" i="47" s="1"/>
  <c r="H423" i="47"/>
  <c r="G367" i="47"/>
  <c r="G361" i="47"/>
  <c r="G49" i="47"/>
  <c r="F49" i="47" s="1"/>
  <c r="F21" i="47"/>
  <c r="O137" i="47"/>
  <c r="O138" i="47" s="1"/>
  <c r="O151" i="47" s="1"/>
  <c r="K217" i="47"/>
  <c r="K218" i="47" s="1"/>
  <c r="K237" i="47" s="1"/>
  <c r="N217" i="47"/>
  <c r="N218" i="47" s="1"/>
  <c r="N237" i="47" s="1"/>
  <c r="I223" i="47"/>
  <c r="I224" i="47" s="1"/>
  <c r="M223" i="47"/>
  <c r="M224" i="47" s="1"/>
  <c r="I217" i="47"/>
  <c r="I218" i="47" s="1"/>
  <c r="I237" i="47" s="1"/>
  <c r="M217" i="47"/>
  <c r="M218" i="47" s="1"/>
  <c r="M237" i="47" s="1"/>
  <c r="K223" i="47"/>
  <c r="K224" i="47" s="1"/>
  <c r="N223" i="47"/>
  <c r="N224" i="47" s="1"/>
  <c r="O279" i="47"/>
  <c r="O280" i="47" s="1"/>
  <c r="O293" i="47" s="1"/>
  <c r="O217" i="47"/>
  <c r="O218" i="47" s="1"/>
  <c r="O237" i="47" s="1"/>
  <c r="J137" i="47"/>
  <c r="J138" i="47" s="1"/>
  <c r="L217" i="47"/>
  <c r="L218" i="47" s="1"/>
  <c r="L237" i="47" s="1"/>
  <c r="H223" i="47"/>
  <c r="H224" i="47" s="1"/>
  <c r="J223" i="47"/>
  <c r="J224" i="47" s="1"/>
  <c r="H217" i="47"/>
  <c r="H218" i="47" s="1"/>
  <c r="H237" i="47" s="1"/>
  <c r="J217" i="47"/>
  <c r="J218" i="47" s="1"/>
  <c r="J237" i="47" s="1"/>
  <c r="L223" i="47"/>
  <c r="L224" i="47" s="1"/>
  <c r="J279" i="47"/>
  <c r="J280" i="47" s="1"/>
  <c r="J293" i="47" s="1"/>
  <c r="O223" i="47"/>
  <c r="O224" i="47" s="1"/>
  <c r="H279" i="47"/>
  <c r="G223" i="47"/>
  <c r="G217" i="47"/>
  <c r="O85" i="47"/>
  <c r="O79" i="47"/>
  <c r="M79" i="47"/>
  <c r="M80" i="47" s="1"/>
  <c r="H79" i="47"/>
  <c r="N85" i="47"/>
  <c r="N86" i="47" s="1"/>
  <c r="K79" i="47"/>
  <c r="K80" i="47" s="1"/>
  <c r="K99" i="47" s="1"/>
  <c r="H85" i="47"/>
  <c r="K85" i="47"/>
  <c r="K86" i="47" s="1"/>
  <c r="L85" i="47"/>
  <c r="N79" i="47"/>
  <c r="N80" i="47" s="1"/>
  <c r="N99" i="47" s="1"/>
  <c r="L79" i="47"/>
  <c r="M85" i="47"/>
  <c r="M86" i="47" s="1"/>
  <c r="J85" i="47"/>
  <c r="I85" i="47"/>
  <c r="I86" i="47" s="1"/>
  <c r="I79" i="47"/>
  <c r="I80" i="47" s="1"/>
  <c r="I99" i="47" s="1"/>
  <c r="J79" i="47"/>
  <c r="M99" i="47"/>
  <c r="G86" i="47"/>
  <c r="F496" i="21" l="1"/>
  <c r="F354" i="21"/>
  <c r="F500" i="21" s="1"/>
  <c r="N295" i="76"/>
  <c r="N297" i="76" s="1"/>
  <c r="N10" i="75" s="1"/>
  <c r="N29" i="75" s="1"/>
  <c r="N91" i="37" s="1"/>
  <c r="L295" i="76"/>
  <c r="L297" i="76" s="1"/>
  <c r="L10" i="75" s="1"/>
  <c r="L29" i="75" s="1"/>
  <c r="L91" i="37" s="1"/>
  <c r="L301" i="76"/>
  <c r="L101" i="93" s="1"/>
  <c r="M105" i="93"/>
  <c r="G10" i="75"/>
  <c r="J295" i="76"/>
  <c r="J297" i="76" s="1"/>
  <c r="J10" i="75" s="1"/>
  <c r="J29" i="75" s="1"/>
  <c r="J91" i="37" s="1"/>
  <c r="K106" i="93"/>
  <c r="K104" i="93"/>
  <c r="K112" i="93" s="1"/>
  <c r="K105" i="93"/>
  <c r="L100" i="93"/>
  <c r="H301" i="76"/>
  <c r="H295" i="76"/>
  <c r="H297" i="76" s="1"/>
  <c r="H10" i="75" s="1"/>
  <c r="H29" i="75" s="1"/>
  <c r="H91" i="37" s="1"/>
  <c r="G301" i="76"/>
  <c r="G101" i="93" s="1"/>
  <c r="N68" i="79"/>
  <c r="O68" i="79"/>
  <c r="J68" i="79"/>
  <c r="M68" i="79"/>
  <c r="L68" i="79"/>
  <c r="K68" i="79"/>
  <c r="H68" i="79"/>
  <c r="I68" i="79"/>
  <c r="G100" i="93"/>
  <c r="N301" i="76"/>
  <c r="N101" i="93" s="1"/>
  <c r="J302" i="76"/>
  <c r="J100" i="93"/>
  <c r="N100" i="93"/>
  <c r="I101" i="93"/>
  <c r="I302" i="76"/>
  <c r="K302" i="76"/>
  <c r="F356" i="21"/>
  <c r="F502" i="21" s="1"/>
  <c r="F766" i="21" s="1"/>
  <c r="G52" i="49"/>
  <c r="F49" i="78"/>
  <c r="G50" i="78"/>
  <c r="F63" i="78"/>
  <c r="G95" i="78"/>
  <c r="F95" i="78" s="1"/>
  <c r="K106" i="49"/>
  <c r="K104" i="78"/>
  <c r="O106" i="49"/>
  <c r="O104" i="78"/>
  <c r="J107" i="49"/>
  <c r="J105" i="78"/>
  <c r="N107" i="49"/>
  <c r="N105" i="78"/>
  <c r="K290" i="17"/>
  <c r="K352" i="17" s="1"/>
  <c r="O108" i="49"/>
  <c r="O137" i="49" s="1"/>
  <c r="O106" i="78"/>
  <c r="O135" i="78" s="1"/>
  <c r="M107" i="49"/>
  <c r="M105" i="78"/>
  <c r="L290" i="17"/>
  <c r="L352" i="17" s="1"/>
  <c r="G69" i="79"/>
  <c r="I106" i="49"/>
  <c r="I104" i="78"/>
  <c r="M106" i="49"/>
  <c r="M104" i="78"/>
  <c r="H107" i="49"/>
  <c r="H105" i="78"/>
  <c r="L107" i="49"/>
  <c r="L105" i="78"/>
  <c r="I290" i="17"/>
  <c r="I352" i="17" s="1"/>
  <c r="M290" i="17"/>
  <c r="M352" i="17" s="1"/>
  <c r="H290" i="17"/>
  <c r="H352" i="17" s="1"/>
  <c r="J123" i="49"/>
  <c r="J121" i="78"/>
  <c r="J136" i="78" s="1"/>
  <c r="G94" i="78"/>
  <c r="G87" i="78"/>
  <c r="J37" i="26"/>
  <c r="J38" i="49"/>
  <c r="J48" i="49" s="1"/>
  <c r="J28" i="49"/>
  <c r="J29" i="49"/>
  <c r="J46" i="49" s="1"/>
  <c r="J35" i="37" s="1"/>
  <c r="L28" i="49"/>
  <c r="O28" i="49"/>
  <c r="N29" i="49"/>
  <c r="N46" i="49" s="1"/>
  <c r="N35" i="37" s="1"/>
  <c r="M28" i="49"/>
  <c r="M29" i="49"/>
  <c r="M46" i="49" s="1"/>
  <c r="M35" i="37" s="1"/>
  <c r="N28" i="49"/>
  <c r="O73" i="49"/>
  <c r="M74" i="49"/>
  <c r="N73" i="49"/>
  <c r="N74" i="49"/>
  <c r="M73" i="49"/>
  <c r="O74" i="49"/>
  <c r="J74" i="49"/>
  <c r="L73" i="49"/>
  <c r="J73" i="49"/>
  <c r="J118" i="49"/>
  <c r="I118" i="49"/>
  <c r="K119" i="49"/>
  <c r="J119" i="49"/>
  <c r="O128" i="49"/>
  <c r="L119" i="49"/>
  <c r="I119" i="49"/>
  <c r="H118" i="49"/>
  <c r="L118" i="49"/>
  <c r="O119" i="49"/>
  <c r="O29" i="49"/>
  <c r="O46" i="49" s="1"/>
  <c r="O35" i="37" s="1"/>
  <c r="L29" i="49"/>
  <c r="L46" i="49" s="1"/>
  <c r="L35" i="37" s="1"/>
  <c r="H28" i="49"/>
  <c r="H29" i="49"/>
  <c r="H46" i="49" s="1"/>
  <c r="H35" i="37" s="1"/>
  <c r="O38" i="49"/>
  <c r="O48" i="49" s="1"/>
  <c r="K29" i="49"/>
  <c r="K46" i="49" s="1"/>
  <c r="K35" i="37" s="1"/>
  <c r="I28" i="49"/>
  <c r="I29" i="49"/>
  <c r="I46" i="49" s="1"/>
  <c r="I35" i="37" s="1"/>
  <c r="K28" i="49"/>
  <c r="K44" i="49" s="1"/>
  <c r="J83" i="49"/>
  <c r="J93" i="49" s="1"/>
  <c r="I74" i="49"/>
  <c r="K73" i="49"/>
  <c r="K74" i="49"/>
  <c r="I73" i="49"/>
  <c r="O83" i="49"/>
  <c r="O93" i="49" s="1"/>
  <c r="H74" i="49"/>
  <c r="L74" i="49"/>
  <c r="H73" i="49"/>
  <c r="K118" i="49"/>
  <c r="N118" i="49"/>
  <c r="H119" i="49"/>
  <c r="J128" i="49"/>
  <c r="M119" i="49"/>
  <c r="M136" i="49" s="1"/>
  <c r="M37" i="37" s="1"/>
  <c r="M68" i="37" s="1"/>
  <c r="M118" i="49"/>
  <c r="N119" i="49"/>
  <c r="O118" i="49"/>
  <c r="G13" i="37"/>
  <c r="J66" i="37" s="1"/>
  <c r="G179" i="49"/>
  <c r="G641" i="21"/>
  <c r="G13" i="62"/>
  <c r="K12" i="26"/>
  <c r="K38" i="26" s="1"/>
  <c r="K37" i="26"/>
  <c r="F695" i="21"/>
  <c r="F689" i="21"/>
  <c r="F691" i="21" s="1"/>
  <c r="F696" i="21" s="1"/>
  <c r="F15" i="49"/>
  <c r="F492" i="21"/>
  <c r="M68" i="20" s="1"/>
  <c r="I49" i="26"/>
  <c r="F764" i="21"/>
  <c r="N72" i="20"/>
  <c r="L72" i="20"/>
  <c r="J72" i="20"/>
  <c r="H72" i="20"/>
  <c r="O55" i="20"/>
  <c r="M55" i="20"/>
  <c r="K55" i="20"/>
  <c r="I55" i="20"/>
  <c r="G55" i="20"/>
  <c r="N38" i="20"/>
  <c r="L38" i="20"/>
  <c r="J38" i="20"/>
  <c r="H38" i="20"/>
  <c r="O21" i="20"/>
  <c r="M21" i="20"/>
  <c r="K21" i="20"/>
  <c r="I21" i="20"/>
  <c r="G21" i="20"/>
  <c r="O72" i="20"/>
  <c r="M72" i="20"/>
  <c r="K72" i="20"/>
  <c r="I72" i="20"/>
  <c r="G72" i="20"/>
  <c r="N55" i="20"/>
  <c r="L55" i="20"/>
  <c r="J55" i="20"/>
  <c r="H55" i="20"/>
  <c r="O38" i="20"/>
  <c r="M38" i="20"/>
  <c r="K38" i="20"/>
  <c r="I38" i="20"/>
  <c r="G38" i="20"/>
  <c r="N21" i="20"/>
  <c r="L21" i="20"/>
  <c r="J21" i="20"/>
  <c r="H21" i="20"/>
  <c r="N17" i="20"/>
  <c r="M51" i="20"/>
  <c r="O17" i="20"/>
  <c r="F97" i="20"/>
  <c r="N75" i="20"/>
  <c r="L75" i="20"/>
  <c r="J75" i="20"/>
  <c r="H75" i="20"/>
  <c r="O58" i="20"/>
  <c r="M58" i="20"/>
  <c r="K58" i="20"/>
  <c r="I58" i="20"/>
  <c r="G58" i="20"/>
  <c r="N41" i="20"/>
  <c r="L41" i="20"/>
  <c r="J41" i="20"/>
  <c r="H41" i="20"/>
  <c r="O24" i="20"/>
  <c r="M24" i="20"/>
  <c r="K24" i="20"/>
  <c r="I24" i="20"/>
  <c r="G24" i="20"/>
  <c r="O75" i="20"/>
  <c r="M75" i="20"/>
  <c r="K75" i="20"/>
  <c r="I75" i="20"/>
  <c r="G75" i="20"/>
  <c r="N58" i="20"/>
  <c r="L58" i="20"/>
  <c r="J58" i="20"/>
  <c r="H58" i="20"/>
  <c r="O41" i="20"/>
  <c r="M41" i="20"/>
  <c r="K41" i="20"/>
  <c r="I41" i="20"/>
  <c r="G41" i="20"/>
  <c r="N24" i="20"/>
  <c r="L24" i="20"/>
  <c r="J24" i="20"/>
  <c r="H24" i="20"/>
  <c r="F503" i="21"/>
  <c r="H506" i="21"/>
  <c r="H770" i="21" s="1"/>
  <c r="H109" i="20" s="1"/>
  <c r="F763" i="21"/>
  <c r="G235" i="39"/>
  <c r="F195" i="39"/>
  <c r="L265" i="17"/>
  <c r="L283" i="17"/>
  <c r="L345" i="17" s="1"/>
  <c r="H265" i="17"/>
  <c r="H283" i="17"/>
  <c r="H345" i="17" s="1"/>
  <c r="G243" i="39"/>
  <c r="F203" i="39"/>
  <c r="H278" i="17"/>
  <c r="L278" i="17"/>
  <c r="G232" i="39"/>
  <c r="F212" i="39"/>
  <c r="K261" i="17"/>
  <c r="K60" i="78" s="1"/>
  <c r="K89" i="78" s="1"/>
  <c r="K38" i="79" s="1"/>
  <c r="K69" i="79" s="1"/>
  <c r="K279" i="17"/>
  <c r="K341" i="17" s="1"/>
  <c r="O261" i="17"/>
  <c r="O60" i="78" s="1"/>
  <c r="O89" i="78" s="1"/>
  <c r="O38" i="79" s="1"/>
  <c r="O69" i="79" s="1"/>
  <c r="O279" i="17"/>
  <c r="O341" i="17" s="1"/>
  <c r="F220" i="39"/>
  <c r="M236" i="39"/>
  <c r="I236" i="39"/>
  <c r="H239" i="39"/>
  <c r="H286" i="17" s="1"/>
  <c r="H348" i="17" s="1"/>
  <c r="L239" i="39"/>
  <c r="L286" i="17" s="1"/>
  <c r="L348" i="17" s="1"/>
  <c r="G240" i="39"/>
  <c r="F200" i="39"/>
  <c r="K240" i="39"/>
  <c r="K287" i="17" s="1"/>
  <c r="K349" i="17" s="1"/>
  <c r="O240" i="39"/>
  <c r="O287" i="17" s="1"/>
  <c r="O349" i="17" s="1"/>
  <c r="J243" i="39"/>
  <c r="N243" i="39"/>
  <c r="I244" i="39"/>
  <c r="I291" i="17" s="1"/>
  <c r="I353" i="17" s="1"/>
  <c r="M244" i="39"/>
  <c r="M291" i="17" s="1"/>
  <c r="M353" i="17" s="1"/>
  <c r="H245" i="39"/>
  <c r="H292" i="17" s="1"/>
  <c r="H354" i="17" s="1"/>
  <c r="L245" i="39"/>
  <c r="L292" i="17" s="1"/>
  <c r="L354" i="17" s="1"/>
  <c r="G231" i="39"/>
  <c r="F211" i="39"/>
  <c r="K278" i="17"/>
  <c r="O278" i="17"/>
  <c r="J261" i="17"/>
  <c r="J60" i="78" s="1"/>
  <c r="J89" i="78" s="1"/>
  <c r="J38" i="79" s="1"/>
  <c r="J69" i="79" s="1"/>
  <c r="J279" i="17"/>
  <c r="J341" i="17" s="1"/>
  <c r="N261" i="17"/>
  <c r="N60" i="78" s="1"/>
  <c r="N89" i="78" s="1"/>
  <c r="N38" i="79" s="1"/>
  <c r="N69" i="79" s="1"/>
  <c r="N279" i="17"/>
  <c r="N341" i="17" s="1"/>
  <c r="F219" i="39"/>
  <c r="F224" i="39"/>
  <c r="N272" i="60"/>
  <c r="J272" i="60"/>
  <c r="H251" i="50"/>
  <c r="H276" i="60" s="1"/>
  <c r="H338" i="60" s="1"/>
  <c r="L251" i="50"/>
  <c r="L276" i="60" s="1"/>
  <c r="L338" i="60" s="1"/>
  <c r="G252" i="50"/>
  <c r="F212" i="50"/>
  <c r="K252" i="50"/>
  <c r="K277" i="60" s="1"/>
  <c r="K339" i="60" s="1"/>
  <c r="O252" i="50"/>
  <c r="O277" i="60" s="1"/>
  <c r="O339" i="60" s="1"/>
  <c r="F225" i="39"/>
  <c r="O476" i="39"/>
  <c r="F456" i="39"/>
  <c r="O272" i="60"/>
  <c r="K272" i="60"/>
  <c r="F211" i="50"/>
  <c r="G251" i="50"/>
  <c r="K251" i="50"/>
  <c r="K276" i="60" s="1"/>
  <c r="K338" i="60" s="1"/>
  <c r="O251" i="50"/>
  <c r="O276" i="60" s="1"/>
  <c r="O338" i="60" s="1"/>
  <c r="J252" i="50"/>
  <c r="J277" i="60" s="1"/>
  <c r="J339" i="60" s="1"/>
  <c r="N252" i="50"/>
  <c r="N277" i="60" s="1"/>
  <c r="N339" i="60" s="1"/>
  <c r="F347" i="50"/>
  <c r="K40" i="16"/>
  <c r="I36" i="16"/>
  <c r="N265" i="17"/>
  <c r="N283" i="17"/>
  <c r="N345" i="17" s="1"/>
  <c r="J265" i="17"/>
  <c r="J283" i="17"/>
  <c r="J345" i="17" s="1"/>
  <c r="G239" i="39"/>
  <c r="F199" i="39"/>
  <c r="G245" i="39"/>
  <c r="F205" i="39"/>
  <c r="J278" i="17"/>
  <c r="N278" i="17"/>
  <c r="I261" i="17"/>
  <c r="I60" i="78" s="1"/>
  <c r="I89" i="78" s="1"/>
  <c r="I38" i="79" s="1"/>
  <c r="I69" i="79" s="1"/>
  <c r="I279" i="17"/>
  <c r="I341" i="17" s="1"/>
  <c r="M261" i="17"/>
  <c r="M60" i="78" s="1"/>
  <c r="M89" i="78" s="1"/>
  <c r="M38" i="79" s="1"/>
  <c r="M69" i="79" s="1"/>
  <c r="M279" i="17"/>
  <c r="M341" i="17" s="1"/>
  <c r="O236" i="39"/>
  <c r="K236" i="39"/>
  <c r="G236" i="39"/>
  <c r="F196" i="39"/>
  <c r="J239" i="39"/>
  <c r="J286" i="17" s="1"/>
  <c r="J348" i="17" s="1"/>
  <c r="N239" i="39"/>
  <c r="N286" i="17" s="1"/>
  <c r="N348" i="17" s="1"/>
  <c r="I240" i="39"/>
  <c r="I287" i="17" s="1"/>
  <c r="I349" i="17" s="1"/>
  <c r="G244" i="39"/>
  <c r="F204" i="39"/>
  <c r="I278" i="17"/>
  <c r="I247" i="39"/>
  <c r="M278" i="17"/>
  <c r="M247" i="39"/>
  <c r="H261" i="17"/>
  <c r="H60" i="78" s="1"/>
  <c r="H279" i="17"/>
  <c r="H341" i="17" s="1"/>
  <c r="L261" i="17"/>
  <c r="L60" i="78" s="1"/>
  <c r="L89" i="78" s="1"/>
  <c r="L38" i="79" s="1"/>
  <c r="L69" i="79" s="1"/>
  <c r="L279" i="17"/>
  <c r="L341" i="17" s="1"/>
  <c r="F215" i="39"/>
  <c r="H475" i="39"/>
  <c r="F435" i="39"/>
  <c r="G248" i="50"/>
  <c r="F208" i="50"/>
  <c r="H272" i="60"/>
  <c r="H288" i="60" s="1"/>
  <c r="L272" i="60"/>
  <c r="L288" i="60" s="1"/>
  <c r="L263" i="50"/>
  <c r="F223" i="39"/>
  <c r="G247" i="50"/>
  <c r="F207" i="50"/>
  <c r="M272" i="60"/>
  <c r="M288" i="60" s="1"/>
  <c r="M263" i="50"/>
  <c r="I272" i="60"/>
  <c r="I288" i="60" s="1"/>
  <c r="I263" i="50"/>
  <c r="F231" i="50"/>
  <c r="J43" i="16"/>
  <c r="J49" i="26"/>
  <c r="N44" i="49"/>
  <c r="O44" i="49"/>
  <c r="F566" i="47"/>
  <c r="H567" i="47"/>
  <c r="F511" i="47"/>
  <c r="G512" i="47"/>
  <c r="F505" i="47"/>
  <c r="G506" i="47"/>
  <c r="F367" i="47"/>
  <c r="G368" i="47"/>
  <c r="F361" i="47"/>
  <c r="G362" i="47"/>
  <c r="F423" i="47"/>
  <c r="H424" i="47"/>
  <c r="F79" i="47"/>
  <c r="F223" i="47"/>
  <c r="G224" i="47"/>
  <c r="F85" i="47"/>
  <c r="F217" i="47"/>
  <c r="G218" i="47"/>
  <c r="F279" i="47"/>
  <c r="H280" i="47"/>
  <c r="J80" i="47"/>
  <c r="L80" i="47"/>
  <c r="L86" i="47"/>
  <c r="H86" i="47"/>
  <c r="O86" i="47"/>
  <c r="J86" i="47"/>
  <c r="H80" i="47"/>
  <c r="O80" i="47"/>
  <c r="G80" i="47"/>
  <c r="F30" i="17"/>
  <c r="F92" i="17"/>
  <c r="H49" i="26"/>
  <c r="F68" i="79" l="1"/>
  <c r="K51" i="49"/>
  <c r="N51" i="49"/>
  <c r="L302" i="76"/>
  <c r="N302" i="76"/>
  <c r="K288" i="60"/>
  <c r="G17" i="20"/>
  <c r="N34" i="20"/>
  <c r="L68" i="20"/>
  <c r="L51" i="20"/>
  <c r="O51" i="49"/>
  <c r="N288" i="60"/>
  <c r="O288" i="60"/>
  <c r="J288" i="60"/>
  <c r="H294" i="17"/>
  <c r="K17" i="20"/>
  <c r="J34" i="20"/>
  <c r="I51" i="20"/>
  <c r="H68" i="20"/>
  <c r="H17" i="20"/>
  <c r="M34" i="20"/>
  <c r="K68" i="20"/>
  <c r="J138" i="49"/>
  <c r="I105" i="93"/>
  <c r="I106" i="93"/>
  <c r="I104" i="93"/>
  <c r="I112" i="93" s="1"/>
  <c r="N106" i="93"/>
  <c r="N104" i="93"/>
  <c r="N105" i="93"/>
  <c r="J105" i="93"/>
  <c r="J113" i="93" s="1"/>
  <c r="J104" i="93"/>
  <c r="J112" i="93" s="1"/>
  <c r="G302" i="76"/>
  <c r="L105" i="93"/>
  <c r="L106" i="93"/>
  <c r="L104" i="93"/>
  <c r="F297" i="76"/>
  <c r="F18" i="75" s="1"/>
  <c r="L294" i="17"/>
  <c r="G104" i="93"/>
  <c r="G112" i="93" s="1"/>
  <c r="H73" i="97" s="1"/>
  <c r="J73" i="97" s="1"/>
  <c r="G105" i="93"/>
  <c r="G113" i="93" s="1"/>
  <c r="H82" i="97" s="1"/>
  <c r="J82" i="97" s="1"/>
  <c r="G106" i="93"/>
  <c r="G114" i="93" s="1"/>
  <c r="H91" i="97" s="1"/>
  <c r="J91" i="97" s="1"/>
  <c r="H101" i="93"/>
  <c r="H302" i="76"/>
  <c r="G29" i="75"/>
  <c r="F10" i="75"/>
  <c r="F736" i="21"/>
  <c r="M134" i="78"/>
  <c r="M39" i="79" s="1"/>
  <c r="M70" i="79" s="1"/>
  <c r="M72" i="79" s="1"/>
  <c r="M82" i="79" s="1"/>
  <c r="J106" i="49"/>
  <c r="J136" i="49" s="1"/>
  <c r="J37" i="37" s="1"/>
  <c r="J68" i="37" s="1"/>
  <c r="J104" i="78"/>
  <c r="J134" i="78" s="1"/>
  <c r="J39" i="79" s="1"/>
  <c r="J70" i="79" s="1"/>
  <c r="J72" i="79" s="1"/>
  <c r="J82" i="79" s="1"/>
  <c r="F60" i="78"/>
  <c r="H89" i="78"/>
  <c r="N106" i="49"/>
  <c r="N104" i="78"/>
  <c r="N134" i="78" s="1"/>
  <c r="N39" i="79" s="1"/>
  <c r="N70" i="79" s="1"/>
  <c r="N290" i="17"/>
  <c r="N352" i="17" s="1"/>
  <c r="O107" i="49"/>
  <c r="O136" i="49" s="1"/>
  <c r="O37" i="37" s="1"/>
  <c r="O68" i="37" s="1"/>
  <c r="O105" i="78"/>
  <c r="O134" i="78" s="1"/>
  <c r="O39" i="79" s="1"/>
  <c r="O70" i="79" s="1"/>
  <c r="O72" i="79" s="1"/>
  <c r="O82" i="79" s="1"/>
  <c r="L106" i="49"/>
  <c r="L104" i="78"/>
  <c r="L134" i="78" s="1"/>
  <c r="L39" i="79" s="1"/>
  <c r="L70" i="79" s="1"/>
  <c r="L72" i="79" s="1"/>
  <c r="L82" i="79" s="1"/>
  <c r="I107" i="49"/>
  <c r="I136" i="49" s="1"/>
  <c r="I37" i="37" s="1"/>
  <c r="I68" i="37" s="1"/>
  <c r="I105" i="78"/>
  <c r="I134" i="78" s="1"/>
  <c r="I39" i="79" s="1"/>
  <c r="I70" i="79" s="1"/>
  <c r="I72" i="79" s="1"/>
  <c r="I82" i="79" s="1"/>
  <c r="N72" i="79"/>
  <c r="N82" i="79" s="1"/>
  <c r="J290" i="17"/>
  <c r="J352" i="17" s="1"/>
  <c r="K107" i="49"/>
  <c r="K136" i="49" s="1"/>
  <c r="K37" i="37" s="1"/>
  <c r="K68" i="37" s="1"/>
  <c r="K105" i="78"/>
  <c r="K134" i="78" s="1"/>
  <c r="K39" i="79" s="1"/>
  <c r="K70" i="79" s="1"/>
  <c r="K72" i="79" s="1"/>
  <c r="K82" i="79" s="1"/>
  <c r="H106" i="49"/>
  <c r="H136" i="49" s="1"/>
  <c r="H37" i="37" s="1"/>
  <c r="H68" i="37" s="1"/>
  <c r="H104" i="78"/>
  <c r="H134" i="78" s="1"/>
  <c r="H39" i="79" s="1"/>
  <c r="H70" i="79" s="1"/>
  <c r="H108" i="49"/>
  <c r="H137" i="49" s="1"/>
  <c r="H106" i="78"/>
  <c r="H135" i="78" s="1"/>
  <c r="M108" i="49"/>
  <c r="M137" i="49" s="1"/>
  <c r="M106" i="78"/>
  <c r="M135" i="78" s="1"/>
  <c r="I108" i="49"/>
  <c r="I137" i="49" s="1"/>
  <c r="I106" i="78"/>
  <c r="I135" i="78" s="1"/>
  <c r="L108" i="49"/>
  <c r="L137" i="49" s="1"/>
  <c r="L106" i="78"/>
  <c r="L135" i="78" s="1"/>
  <c r="K108" i="49"/>
  <c r="K137" i="49" s="1"/>
  <c r="K106" i="78"/>
  <c r="K135" i="78" s="1"/>
  <c r="H66" i="37"/>
  <c r="L44" i="49"/>
  <c r="J51" i="49"/>
  <c r="J44" i="49"/>
  <c r="N136" i="49"/>
  <c r="N37" i="37" s="1"/>
  <c r="N68" i="37" s="1"/>
  <c r="L136" i="49"/>
  <c r="L37" i="37" s="1"/>
  <c r="L68" i="37" s="1"/>
  <c r="I44" i="49"/>
  <c r="L51" i="49"/>
  <c r="I51" i="49"/>
  <c r="M51" i="49"/>
  <c r="M66" i="37"/>
  <c r="O66" i="37"/>
  <c r="L66" i="37"/>
  <c r="I66" i="37"/>
  <c r="N66" i="37"/>
  <c r="K66" i="37"/>
  <c r="I17" i="20"/>
  <c r="M17" i="20"/>
  <c r="H34" i="20"/>
  <c r="L34" i="20"/>
  <c r="G51" i="20"/>
  <c r="K51" i="20"/>
  <c r="O51" i="20"/>
  <c r="J68" i="20"/>
  <c r="N68" i="20"/>
  <c r="J17" i="20"/>
  <c r="I34" i="20"/>
  <c r="H51" i="20"/>
  <c r="G68" i="20"/>
  <c r="O68" i="20"/>
  <c r="F697" i="21"/>
  <c r="L62" i="49"/>
  <c r="L91" i="49" s="1"/>
  <c r="L36" i="37" s="1"/>
  <c r="L67" i="37" s="1"/>
  <c r="L268" i="17"/>
  <c r="L58" i="78" s="1"/>
  <c r="H62" i="49"/>
  <c r="H91" i="49" s="1"/>
  <c r="H36" i="37" s="1"/>
  <c r="H67" i="37" s="1"/>
  <c r="F261" i="17"/>
  <c r="H268" i="17"/>
  <c r="O62" i="49"/>
  <c r="O91" i="49" s="1"/>
  <c r="O36" i="37" s="1"/>
  <c r="O67" i="37" s="1"/>
  <c r="K62" i="49"/>
  <c r="K91" i="49" s="1"/>
  <c r="K36" i="37" s="1"/>
  <c r="K67" i="37" s="1"/>
  <c r="M62" i="49"/>
  <c r="M91" i="49" s="1"/>
  <c r="M36" i="37" s="1"/>
  <c r="M67" i="37" s="1"/>
  <c r="M70" i="37" s="1"/>
  <c r="I62" i="49"/>
  <c r="I91" i="49" s="1"/>
  <c r="I36" i="37" s="1"/>
  <c r="I67" i="37" s="1"/>
  <c r="N62" i="49"/>
  <c r="N268" i="17"/>
  <c r="N58" i="78" s="1"/>
  <c r="J62" i="49"/>
  <c r="J91" i="49" s="1"/>
  <c r="J36" i="37" s="1"/>
  <c r="J268" i="17"/>
  <c r="J58" i="78" s="1"/>
  <c r="L17" i="20"/>
  <c r="G34" i="20"/>
  <c r="K34" i="20"/>
  <c r="O34" i="20"/>
  <c r="J51" i="20"/>
  <c r="N51" i="20"/>
  <c r="I68" i="20"/>
  <c r="H263" i="50"/>
  <c r="F87" i="20"/>
  <c r="N76" i="20"/>
  <c r="L76" i="20"/>
  <c r="J76" i="20"/>
  <c r="H76" i="20"/>
  <c r="O59" i="20"/>
  <c r="M59" i="20"/>
  <c r="K59" i="20"/>
  <c r="I59" i="20"/>
  <c r="G59" i="20"/>
  <c r="N42" i="20"/>
  <c r="L42" i="20"/>
  <c r="J42" i="20"/>
  <c r="H42" i="20"/>
  <c r="O25" i="20"/>
  <c r="M25" i="20"/>
  <c r="K25" i="20"/>
  <c r="I25" i="20"/>
  <c r="G25" i="20"/>
  <c r="O76" i="20"/>
  <c r="M76" i="20"/>
  <c r="K76" i="20"/>
  <c r="I76" i="20"/>
  <c r="G76" i="20"/>
  <c r="N59" i="20"/>
  <c r="L59" i="20"/>
  <c r="J59" i="20"/>
  <c r="H59" i="20"/>
  <c r="O42" i="20"/>
  <c r="M42" i="20"/>
  <c r="K42" i="20"/>
  <c r="I42" i="20"/>
  <c r="G42" i="20"/>
  <c r="N25" i="20"/>
  <c r="L25" i="20"/>
  <c r="J25" i="20"/>
  <c r="H25" i="20"/>
  <c r="H105" i="20"/>
  <c r="J105" i="20"/>
  <c r="L105" i="20"/>
  <c r="N105" i="20"/>
  <c r="I105" i="20"/>
  <c r="K105" i="20"/>
  <c r="M105" i="20"/>
  <c r="O105" i="20"/>
  <c r="G105" i="20"/>
  <c r="H507" i="21"/>
  <c r="N91" i="49"/>
  <c r="N36" i="37" s="1"/>
  <c r="N67" i="37" s="1"/>
  <c r="I334" i="60"/>
  <c r="I350" i="60" s="1"/>
  <c r="M334" i="60"/>
  <c r="M350" i="60" s="1"/>
  <c r="G272" i="60"/>
  <c r="G263" i="50"/>
  <c r="F247" i="50"/>
  <c r="M340" i="17"/>
  <c r="I340" i="17"/>
  <c r="F244" i="39"/>
  <c r="G291" i="17"/>
  <c r="K265" i="17"/>
  <c r="K268" i="17" s="1"/>
  <c r="K58" i="78" s="1"/>
  <c r="K283" i="17"/>
  <c r="K345" i="17" s="1"/>
  <c r="N247" i="39"/>
  <c r="J247" i="39"/>
  <c r="G286" i="17"/>
  <c r="F239" i="39"/>
  <c r="I37" i="16"/>
  <c r="G276" i="60"/>
  <c r="F251" i="50"/>
  <c r="K263" i="50"/>
  <c r="O263" i="50"/>
  <c r="G277" i="60"/>
  <c r="F252" i="50"/>
  <c r="J334" i="60"/>
  <c r="J350" i="60" s="1"/>
  <c r="N334" i="60"/>
  <c r="N350" i="60" s="1"/>
  <c r="O340" i="17"/>
  <c r="K340" i="17"/>
  <c r="G278" i="17"/>
  <c r="F231" i="39"/>
  <c r="G247" i="39"/>
  <c r="G287" i="17"/>
  <c r="F240" i="39"/>
  <c r="M265" i="17"/>
  <c r="M268" i="17" s="1"/>
  <c r="M58" i="78" s="1"/>
  <c r="M283" i="17"/>
  <c r="M345" i="17" s="1"/>
  <c r="L247" i="39"/>
  <c r="H247" i="39"/>
  <c r="L334" i="60"/>
  <c r="L350" i="60" s="1"/>
  <c r="H334" i="60"/>
  <c r="H350" i="60" s="1"/>
  <c r="G273" i="60"/>
  <c r="F248" i="50"/>
  <c r="H487" i="39"/>
  <c r="F475" i="39"/>
  <c r="G283" i="17"/>
  <c r="F236" i="39"/>
  <c r="O265" i="17"/>
  <c r="O268" i="17" s="1"/>
  <c r="O58" i="78" s="1"/>
  <c r="O283" i="17"/>
  <c r="O345" i="17" s="1"/>
  <c r="N340" i="17"/>
  <c r="N356" i="17" s="1"/>
  <c r="N103" i="78" s="1"/>
  <c r="J340" i="17"/>
  <c r="J356" i="17" s="1"/>
  <c r="J103" i="78" s="1"/>
  <c r="G292" i="17"/>
  <c r="F245" i="39"/>
  <c r="K41" i="16"/>
  <c r="H424" i="60"/>
  <c r="F359" i="50"/>
  <c r="K334" i="60"/>
  <c r="K350" i="60" s="1"/>
  <c r="O334" i="60"/>
  <c r="O350" i="60" s="1"/>
  <c r="F476" i="39"/>
  <c r="O487" i="39"/>
  <c r="O432" i="17" s="1"/>
  <c r="O447" i="17" s="1"/>
  <c r="J263" i="50"/>
  <c r="N263" i="50"/>
  <c r="O247" i="39"/>
  <c r="K247" i="39"/>
  <c r="I265" i="17"/>
  <c r="I283" i="17"/>
  <c r="I345" i="17" s="1"/>
  <c r="G279" i="17"/>
  <c r="F232" i="39"/>
  <c r="L340" i="17"/>
  <c r="L356" i="17" s="1"/>
  <c r="L103" i="78" s="1"/>
  <c r="H340" i="17"/>
  <c r="H356" i="17" s="1"/>
  <c r="H103" i="78" s="1"/>
  <c r="F243" i="39"/>
  <c r="G290" i="17"/>
  <c r="G282" i="17"/>
  <c r="F235" i="39"/>
  <c r="F512" i="47"/>
  <c r="G119" i="49"/>
  <c r="F368" i="47"/>
  <c r="G74" i="49"/>
  <c r="F224" i="47"/>
  <c r="G29" i="49"/>
  <c r="F86" i="47"/>
  <c r="G525" i="47"/>
  <c r="F506" i="47"/>
  <c r="H580" i="47"/>
  <c r="F567" i="47"/>
  <c r="H437" i="47"/>
  <c r="F424" i="47"/>
  <c r="G381" i="47"/>
  <c r="F362" i="47"/>
  <c r="H293" i="47"/>
  <c r="F280" i="47"/>
  <c r="G237" i="47"/>
  <c r="F218" i="47"/>
  <c r="F80" i="47"/>
  <c r="O99" i="47"/>
  <c r="H135" i="47"/>
  <c r="F135" i="47" s="1"/>
  <c r="L99" i="47"/>
  <c r="J99" i="47"/>
  <c r="H99" i="47"/>
  <c r="G99" i="47"/>
  <c r="G294" i="17" l="1"/>
  <c r="G288" i="60"/>
  <c r="G91" i="37"/>
  <c r="F29" i="75"/>
  <c r="F114" i="93"/>
  <c r="F121" i="93" s="1"/>
  <c r="F112" i="93"/>
  <c r="F119" i="93" s="1"/>
  <c r="H105" i="93"/>
  <c r="F113" i="93" s="1"/>
  <c r="F120" i="93" s="1"/>
  <c r="N294" i="17"/>
  <c r="M294" i="17"/>
  <c r="F302" i="76"/>
  <c r="O294" i="17"/>
  <c r="I294" i="17"/>
  <c r="K294" i="17"/>
  <c r="J294" i="17"/>
  <c r="L110" i="49"/>
  <c r="L142" i="49" s="1"/>
  <c r="L108" i="78"/>
  <c r="L140" i="78" s="1"/>
  <c r="H110" i="49"/>
  <c r="H108" i="78"/>
  <c r="N110" i="49"/>
  <c r="N142" i="49" s="1"/>
  <c r="N108" i="78"/>
  <c r="N140" i="78" s="1"/>
  <c r="J110" i="49"/>
  <c r="J142" i="49" s="1"/>
  <c r="J108" i="78"/>
  <c r="J140" i="78" s="1"/>
  <c r="M110" i="49"/>
  <c r="M142" i="49" s="1"/>
  <c r="M108" i="78"/>
  <c r="M140" i="78" s="1"/>
  <c r="I110" i="49"/>
  <c r="I142" i="49" s="1"/>
  <c r="I108" i="78"/>
  <c r="I140" i="78" s="1"/>
  <c r="H70" i="37"/>
  <c r="O110" i="49"/>
  <c r="O142" i="49" s="1"/>
  <c r="O108" i="78"/>
  <c r="O140" i="78" s="1"/>
  <c r="K110" i="49"/>
  <c r="K142" i="49" s="1"/>
  <c r="K108" i="78"/>
  <c r="K140" i="78" s="1"/>
  <c r="O123" i="49"/>
  <c r="O138" i="49" s="1"/>
  <c r="F738" i="21" s="1"/>
  <c r="O121" i="78"/>
  <c r="O136" i="78" s="1"/>
  <c r="N139" i="78"/>
  <c r="K94" i="78"/>
  <c r="K87" i="78"/>
  <c r="L94" i="78"/>
  <c r="L87" i="78"/>
  <c r="J108" i="49"/>
  <c r="J137" i="49" s="1"/>
  <c r="J106" i="78"/>
  <c r="J135" i="78" s="1"/>
  <c r="N108" i="49"/>
  <c r="N137" i="49" s="1"/>
  <c r="N106" i="78"/>
  <c r="N135" i="78" s="1"/>
  <c r="L139" i="78"/>
  <c r="L132" i="78"/>
  <c r="J139" i="78"/>
  <c r="J132" i="78"/>
  <c r="O94" i="78"/>
  <c r="O87" i="78"/>
  <c r="M94" i="78"/>
  <c r="M87" i="78"/>
  <c r="J94" i="78"/>
  <c r="J87" i="78"/>
  <c r="N94" i="78"/>
  <c r="N87" i="78"/>
  <c r="H270" i="17"/>
  <c r="H58" i="78"/>
  <c r="H38" i="79"/>
  <c r="F89" i="78"/>
  <c r="I70" i="37"/>
  <c r="I84" i="37" s="1"/>
  <c r="L70" i="37"/>
  <c r="M84" i="37"/>
  <c r="L84" i="37"/>
  <c r="N70" i="37"/>
  <c r="O70" i="37"/>
  <c r="F293" i="47"/>
  <c r="F580" i="47"/>
  <c r="K70" i="37"/>
  <c r="H84" i="37"/>
  <c r="F265" i="17"/>
  <c r="H105" i="49"/>
  <c r="H358" i="17"/>
  <c r="L105" i="49"/>
  <c r="L141" i="49" s="1"/>
  <c r="L358" i="17"/>
  <c r="J105" i="49"/>
  <c r="J141" i="49" s="1"/>
  <c r="J358" i="17"/>
  <c r="N105" i="49"/>
  <c r="N141" i="49" s="1"/>
  <c r="N358" i="17"/>
  <c r="K60" i="49"/>
  <c r="K96" i="49" s="1"/>
  <c r="K270" i="17"/>
  <c r="L60" i="49"/>
  <c r="L96" i="49" s="1"/>
  <c r="L270" i="17"/>
  <c r="O60" i="49"/>
  <c r="O270" i="17"/>
  <c r="M60" i="49"/>
  <c r="M96" i="49" s="1"/>
  <c r="M270" i="17"/>
  <c r="J60" i="49"/>
  <c r="J270" i="17"/>
  <c r="N60" i="49"/>
  <c r="N270" i="17"/>
  <c r="L89" i="49"/>
  <c r="F62" i="49"/>
  <c r="I268" i="17"/>
  <c r="I58" i="78" s="1"/>
  <c r="H60" i="49"/>
  <c r="F99" i="47"/>
  <c r="K356" i="17"/>
  <c r="K103" i="78" s="1"/>
  <c r="F24" i="20"/>
  <c r="F41" i="20"/>
  <c r="F105" i="20"/>
  <c r="F58" i="20"/>
  <c r="F75" i="20"/>
  <c r="N134" i="49"/>
  <c r="G344" i="17"/>
  <c r="F344" i="17" s="1"/>
  <c r="F282" i="17"/>
  <c r="G341" i="17"/>
  <c r="F341" i="17" s="1"/>
  <c r="F279" i="17"/>
  <c r="H439" i="60"/>
  <c r="H122" i="78" s="1"/>
  <c r="F122" i="78" s="1"/>
  <c r="F424" i="60"/>
  <c r="K42" i="16"/>
  <c r="G354" i="17"/>
  <c r="F354" i="17" s="1"/>
  <c r="F292" i="17"/>
  <c r="G345" i="17"/>
  <c r="F345" i="17" s="1"/>
  <c r="F283" i="17"/>
  <c r="H432" i="17"/>
  <c r="F487" i="39"/>
  <c r="G335" i="60"/>
  <c r="F335" i="60" s="1"/>
  <c r="F273" i="60"/>
  <c r="F247" i="39"/>
  <c r="G340" i="17"/>
  <c r="F278" i="17"/>
  <c r="O356" i="17"/>
  <c r="O103" i="78" s="1"/>
  <c r="G348" i="17"/>
  <c r="G104" i="78" s="1"/>
  <c r="F286" i="17"/>
  <c r="I356" i="17"/>
  <c r="I103" i="78" s="1"/>
  <c r="M356" i="17"/>
  <c r="M103" i="78" s="1"/>
  <c r="F263" i="50"/>
  <c r="G352" i="17"/>
  <c r="G106" i="78" s="1"/>
  <c r="F290" i="17"/>
  <c r="G349" i="17"/>
  <c r="G105" i="78" s="1"/>
  <c r="F105" i="78" s="1"/>
  <c r="F287" i="17"/>
  <c r="G339" i="60"/>
  <c r="F339" i="60" s="1"/>
  <c r="F277" i="60"/>
  <c r="F276" i="60"/>
  <c r="G338" i="60"/>
  <c r="F338" i="60" s="1"/>
  <c r="I38" i="16"/>
  <c r="G353" i="17"/>
  <c r="F353" i="17" s="1"/>
  <c r="F291" i="17"/>
  <c r="G334" i="60"/>
  <c r="F272" i="60"/>
  <c r="F288" i="60"/>
  <c r="F119" i="49"/>
  <c r="H128" i="49"/>
  <c r="F525" i="47"/>
  <c r="G118" i="49"/>
  <c r="F74" i="49"/>
  <c r="G91" i="49"/>
  <c r="F437" i="47"/>
  <c r="H83" i="49"/>
  <c r="F381" i="47"/>
  <c r="G73" i="49"/>
  <c r="G96" i="49" s="1"/>
  <c r="F29" i="49"/>
  <c r="G46" i="49"/>
  <c r="F237" i="47"/>
  <c r="G28" i="49"/>
  <c r="G51" i="49" s="1"/>
  <c r="H38" i="49"/>
  <c r="H51" i="49" s="1"/>
  <c r="H136" i="47"/>
  <c r="J151" i="47"/>
  <c r="J67" i="37"/>
  <c r="G9" i="95" l="1"/>
  <c r="F9" i="95" s="1"/>
  <c r="G9" i="100"/>
  <c r="F9" i="100" s="1"/>
  <c r="N132" i="78"/>
  <c r="F51" i="79"/>
  <c r="F49" i="37"/>
  <c r="F268" i="17"/>
  <c r="F49" i="79"/>
  <c r="F47" i="37"/>
  <c r="F48" i="37"/>
  <c r="F50" i="79"/>
  <c r="H140" i="78"/>
  <c r="F106" i="78"/>
  <c r="G135" i="78"/>
  <c r="F135" i="78" s="1"/>
  <c r="O139" i="78"/>
  <c r="O132" i="78"/>
  <c r="I139" i="78"/>
  <c r="I132" i="78"/>
  <c r="G134" i="78"/>
  <c r="F104" i="78"/>
  <c r="H94" i="78"/>
  <c r="H87" i="78"/>
  <c r="F58" i="78"/>
  <c r="M139" i="78"/>
  <c r="M132" i="78"/>
  <c r="K139" i="78"/>
  <c r="K132" i="78"/>
  <c r="I94" i="78"/>
  <c r="I87" i="78"/>
  <c r="H69" i="79"/>
  <c r="F38" i="79"/>
  <c r="O84" i="37"/>
  <c r="N84" i="37"/>
  <c r="K89" i="49"/>
  <c r="K84" i="37"/>
  <c r="L134" i="49"/>
  <c r="J134" i="49"/>
  <c r="H96" i="49"/>
  <c r="F51" i="49"/>
  <c r="F181" i="49" s="1"/>
  <c r="M89" i="49"/>
  <c r="N89" i="49"/>
  <c r="N96" i="49"/>
  <c r="J89" i="49"/>
  <c r="J96" i="49"/>
  <c r="O89" i="49"/>
  <c r="O96" i="49"/>
  <c r="M105" i="49"/>
  <c r="M141" i="49" s="1"/>
  <c r="M358" i="17"/>
  <c r="O105" i="49"/>
  <c r="O358" i="17"/>
  <c r="K105" i="49"/>
  <c r="K141" i="49" s="1"/>
  <c r="K358" i="17"/>
  <c r="I105" i="49"/>
  <c r="I358" i="17"/>
  <c r="I60" i="49"/>
  <c r="I270" i="17"/>
  <c r="F270" i="17" s="1"/>
  <c r="L31" i="26" s="1"/>
  <c r="F352" i="17"/>
  <c r="G108" i="49"/>
  <c r="F46" i="49"/>
  <c r="G35" i="37"/>
  <c r="F35" i="37" s="1"/>
  <c r="F91" i="49"/>
  <c r="G36" i="37"/>
  <c r="F36" i="37" s="1"/>
  <c r="J70" i="37"/>
  <c r="F334" i="60"/>
  <c r="G350" i="60"/>
  <c r="G108" i="78" s="1"/>
  <c r="G107" i="49"/>
  <c r="F107" i="49" s="1"/>
  <c r="F349" i="17"/>
  <c r="F294" i="17"/>
  <c r="G356" i="17"/>
  <c r="F340" i="17"/>
  <c r="I39" i="16"/>
  <c r="G106" i="49"/>
  <c r="F348" i="17"/>
  <c r="F432" i="17"/>
  <c r="H447" i="17"/>
  <c r="H121" i="78" s="1"/>
  <c r="K43" i="16"/>
  <c r="F439" i="60"/>
  <c r="H124" i="49"/>
  <c r="F128" i="49"/>
  <c r="F118" i="49"/>
  <c r="F83" i="49"/>
  <c r="H93" i="49"/>
  <c r="F93" i="49" s="1"/>
  <c r="H89" i="49"/>
  <c r="F73" i="49"/>
  <c r="G89" i="49"/>
  <c r="F38" i="49"/>
  <c r="H48" i="49"/>
  <c r="F48" i="49" s="1"/>
  <c r="H44" i="49"/>
  <c r="F28" i="49"/>
  <c r="G44" i="49"/>
  <c r="H137" i="47"/>
  <c r="F136" i="47"/>
  <c r="F50" i="37" l="1"/>
  <c r="F53" i="37" s="1"/>
  <c r="F52" i="79"/>
  <c r="F94" i="78"/>
  <c r="F108" i="78"/>
  <c r="G140" i="78"/>
  <c r="F140" i="78" s="1"/>
  <c r="F121" i="78"/>
  <c r="H136" i="78"/>
  <c r="F136" i="78" s="1"/>
  <c r="H139" i="78"/>
  <c r="H132" i="78"/>
  <c r="G358" i="17"/>
  <c r="F358" i="17" s="1"/>
  <c r="M31" i="26" s="1"/>
  <c r="M39" i="26" s="1"/>
  <c r="G103" i="78"/>
  <c r="H72" i="79"/>
  <c r="H82" i="79" s="1"/>
  <c r="F69" i="79"/>
  <c r="F87" i="78"/>
  <c r="F163" i="78" s="1"/>
  <c r="F134" i="78"/>
  <c r="G39" i="79"/>
  <c r="J84" i="37"/>
  <c r="M134" i="49"/>
  <c r="L39" i="26"/>
  <c r="L38" i="26"/>
  <c r="F124" i="49"/>
  <c r="H142" i="49"/>
  <c r="I134" i="49"/>
  <c r="I141" i="49"/>
  <c r="O134" i="49"/>
  <c r="O141" i="49"/>
  <c r="I89" i="49"/>
  <c r="F89" i="49" s="1"/>
  <c r="F166" i="49" s="1"/>
  <c r="I96" i="49"/>
  <c r="F96" i="49" s="1"/>
  <c r="F182" i="49" s="1"/>
  <c r="F60" i="49"/>
  <c r="K134" i="49"/>
  <c r="F108" i="49"/>
  <c r="G137" i="49"/>
  <c r="G67" i="37"/>
  <c r="F67" i="37" s="1"/>
  <c r="G66" i="37"/>
  <c r="F66" i="37" s="1"/>
  <c r="F106" i="49"/>
  <c r="G136" i="49"/>
  <c r="I40" i="16"/>
  <c r="G105" i="49"/>
  <c r="G141" i="49" s="1"/>
  <c r="F356" i="17"/>
  <c r="G110" i="49"/>
  <c r="F350" i="60"/>
  <c r="F447" i="17"/>
  <c r="H123" i="49"/>
  <c r="H141" i="49" s="1"/>
  <c r="H138" i="47"/>
  <c r="F137" i="47"/>
  <c r="F52" i="37" l="1"/>
  <c r="F55" i="79"/>
  <c r="F54" i="79"/>
  <c r="F19" i="74"/>
  <c r="F103" i="78"/>
  <c r="G139" i="78"/>
  <c r="F139" i="78" s="1"/>
  <c r="G132" i="78"/>
  <c r="F132" i="78" s="1"/>
  <c r="F164" i="78" s="1"/>
  <c r="G70" i="79"/>
  <c r="F39" i="79"/>
  <c r="F22" i="79"/>
  <c r="F137" i="49"/>
  <c r="F141" i="49"/>
  <c r="F183" i="49" s="1"/>
  <c r="F184" i="49" s="1"/>
  <c r="F188" i="21" s="1"/>
  <c r="F110" i="49"/>
  <c r="G142" i="49"/>
  <c r="F142" i="49" s="1"/>
  <c r="F188" i="49" s="1"/>
  <c r="F173" i="49"/>
  <c r="F647" i="21" s="1"/>
  <c r="F136" i="49"/>
  <c r="G37" i="37"/>
  <c r="F37" i="37" s="1"/>
  <c r="G49" i="26"/>
  <c r="F123" i="49"/>
  <c r="H138" i="49"/>
  <c r="F138" i="49" s="1"/>
  <c r="H134" i="49"/>
  <c r="F105" i="49"/>
  <c r="G134" i="49"/>
  <c r="I41" i="16"/>
  <c r="H151" i="47"/>
  <c r="F138" i="47"/>
  <c r="F23" i="79" l="1"/>
  <c r="F70" i="79"/>
  <c r="F72" i="79" s="1"/>
  <c r="F16" i="74" s="1"/>
  <c r="G72" i="79"/>
  <c r="G82" i="79" s="1"/>
  <c r="F82" i="79" s="1"/>
  <c r="F20" i="37"/>
  <c r="F134" i="49"/>
  <c r="F167" i="49" s="1"/>
  <c r="F151" i="47"/>
  <c r="G68" i="37"/>
  <c r="F68" i="37" s="1"/>
  <c r="F70" i="37" s="1"/>
  <c r="I42" i="16"/>
  <c r="F174" i="49" l="1"/>
  <c r="F648" i="21" s="1"/>
  <c r="G70" i="37"/>
  <c r="I43" i="16"/>
  <c r="G84" i="37" l="1"/>
  <c r="F84" i="37" s="1"/>
  <c r="F21" i="37"/>
  <c r="J78" i="20"/>
  <c r="I78" i="20"/>
  <c r="I61" i="20"/>
  <c r="M61" i="20"/>
  <c r="G61" i="20"/>
  <c r="J61" i="20"/>
  <c r="N61" i="20"/>
  <c r="L61" i="20"/>
  <c r="H61" i="20"/>
  <c r="O61" i="20"/>
  <c r="K61" i="20"/>
  <c r="G78" i="20"/>
  <c r="M78" i="20"/>
  <c r="L78" i="20"/>
  <c r="H78" i="20"/>
  <c r="O78" i="20"/>
  <c r="K78" i="20"/>
  <c r="N78" i="20"/>
  <c r="F17" i="20"/>
  <c r="F68" i="20"/>
  <c r="I44" i="20"/>
  <c r="K44" i="20"/>
  <c r="M44" i="20"/>
  <c r="O44" i="20"/>
  <c r="H44" i="20"/>
  <c r="J44" i="20"/>
  <c r="L44" i="20"/>
  <c r="N44" i="20"/>
  <c r="G44" i="20"/>
  <c r="I27" i="20"/>
  <c r="K27" i="20"/>
  <c r="H27" i="20"/>
  <c r="L27" i="20"/>
  <c r="N27" i="20"/>
  <c r="G27" i="20"/>
  <c r="J27" i="20"/>
  <c r="M27" i="20"/>
  <c r="O27" i="20"/>
  <c r="F55" i="20"/>
  <c r="F38" i="20"/>
  <c r="F51" i="20"/>
  <c r="F34" i="20"/>
  <c r="F21" i="20"/>
  <c r="F72" i="20"/>
  <c r="F25" i="20" l="1"/>
  <c r="F59" i="20"/>
  <c r="F42" i="20"/>
  <c r="F76" i="20"/>
  <c r="F78" i="20" l="1"/>
  <c r="M40" i="26" s="1"/>
  <c r="F27" i="20"/>
  <c r="J40" i="26" s="1"/>
  <c r="F61" i="20" l="1"/>
  <c r="L40" i="26" s="1"/>
  <c r="M41" i="26" s="1"/>
  <c r="F44" i="20"/>
  <c r="K40" i="26" s="1"/>
  <c r="K41" i="26" s="1"/>
  <c r="L41" i="26" l="1"/>
  <c r="L48" i="26" s="1"/>
  <c r="L23" i="100" s="1"/>
  <c r="K48" i="26"/>
  <c r="K23" i="100" s="1"/>
  <c r="M48" i="26"/>
  <c r="M23" i="100" s="1"/>
  <c r="M49" i="26" l="1"/>
  <c r="M23" i="95"/>
  <c r="L49" i="26"/>
  <c r="L23" i="95"/>
  <c r="K49" i="26"/>
  <c r="K23" i="95"/>
  <c r="F51" i="26"/>
  <c r="F24" i="95" l="1"/>
  <c r="F24" i="100"/>
  <c r="F80" i="62"/>
  <c r="F86" i="62" s="1"/>
  <c r="F16" i="37"/>
  <c r="F18" i="79"/>
  <c r="F643" i="21"/>
  <c r="F85" i="62" l="1"/>
  <c r="F87" i="62"/>
  <c r="F655" i="21"/>
  <c r="F656" i="21"/>
  <c r="F88" i="62" l="1"/>
  <c r="F21" i="74" s="1"/>
  <c r="F677" i="21" l="1"/>
  <c r="F717" i="21" s="1"/>
  <c r="K11" i="38"/>
  <c r="I11" i="38"/>
  <c r="L11" i="38"/>
  <c r="N11" i="38"/>
  <c r="O11" i="38"/>
  <c r="H11" i="38"/>
  <c r="J11" i="38"/>
  <c r="M11" i="38" l="1"/>
  <c r="G11" i="38"/>
  <c r="F91" i="37" l="1"/>
  <c r="F112" i="50"/>
  <c r="M132" i="50"/>
  <c r="M113" i="60" s="1"/>
  <c r="M175" i="60" l="1"/>
  <c r="M178" i="60" s="1"/>
  <c r="M116" i="60"/>
  <c r="F175" i="60"/>
  <c r="M135" i="50"/>
  <c r="F135" i="50" s="1"/>
  <c r="F132" i="50"/>
  <c r="F113" i="60"/>
  <c r="F116" i="60"/>
  <c r="F178" i="60" l="1"/>
  <c r="M18" i="78"/>
  <c r="M20" i="49"/>
  <c r="F20" i="49" l="1"/>
  <c r="M52" i="49"/>
  <c r="F52" i="49" s="1"/>
  <c r="F186" i="49" s="1"/>
  <c r="F189" i="49" s="1"/>
  <c r="F186" i="21" s="1"/>
  <c r="F190" i="21" s="1"/>
  <c r="M44" i="49"/>
  <c r="F44" i="49" s="1"/>
  <c r="F165" i="49" s="1"/>
  <c r="F18" i="78"/>
  <c r="M50" i="78"/>
  <c r="F50" i="78" s="1"/>
  <c r="M42" i="78"/>
  <c r="F42" i="78" s="1"/>
  <c r="F162" i="78" s="1"/>
  <c r="F21" i="79" l="1"/>
  <c r="J262" i="21"/>
  <c r="J409" i="21" s="1"/>
  <c r="H229" i="21"/>
  <c r="H376" i="21" s="1"/>
  <c r="O279" i="21"/>
  <c r="O426" i="21" s="1"/>
  <c r="N231" i="21"/>
  <c r="N378" i="21" s="1"/>
  <c r="O257" i="21"/>
  <c r="O404" i="21" s="1"/>
  <c r="L279" i="21"/>
  <c r="L426" i="21" s="1"/>
  <c r="K285" i="21"/>
  <c r="M285" i="21"/>
  <c r="K235" i="21"/>
  <c r="I265" i="21"/>
  <c r="K303" i="21"/>
  <c r="G285" i="21"/>
  <c r="K265" i="21"/>
  <c r="L265" i="21"/>
  <c r="G265" i="21"/>
  <c r="I303" i="21"/>
  <c r="L303" i="21"/>
  <c r="L285" i="21"/>
  <c r="G333" i="21"/>
  <c r="I235" i="21"/>
  <c r="O229" i="21"/>
  <c r="O376" i="21" s="1"/>
  <c r="I328" i="21"/>
  <c r="I475" i="21" s="1"/>
  <c r="L235" i="21"/>
  <c r="O322" i="21"/>
  <c r="O469" i="21" s="1"/>
  <c r="O250" i="21"/>
  <c r="O397" i="21" s="1"/>
  <c r="O282" i="21"/>
  <c r="O429" i="21" s="1"/>
  <c r="J300" i="21"/>
  <c r="J447" i="21" s="1"/>
  <c r="H250" i="21"/>
  <c r="H397" i="21" s="1"/>
  <c r="M235" i="21"/>
  <c r="K333" i="21"/>
  <c r="N333" i="21"/>
  <c r="M303" i="21"/>
  <c r="I333" i="21"/>
  <c r="N265" i="21"/>
  <c r="G235" i="21"/>
  <c r="N285" i="21"/>
  <c r="N235" i="21"/>
  <c r="I285" i="21"/>
  <c r="N303" i="21"/>
  <c r="G303" i="21"/>
  <c r="M333" i="21"/>
  <c r="M265" i="21"/>
  <c r="L333" i="21"/>
  <c r="N324" i="21"/>
  <c r="N471" i="21" s="1"/>
  <c r="M318" i="21"/>
  <c r="M465" i="21" s="1"/>
  <c r="J327" i="21"/>
  <c r="J474" i="21" s="1"/>
  <c r="J323" i="21"/>
  <c r="J470" i="21" s="1"/>
  <c r="L326" i="21"/>
  <c r="L473" i="21" s="1"/>
  <c r="K315" i="21"/>
  <c r="K462" i="21" s="1"/>
  <c r="L309" i="21"/>
  <c r="L456" i="21" s="1"/>
  <c r="I313" i="21"/>
  <c r="I460" i="21" s="1"/>
  <c r="I314" i="21"/>
  <c r="I461" i="21" s="1"/>
  <c r="H291" i="21"/>
  <c r="H438" i="21" s="1"/>
  <c r="L274" i="21"/>
  <c r="L421" i="21" s="1"/>
  <c r="J244" i="21"/>
  <c r="J391" i="21" s="1"/>
  <c r="I254" i="21"/>
  <c r="I401" i="21" s="1"/>
  <c r="J276" i="21"/>
  <c r="J423" i="21" s="1"/>
  <c r="N292" i="21"/>
  <c r="N439" i="21" s="1"/>
  <c r="I259" i="21"/>
  <c r="I406" i="21" s="1"/>
  <c r="N262" i="21"/>
  <c r="N409" i="21" s="1"/>
  <c r="N274" i="21"/>
  <c r="N421" i="21" s="1"/>
  <c r="N276" i="21"/>
  <c r="N423" i="21" s="1"/>
  <c r="I291" i="21"/>
  <c r="I438" i="21" s="1"/>
  <c r="I293" i="21"/>
  <c r="I440" i="21" s="1"/>
  <c r="K297" i="21"/>
  <c r="K444" i="21" s="1"/>
  <c r="L225" i="21"/>
  <c r="L372" i="21" s="1"/>
  <c r="L223" i="21"/>
  <c r="L370" i="21" s="1"/>
  <c r="I232" i="21"/>
  <c r="I379" i="21" s="1"/>
  <c r="K242" i="21"/>
  <c r="K389" i="21" s="1"/>
  <c r="K244" i="21"/>
  <c r="K391" i="21" s="1"/>
  <c r="K246" i="21"/>
  <c r="K393" i="21" s="1"/>
  <c r="H223" i="21"/>
  <c r="H370" i="21" s="1"/>
  <c r="N279" i="21"/>
  <c r="N426" i="21" s="1"/>
  <c r="H298" i="21"/>
  <c r="H445" i="21" s="1"/>
  <c r="N318" i="21"/>
  <c r="N465" i="21" s="1"/>
  <c r="L249" i="21"/>
  <c r="L396" i="21" s="1"/>
  <c r="J260" i="21"/>
  <c r="J407" i="21" s="1"/>
  <c r="O249" i="21"/>
  <c r="O396" i="21" s="1"/>
  <c r="M309" i="21"/>
  <c r="M456" i="21" s="1"/>
  <c r="J248" i="21"/>
  <c r="J395" i="21" s="1"/>
  <c r="M316" i="21"/>
  <c r="M463" i="21" s="1"/>
  <c r="O276" i="21"/>
  <c r="O423" i="21" s="1"/>
  <c r="O311" i="21"/>
  <c r="O458" i="21" s="1"/>
  <c r="O261" i="21"/>
  <c r="O408" i="21" s="1"/>
  <c r="O224" i="21"/>
  <c r="O371" i="21" s="1"/>
  <c r="N322" i="21"/>
  <c r="N469" i="21" s="1"/>
  <c r="M276" i="21"/>
  <c r="M423" i="21" s="1"/>
  <c r="M260" i="21"/>
  <c r="M407" i="21" s="1"/>
  <c r="H282" i="21"/>
  <c r="H429" i="21" s="1"/>
  <c r="K330" i="21"/>
  <c r="K477" i="21" s="1"/>
  <c r="L232" i="21"/>
  <c r="L379" i="21" s="1"/>
  <c r="M330" i="21"/>
  <c r="M477" i="21" s="1"/>
  <c r="L312" i="21"/>
  <c r="L459" i="21" s="1"/>
  <c r="J293" i="21"/>
  <c r="J440" i="21" s="1"/>
  <c r="K274" i="21"/>
  <c r="K421" i="21" s="1"/>
  <c r="I324" i="21"/>
  <c r="I471" i="21" s="1"/>
  <c r="O315" i="21"/>
  <c r="O462" i="21" s="1"/>
  <c r="I311" i="21"/>
  <c r="I458" i="21" s="1"/>
  <c r="M279" i="21"/>
  <c r="M426" i="21" s="1"/>
  <c r="L324" i="21"/>
  <c r="L471" i="21" s="1"/>
  <c r="I312" i="21"/>
  <c r="I459" i="21" s="1"/>
  <c r="O297" i="21"/>
  <c r="O444" i="21" s="1"/>
  <c r="J310" i="21"/>
  <c r="J457" i="21" s="1"/>
  <c r="M292" i="21"/>
  <c r="M439" i="21" s="1"/>
  <c r="O235" i="21"/>
  <c r="O382" i="21" s="1"/>
  <c r="J318" i="21"/>
  <c r="J465" i="21" s="1"/>
  <c r="I298" i="21"/>
  <c r="I445" i="21" s="1"/>
  <c r="H226" i="21"/>
  <c r="H373" i="21" s="1"/>
  <c r="J297" i="21"/>
  <c r="J444" i="21" s="1"/>
  <c r="O244" i="21"/>
  <c r="O391" i="21" s="1"/>
  <c r="O293" i="21"/>
  <c r="O440" i="21" s="1"/>
  <c r="O245" i="21"/>
  <c r="O392" i="21" s="1"/>
  <c r="O318" i="21"/>
  <c r="O465" i="21" s="1"/>
  <c r="O300" i="21"/>
  <c r="O447" i="21" s="1"/>
  <c r="O327" i="21"/>
  <c r="O474" i="21" s="1"/>
  <c r="J232" i="21"/>
  <c r="J379" i="21" s="1"/>
  <c r="M298" i="21"/>
  <c r="M445" i="21" s="1"/>
  <c r="H316" i="21"/>
  <c r="H463" i="21" s="1"/>
  <c r="H230" i="21"/>
  <c r="H377" i="21" s="1"/>
  <c r="O310" i="21"/>
  <c r="O457" i="21" s="1"/>
  <c r="O260" i="21"/>
  <c r="O407" i="21" s="1"/>
  <c r="H328" i="21"/>
  <c r="H475" i="21" s="1"/>
  <c r="J282" i="21"/>
  <c r="J429" i="21" s="1"/>
  <c r="I326" i="21"/>
  <c r="I473" i="21" s="1"/>
  <c r="N328" i="21"/>
  <c r="N475" i="21" s="1"/>
  <c r="L313" i="21"/>
  <c r="L460" i="21" s="1"/>
  <c r="K316" i="21"/>
  <c r="K463" i="21" s="1"/>
  <c r="H259" i="21"/>
  <c r="H406" i="21" s="1"/>
  <c r="H329" i="21"/>
  <c r="H476" i="21" s="1"/>
  <c r="L299" i="21"/>
  <c r="L446" i="21" s="1"/>
  <c r="J281" i="21"/>
  <c r="J428" i="21" s="1"/>
  <c r="O256" i="21"/>
  <c r="O403" i="21" s="1"/>
  <c r="M230" i="21"/>
  <c r="M377" i="21" s="1"/>
  <c r="O321" i="21"/>
  <c r="O468" i="21" s="1"/>
  <c r="N280" i="21"/>
  <c r="N427" i="21" s="1"/>
  <c r="O253" i="21"/>
  <c r="O400" i="21" s="1"/>
  <c r="M231" i="21"/>
  <c r="M378" i="21" s="1"/>
  <c r="N326" i="21"/>
  <c r="N473" i="21" s="1"/>
  <c r="J316" i="21"/>
  <c r="J463" i="21" s="1"/>
  <c r="O303" i="21"/>
  <c r="O450" i="21" s="1"/>
  <c r="M282" i="21"/>
  <c r="M429" i="21" s="1"/>
  <c r="J231" i="21"/>
  <c r="J378" i="21" s="1"/>
  <c r="H300" i="21"/>
  <c r="H447" i="21" s="1"/>
  <c r="M257" i="21"/>
  <c r="M404" i="21" s="1"/>
  <c r="N329" i="21"/>
  <c r="N476" i="21" s="1"/>
  <c r="L322" i="21"/>
  <c r="L469" i="21" s="1"/>
  <c r="H321" i="21"/>
  <c r="H468" i="21" s="1"/>
  <c r="I297" i="21"/>
  <c r="I444" i="21" s="1"/>
  <c r="L231" i="21"/>
  <c r="L378" i="21" s="1"/>
  <c r="N254" i="21"/>
  <c r="N401" i="21" s="1"/>
  <c r="M273" i="21"/>
  <c r="M420" i="21" s="1"/>
  <c r="J292" i="21"/>
  <c r="J439" i="21" s="1"/>
  <c r="L226" i="21"/>
  <c r="L373" i="21" s="1"/>
  <c r="I230" i="21"/>
  <c r="I377" i="21" s="1"/>
  <c r="L243" i="21"/>
  <c r="L390" i="21" s="1"/>
  <c r="L247" i="21"/>
  <c r="L394" i="21" s="1"/>
  <c r="M250" i="21"/>
  <c r="M397" i="21" s="1"/>
  <c r="J257" i="21"/>
  <c r="J404" i="21" s="1"/>
  <c r="N261" i="21"/>
  <c r="N408" i="21" s="1"/>
  <c r="M223" i="21"/>
  <c r="M370" i="21" s="1"/>
  <c r="N242" i="21"/>
  <c r="N389" i="21" s="1"/>
  <c r="N246" i="21"/>
  <c r="N393" i="21" s="1"/>
  <c r="J256" i="21"/>
  <c r="J403" i="21" s="1"/>
  <c r="N260" i="21"/>
  <c r="N407" i="21" s="1"/>
  <c r="K293" i="21"/>
  <c r="K440" i="21" s="1"/>
  <c r="L310" i="21"/>
  <c r="L457" i="21" s="1"/>
  <c r="L291" i="21"/>
  <c r="L438" i="21" s="1"/>
  <c r="L260" i="21"/>
  <c r="L407" i="21" s="1"/>
  <c r="M291" i="21"/>
  <c r="M438" i="21" s="1"/>
  <c r="H245" i="21"/>
  <c r="H392" i="21" s="1"/>
  <c r="L255" i="21"/>
  <c r="L402" i="21" s="1"/>
  <c r="I241" i="21"/>
  <c r="I388" i="21" s="1"/>
  <c r="K249" i="21"/>
  <c r="K396" i="21" s="1"/>
  <c r="I261" i="21"/>
  <c r="I408" i="21" s="1"/>
  <c r="H292" i="21"/>
  <c r="H439" i="21" s="1"/>
  <c r="N253" i="21"/>
  <c r="N400" i="21" s="1"/>
  <c r="K260" i="21"/>
  <c r="K407" i="21" s="1"/>
  <c r="I225" i="21"/>
  <c r="I372" i="21" s="1"/>
  <c r="M243" i="21"/>
  <c r="M390" i="21" s="1"/>
  <c r="M247" i="21"/>
  <c r="M394" i="21" s="1"/>
  <c r="I257" i="21"/>
  <c r="I404" i="21" s="1"/>
  <c r="H262" i="21"/>
  <c r="H409" i="21" s="1"/>
  <c r="H276" i="21"/>
  <c r="H423" i="21" s="1"/>
  <c r="L294" i="21"/>
  <c r="L441" i="21" s="1"/>
  <c r="K292" i="21"/>
  <c r="K439" i="21" s="1"/>
  <c r="I249" i="21"/>
  <c r="I396" i="21" s="1"/>
  <c r="M293" i="21"/>
  <c r="M440" i="21" s="1"/>
  <c r="H243" i="21"/>
  <c r="H390" i="21" s="1"/>
  <c r="J253" i="21"/>
  <c r="J400" i="21" s="1"/>
  <c r="I262" i="21"/>
  <c r="I409" i="21" s="1"/>
  <c r="I243" i="21"/>
  <c r="I390" i="21" s="1"/>
  <c r="L254" i="21"/>
  <c r="L401" i="21" s="1"/>
  <c r="K279" i="21"/>
  <c r="K426" i="21" s="1"/>
  <c r="H294" i="21"/>
  <c r="H441" i="21" s="1"/>
  <c r="L273" i="21"/>
  <c r="L420" i="21" s="1"/>
  <c r="K280" i="21"/>
  <c r="K427" i="21" s="1"/>
  <c r="N309" i="21"/>
  <c r="N456" i="21" s="1"/>
  <c r="N311" i="21"/>
  <c r="N458" i="21" s="1"/>
  <c r="N313" i="21"/>
  <c r="N460" i="21" s="1"/>
  <c r="K318" i="21"/>
  <c r="K465" i="21" s="1"/>
  <c r="N310" i="21"/>
  <c r="N457" i="21" s="1"/>
  <c r="N312" i="21"/>
  <c r="N459" i="21" s="1"/>
  <c r="K299" i="21"/>
  <c r="K446" i="21" s="1"/>
  <c r="J275" i="21"/>
  <c r="J422" i="21" s="1"/>
  <c r="N291" i="21"/>
  <c r="N438" i="21" s="1"/>
  <c r="I300" i="21"/>
  <c r="I447" i="21" s="1"/>
  <c r="K312" i="21"/>
  <c r="K459" i="21" s="1"/>
  <c r="J317" i="21"/>
  <c r="J464" i="21" s="1"/>
  <c r="K311" i="21"/>
  <c r="K458" i="21" s="1"/>
  <c r="K317" i="21"/>
  <c r="K464" i="21" s="1"/>
  <c r="H322" i="21"/>
  <c r="H469" i="21" s="1"/>
  <c r="H324" i="21"/>
  <c r="H471" i="21" s="1"/>
  <c r="H326" i="21"/>
  <c r="H473" i="21" s="1"/>
  <c r="J328" i="21"/>
  <c r="J475" i="21" s="1"/>
  <c r="N330" i="21"/>
  <c r="N477" i="21" s="1"/>
  <c r="L323" i="21"/>
  <c r="L470" i="21" s="1"/>
  <c r="L325" i="21"/>
  <c r="L472" i="21" s="1"/>
  <c r="J325" i="21"/>
  <c r="J472" i="21" s="1"/>
  <c r="I276" i="21"/>
  <c r="I423" i="21" s="1"/>
  <c r="I310" i="21"/>
  <c r="I457" i="21" s="1"/>
  <c r="K255" i="21"/>
  <c r="K402" i="21" s="1"/>
  <c r="N226" i="21"/>
  <c r="N373" i="21" s="1"/>
  <c r="K261" i="21"/>
  <c r="K408" i="21" s="1"/>
  <c r="M275" i="21"/>
  <c r="M422" i="21" s="1"/>
  <c r="J294" i="21"/>
  <c r="J441" i="21" s="1"/>
  <c r="L224" i="21"/>
  <c r="L371" i="21" s="1"/>
  <c r="L241" i="21"/>
  <c r="L388" i="21" s="1"/>
  <c r="L245" i="21"/>
  <c r="L392" i="21" s="1"/>
  <c r="K248" i="21"/>
  <c r="K395" i="21" s="1"/>
  <c r="H255" i="21"/>
  <c r="H402" i="21" s="1"/>
  <c r="L259" i="21"/>
  <c r="L406" i="21" s="1"/>
  <c r="K226" i="21"/>
  <c r="K373" i="21" s="1"/>
  <c r="K231" i="21"/>
  <c r="K378" i="21" s="1"/>
  <c r="N244" i="21"/>
  <c r="N391" i="21" s="1"/>
  <c r="H254" i="21"/>
  <c r="H401" i="21" s="1"/>
  <c r="L258" i="21"/>
  <c r="L405" i="21" s="1"/>
  <c r="K291" i="21"/>
  <c r="K438" i="21" s="1"/>
  <c r="I299" i="21"/>
  <c r="I446" i="21" s="1"/>
  <c r="H275" i="21"/>
  <c r="H422" i="21" s="1"/>
  <c r="L293" i="21"/>
  <c r="L440" i="21" s="1"/>
  <c r="I275" i="21"/>
  <c r="I422" i="21" s="1"/>
  <c r="H241" i="21"/>
  <c r="H388" i="21" s="1"/>
  <c r="H249" i="21"/>
  <c r="H396" i="21" s="1"/>
  <c r="M225" i="21"/>
  <c r="M372" i="21" s="1"/>
  <c r="I245" i="21"/>
  <c r="I392" i="21" s="1"/>
  <c r="N256" i="21"/>
  <c r="N403" i="21" s="1"/>
  <c r="K275" i="21"/>
  <c r="K422" i="21" s="1"/>
  <c r="N249" i="21"/>
  <c r="N396" i="21" s="1"/>
  <c r="I258" i="21"/>
  <c r="I405" i="21" s="1"/>
  <c r="H273" i="21"/>
  <c r="H420" i="21" s="1"/>
  <c r="M241" i="21"/>
  <c r="M388" i="21" s="1"/>
  <c r="M245" i="21"/>
  <c r="M392" i="21" s="1"/>
  <c r="N250" i="21"/>
  <c r="N397" i="21" s="1"/>
  <c r="K259" i="21"/>
  <c r="K406" i="21" s="1"/>
  <c r="H274" i="21"/>
  <c r="H421" i="21" s="1"/>
  <c r="L292" i="21"/>
  <c r="L439" i="21" s="1"/>
  <c r="K309" i="21"/>
  <c r="K456" i="21" s="1"/>
  <c r="K294" i="21"/>
  <c r="K441" i="21" s="1"/>
  <c r="I273" i="21"/>
  <c r="I420" i="21" s="1"/>
  <c r="H225" i="21"/>
  <c r="H372" i="21" s="1"/>
  <c r="H247" i="21"/>
  <c r="H394" i="21" s="1"/>
  <c r="N257" i="21"/>
  <c r="N404" i="21" s="1"/>
  <c r="I223" i="21"/>
  <c r="I370" i="21" s="1"/>
  <c r="I247" i="21"/>
  <c r="I394" i="21" s="1"/>
  <c r="K273" i="21"/>
  <c r="K420" i="21" s="1"/>
  <c r="J230" i="21"/>
  <c r="J377" i="21" s="1"/>
  <c r="J250" i="21"/>
  <c r="J397" i="21" s="1"/>
  <c r="H280" i="21"/>
  <c r="H427" i="21" s="1"/>
  <c r="J298" i="21"/>
  <c r="J445" i="21" s="1"/>
  <c r="L300" i="21"/>
  <c r="L447" i="21" s="1"/>
  <c r="M317" i="21"/>
  <c r="M464" i="21" s="1"/>
  <c r="O329" i="21"/>
  <c r="O476" i="21" s="1"/>
  <c r="J229" i="21"/>
  <c r="J376" i="21" s="1"/>
  <c r="M232" i="21"/>
  <c r="M379" i="21" s="1"/>
  <c r="M254" i="21"/>
  <c r="M401" i="21" s="1"/>
  <c r="M262" i="21"/>
  <c r="M409" i="21" s="1"/>
  <c r="M280" i="21"/>
  <c r="M427" i="21" s="1"/>
  <c r="O292" i="21"/>
  <c r="O439" i="21" s="1"/>
  <c r="O298" i="21"/>
  <c r="O445" i="21" s="1"/>
  <c r="O312" i="21"/>
  <c r="O459" i="21" s="1"/>
  <c r="O324" i="21"/>
  <c r="O471" i="21" s="1"/>
  <c r="J285" i="21"/>
  <c r="J432" i="21" s="1"/>
  <c r="N273" i="21"/>
  <c r="N420" i="21" s="1"/>
  <c r="I294" i="21"/>
  <c r="I441" i="21" s="1"/>
  <c r="H311" i="21"/>
  <c r="H458" i="21" s="1"/>
  <c r="J315" i="21"/>
  <c r="J462" i="21" s="1"/>
  <c r="N321" i="21"/>
  <c r="N468" i="21" s="1"/>
  <c r="H314" i="21"/>
  <c r="H461" i="21" s="1"/>
  <c r="N316" i="21"/>
  <c r="N463" i="21" s="1"/>
  <c r="I321" i="21"/>
  <c r="I468" i="21" s="1"/>
  <c r="I323" i="21"/>
  <c r="I470" i="21" s="1"/>
  <c r="I325" i="21"/>
  <c r="I472" i="21" s="1"/>
  <c r="I327" i="21"/>
  <c r="I474" i="21" s="1"/>
  <c r="K329" i="21"/>
  <c r="K476" i="21" s="1"/>
  <c r="O326" i="21"/>
  <c r="O473" i="21" s="1"/>
  <c r="M314" i="21"/>
  <c r="M461" i="21" s="1"/>
  <c r="H299" i="21"/>
  <c r="H446" i="21" s="1"/>
  <c r="O294" i="21"/>
  <c r="O441" i="21" s="1"/>
  <c r="O280" i="21"/>
  <c r="O427" i="21" s="1"/>
  <c r="O254" i="21"/>
  <c r="O401" i="21" s="1"/>
  <c r="L229" i="21"/>
  <c r="L376" i="21" s="1"/>
  <c r="O317" i="21"/>
  <c r="O464" i="21" s="1"/>
  <c r="L298" i="21"/>
  <c r="L445" i="21" s="1"/>
  <c r="J280" i="21"/>
  <c r="J427" i="21" s="1"/>
  <c r="L250" i="21"/>
  <c r="L397" i="21" s="1"/>
  <c r="L230" i="21"/>
  <c r="L377" i="21" s="1"/>
  <c r="J329" i="21"/>
  <c r="J476" i="21" s="1"/>
  <c r="K322" i="21"/>
  <c r="K469" i="21" s="1"/>
  <c r="L327" i="21"/>
  <c r="L474" i="21" s="1"/>
  <c r="O247" i="21"/>
  <c r="O394" i="21" s="1"/>
  <c r="L275" i="21"/>
  <c r="L422" i="21" s="1"/>
  <c r="M311" i="21"/>
  <c r="M458" i="21" s="1"/>
  <c r="K313" i="21"/>
  <c r="K460" i="21" s="1"/>
  <c r="M326" i="21"/>
  <c r="M473" i="21" s="1"/>
  <c r="M325" i="21"/>
  <c r="M472" i="21" s="1"/>
  <c r="K298" i="21"/>
  <c r="K445" i="21" s="1"/>
  <c r="H281" i="21"/>
  <c r="H428" i="21" s="1"/>
  <c r="N298" i="21"/>
  <c r="N445" i="21" s="1"/>
  <c r="K325" i="21"/>
  <c r="K472" i="21" s="1"/>
  <c r="M294" i="21"/>
  <c r="M441" i="21" s="1"/>
  <c r="J309" i="21"/>
  <c r="J456" i="21" s="1"/>
  <c r="J242" i="21"/>
  <c r="J389" i="21" s="1"/>
  <c r="J274" i="21"/>
  <c r="J421" i="21" s="1"/>
  <c r="O262" i="21"/>
  <c r="O409" i="21" s="1"/>
  <c r="O232" i="21"/>
  <c r="O379" i="21" s="1"/>
  <c r="H330" i="21"/>
  <c r="H477" i="21" s="1"/>
  <c r="N300" i="21"/>
  <c r="N447" i="21" s="1"/>
  <c r="N282" i="21"/>
  <c r="N429" i="21" s="1"/>
  <c r="O259" i="21"/>
  <c r="O406" i="21" s="1"/>
  <c r="O241" i="21"/>
  <c r="O388" i="21" s="1"/>
  <c r="O226" i="21"/>
  <c r="O373" i="21" s="1"/>
  <c r="H325" i="21"/>
  <c r="H472" i="21" s="1"/>
  <c r="K326" i="21"/>
  <c r="K473" i="21" s="1"/>
  <c r="O223" i="21"/>
  <c r="O370" i="21" s="1"/>
  <c r="O273" i="21"/>
  <c r="O420" i="21" s="1"/>
  <c r="M312" i="21"/>
  <c r="M459" i="21" s="1"/>
  <c r="N293" i="21"/>
  <c r="N440" i="21" s="1"/>
  <c r="K328" i="21"/>
  <c r="K475" i="21" s="1"/>
  <c r="M322" i="21"/>
  <c r="M469" i="21" s="1"/>
  <c r="N314" i="21"/>
  <c r="N461" i="21" s="1"/>
  <c r="O328" i="21"/>
  <c r="O475" i="21" s="1"/>
  <c r="N229" i="21"/>
  <c r="N376" i="21" s="1"/>
  <c r="M253" i="21"/>
  <c r="M400" i="21" s="1"/>
  <c r="L314" i="21"/>
  <c r="L461" i="21" s="1"/>
  <c r="J312" i="21"/>
  <c r="J459" i="21" s="1"/>
  <c r="L262" i="21"/>
  <c r="L409" i="21" s="1"/>
  <c r="I250" i="21"/>
  <c r="I397" i="21" s="1"/>
  <c r="K253" i="21"/>
  <c r="K400" i="21" s="1"/>
  <c r="H260" i="21"/>
  <c r="H407" i="21" s="1"/>
  <c r="I255" i="21"/>
  <c r="I402" i="21" s="1"/>
  <c r="K223" i="21"/>
  <c r="K370" i="21" s="1"/>
  <c r="L246" i="21"/>
  <c r="L393" i="21" s="1"/>
  <c r="I231" i="21"/>
  <c r="I378" i="21" s="1"/>
  <c r="H242" i="21"/>
  <c r="H389" i="21" s="1"/>
  <c r="I224" i="21"/>
  <c r="I371" i="21" s="1"/>
  <c r="H257" i="21"/>
  <c r="H404" i="21" s="1"/>
  <c r="L261" i="21"/>
  <c r="L408" i="21" s="1"/>
  <c r="N259" i="21"/>
  <c r="N406" i="21" s="1"/>
  <c r="M248" i="21"/>
  <c r="M395" i="21" s="1"/>
  <c r="N241" i="21"/>
  <c r="N388" i="21" s="1"/>
  <c r="I242" i="21"/>
  <c r="I389" i="21" s="1"/>
  <c r="L321" i="21"/>
  <c r="L468" i="21" s="1"/>
  <c r="K310" i="21"/>
  <c r="K457" i="21" s="1"/>
  <c r="L316" i="21"/>
  <c r="L463" i="21" s="1"/>
  <c r="N232" i="21"/>
  <c r="N379" i="21" s="1"/>
  <c r="L282" i="21"/>
  <c r="L429" i="21" s="1"/>
  <c r="H327" i="21"/>
  <c r="H474" i="21" s="1"/>
  <c r="H323" i="21"/>
  <c r="H470" i="21" s="1"/>
  <c r="O231" i="21"/>
  <c r="O378" i="21" s="1"/>
  <c r="M255" i="21"/>
  <c r="M402" i="21" s="1"/>
  <c r="M281" i="21"/>
  <c r="M428" i="21" s="1"/>
  <c r="K300" i="21"/>
  <c r="K447" i="21" s="1"/>
  <c r="L317" i="21"/>
  <c r="L464" i="21" s="1"/>
  <c r="J273" i="21"/>
  <c r="J420" i="21" s="1"/>
  <c r="K314" i="21"/>
  <c r="K461" i="21" s="1"/>
  <c r="K324" i="21"/>
  <c r="K471" i="21" s="1"/>
  <c r="M328" i="21"/>
  <c r="M475" i="21" s="1"/>
  <c r="M324" i="21"/>
  <c r="M471" i="21" s="1"/>
  <c r="J330" i="21"/>
  <c r="J477" i="21" s="1"/>
  <c r="M321" i="21"/>
  <c r="M468" i="21" s="1"/>
  <c r="I316" i="21"/>
  <c r="I463" i="21" s="1"/>
  <c r="M274" i="21"/>
  <c r="M421" i="21" s="1"/>
  <c r="J299" i="21"/>
  <c r="J446" i="21" s="1"/>
  <c r="M256" i="21"/>
  <c r="M403" i="21" s="1"/>
  <c r="L318" i="21"/>
  <c r="L465" i="21" s="1"/>
  <c r="L280" i="21"/>
  <c r="L427" i="21" s="1"/>
  <c r="N230" i="21"/>
  <c r="N377" i="21" s="1"/>
  <c r="M329" i="21"/>
  <c r="M476" i="21" s="1"/>
  <c r="K321" i="21"/>
  <c r="K468" i="21" s="1"/>
  <c r="N315" i="21"/>
  <c r="N462" i="21" s="1"/>
  <c r="I274" i="21"/>
  <c r="I421" i="21" s="1"/>
  <c r="J313" i="21"/>
  <c r="J460" i="21" s="1"/>
  <c r="K276" i="21"/>
  <c r="K423" i="21" s="1"/>
  <c r="I253" i="21"/>
  <c r="I400" i="21" s="1"/>
  <c r="J261" i="21"/>
  <c r="J408" i="21" s="1"/>
  <c r="N294" i="21"/>
  <c r="N441" i="21" s="1"/>
  <c r="J258" i="21"/>
  <c r="J405" i="21" s="1"/>
  <c r="K241" i="21"/>
  <c r="K388" i="21" s="1"/>
  <c r="K257" i="21"/>
  <c r="K404" i="21" s="1"/>
  <c r="H246" i="21"/>
  <c r="H393" i="21" s="1"/>
  <c r="N248" i="21"/>
  <c r="N395" i="21" s="1"/>
  <c r="L244" i="21"/>
  <c r="L391" i="21" s="1"/>
  <c r="H244" i="21"/>
  <c r="H391" i="21" s="1"/>
  <c r="K229" i="21"/>
  <c r="K376" i="21" s="1"/>
  <c r="M226" i="21"/>
  <c r="M373" i="21" s="1"/>
  <c r="K250" i="21"/>
  <c r="K397" i="21" s="1"/>
  <c r="L253" i="21"/>
  <c r="L400" i="21" s="1"/>
  <c r="J255" i="21"/>
  <c r="J402" i="21" s="1"/>
  <c r="J225" i="21"/>
  <c r="J372" i="21" s="1"/>
  <c r="I246" i="21"/>
  <c r="I393" i="21" s="1"/>
  <c r="M310" i="21"/>
  <c r="M457" i="21" s="1"/>
  <c r="M313" i="21"/>
  <c r="M460" i="21" s="1"/>
  <c r="J321" i="21"/>
  <c r="J468" i="21" s="1"/>
  <c r="M259" i="21"/>
  <c r="M406" i="21" s="1"/>
  <c r="M299" i="21"/>
  <c r="M446" i="21" s="1"/>
  <c r="O313" i="21"/>
  <c r="O460" i="21" s="1"/>
  <c r="O323" i="21"/>
  <c r="O470" i="21" s="1"/>
  <c r="J303" i="21"/>
  <c r="J450" i="21" s="1"/>
  <c r="O230" i="21"/>
  <c r="O377" i="21" s="1"/>
  <c r="O246" i="21"/>
  <c r="O393" i="21" s="1"/>
  <c r="M258" i="21"/>
  <c r="M405" i="21" s="1"/>
  <c r="H279" i="21"/>
  <c r="H426" i="21" s="1"/>
  <c r="L281" i="21"/>
  <c r="L428" i="21" s="1"/>
  <c r="L297" i="21"/>
  <c r="L444" i="21" s="1"/>
  <c r="N299" i="21"/>
  <c r="N446" i="21" s="1"/>
  <c r="O316" i="21"/>
  <c r="O463" i="21" s="1"/>
  <c r="L329" i="21"/>
  <c r="L476" i="21" s="1"/>
  <c r="I309" i="21"/>
  <c r="I456" i="21" s="1"/>
  <c r="N275" i="21"/>
  <c r="N422" i="21" s="1"/>
  <c r="I292" i="21"/>
  <c r="I439" i="21" s="1"/>
  <c r="H309" i="21"/>
  <c r="H456" i="21" s="1"/>
  <c r="H313" i="21"/>
  <c r="H460" i="21" s="1"/>
  <c r="N317" i="21"/>
  <c r="N464" i="21" s="1"/>
  <c r="H312" i="21"/>
  <c r="H459" i="21" s="1"/>
  <c r="I315" i="21"/>
  <c r="I462" i="21" s="1"/>
  <c r="H318" i="21"/>
  <c r="H465" i="21" s="1"/>
  <c r="J322" i="21"/>
  <c r="J469" i="21" s="1"/>
  <c r="J324" i="21"/>
  <c r="J471" i="21" s="1"/>
  <c r="J326" i="21"/>
  <c r="J473" i="21" s="1"/>
  <c r="L328" i="21"/>
  <c r="L475" i="21" s="1"/>
  <c r="O330" i="21"/>
  <c r="O477" i="21" s="1"/>
  <c r="H317" i="21"/>
  <c r="H464" i="21" s="1"/>
  <c r="M300" i="21"/>
  <c r="M447" i="21" s="1"/>
  <c r="N297" i="21"/>
  <c r="N444" i="21" s="1"/>
  <c r="N281" i="21"/>
  <c r="N428" i="21" s="1"/>
  <c r="J279" i="21"/>
  <c r="J426" i="21" s="1"/>
  <c r="O258" i="21"/>
  <c r="O405" i="21" s="1"/>
  <c r="O248" i="21"/>
  <c r="O395" i="21" s="1"/>
  <c r="H231" i="21"/>
  <c r="H378" i="21" s="1"/>
  <c r="O285" i="21"/>
  <c r="O432" i="21" s="1"/>
  <c r="O325" i="21"/>
  <c r="O472" i="21" s="1"/>
  <c r="M315" i="21"/>
  <c r="M462" i="21" s="1"/>
  <c r="O299" i="21"/>
  <c r="O446" i="21" s="1"/>
  <c r="M297" i="21"/>
  <c r="M444" i="21" s="1"/>
  <c r="O281" i="21"/>
  <c r="O428" i="21" s="1"/>
  <c r="O275" i="21"/>
  <c r="O422" i="21" s="1"/>
  <c r="O255" i="21"/>
  <c r="O402" i="21" s="1"/>
  <c r="L248" i="21"/>
  <c r="L395" i="21" s="1"/>
  <c r="H232" i="21"/>
  <c r="H379" i="21" s="1"/>
  <c r="M229" i="21"/>
  <c r="M376" i="21" s="1"/>
  <c r="I330" i="21"/>
  <c r="I477" i="21" s="1"/>
  <c r="N327" i="21"/>
  <c r="N474" i="21" s="1"/>
  <c r="N325" i="21"/>
  <c r="N472" i="21" s="1"/>
  <c r="N323" i="21"/>
  <c r="N470" i="21" s="1"/>
  <c r="M327" i="21"/>
  <c r="M474" i="21" s="1"/>
  <c r="M323" i="21"/>
  <c r="M470" i="21" s="1"/>
  <c r="J291" i="21"/>
  <c r="J438" i="21" s="1"/>
  <c r="J235" i="21"/>
  <c r="J382" i="21" s="1"/>
  <c r="O314" i="21"/>
  <c r="O461" i="21" s="1"/>
  <c r="H297" i="21"/>
  <c r="H444" i="21" s="1"/>
  <c r="O274" i="21"/>
  <c r="O421" i="21" s="1"/>
  <c r="O242" i="21"/>
  <c r="O389" i="21" s="1"/>
  <c r="L330" i="21"/>
  <c r="L477" i="21" s="1"/>
  <c r="O309" i="21"/>
  <c r="O456" i="21" s="1"/>
  <c r="O291" i="21"/>
  <c r="O438" i="21" s="1"/>
  <c r="M261" i="21"/>
  <c r="M408" i="21" s="1"/>
  <c r="O243" i="21"/>
  <c r="O390" i="21" s="1"/>
  <c r="O225" i="21"/>
  <c r="O372" i="21" s="1"/>
  <c r="K327" i="21"/>
  <c r="K474" i="21" s="1"/>
  <c r="K323" i="21"/>
  <c r="K470" i="21" s="1"/>
  <c r="I322" i="21"/>
  <c r="I469" i="21" s="1"/>
  <c r="L311" i="21"/>
  <c r="L458" i="21" s="1"/>
  <c r="K282" i="21"/>
  <c r="K429" i="21" s="1"/>
  <c r="J314" i="21"/>
  <c r="J461" i="21" s="1"/>
  <c r="L315" i="21"/>
  <c r="L462" i="21" s="1"/>
  <c r="J311" i="21"/>
  <c r="J458" i="21" s="1"/>
  <c r="H293" i="21"/>
  <c r="H440" i="21" s="1"/>
  <c r="H310" i="21"/>
  <c r="H457" i="21" s="1"/>
  <c r="L276" i="21"/>
  <c r="L423" i="21" s="1"/>
  <c r="H258" i="21"/>
  <c r="H405" i="21" s="1"/>
  <c r="J246" i="21"/>
  <c r="J393" i="21" s="1"/>
  <c r="K224" i="21"/>
  <c r="K371" i="21" s="1"/>
  <c r="K256" i="21"/>
  <c r="K403" i="21" s="1"/>
  <c r="H224" i="21"/>
  <c r="H371" i="21" s="1"/>
  <c r="K281" i="21"/>
  <c r="K428" i="21" s="1"/>
  <c r="H256" i="21"/>
  <c r="H403" i="21" s="1"/>
  <c r="N258" i="21"/>
  <c r="N405" i="21" s="1"/>
  <c r="L256" i="21"/>
  <c r="L403" i="21" s="1"/>
  <c r="J254" i="21"/>
  <c r="J401" i="21" s="1"/>
  <c r="H248" i="21"/>
  <c r="H395" i="21" s="1"/>
  <c r="K243" i="21"/>
  <c r="K390" i="21" s="1"/>
  <c r="M249" i="21"/>
  <c r="M396" i="21" s="1"/>
  <c r="K247" i="21"/>
  <c r="K394" i="21" s="1"/>
  <c r="K245" i="21"/>
  <c r="K392" i="21" s="1"/>
  <c r="L242" i="21"/>
  <c r="L389" i="21" s="1"/>
  <c r="I226" i="21"/>
  <c r="I373" i="21" s="1"/>
  <c r="M224" i="21"/>
  <c r="M371" i="21" s="1"/>
  <c r="K225" i="21"/>
  <c r="K372" i="21" s="1"/>
  <c r="J259" i="21"/>
  <c r="J406" i="21" s="1"/>
  <c r="K262" i="21"/>
  <c r="K409" i="21" s="1"/>
  <c r="K254" i="21"/>
  <c r="K401" i="21" s="1"/>
  <c r="I248" i="21"/>
  <c r="I395" i="21" s="1"/>
  <c r="M242" i="21"/>
  <c r="M389" i="21" s="1"/>
  <c r="I260" i="21"/>
  <c r="I407" i="21" s="1"/>
  <c r="N255" i="21"/>
  <c r="N402" i="21" s="1"/>
  <c r="J249" i="21"/>
  <c r="J396" i="21" s="1"/>
  <c r="J223" i="21"/>
  <c r="J370" i="21" s="1"/>
  <c r="K258" i="21"/>
  <c r="K405" i="21" s="1"/>
  <c r="I256" i="21"/>
  <c r="I403" i="21" s="1"/>
  <c r="N247" i="21"/>
  <c r="N394" i="21" s="1"/>
  <c r="K232" i="21"/>
  <c r="K379" i="21" s="1"/>
  <c r="J247" i="21"/>
  <c r="J394" i="21" s="1"/>
  <c r="N243" i="21"/>
  <c r="N390" i="21" s="1"/>
  <c r="K230" i="21"/>
  <c r="K377" i="21" s="1"/>
  <c r="J226" i="21"/>
  <c r="J373" i="21" s="1"/>
  <c r="J245" i="21"/>
  <c r="J392" i="21" s="1"/>
  <c r="J243" i="21"/>
  <c r="J390" i="21" s="1"/>
  <c r="J241" i="21"/>
  <c r="J388" i="21" s="1"/>
  <c r="N224" i="21"/>
  <c r="N371" i="21" s="1"/>
  <c r="H261" i="21"/>
  <c r="H408" i="21" s="1"/>
  <c r="M246" i="21"/>
  <c r="M393" i="21" s="1"/>
  <c r="L257" i="21"/>
  <c r="L404" i="21" s="1"/>
  <c r="H253" i="21"/>
  <c r="H400" i="21" s="1"/>
  <c r="M244" i="21"/>
  <c r="M391" i="21" s="1"/>
  <c r="N245" i="21"/>
  <c r="N392" i="21" s="1"/>
  <c r="J224" i="21"/>
  <c r="J371" i="21" s="1"/>
  <c r="I244" i="21"/>
  <c r="I391" i="21" s="1"/>
  <c r="N223" i="21"/>
  <c r="N370" i="21" s="1"/>
  <c r="N225" i="21"/>
  <c r="N372" i="21" s="1"/>
  <c r="I318" i="21"/>
  <c r="G294" i="21"/>
  <c r="G310" i="21"/>
  <c r="H315" i="21"/>
  <c r="G279" i="21"/>
  <c r="G426" i="21" s="1"/>
  <c r="G293" i="21"/>
  <c r="G312" i="21"/>
  <c r="G275" i="21"/>
  <c r="I282" i="21"/>
  <c r="G248" i="21"/>
  <c r="G225" i="21"/>
  <c r="G255" i="21"/>
  <c r="G259" i="21"/>
  <c r="G313" i="21"/>
  <c r="G230" i="21"/>
  <c r="G273" i="21"/>
  <c r="G316" i="21"/>
  <c r="G250" i="21"/>
  <c r="G314" i="21"/>
  <c r="H303" i="21"/>
  <c r="H450" i="21" s="1"/>
  <c r="G291" i="21"/>
  <c r="G232" i="21"/>
  <c r="G282" i="21"/>
  <c r="G429" i="21" s="1"/>
  <c r="G300" i="21"/>
  <c r="G231" i="21"/>
  <c r="G317" i="21"/>
  <c r="G464" i="21" s="1"/>
  <c r="G276" i="21"/>
  <c r="H235" i="21"/>
  <c r="H382" i="21" s="1"/>
  <c r="G315" i="21"/>
  <c r="G462" i="21" s="1"/>
  <c r="I281" i="21"/>
  <c r="G258" i="21"/>
  <c r="G257" i="21"/>
  <c r="G244" i="21"/>
  <c r="G226" i="21"/>
  <c r="O333" i="21"/>
  <c r="O265" i="21"/>
  <c r="G297" i="21"/>
  <c r="I329" i="21"/>
  <c r="I279" i="21"/>
  <c r="I280" i="21"/>
  <c r="G309" i="21"/>
  <c r="G249" i="21"/>
  <c r="G229" i="21"/>
  <c r="G376" i="21" s="1"/>
  <c r="G281" i="21"/>
  <c r="G428" i="21" s="1"/>
  <c r="G324" i="21"/>
  <c r="I229" i="21"/>
  <c r="G326" i="21"/>
  <c r="G247" i="21"/>
  <c r="G327" i="21"/>
  <c r="I317" i="21"/>
  <c r="G262" i="21"/>
  <c r="G323" i="21"/>
  <c r="G246" i="21"/>
  <c r="G242" i="21"/>
  <c r="G260" i="21"/>
  <c r="G325" i="21"/>
  <c r="G328" i="21"/>
  <c r="G321" i="21"/>
  <c r="G298" i="21"/>
  <c r="G292" i="21"/>
  <c r="G299" i="21"/>
  <c r="G280" i="21"/>
  <c r="G427" i="21" s="1"/>
  <c r="G330" i="21"/>
  <c r="G329" i="21"/>
  <c r="G476" i="21" s="1"/>
  <c r="G223" i="21"/>
  <c r="H265" i="21"/>
  <c r="H412" i="21" s="1"/>
  <c r="G241" i="21"/>
  <c r="G274" i="21"/>
  <c r="G318" i="21"/>
  <c r="G465" i="21" s="1"/>
  <c r="G243" i="21"/>
  <c r="G322" i="21"/>
  <c r="G311" i="21"/>
  <c r="H285" i="21"/>
  <c r="H432" i="21" s="1"/>
  <c r="F432" i="21" s="1"/>
  <c r="G256" i="21"/>
  <c r="G254" i="21"/>
  <c r="G253" i="21"/>
  <c r="G261" i="21"/>
  <c r="G224" i="21"/>
  <c r="H333" i="21"/>
  <c r="H480" i="21" s="1"/>
  <c r="G245" i="21"/>
  <c r="J265" i="21"/>
  <c r="J333" i="21"/>
  <c r="F172" i="49"/>
  <c r="F646" i="21" s="1"/>
  <c r="F654" i="21" s="1"/>
  <c r="F657" i="21" s="1"/>
  <c r="F700" i="21" s="1"/>
  <c r="F19" i="37"/>
  <c r="F382" i="21" l="1"/>
  <c r="F450" i="21"/>
  <c r="G392" i="21"/>
  <c r="F392" i="21" s="1"/>
  <c r="G403" i="21"/>
  <c r="F403" i="21" s="1"/>
  <c r="G439" i="21"/>
  <c r="F439" i="21" s="1"/>
  <c r="G472" i="21"/>
  <c r="F472" i="21" s="1"/>
  <c r="G470" i="21"/>
  <c r="F470" i="21" s="1"/>
  <c r="F573" i="21"/>
  <c r="I427" i="21"/>
  <c r="F427" i="21" s="1"/>
  <c r="O412" i="21"/>
  <c r="O558" i="21"/>
  <c r="I428" i="21"/>
  <c r="F428" i="21" s="1"/>
  <c r="F574" i="21"/>
  <c r="F743" i="21"/>
  <c r="J558" i="21"/>
  <c r="J412" i="21"/>
  <c r="F412" i="21" s="1"/>
  <c r="G408" i="21"/>
  <c r="F408" i="21" s="1"/>
  <c r="G401" i="21"/>
  <c r="F401" i="21" s="1"/>
  <c r="G469" i="21"/>
  <c r="F469" i="21" s="1"/>
  <c r="G388" i="21"/>
  <c r="F388" i="21" s="1"/>
  <c r="G370" i="21"/>
  <c r="F370" i="21" s="1"/>
  <c r="G477" i="21"/>
  <c r="F477" i="21" s="1"/>
  <c r="F592" i="21"/>
  <c r="G446" i="21"/>
  <c r="F446" i="21" s="1"/>
  <c r="G445" i="21"/>
  <c r="F445" i="21" s="1"/>
  <c r="F591" i="21"/>
  <c r="G475" i="21"/>
  <c r="F475" i="21" s="1"/>
  <c r="G407" i="21"/>
  <c r="F407" i="21" s="1"/>
  <c r="G393" i="21"/>
  <c r="F393" i="21" s="1"/>
  <c r="G409" i="21"/>
  <c r="F409" i="21" s="1"/>
  <c r="G474" i="21"/>
  <c r="F474" i="21" s="1"/>
  <c r="G473" i="21"/>
  <c r="F473" i="21" s="1"/>
  <c r="G471" i="21"/>
  <c r="F471" i="21" s="1"/>
  <c r="G456" i="21"/>
  <c r="F456" i="21" s="1"/>
  <c r="I426" i="21"/>
  <c r="F426" i="21" s="1"/>
  <c r="F572" i="21"/>
  <c r="F590" i="21"/>
  <c r="G444" i="21"/>
  <c r="F444" i="21" s="1"/>
  <c r="O480" i="21"/>
  <c r="O626" i="21"/>
  <c r="G391" i="21"/>
  <c r="F391" i="21" s="1"/>
  <c r="G405" i="21"/>
  <c r="F405" i="21" s="1"/>
  <c r="G423" i="21"/>
  <c r="F423" i="21" s="1"/>
  <c r="G378" i="21"/>
  <c r="F378" i="21" s="1"/>
  <c r="G438" i="21"/>
  <c r="F438" i="21" s="1"/>
  <c r="G461" i="21"/>
  <c r="F461" i="21" s="1"/>
  <c r="G463" i="21"/>
  <c r="F463" i="21" s="1"/>
  <c r="G377" i="21"/>
  <c r="F377" i="21" s="1"/>
  <c r="G406" i="21"/>
  <c r="F406" i="21" s="1"/>
  <c r="G372" i="21"/>
  <c r="F372" i="21" s="1"/>
  <c r="F575" i="21"/>
  <c r="I429" i="21"/>
  <c r="F429" i="21" s="1"/>
  <c r="G459" i="21"/>
  <c r="F459" i="21" s="1"/>
  <c r="G457" i="21"/>
  <c r="F457" i="21" s="1"/>
  <c r="I465" i="21"/>
  <c r="F465" i="21" s="1"/>
  <c r="F611" i="21"/>
  <c r="J480" i="21"/>
  <c r="J626" i="21"/>
  <c r="G371" i="21"/>
  <c r="F371" i="21" s="1"/>
  <c r="G400" i="21"/>
  <c r="F400" i="21" s="1"/>
  <c r="G458" i="21"/>
  <c r="F458" i="21" s="1"/>
  <c r="G390" i="21"/>
  <c r="F390" i="21" s="1"/>
  <c r="G421" i="21"/>
  <c r="F421" i="21" s="1"/>
  <c r="G468" i="21"/>
  <c r="F468" i="21" s="1"/>
  <c r="G389" i="21"/>
  <c r="F389" i="21" s="1"/>
  <c r="I464" i="21"/>
  <c r="F610" i="21"/>
  <c r="G394" i="21"/>
  <c r="F394" i="21" s="1"/>
  <c r="F522" i="21"/>
  <c r="I376" i="21"/>
  <c r="F376" i="21" s="1"/>
  <c r="G396" i="21"/>
  <c r="F396" i="21" s="1"/>
  <c r="I476" i="21"/>
  <c r="F476" i="21" s="1"/>
  <c r="F622" i="21"/>
  <c r="G373" i="21"/>
  <c r="F373" i="21" s="1"/>
  <c r="G404" i="21"/>
  <c r="F404" i="21" s="1"/>
  <c r="F464" i="21"/>
  <c r="G447" i="21"/>
  <c r="F447" i="21" s="1"/>
  <c r="G379" i="21"/>
  <c r="F379" i="21" s="1"/>
  <c r="G397" i="21"/>
  <c r="F397" i="21" s="1"/>
  <c r="G420" i="21"/>
  <c r="F420" i="21" s="1"/>
  <c r="G460" i="21"/>
  <c r="F460" i="21" s="1"/>
  <c r="G402" i="21"/>
  <c r="F402" i="21" s="1"/>
  <c r="G395" i="21"/>
  <c r="F395" i="21" s="1"/>
  <c r="G422" i="21"/>
  <c r="F422" i="21" s="1"/>
  <c r="G440" i="21"/>
  <c r="F440" i="21" s="1"/>
  <c r="F608" i="21"/>
  <c r="H462" i="21"/>
  <c r="F462" i="21" s="1"/>
  <c r="G441" i="21"/>
  <c r="F441" i="21" s="1"/>
  <c r="F566" i="21" l="1"/>
  <c r="F539" i="21"/>
  <c r="F616" i="21"/>
  <c r="F618" i="21"/>
  <c r="F480" i="21"/>
  <c r="F602" i="21"/>
  <c r="F550" i="21"/>
  <c r="F519" i="21"/>
  <c r="F542" i="21"/>
  <c r="F540" i="21"/>
  <c r="F535" i="21"/>
  <c r="F614" i="21"/>
  <c r="F603" i="21"/>
  <c r="F524" i="21"/>
  <c r="F569" i="21"/>
  <c r="F617" i="21"/>
  <c r="F619" i="21"/>
  <c r="F620" i="21"/>
  <c r="F621" i="21"/>
  <c r="F534" i="21"/>
  <c r="F587" i="21"/>
  <c r="F586" i="21"/>
  <c r="F568" i="21"/>
  <c r="F541" i="21"/>
  <c r="F548" i="21"/>
  <c r="F606" i="21"/>
  <c r="F543" i="21"/>
  <c r="F525" i="21"/>
  <c r="F593" i="21"/>
  <c r="F567" i="21"/>
  <c r="F536" i="21"/>
  <c r="F604" i="21"/>
  <c r="F546" i="21"/>
  <c r="F517" i="21"/>
  <c r="F605" i="21"/>
  <c r="F518" i="21"/>
  <c r="F552" i="21"/>
  <c r="F523" i="21"/>
  <c r="F609" i="21"/>
  <c r="F607" i="21"/>
  <c r="F584" i="21"/>
  <c r="F551" i="21"/>
  <c r="F537" i="21"/>
  <c r="F555" i="21"/>
  <c r="H558" i="21" s="1"/>
  <c r="H777" i="21" s="1"/>
  <c r="H119" i="20" s="1"/>
  <c r="F553" i="21"/>
  <c r="F623" i="21"/>
  <c r="H626" i="21" s="1"/>
  <c r="H778" i="21" s="1"/>
  <c r="H123" i="20" s="1"/>
  <c r="F516" i="21"/>
  <c r="F615" i="21"/>
  <c r="F547" i="21"/>
  <c r="F554" i="21"/>
  <c r="F732" i="21"/>
  <c r="F585" i="21"/>
  <c r="F549" i="21"/>
  <c r="F538" i="21"/>
  <c r="F730" i="21"/>
  <c r="N54" i="95" l="1"/>
  <c r="L54" i="95"/>
  <c r="J54" i="95"/>
  <c r="H54" i="95"/>
  <c r="O54" i="95"/>
  <c r="M54" i="95"/>
  <c r="K54" i="95"/>
  <c r="I54" i="95"/>
  <c r="G54" i="95"/>
  <c r="N118" i="20"/>
  <c r="L118" i="20"/>
  <c r="J118" i="20"/>
  <c r="H118" i="20"/>
  <c r="O118" i="20"/>
  <c r="M118" i="20"/>
  <c r="K118" i="20"/>
  <c r="I118" i="20"/>
  <c r="G118" i="20"/>
  <c r="H122" i="20"/>
  <c r="J122" i="20"/>
  <c r="L122" i="20"/>
  <c r="O122" i="20"/>
  <c r="G122" i="20"/>
  <c r="I122" i="20"/>
  <c r="M122" i="20"/>
  <c r="N122" i="20"/>
  <c r="K122" i="20"/>
  <c r="F88" i="20"/>
  <c r="F89" i="20" s="1"/>
  <c r="F660" i="21" s="1"/>
  <c r="F701" i="21" s="1"/>
  <c r="K126" i="20"/>
  <c r="O126" i="20"/>
  <c r="I126" i="20"/>
  <c r="H126" i="20"/>
  <c r="J126" i="20"/>
  <c r="M126" i="20"/>
  <c r="L126" i="20"/>
  <c r="N126" i="20"/>
  <c r="G126" i="20"/>
  <c r="F122" i="20" l="1"/>
  <c r="F126" i="20"/>
  <c r="F118" i="20"/>
  <c r="G129" i="20"/>
  <c r="F703" i="21"/>
  <c r="F706" i="21" s="1"/>
  <c r="N129" i="20"/>
  <c r="H129" i="20"/>
  <c r="M129" i="20"/>
  <c r="L129" i="20"/>
  <c r="I129" i="20"/>
  <c r="K129" i="20"/>
  <c r="F744" i="21" l="1"/>
  <c r="I11" i="79"/>
  <c r="I9" i="37"/>
  <c r="N9" i="37"/>
  <c r="N11" i="79"/>
  <c r="K11" i="79"/>
  <c r="K9" i="37"/>
  <c r="L11" i="79"/>
  <c r="L9" i="37"/>
  <c r="H9" i="37"/>
  <c r="H11" i="79"/>
  <c r="F707" i="21"/>
  <c r="F760" i="21" s="1"/>
  <c r="F756" i="21"/>
  <c r="F708" i="21"/>
  <c r="G9" i="37"/>
  <c r="G11" i="79"/>
  <c r="M11" i="79"/>
  <c r="M9" i="37"/>
  <c r="F767" i="21" l="1"/>
  <c r="J709" i="21"/>
  <c r="F719" i="21"/>
  <c r="F720" i="21" s="1"/>
  <c r="O709" i="21"/>
  <c r="H709" i="21"/>
  <c r="H98" i="20"/>
  <c r="H53" i="95" s="1"/>
  <c r="H48" i="95" s="1"/>
  <c r="L98" i="20"/>
  <c r="L53" i="95" s="1"/>
  <c r="L48" i="95" s="1"/>
  <c r="N98" i="20"/>
  <c r="N53" i="95" s="1"/>
  <c r="N48" i="95" s="1"/>
  <c r="M98" i="20"/>
  <c r="M53" i="95" s="1"/>
  <c r="M48" i="95" s="1"/>
  <c r="G98" i="20"/>
  <c r="G53" i="95" s="1"/>
  <c r="G48" i="95" s="1"/>
  <c r="K98" i="20"/>
  <c r="K53" i="95" s="1"/>
  <c r="K48" i="95" s="1"/>
  <c r="I98" i="20"/>
  <c r="I53" i="95" s="1"/>
  <c r="I48" i="95" s="1"/>
  <c r="J98" i="20"/>
  <c r="J53" i="95" s="1"/>
  <c r="J48" i="95" s="1"/>
  <c r="O98" i="20"/>
  <c r="O53" i="95" s="1"/>
  <c r="O48" i="95" s="1"/>
  <c r="K102" i="20"/>
  <c r="O102" i="20"/>
  <c r="H102" i="20"/>
  <c r="N102" i="20"/>
  <c r="G102" i="20"/>
  <c r="I102" i="20"/>
  <c r="M102" i="20"/>
  <c r="J102" i="20"/>
  <c r="L102" i="20"/>
  <c r="L49" i="95" l="1"/>
  <c r="L42" i="95" s="1"/>
  <c r="J49" i="95"/>
  <c r="J42" i="95" s="1"/>
  <c r="K49" i="95"/>
  <c r="K42" i="95" s="1"/>
  <c r="M49" i="95"/>
  <c r="M42" i="95" s="1"/>
  <c r="O49" i="95"/>
  <c r="O42" i="95" s="1"/>
  <c r="I49" i="95"/>
  <c r="I42" i="95" s="1"/>
  <c r="G49" i="95"/>
  <c r="N49" i="95"/>
  <c r="N42" i="95" s="1"/>
  <c r="H49" i="95"/>
  <c r="H42" i="95" s="1"/>
  <c r="F102" i="20"/>
  <c r="F98" i="20"/>
  <c r="F733" i="21"/>
  <c r="O711" i="21"/>
  <c r="O722" i="21" s="1"/>
  <c r="O723" i="21" s="1"/>
  <c r="F739" i="21" s="1"/>
  <c r="F731" i="21"/>
  <c r="J711" i="21"/>
  <c r="J722" i="21" s="1"/>
  <c r="J723" i="21" s="1"/>
  <c r="F737" i="21" s="1"/>
  <c r="H771" i="21"/>
  <c r="H110" i="20" s="1"/>
  <c r="H711" i="21"/>
  <c r="H722" i="21" s="1"/>
  <c r="H723" i="21" s="1"/>
  <c r="O106" i="20"/>
  <c r="N106" i="20"/>
  <c r="N112" i="20" s="1"/>
  <c r="M106" i="20"/>
  <c r="M112" i="20" s="1"/>
  <c r="I106" i="20"/>
  <c r="I112" i="20" s="1"/>
  <c r="J106" i="20"/>
  <c r="H106" i="20"/>
  <c r="K106" i="20"/>
  <c r="K112" i="20" s="1"/>
  <c r="L106" i="20"/>
  <c r="L112" i="20" s="1"/>
  <c r="G106" i="20"/>
  <c r="F49" i="95" l="1"/>
  <c r="G42" i="95"/>
  <c r="F723" i="21"/>
  <c r="F24" i="37" s="1"/>
  <c r="F740" i="21"/>
  <c r="F746" i="21" s="1"/>
  <c r="F734" i="21"/>
  <c r="H112" i="20"/>
  <c r="H131" i="20" s="1"/>
  <c r="K10" i="79"/>
  <c r="K12" i="79" s="1"/>
  <c r="K8" i="37"/>
  <c r="K10" i="37" s="1"/>
  <c r="K131" i="20"/>
  <c r="M8" i="37"/>
  <c r="M10" i="37" s="1"/>
  <c r="M131" i="20"/>
  <c r="M10" i="79"/>
  <c r="M12" i="79" s="1"/>
  <c r="L8" i="37"/>
  <c r="L10" i="37" s="1"/>
  <c r="L131" i="20"/>
  <c r="L10" i="79"/>
  <c r="L12" i="79" s="1"/>
  <c r="I8" i="37"/>
  <c r="I10" i="37" s="1"/>
  <c r="I131" i="20"/>
  <c r="I10" i="79"/>
  <c r="I12" i="79" s="1"/>
  <c r="N8" i="37"/>
  <c r="N10" i="37" s="1"/>
  <c r="N10" i="79"/>
  <c r="N12" i="79" s="1"/>
  <c r="N131" i="20"/>
  <c r="F106" i="20"/>
  <c r="H133" i="20"/>
  <c r="G112" i="20"/>
  <c r="N19" i="95" l="1"/>
  <c r="N19" i="100"/>
  <c r="I19" i="95"/>
  <c r="I19" i="100"/>
  <c r="M19" i="95"/>
  <c r="M19" i="100"/>
  <c r="K19" i="95"/>
  <c r="K19" i="100"/>
  <c r="L19" i="95"/>
  <c r="L19" i="100"/>
  <c r="F22" i="74"/>
  <c r="F747" i="21"/>
  <c r="O778" i="21" s="1"/>
  <c r="O123" i="20" s="1"/>
  <c r="F26" i="79"/>
  <c r="F27" i="79" s="1"/>
  <c r="F32" i="79" s="1"/>
  <c r="F61" i="79" s="1"/>
  <c r="J771" i="21"/>
  <c r="J110" i="20" s="1"/>
  <c r="H10" i="79"/>
  <c r="H12" i="79" s="1"/>
  <c r="H8" i="37"/>
  <c r="H10" i="37" s="1"/>
  <c r="G10" i="79"/>
  <c r="G8" i="37"/>
  <c r="G131" i="20"/>
  <c r="F27" i="37"/>
  <c r="F32" i="37" s="1"/>
  <c r="F61" i="37" s="1"/>
  <c r="F25" i="37"/>
  <c r="F30" i="37" s="1"/>
  <c r="F59" i="37" s="1"/>
  <c r="F26" i="37"/>
  <c r="F31" i="37" s="1"/>
  <c r="F60" i="37" s="1"/>
  <c r="H19" i="95" l="1"/>
  <c r="H19" i="100"/>
  <c r="J777" i="21"/>
  <c r="J119" i="20" s="1"/>
  <c r="J770" i="21"/>
  <c r="J109" i="20" s="1"/>
  <c r="J112" i="20" s="1"/>
  <c r="J10" i="79" s="1"/>
  <c r="J778" i="21"/>
  <c r="J123" i="20" s="1"/>
  <c r="F123" i="20" s="1"/>
  <c r="O777" i="21"/>
  <c r="O119" i="20" s="1"/>
  <c r="O129" i="20" s="1"/>
  <c r="O9" i="37" s="1"/>
  <c r="O771" i="21"/>
  <c r="O110" i="20" s="1"/>
  <c r="F110" i="20" s="1"/>
  <c r="O770" i="21"/>
  <c r="O109" i="20" s="1"/>
  <c r="F29" i="79"/>
  <c r="F34" i="79" s="1"/>
  <c r="F63" i="79" s="1"/>
  <c r="F28" i="79"/>
  <c r="F33" i="79" s="1"/>
  <c r="F62" i="79" s="1"/>
  <c r="G10" i="37"/>
  <c r="F63" i="37"/>
  <c r="F76" i="37" s="1"/>
  <c r="F80" i="37" s="1"/>
  <c r="G12" i="79"/>
  <c r="G19" i="95" l="1"/>
  <c r="G19" i="100"/>
  <c r="F119" i="20"/>
  <c r="F65" i="79"/>
  <c r="F15" i="74" s="1"/>
  <c r="F27" i="74" s="1"/>
  <c r="F19" i="75" s="1"/>
  <c r="F21" i="75" s="1"/>
  <c r="F22" i="75" s="1"/>
  <c r="J129" i="20"/>
  <c r="J9" i="37" s="1"/>
  <c r="F9" i="37" s="1"/>
  <c r="O133" i="20"/>
  <c r="F109" i="20"/>
  <c r="J133" i="20"/>
  <c r="F133" i="20" s="1"/>
  <c r="O112" i="20"/>
  <c r="O131" i="20" s="1"/>
  <c r="O11" i="79"/>
  <c r="J8" i="37"/>
  <c r="J11" i="79" l="1"/>
  <c r="J12" i="79" s="1"/>
  <c r="F78" i="79"/>
  <c r="O10" i="79"/>
  <c r="F10" i="79" s="1"/>
  <c r="J131" i="20"/>
  <c r="F112" i="20"/>
  <c r="F129" i="20"/>
  <c r="J10" i="37"/>
  <c r="O8" i="37"/>
  <c r="O10" i="37" s="1"/>
  <c r="F11" i="79"/>
  <c r="F131" i="20"/>
  <c r="J19" i="95" l="1"/>
  <c r="J19" i="100"/>
  <c r="O19" i="95"/>
  <c r="O19" i="100"/>
  <c r="F8" i="37"/>
  <c r="O12" i="79"/>
  <c r="F12" i="79" s="1"/>
  <c r="F79" i="79" s="1"/>
  <c r="O81" i="79" s="1"/>
  <c r="O83" i="79" s="1"/>
  <c r="O11" i="75" s="1"/>
  <c r="O13" i="75" s="1"/>
  <c r="F10" i="37"/>
  <c r="F81" i="37" s="1"/>
  <c r="N83" i="37" s="1"/>
  <c r="N85" i="37" s="1"/>
  <c r="N86" i="37" s="1"/>
  <c r="N92" i="37" s="1"/>
  <c r="F19" i="95" l="1"/>
  <c r="I20" i="95" s="1"/>
  <c r="N10" i="95"/>
  <c r="N43" i="95" s="1"/>
  <c r="N44" i="95" s="1"/>
  <c r="N10" i="100"/>
  <c r="F19" i="100"/>
  <c r="J20" i="100" s="1"/>
  <c r="O20" i="95"/>
  <c r="J83" i="37"/>
  <c r="J85" i="37" s="1"/>
  <c r="J86" i="37" s="1"/>
  <c r="J92" i="37" s="1"/>
  <c r="M20" i="95"/>
  <c r="N81" i="79"/>
  <c r="N83" i="79" s="1"/>
  <c r="N11" i="75" s="1"/>
  <c r="N13" i="75" s="1"/>
  <c r="M81" i="79"/>
  <c r="M83" i="79" s="1"/>
  <c r="M11" i="75" s="1"/>
  <c r="M13" i="75" s="1"/>
  <c r="L83" i="37"/>
  <c r="L85" i="37" s="1"/>
  <c r="L86" i="37" s="1"/>
  <c r="L92" i="37" s="1"/>
  <c r="M83" i="37"/>
  <c r="M85" i="37" s="1"/>
  <c r="M86" i="37" s="1"/>
  <c r="M92" i="37" s="1"/>
  <c r="H20" i="95"/>
  <c r="N20" i="95"/>
  <c r="G81" i="79"/>
  <c r="G83" i="79" s="1"/>
  <c r="G11" i="75" s="1"/>
  <c r="K81" i="79"/>
  <c r="K83" i="79" s="1"/>
  <c r="K11" i="75" s="1"/>
  <c r="K13" i="75" s="1"/>
  <c r="G83" i="37"/>
  <c r="G85" i="37" s="1"/>
  <c r="G86" i="37" s="1"/>
  <c r="G92" i="37" s="1"/>
  <c r="H83" i="37"/>
  <c r="H85" i="37" s="1"/>
  <c r="H86" i="37" s="1"/>
  <c r="H92" i="37" s="1"/>
  <c r="J20" i="95"/>
  <c r="G20" i="95"/>
  <c r="L20" i="95"/>
  <c r="K20" i="95"/>
  <c r="J81" i="79"/>
  <c r="J83" i="79" s="1"/>
  <c r="J11" i="75" s="1"/>
  <c r="J13" i="75" s="1"/>
  <c r="H81" i="79"/>
  <c r="H83" i="79" s="1"/>
  <c r="H11" i="75" s="1"/>
  <c r="H13" i="75" s="1"/>
  <c r="I81" i="79"/>
  <c r="I83" i="79" s="1"/>
  <c r="I11" i="75" s="1"/>
  <c r="I13" i="75" s="1"/>
  <c r="L81" i="79"/>
  <c r="L83" i="79" s="1"/>
  <c r="L11" i="75" s="1"/>
  <c r="L13" i="75" s="1"/>
  <c r="K83" i="37"/>
  <c r="K85" i="37" s="1"/>
  <c r="K86" i="37" s="1"/>
  <c r="K92" i="37" s="1"/>
  <c r="I83" i="37"/>
  <c r="I85" i="37" s="1"/>
  <c r="I86" i="37" s="1"/>
  <c r="I92" i="37" s="1"/>
  <c r="O83" i="37"/>
  <c r="O85" i="37" s="1"/>
  <c r="O86" i="37" s="1"/>
  <c r="O92" i="37" s="1"/>
  <c r="N94" i="37"/>
  <c r="N96" i="37" s="1"/>
  <c r="L94" i="37"/>
  <c r="L96" i="37" s="1"/>
  <c r="O10" i="95" l="1"/>
  <c r="O43" i="95" s="1"/>
  <c r="O44" i="95" s="1"/>
  <c r="O10" i="100"/>
  <c r="N12" i="95"/>
  <c r="N12" i="100"/>
  <c r="I10" i="95"/>
  <c r="I43" i="95" s="1"/>
  <c r="I44" i="95" s="1"/>
  <c r="I10" i="100"/>
  <c r="H10" i="95"/>
  <c r="H43" i="95" s="1"/>
  <c r="H44" i="95" s="1"/>
  <c r="H10" i="100"/>
  <c r="M10" i="95"/>
  <c r="M43" i="95" s="1"/>
  <c r="M44" i="95" s="1"/>
  <c r="M10" i="100"/>
  <c r="L12" i="95"/>
  <c r="L12" i="100"/>
  <c r="K10" i="95"/>
  <c r="K43" i="95" s="1"/>
  <c r="K44" i="95" s="1"/>
  <c r="K10" i="100"/>
  <c r="G10" i="95"/>
  <c r="G43" i="95" s="1"/>
  <c r="G44" i="95" s="1"/>
  <c r="G10" i="100"/>
  <c r="L10" i="95"/>
  <c r="L43" i="95" s="1"/>
  <c r="L44" i="95" s="1"/>
  <c r="L10" i="100"/>
  <c r="J10" i="95"/>
  <c r="J43" i="95" s="1"/>
  <c r="J44" i="95" s="1"/>
  <c r="J10" i="100"/>
  <c r="L20" i="100"/>
  <c r="M20" i="100"/>
  <c r="N20" i="100"/>
  <c r="K20" i="100"/>
  <c r="I20" i="100"/>
  <c r="H20" i="100"/>
  <c r="G20" i="100"/>
  <c r="F20" i="100" s="1"/>
  <c r="O20" i="100"/>
  <c r="J94" i="37"/>
  <c r="J96" i="37" s="1"/>
  <c r="F83" i="79"/>
  <c r="F83" i="37"/>
  <c r="H94" i="37"/>
  <c r="H96" i="37" s="1"/>
  <c r="M94" i="37"/>
  <c r="M96" i="37" s="1"/>
  <c r="M12" i="38" s="1"/>
  <c r="M20" i="38" s="1"/>
  <c r="M21" i="38" s="1"/>
  <c r="M22" i="38" s="1"/>
  <c r="F20" i="95"/>
  <c r="F81" i="79"/>
  <c r="I94" i="37"/>
  <c r="I96" i="37" s="1"/>
  <c r="F85" i="37"/>
  <c r="K94" i="37"/>
  <c r="K96" i="37" s="1"/>
  <c r="O94" i="37"/>
  <c r="O96" i="37" s="1"/>
  <c r="N12" i="38"/>
  <c r="N20" i="38" s="1"/>
  <c r="N21" i="38" s="1"/>
  <c r="N22" i="38" s="1"/>
  <c r="F10" i="95"/>
  <c r="L12" i="38"/>
  <c r="L20" i="38" s="1"/>
  <c r="L21" i="38" s="1"/>
  <c r="L22" i="38" s="1"/>
  <c r="F11" i="75"/>
  <c r="G13" i="75"/>
  <c r="F13" i="75" s="1"/>
  <c r="G94" i="37"/>
  <c r="G96" i="37" s="1"/>
  <c r="F92" i="37"/>
  <c r="F94" i="37" s="1"/>
  <c r="F96" i="37" s="1"/>
  <c r="M12" i="95" l="1"/>
  <c r="M12" i="100"/>
  <c r="K12" i="95"/>
  <c r="K12" i="100"/>
  <c r="I12" i="95"/>
  <c r="I12" i="100"/>
  <c r="H12" i="95"/>
  <c r="H12" i="100"/>
  <c r="F10" i="100"/>
  <c r="G12" i="95"/>
  <c r="G12" i="100"/>
  <c r="O12" i="95"/>
  <c r="O12" i="100"/>
  <c r="J12" i="95"/>
  <c r="J12" i="100"/>
  <c r="J12" i="38"/>
  <c r="J20" i="38" s="1"/>
  <c r="J21" i="38" s="1"/>
  <c r="J22" i="38" s="1"/>
  <c r="H12" i="38"/>
  <c r="H20" i="38" s="1"/>
  <c r="H21" i="38" s="1"/>
  <c r="H22" i="38" s="1"/>
  <c r="K12" i="38"/>
  <c r="K20" i="38" s="1"/>
  <c r="K21" i="38" s="1"/>
  <c r="K22" i="38" s="1"/>
  <c r="I12" i="38"/>
  <c r="I20" i="38" s="1"/>
  <c r="I21" i="38" s="1"/>
  <c r="I22" i="38" s="1"/>
  <c r="O12" i="38"/>
  <c r="O20" i="38" s="1"/>
  <c r="O21" i="38" s="1"/>
  <c r="O22" i="38" s="1"/>
  <c r="G12" i="38"/>
  <c r="G20" i="38" s="1"/>
  <c r="F20" i="38" l="1"/>
  <c r="G21" i="38"/>
  <c r="G22" i="38" s="1"/>
  <c r="F22" i="38" s="1"/>
  <c r="F21" i="38" l="1"/>
</calcChain>
</file>

<file path=xl/comments1.xml><?xml version="1.0" encoding="utf-8"?>
<comments xmlns="http://schemas.openxmlformats.org/spreadsheetml/2006/main">
  <authors>
    <author>Vaanhold, Jorieke</author>
  </authors>
  <commentList>
    <comment ref="F32" authorId="0">
      <text>
        <r>
          <rPr>
            <sz val="8"/>
            <color indexed="81"/>
            <rFont val="Tahoma"/>
            <family val="2"/>
          </rPr>
          <t>Aanpassing op zelfde cel als hierboven</t>
        </r>
      </text>
    </comment>
  </commentList>
</comments>
</file>

<file path=xl/comments10.xml><?xml version="1.0" encoding="utf-8"?>
<comments xmlns="http://schemas.openxmlformats.org/spreadsheetml/2006/main">
  <authors>
    <author>Adriaansen, Paul</author>
  </authors>
  <commentList>
    <comment ref="O36" authorId="0">
      <text>
        <r>
          <rPr>
            <sz val="8"/>
            <color indexed="81"/>
            <rFont val="Tahoma"/>
            <family val="2"/>
          </rPr>
          <t xml:space="preserve">Beoordeling van gegevens is opgenomen in tabbladen met data
</t>
        </r>
      </text>
    </comment>
    <comment ref="O60" authorId="0">
      <text>
        <r>
          <rPr>
            <sz val="8"/>
            <color indexed="81"/>
            <rFont val="Tahoma"/>
            <family val="2"/>
          </rPr>
          <t xml:space="preserve">In deze berekening worden de opbrengsten uit af- en haraansluiten gesaldeerd (i.p.v. de kosten geëlimineerd).
Deze bewerking komt ook terug in de jaren 2010-2012.
</t>
        </r>
      </text>
    </comment>
    <comment ref="O122" authorId="0">
      <text>
        <r>
          <rPr>
            <sz val="8"/>
            <color indexed="81"/>
            <rFont val="Tahoma"/>
            <family val="2"/>
          </rPr>
          <t xml:space="preserve">Beoordeling van gegevens is opgenomen in tabbladen met data
</t>
        </r>
      </text>
    </comment>
    <comment ref="O208" authorId="0">
      <text>
        <r>
          <rPr>
            <sz val="8"/>
            <color indexed="81"/>
            <rFont val="Tahoma"/>
            <family val="2"/>
          </rPr>
          <t xml:space="preserve">Beoordeling van gegevens is opgenomen in tabbladen met data
</t>
        </r>
      </text>
    </comment>
    <comment ref="O294" authorId="0">
      <text>
        <r>
          <rPr>
            <sz val="8"/>
            <color indexed="81"/>
            <rFont val="Tahoma"/>
            <family val="2"/>
          </rPr>
          <t xml:space="preserve">Beoordeling van gegevens is opgenomen in tabbladen met data
</t>
        </r>
      </text>
    </comment>
  </commentList>
</comments>
</file>

<file path=xl/comments11.xml><?xml version="1.0" encoding="utf-8"?>
<comments xmlns="http://schemas.openxmlformats.org/spreadsheetml/2006/main">
  <authors>
    <author>Klok, Hilbert</author>
  </authors>
  <commentList>
    <comment ref="J93" authorId="0">
      <text>
        <r>
          <rPr>
            <sz val="8"/>
            <color indexed="81"/>
            <rFont val="Tahoma"/>
            <family val="2"/>
          </rPr>
          <t>Deze wordt direct overgenomen uit stap 1a aangezien dit getal voor Enexis 2012 al wel is gesplitst in Kleinverbruik en Grootverbruik.</t>
        </r>
      </text>
    </comment>
    <comment ref="J97" authorId="0">
      <text>
        <r>
          <rPr>
            <sz val="8"/>
            <color indexed="81"/>
            <rFont val="Tahoma"/>
            <family val="2"/>
          </rPr>
          <t>Deze wordt direct overgenomen uit stap 1a aangezien dit getal voor Enexis 2012 al wel is gesplitst in Kleinverbruik en Grootverbruik.</t>
        </r>
      </text>
    </comment>
    <comment ref="J106" authorId="0">
      <text>
        <r>
          <rPr>
            <sz val="8"/>
            <color indexed="81"/>
            <rFont val="Tahoma"/>
            <family val="2"/>
          </rPr>
          <t>Deze wordt direct overgenomen uit stap 1a aangezien dit getal voor Enexis 2012 al wel is gesplitst in Kleinverbruik en Grootverbruik.</t>
        </r>
      </text>
    </comment>
  </commentList>
</comments>
</file>

<file path=xl/comments12.xml><?xml version="1.0" encoding="utf-8"?>
<comments xmlns="http://schemas.openxmlformats.org/spreadsheetml/2006/main">
  <authors>
    <author>Adriaansen, Paul</author>
  </authors>
  <commentList>
    <comment ref="O164" authorId="0">
      <text>
        <r>
          <rPr>
            <sz val="8"/>
            <color indexed="81"/>
            <rFont val="Tahoma"/>
            <family val="2"/>
          </rPr>
          <t xml:space="preserve">Berekening geeft Deel/0, waarde nul ingevuld (niet van belang voor berekening)
</t>
        </r>
      </text>
    </comment>
    <comment ref="J170" authorId="0">
      <text>
        <r>
          <rPr>
            <sz val="8"/>
            <color indexed="81"/>
            <rFont val="Tahoma"/>
            <family val="2"/>
          </rPr>
          <t>Inclusief Intergas</t>
        </r>
      </text>
    </comment>
    <comment ref="G210" authorId="0">
      <text>
        <r>
          <rPr>
            <sz val="8"/>
            <color indexed="81"/>
            <rFont val="Tahoma"/>
            <family val="2"/>
          </rPr>
          <t>Verwijzing naar afzonderlijke berekening van gestandaardiseerd tarief</t>
        </r>
      </text>
    </comment>
    <comment ref="F499" authorId="0">
      <text>
        <r>
          <rPr>
            <sz val="8"/>
            <color indexed="81"/>
            <rFont val="Tahoma"/>
            <family val="2"/>
          </rPr>
          <t xml:space="preserve">Inclusief EHD DNWB
</t>
        </r>
      </text>
    </comment>
    <comment ref="F503" authorId="0">
      <text>
        <r>
          <rPr>
            <sz val="8"/>
            <color indexed="81"/>
            <rFont val="Tahoma"/>
            <family val="2"/>
          </rPr>
          <t>Inclusief EHD DNWB</t>
        </r>
      </text>
    </comment>
    <comment ref="H506" authorId="0">
      <text>
        <r>
          <rPr>
            <sz val="8"/>
            <color indexed="81"/>
            <rFont val="Tahoma"/>
            <family val="2"/>
          </rPr>
          <t xml:space="preserve">Voor EHD van DNWB worden de wegingsfactoren gebaseerd op telemetrie (voor TD en AD).
</t>
        </r>
      </text>
    </comment>
    <comment ref="F522"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555" authorId="0">
      <text>
        <r>
          <rPr>
            <sz val="8"/>
            <color indexed="81"/>
            <rFont val="Tahoma"/>
            <family val="2"/>
          </rPr>
          <t>Inclusief EHD-net van DNWB</t>
        </r>
      </text>
    </comment>
    <comment ref="H558" authorId="0">
      <text>
        <r>
          <rPr>
            <sz val="8"/>
            <color indexed="81"/>
            <rFont val="Tahoma"/>
            <family val="2"/>
          </rPr>
          <t xml:space="preserve">Voor EHD van DNWB worden de wegingsfactoren gebaseerd op telemetrie (voor TD en AD).
</t>
        </r>
      </text>
    </comment>
    <comment ref="F572"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573"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574"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575"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590"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591"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592"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608"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610"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611"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622" authorId="0">
      <text>
        <r>
          <rPr>
            <sz val="8"/>
            <color indexed="81"/>
            <rFont val="Tahoma"/>
            <family val="2"/>
          </rPr>
          <t>Ongewogen gemiddelde o.b.v. beschikbare tarieven in 2013, omdat rekenvolume bij deze netbeheerders ontbreekt.
LET OP: dit ongewogen gemiddelde moet handmatig berekend worden; en gecontroleerd worden nadat nieuwe gegevens zijn ingeladen.</t>
        </r>
      </text>
    </comment>
    <comment ref="F623" authorId="0">
      <text>
        <r>
          <rPr>
            <sz val="8"/>
            <color indexed="81"/>
            <rFont val="Tahoma"/>
            <family val="2"/>
          </rPr>
          <t>Inclusief EHD-net van DNWB</t>
        </r>
      </text>
    </comment>
    <comment ref="H626" authorId="0">
      <text>
        <r>
          <rPr>
            <sz val="8"/>
            <color indexed="81"/>
            <rFont val="Tahoma"/>
            <family val="2"/>
          </rPr>
          <t xml:space="preserve">Voor EHD van DNWB worden de wegingsfactoren gebaseerd op telemetrie (voor TD en AD).
</t>
        </r>
      </text>
    </comment>
    <comment ref="H770" authorId="0">
      <text>
        <r>
          <rPr>
            <sz val="8"/>
            <color indexed="81"/>
            <rFont val="Tahoma"/>
            <family val="2"/>
          </rPr>
          <t>Correctiefactor niet van toepassing op DNWB, omdat gebruik wordt gemaakt van wegingsfactor voor telemetrie</t>
        </r>
      </text>
    </comment>
    <comment ref="H777" authorId="0">
      <text>
        <r>
          <rPr>
            <sz val="8"/>
            <color indexed="81"/>
            <rFont val="Tahoma"/>
            <family val="2"/>
          </rPr>
          <t>Correctiefactor niet van toepassing op DNWB, omdat gebruik wordt gemaakt van wegingsfactor voor telemetrie</t>
        </r>
      </text>
    </comment>
  </commentList>
</comments>
</file>

<file path=xl/comments2.xml><?xml version="1.0" encoding="utf-8"?>
<comments xmlns="http://schemas.openxmlformats.org/spreadsheetml/2006/main">
  <authors>
    <author>Vaanhold, Jorieke</author>
  </authors>
  <commentList>
    <comment ref="S25" authorId="0">
      <text>
        <r>
          <rPr>
            <sz val="8"/>
            <color indexed="81"/>
            <rFont val="Tahoma"/>
            <family val="2"/>
          </rPr>
          <t xml:space="preserve">Aanpassing zomer 2016, correctie dubbele eliminatie dubieuze debiteuren
</t>
        </r>
      </text>
    </comment>
    <comment ref="I65" authorId="0">
      <text>
        <r>
          <rPr>
            <sz val="8"/>
            <color indexed="81"/>
            <rFont val="Tahoma"/>
            <family val="2"/>
          </rPr>
          <t xml:space="preserve">Aanpassing augustus 2016, zie cel S25
</t>
        </r>
      </text>
    </comment>
    <comment ref="S85" authorId="0">
      <text>
        <r>
          <rPr>
            <sz val="8"/>
            <color indexed="81"/>
            <rFont val="Tahoma"/>
            <family val="2"/>
          </rPr>
          <t>Aanpassing zomer 2016, correctie dubbele eliminatie dubieuze debiteuren</t>
        </r>
      </text>
    </comment>
    <comment ref="I125" authorId="0">
      <text>
        <r>
          <rPr>
            <sz val="8"/>
            <color indexed="81"/>
            <rFont val="Tahoma"/>
            <family val="2"/>
          </rPr>
          <t xml:space="preserve">Aanpassing augustus 2016, zie cel S85
</t>
        </r>
      </text>
    </comment>
    <comment ref="I205" authorId="0">
      <text>
        <r>
          <rPr>
            <sz val="8"/>
            <color indexed="81"/>
            <rFont val="Tahoma"/>
            <family val="2"/>
          </rPr>
          <t>Aanpassing augustus 2016, correctie dubbele eliminatie dubieuze debiteuren</t>
        </r>
      </text>
    </comment>
  </commentList>
</comments>
</file>

<file path=xl/comments3.xml><?xml version="1.0" encoding="utf-8"?>
<comments xmlns="http://schemas.openxmlformats.org/spreadsheetml/2006/main">
  <authors>
    <author>Leeuwen, Daan van</author>
    <author>Vaanhold, Jorieke</author>
    <author>Adriaansen, Paul</author>
  </authors>
  <commentList>
    <comment ref="L16" authorId="0">
      <text>
        <r>
          <rPr>
            <b/>
            <sz val="8"/>
            <color indexed="81"/>
            <rFont val="Tahoma"/>
            <family val="2"/>
          </rPr>
          <t xml:space="preserve">Opbrengsten uit koers, afrondings, prijs en magazijnverschillen </t>
        </r>
      </text>
    </comment>
    <comment ref="S16" authorId="0">
      <text>
        <r>
          <rPr>
            <b/>
            <sz val="8"/>
            <color indexed="81"/>
            <rFont val="Tahoma"/>
            <family val="2"/>
          </rPr>
          <t xml:space="preserve">Afloopverschil omzet vastrecht en capaciteit
</t>
        </r>
      </text>
    </comment>
    <comment ref="T16" authorId="0">
      <text>
        <r>
          <rPr>
            <b/>
            <sz val="8"/>
            <color indexed="81"/>
            <rFont val="Tahoma"/>
            <family val="2"/>
          </rPr>
          <t xml:space="preserve">Afloopverschil omzet vastrecht en capaciteit
</t>
        </r>
      </text>
    </comment>
    <comment ref="U16" authorId="0">
      <text>
        <r>
          <rPr>
            <b/>
            <sz val="8"/>
            <color indexed="81"/>
            <rFont val="Tahoma"/>
            <family val="2"/>
          </rPr>
          <t xml:space="preserve">Verhuur en dienstverlening
</t>
        </r>
      </text>
    </comment>
    <comment ref="X16" authorId="0">
      <text>
        <r>
          <rPr>
            <b/>
            <sz val="8"/>
            <color indexed="81"/>
            <rFont val="Tahoma"/>
            <family val="2"/>
          </rPr>
          <t xml:space="preserve">Afloopverschil omzet vastrecht en capaciteit
</t>
        </r>
      </text>
    </comment>
    <comment ref="S17" authorId="0">
      <text>
        <r>
          <rPr>
            <b/>
            <sz val="8"/>
            <color indexed="81"/>
            <rFont val="Tahoma"/>
            <family val="2"/>
          </rPr>
          <t xml:space="preserve">Niet gespecificeerd
</t>
        </r>
      </text>
    </comment>
    <comment ref="W18" authorId="0">
      <text>
        <r>
          <rPr>
            <b/>
            <sz val="8"/>
            <color indexed="81"/>
            <rFont val="Tahoma"/>
            <family val="2"/>
          </rPr>
          <t xml:space="preserve">Overige opbrengsten
</t>
        </r>
      </text>
    </comment>
    <comment ref="U28" authorId="0">
      <text>
        <r>
          <rPr>
            <b/>
            <sz val="8"/>
            <color indexed="81"/>
            <rFont val="Tahoma"/>
            <family val="2"/>
          </rPr>
          <t xml:space="preserve">Verhuur en dienstverlening
</t>
        </r>
      </text>
    </comment>
    <comment ref="S29" authorId="0">
      <text>
        <r>
          <rPr>
            <b/>
            <sz val="8"/>
            <color indexed="81"/>
            <rFont val="Tahoma"/>
            <family val="2"/>
          </rPr>
          <t xml:space="preserve">Niet gespecificeerd
</t>
        </r>
      </text>
    </comment>
    <comment ref="W30" authorId="0">
      <text>
        <r>
          <rPr>
            <b/>
            <sz val="8"/>
            <color indexed="81"/>
            <rFont val="Tahoma"/>
            <family val="2"/>
          </rPr>
          <t xml:space="preserve">Overige opbrengsten
</t>
        </r>
      </text>
    </comment>
    <comment ref="G43" authorId="0">
      <text>
        <r>
          <rPr>
            <b/>
            <sz val="8"/>
            <color indexed="81"/>
            <rFont val="Tahoma"/>
            <family val="2"/>
          </rPr>
          <t>Overig</t>
        </r>
      </text>
    </comment>
    <comment ref="I53" authorId="1">
      <text>
        <r>
          <rPr>
            <sz val="8"/>
            <color indexed="81"/>
            <rFont val="Tahoma"/>
            <family val="2"/>
          </rPr>
          <t xml:space="preserve">Aanpassing augustus 2016, zie cel S53
</t>
        </r>
      </text>
    </comment>
    <comment ref="S53" authorId="1">
      <text>
        <r>
          <rPr>
            <sz val="8"/>
            <color indexed="81"/>
            <rFont val="Tahoma"/>
            <family val="2"/>
          </rPr>
          <t>Aanpassing zomer 2016, bedrag onjuist opgenomen onder AD in plaats van TD</t>
        </r>
      </text>
    </comment>
    <comment ref="L65" authorId="0">
      <text>
        <r>
          <rPr>
            <b/>
            <sz val="8"/>
            <color indexed="81"/>
            <rFont val="Tahoma"/>
            <family val="2"/>
          </rPr>
          <t xml:space="preserve">Opbrengsten uit koers, afrondings, prijs en magazijnverschillen </t>
        </r>
      </text>
    </comment>
    <comment ref="M65" authorId="0">
      <text>
        <r>
          <rPr>
            <b/>
            <sz val="8"/>
            <color indexed="81"/>
            <rFont val="Tahoma"/>
            <family val="2"/>
          </rPr>
          <t>Overige opbrengsten</t>
        </r>
      </text>
    </comment>
    <comment ref="S65" authorId="0">
      <text>
        <r>
          <rPr>
            <b/>
            <sz val="8"/>
            <color indexed="81"/>
            <rFont val="Tahoma"/>
            <family val="2"/>
          </rPr>
          <t>Afloopverschil omzet vastrecht en capaciteit</t>
        </r>
      </text>
    </comment>
    <comment ref="T65" authorId="0">
      <text>
        <r>
          <rPr>
            <b/>
            <sz val="8"/>
            <color indexed="81"/>
            <rFont val="Tahoma"/>
            <family val="2"/>
          </rPr>
          <t>Afloopverschil omzet vastrecht en capaciteit</t>
        </r>
      </text>
    </comment>
    <comment ref="U65" authorId="0">
      <text>
        <r>
          <rPr>
            <b/>
            <sz val="8"/>
            <color indexed="81"/>
            <rFont val="Tahoma"/>
            <family val="2"/>
          </rPr>
          <t>Verhuur en dienstverlening</t>
        </r>
      </text>
    </comment>
    <comment ref="W65" authorId="0">
      <text>
        <r>
          <rPr>
            <b/>
            <sz val="8"/>
            <color indexed="81"/>
            <rFont val="Tahoma"/>
            <family val="2"/>
          </rPr>
          <t>Verschil tussen gerapporteerde omzet en P*Q benadering</t>
        </r>
      </text>
    </comment>
    <comment ref="X65" authorId="0">
      <text>
        <r>
          <rPr>
            <b/>
            <sz val="8"/>
            <color indexed="81"/>
            <rFont val="Tahoma"/>
            <family val="2"/>
          </rPr>
          <t>Afloopverschil omzet vastrecht en capaciteit</t>
        </r>
      </text>
    </comment>
    <comment ref="U77" authorId="0">
      <text>
        <r>
          <rPr>
            <b/>
            <sz val="8"/>
            <color indexed="81"/>
            <rFont val="Tahoma"/>
            <family val="2"/>
          </rPr>
          <t>Verhuur en dienstverlening</t>
        </r>
      </text>
    </comment>
    <comment ref="G92" authorId="0">
      <text>
        <r>
          <rPr>
            <b/>
            <sz val="8"/>
            <color indexed="81"/>
            <rFont val="Tahoma"/>
            <family val="2"/>
          </rPr>
          <t xml:space="preserve">Overig
</t>
        </r>
      </text>
    </comment>
    <comment ref="I102" authorId="1">
      <text>
        <r>
          <rPr>
            <sz val="8"/>
            <color indexed="81"/>
            <rFont val="Tahoma"/>
            <family val="2"/>
          </rPr>
          <t xml:space="preserve">Aanpassing augustus 2016, zie cel S102
</t>
        </r>
      </text>
    </comment>
    <comment ref="S102" authorId="1">
      <text>
        <r>
          <rPr>
            <sz val="8"/>
            <color indexed="81"/>
            <rFont val="Tahoma"/>
            <family val="2"/>
          </rPr>
          <t>Aanpassing zomer 2016, bedrag onjuist opgenomen onder AD in plaats van TD</t>
        </r>
      </text>
    </comment>
    <comment ref="K114" authorId="0">
      <text>
        <r>
          <rPr>
            <b/>
            <sz val="8"/>
            <color indexed="81"/>
            <rFont val="Tahoma"/>
            <family val="2"/>
          </rPr>
          <t>Verschil tussen gerapporteerde omzet en P*Q benadering</t>
        </r>
      </text>
    </comment>
    <comment ref="L114" authorId="0">
      <text>
        <r>
          <rPr>
            <b/>
            <sz val="8"/>
            <color indexed="81"/>
            <rFont val="Tahoma"/>
            <family val="2"/>
          </rPr>
          <t xml:space="preserve">Opbrengsten uit koers, afrondings, prijs en magazijnverschillen </t>
        </r>
      </text>
    </comment>
    <comment ref="M114" authorId="0">
      <text>
        <r>
          <rPr>
            <b/>
            <sz val="8"/>
            <color indexed="81"/>
            <rFont val="Tahoma"/>
            <family val="2"/>
          </rPr>
          <t xml:space="preserve">Overige opbrengsten
</t>
        </r>
      </text>
    </comment>
    <comment ref="U114" authorId="0">
      <text>
        <r>
          <rPr>
            <b/>
            <sz val="8"/>
            <color indexed="81"/>
            <rFont val="Tahoma"/>
            <family val="2"/>
          </rPr>
          <t>Verhuur en dienstverlening</t>
        </r>
      </text>
    </comment>
    <comment ref="V114" authorId="2">
      <text>
        <r>
          <rPr>
            <sz val="8"/>
            <color indexed="81"/>
            <rFont val="Tahoma"/>
            <family val="2"/>
          </rPr>
          <t xml:space="preserve">Werk voor derden (detacheringen)
</t>
        </r>
      </text>
    </comment>
    <comment ref="K115" authorId="0">
      <text>
        <r>
          <rPr>
            <b/>
            <sz val="8"/>
            <color indexed="81"/>
            <rFont val="Tahoma"/>
            <family val="2"/>
          </rPr>
          <t xml:space="preserve">Doorbelasting aan gelieerde partijen
</t>
        </r>
      </text>
    </comment>
    <comment ref="U126" authorId="0">
      <text>
        <r>
          <rPr>
            <b/>
            <sz val="8"/>
            <color indexed="81"/>
            <rFont val="Tahoma"/>
            <family val="2"/>
          </rPr>
          <t>Verhuur en dienstverlening</t>
        </r>
      </text>
    </comment>
    <comment ref="V126" authorId="2">
      <text>
        <r>
          <rPr>
            <sz val="8"/>
            <color indexed="81"/>
            <rFont val="Tahoma"/>
            <family val="2"/>
          </rPr>
          <t xml:space="preserve">Werk voor derden (detacheringen)
</t>
        </r>
      </text>
    </comment>
    <comment ref="K127" authorId="0">
      <text>
        <r>
          <rPr>
            <b/>
            <sz val="8"/>
            <color indexed="81"/>
            <rFont val="Tahoma"/>
            <family val="2"/>
          </rPr>
          <t xml:space="preserve">Doorbelasting aan gelieerde partijen
</t>
        </r>
      </text>
    </comment>
    <comment ref="G141" authorId="0">
      <text>
        <r>
          <rPr>
            <b/>
            <sz val="8"/>
            <color indexed="81"/>
            <rFont val="Tahoma"/>
            <family val="2"/>
          </rPr>
          <t>Overig</t>
        </r>
      </text>
    </comment>
    <comment ref="J163" authorId="0">
      <text>
        <r>
          <rPr>
            <sz val="8"/>
            <color indexed="81"/>
            <rFont val="Tahoma"/>
            <family val="2"/>
          </rPr>
          <t xml:space="preserve">Verhuur en dienstverlening
</t>
        </r>
      </text>
    </comment>
    <comment ref="K163" authorId="0">
      <text>
        <r>
          <rPr>
            <b/>
            <sz val="8"/>
            <color indexed="81"/>
            <rFont val="Tahoma"/>
            <family val="2"/>
          </rPr>
          <t>Doorbelasting aan gelieerde partijen</t>
        </r>
      </text>
    </comment>
    <comment ref="L163" authorId="0">
      <text>
        <r>
          <rPr>
            <b/>
            <sz val="8"/>
            <color indexed="81"/>
            <rFont val="Tahoma"/>
            <family val="2"/>
          </rPr>
          <t xml:space="preserve">Opbrengsten uit koers, afrondings, prijs en magazijnverschillen
</t>
        </r>
      </text>
    </comment>
    <comment ref="M163" authorId="0">
      <text>
        <r>
          <rPr>
            <b/>
            <sz val="8"/>
            <color indexed="81"/>
            <rFont val="Tahoma"/>
            <family val="2"/>
          </rPr>
          <t xml:space="preserve">Overige Opbrengsten
</t>
        </r>
      </text>
    </comment>
    <comment ref="K164" authorId="0">
      <text>
        <r>
          <rPr>
            <sz val="8"/>
            <color indexed="81"/>
            <rFont val="Tahoma"/>
            <family val="2"/>
          </rPr>
          <t>Verschillen tussen Codata (p*q) en omzetverantwoording</t>
        </r>
      </text>
    </comment>
    <comment ref="K165" authorId="0">
      <text>
        <r>
          <rPr>
            <b/>
            <sz val="8"/>
            <color indexed="81"/>
            <rFont val="Tahoma"/>
            <family val="2"/>
          </rPr>
          <t>Opbrengsten uit dataschoning gas</t>
        </r>
      </text>
    </comment>
    <comment ref="J175" authorId="0">
      <text>
        <r>
          <rPr>
            <sz val="8"/>
            <color indexed="81"/>
            <rFont val="Tahoma"/>
            <family val="2"/>
          </rPr>
          <t xml:space="preserve">Verhuur en dienstverlening
</t>
        </r>
      </text>
    </comment>
    <comment ref="K175" authorId="0">
      <text>
        <r>
          <rPr>
            <b/>
            <sz val="8"/>
            <color indexed="81"/>
            <rFont val="Tahoma"/>
            <family val="2"/>
          </rPr>
          <t xml:space="preserve">Doorbelasting aan gelieerde partijen
</t>
        </r>
      </text>
    </comment>
    <comment ref="K190" authorId="0">
      <text>
        <r>
          <rPr>
            <sz val="8"/>
            <color indexed="81"/>
            <rFont val="Tahoma"/>
            <family val="2"/>
          </rPr>
          <t xml:space="preserve">Diverse Omzet
</t>
        </r>
      </text>
    </comment>
    <comment ref="K191" authorId="0">
      <text>
        <r>
          <rPr>
            <sz val="8"/>
            <color indexed="81"/>
            <rFont val="Tahoma"/>
            <family val="2"/>
          </rPr>
          <t xml:space="preserve">Diverse opbrengsten
</t>
        </r>
      </text>
    </comment>
    <comment ref="I200" authorId="1">
      <text>
        <r>
          <rPr>
            <sz val="8"/>
            <color indexed="81"/>
            <rFont val="Tahoma"/>
            <family val="2"/>
          </rPr>
          <t>Aanpassing augustus 2016, bedrag onjuist opgenomen onder AD in plaats van TD</t>
        </r>
      </text>
    </comment>
  </commentList>
</comments>
</file>

<file path=xl/comments4.xml><?xml version="1.0" encoding="utf-8"?>
<comments xmlns="http://schemas.openxmlformats.org/spreadsheetml/2006/main">
  <authors>
    <author>Adriaansen, Paul</author>
  </authors>
  <commentList>
    <comment ref="M27" authorId="0">
      <text>
        <r>
          <rPr>
            <sz val="8"/>
            <color indexed="81"/>
            <rFont val="Tahoma"/>
            <family val="2"/>
          </rPr>
          <t xml:space="preserve">optelling gemaakt i.v.m. indeling groot/kleinverbruik
</t>
        </r>
      </text>
    </comment>
    <comment ref="G48" authorId="0">
      <text>
        <r>
          <rPr>
            <sz val="8"/>
            <color indexed="81"/>
            <rFont val="Tahoma"/>
            <family val="2"/>
          </rPr>
          <t>verplaatst i.v.m. groot/kleinverbruik</t>
        </r>
      </text>
    </comment>
    <comment ref="M48" authorId="0">
      <text>
        <r>
          <rPr>
            <sz val="8"/>
            <color indexed="81"/>
            <rFont val="Tahoma"/>
            <family val="2"/>
          </rPr>
          <t xml:space="preserve">optelling gemaakt i.v.m. indeling groot/kleinverbruik
</t>
        </r>
      </text>
    </comment>
    <comment ref="N167" authorId="0">
      <text>
        <r>
          <rPr>
            <sz val="8"/>
            <color indexed="81"/>
            <rFont val="Tahoma"/>
            <family val="2"/>
          </rPr>
          <t xml:space="preserve">Bewerking o.b.v. gemiddelde aansluitpuntpercentage van de sector voor 2012 (omdat Westland 38,5% heeft gehanteerd)
</t>
        </r>
      </text>
    </comment>
    <comment ref="N231" authorId="0">
      <text>
        <r>
          <rPr>
            <sz val="8"/>
            <color indexed="81"/>
            <rFont val="Tahoma"/>
            <family val="2"/>
          </rPr>
          <t>Bewerking o.b.v. gemiddelde aansluitpuntpercentage van de sector voor 2012 (omdat Westland 38,5% heeft gehanteerd)</t>
        </r>
      </text>
    </comment>
  </commentList>
</comments>
</file>

<file path=xl/comments5.xml><?xml version="1.0" encoding="utf-8"?>
<comments xmlns="http://schemas.openxmlformats.org/spreadsheetml/2006/main">
  <authors>
    <author>Leeuwen, Daan van</author>
    <author>Vaanhold, Jorieke</author>
    <author>Adriaansen, Paul</author>
  </authors>
  <commentList>
    <comment ref="S17" authorId="0">
      <text>
        <r>
          <rPr>
            <b/>
            <sz val="8"/>
            <color indexed="81"/>
            <rFont val="Tahoma"/>
            <family val="2"/>
          </rPr>
          <t>Niet gespecificeerd</t>
        </r>
      </text>
    </comment>
    <comment ref="W19" authorId="0">
      <text>
        <r>
          <rPr>
            <b/>
            <sz val="8"/>
            <color indexed="81"/>
            <rFont val="Tahoma"/>
            <family val="2"/>
          </rPr>
          <t>Overige opbrengsten</t>
        </r>
      </text>
    </comment>
    <comment ref="S30" authorId="0">
      <text>
        <r>
          <rPr>
            <b/>
            <sz val="8"/>
            <color indexed="81"/>
            <rFont val="Tahoma"/>
            <family val="2"/>
          </rPr>
          <t>Niet gespecificeerd</t>
        </r>
      </text>
    </comment>
    <comment ref="W32" authorId="0">
      <text>
        <r>
          <rPr>
            <b/>
            <sz val="8"/>
            <color indexed="81"/>
            <rFont val="Tahoma"/>
            <family val="2"/>
          </rPr>
          <t>Overige opbrengsten</t>
        </r>
      </text>
    </comment>
    <comment ref="I55" authorId="1">
      <text>
        <r>
          <rPr>
            <sz val="8"/>
            <color indexed="81"/>
            <rFont val="Tahoma"/>
            <family val="2"/>
          </rPr>
          <t xml:space="preserve">Aanpassing augustus 2016, zie cel S55
</t>
        </r>
      </text>
    </comment>
    <comment ref="S55" authorId="1">
      <text>
        <r>
          <rPr>
            <sz val="8"/>
            <color indexed="81"/>
            <rFont val="Tahoma"/>
            <family val="2"/>
          </rPr>
          <t>Aanpassing zomer 2016, bedrag onjuist opgenomen onder AD in plaats van TD</t>
        </r>
      </text>
    </comment>
    <comment ref="W69" authorId="0">
      <text>
        <r>
          <rPr>
            <b/>
            <sz val="8"/>
            <color indexed="81"/>
            <rFont val="Tahoma"/>
            <family val="2"/>
          </rPr>
          <t>Verschil tussen gerapporteerde omzet en P*Q benadering</t>
        </r>
      </text>
    </comment>
    <comment ref="W97" authorId="0">
      <text>
        <r>
          <rPr>
            <b/>
            <sz val="8"/>
            <color indexed="81"/>
            <rFont val="Tahoma"/>
            <family val="2"/>
          </rPr>
          <t>Overige opbrengsten</t>
        </r>
      </text>
    </comment>
    <comment ref="I107" authorId="1">
      <text>
        <r>
          <rPr>
            <sz val="8"/>
            <color indexed="81"/>
            <rFont val="Tahoma"/>
            <family val="2"/>
          </rPr>
          <t>Aanpassing augustus 2016, zie cel S107</t>
        </r>
      </text>
    </comment>
    <comment ref="S107" authorId="1">
      <text>
        <r>
          <rPr>
            <sz val="8"/>
            <color indexed="81"/>
            <rFont val="Tahoma"/>
            <family val="2"/>
          </rPr>
          <t>Aanpassing zomer 2016, bedrag onjuist opgenomen onder AD in plaats van TD</t>
        </r>
      </text>
    </comment>
    <comment ref="K121" authorId="0">
      <text>
        <r>
          <rPr>
            <b/>
            <sz val="8"/>
            <color indexed="81"/>
            <rFont val="Tahoma"/>
            <family val="2"/>
          </rPr>
          <t>Verschil tussen gerapporteerde omzet en P*Q benadering</t>
        </r>
      </text>
    </comment>
    <comment ref="V121" authorId="2">
      <text>
        <r>
          <rPr>
            <sz val="8"/>
            <color indexed="81"/>
            <rFont val="Tahoma"/>
            <family val="2"/>
          </rPr>
          <t xml:space="preserve">Werk voor derden (detacheringen)
</t>
        </r>
      </text>
    </comment>
    <comment ref="K122" authorId="0">
      <text>
        <r>
          <rPr>
            <b/>
            <sz val="8"/>
            <color indexed="81"/>
            <rFont val="Tahoma"/>
            <family val="2"/>
          </rPr>
          <t xml:space="preserve">Doorbelasting aan gelieerde partijen
</t>
        </r>
      </text>
    </comment>
    <comment ref="V134" authorId="2">
      <text>
        <r>
          <rPr>
            <sz val="8"/>
            <color indexed="81"/>
            <rFont val="Tahoma"/>
            <family val="2"/>
          </rPr>
          <t xml:space="preserve">Werk voor derden (detacheringen)
</t>
        </r>
      </text>
    </comment>
    <comment ref="K135" authorId="0">
      <text>
        <r>
          <rPr>
            <b/>
            <sz val="8"/>
            <color indexed="81"/>
            <rFont val="Tahoma"/>
            <family val="2"/>
          </rPr>
          <t xml:space="preserve">Doorbelasting aan gelieerde partijen
</t>
        </r>
      </text>
    </comment>
    <comment ref="K173" authorId="0">
      <text>
        <r>
          <rPr>
            <b/>
            <sz val="8"/>
            <color indexed="81"/>
            <rFont val="Tahoma"/>
            <family val="2"/>
          </rPr>
          <t>Doorbelasting aan gelieerde partijen</t>
        </r>
      </text>
    </comment>
    <comment ref="K174" authorId="0">
      <text>
        <r>
          <rPr>
            <sz val="8"/>
            <color indexed="81"/>
            <rFont val="Tahoma"/>
            <family val="2"/>
          </rPr>
          <t>Verschillen tussen Codata (p*q) en omzetverantwoording</t>
        </r>
      </text>
    </comment>
    <comment ref="K175" authorId="0">
      <text>
        <r>
          <rPr>
            <b/>
            <sz val="8"/>
            <color indexed="81"/>
            <rFont val="Tahoma"/>
            <family val="2"/>
          </rPr>
          <t>Opbrengsten uit dataschoning gas</t>
        </r>
      </text>
    </comment>
    <comment ref="K186" authorId="0">
      <text>
        <r>
          <rPr>
            <b/>
            <sz val="8"/>
            <color indexed="81"/>
            <rFont val="Tahoma"/>
            <family val="2"/>
          </rPr>
          <t>Doorbelasting aan gelieerde partijen</t>
        </r>
      </text>
    </comment>
    <comment ref="K201" authorId="0">
      <text>
        <r>
          <rPr>
            <sz val="8"/>
            <color indexed="81"/>
            <rFont val="Tahoma"/>
            <family val="2"/>
          </rPr>
          <t xml:space="preserve">Diverse Omzet
</t>
        </r>
      </text>
    </comment>
    <comment ref="K202" authorId="0">
      <text>
        <r>
          <rPr>
            <sz val="8"/>
            <color indexed="81"/>
            <rFont val="Tahoma"/>
            <family val="2"/>
          </rPr>
          <t xml:space="preserve">Diverse opbrengsten
</t>
        </r>
      </text>
    </comment>
    <comment ref="I211" authorId="1">
      <text>
        <r>
          <rPr>
            <sz val="8"/>
            <color indexed="81"/>
            <rFont val="Tahoma"/>
            <family val="2"/>
          </rPr>
          <t xml:space="preserve">Aanpassing augustus 2016, onjuist bedrag opgenomen
</t>
        </r>
      </text>
    </comment>
  </commentList>
</comments>
</file>

<file path=xl/comments6.xml><?xml version="1.0" encoding="utf-8"?>
<comments xmlns="http://schemas.openxmlformats.org/spreadsheetml/2006/main">
  <authors>
    <author>Adriaansen, Paul</author>
  </authors>
  <commentList>
    <comment ref="G300" authorId="0">
      <text>
        <r>
          <rPr>
            <sz val="8"/>
            <color indexed="81"/>
            <rFont val="Tahoma"/>
            <family val="2"/>
          </rPr>
          <t>Aanpassing augustus 2016: gewijzigde volumes Cogas EAV 2011 opgenomen</t>
        </r>
      </text>
    </comment>
    <comment ref="G418" authorId="0">
      <text>
        <r>
          <rPr>
            <sz val="8"/>
            <color indexed="81"/>
            <rFont val="Tahoma"/>
            <family val="2"/>
          </rPr>
          <t>Aanpassing augustus 2016: gewijzigde volumes Cogas EAV 2012 opgenomen</t>
        </r>
      </text>
    </comment>
  </commentList>
</comments>
</file>

<file path=xl/comments7.xml><?xml version="1.0" encoding="utf-8"?>
<comments xmlns="http://schemas.openxmlformats.org/spreadsheetml/2006/main">
  <authors>
    <author>Klok, Hilbert</author>
  </authors>
  <commentList>
    <comment ref="O17" authorId="0">
      <text>
        <r>
          <rPr>
            <sz val="8"/>
            <color indexed="81"/>
            <rFont val="Tahoma"/>
            <family val="2"/>
          </rPr>
          <t>94.000 uit rapportage Ecorys, minus 22.000 eenmalige kosten toe te wijzen aan 2017.</t>
        </r>
      </text>
    </comment>
  </commentList>
</comments>
</file>

<file path=xl/comments8.xml><?xml version="1.0" encoding="utf-8"?>
<comments xmlns="http://schemas.openxmlformats.org/spreadsheetml/2006/main">
  <authors>
    <author>Adriaansen, Paul</author>
  </authors>
  <commentList>
    <comment ref="F56" authorId="0">
      <text>
        <r>
          <rPr>
            <sz val="8"/>
            <color indexed="81"/>
            <rFont val="Tahoma"/>
            <family val="2"/>
          </rPr>
          <t>Aanpassing augustus 2016, i.v.m. niet langer vergoeden netverliezen gas via x-factor: berekening verwijderd, resultaat op NIHIL gezet.</t>
        </r>
      </text>
    </comment>
    <comment ref="F62" authorId="0">
      <text>
        <r>
          <rPr>
            <sz val="8"/>
            <color indexed="81"/>
            <rFont val="Tahoma"/>
            <family val="2"/>
          </rPr>
          <t>Aanpassing augustus 2016, i.v.m. niet langer vergoeden netverliezen gas via x-factor: berekening verwijderd, resultaat op NIHIL gezet.</t>
        </r>
      </text>
    </comment>
    <comment ref="F68" authorId="0">
      <text>
        <r>
          <rPr>
            <sz val="8"/>
            <color indexed="81"/>
            <rFont val="Tahoma"/>
            <family val="2"/>
          </rPr>
          <t>Aanpassing augustus 2016, i.v.m. niet langer vergoeden netverliezen gas via x-factor: berekening verwijderd, resultaat op NIHIL gezet.</t>
        </r>
      </text>
    </comment>
  </commentList>
</comments>
</file>

<file path=xl/comments9.xml><?xml version="1.0" encoding="utf-8"?>
<comments xmlns="http://schemas.openxmlformats.org/spreadsheetml/2006/main">
  <authors>
    <author>Adriaansen, Paul</author>
  </authors>
  <commentList>
    <comment ref="O36" authorId="0">
      <text>
        <r>
          <rPr>
            <sz val="8"/>
            <color indexed="81"/>
            <rFont val="Tahoma"/>
            <family val="2"/>
          </rPr>
          <t xml:space="preserve">Beoordeling van gegevens is opgenomen in tabbladen met data
</t>
        </r>
      </text>
    </comment>
    <comment ref="O124" authorId="0">
      <text>
        <r>
          <rPr>
            <sz val="8"/>
            <color indexed="81"/>
            <rFont val="Tahoma"/>
            <family val="2"/>
          </rPr>
          <t xml:space="preserve">Beoordeling van gegevens is opgenomen in tabbladen met data
</t>
        </r>
      </text>
    </comment>
    <comment ref="O212" authorId="0">
      <text>
        <r>
          <rPr>
            <sz val="8"/>
            <color indexed="81"/>
            <rFont val="Tahoma"/>
            <family val="2"/>
          </rPr>
          <t xml:space="preserve">Beoordeling van gegevens is opgenomen in tabbladen met data
</t>
        </r>
      </text>
    </comment>
    <comment ref="O300" authorId="0">
      <text>
        <r>
          <rPr>
            <sz val="8"/>
            <color indexed="81"/>
            <rFont val="Tahoma"/>
            <family val="2"/>
          </rPr>
          <t xml:space="preserve">Beoordeling van gegevens is opgenomen in tabbladen met data
</t>
        </r>
      </text>
    </comment>
  </commentList>
</comments>
</file>

<file path=xl/sharedStrings.xml><?xml version="1.0" encoding="utf-8"?>
<sst xmlns="http://schemas.openxmlformats.org/spreadsheetml/2006/main" count="10507" uniqueCount="1377">
  <si>
    <t>Ophalen tarieven 2013</t>
  </si>
  <si>
    <t>Jaar</t>
  </si>
  <si>
    <t>X-factorberekening</t>
  </si>
  <si>
    <t>Onderstaand is per verslagjaar de meest recente opgave betrokken die door de netbeheerder is ingediend.</t>
  </si>
  <si>
    <t>Gegevens Overige opbrengsten over verslagjaar: 2009</t>
  </si>
  <si>
    <t>Opgegeven opbrengsten niet-tariefgereguleerde activiteiten</t>
  </si>
  <si>
    <t>TD: Uitgevoerde werkzaamheden transportdienst (bijv. verwijderingen)</t>
  </si>
  <si>
    <t>AD: Afsluiten en heraansluiten</t>
  </si>
  <si>
    <t>TD + AD: Opbrengst uit verhuur en verkoop materialen e.d.</t>
  </si>
  <si>
    <t>Diverse en overig 1 (zie toelichting in opmerking)</t>
  </si>
  <si>
    <t>Diverse en overig 2 (zie toelichting in opmerking)</t>
  </si>
  <si>
    <t>Diverse en overig 3 (zie toelichting in opmerking)</t>
  </si>
  <si>
    <t>Diverse en overig 4 (zie toelichting in opmerking)</t>
  </si>
  <si>
    <t>Diverse en overig 5 (zie toelichting in opmerking)</t>
  </si>
  <si>
    <t>Opgegeven te salderen kosten niet-tariefgereguleerde activiteiten</t>
  </si>
  <si>
    <t>Opgegeven niet-tariefinkomsten uit tariefgereguleerde activiteiten</t>
  </si>
  <si>
    <t>Fraude en leegstand: In rekening gebrachte transport- en aansluitvergoeding</t>
  </si>
  <si>
    <t>Fraude en leegstand: In rekening gebrachte overige kosten</t>
  </si>
  <si>
    <t>Gegevens Overige opbrengsten over verslagjaar: 2010</t>
  </si>
  <si>
    <t>Gegevens Overige opbrengsten over verslagjaar: 2011</t>
  </si>
  <si>
    <t>Gegevens Overige opbrengsten over verslagjaar: 2012</t>
  </si>
  <si>
    <t>Gegevens Volumes TD over verslagjaar: 2009</t>
  </si>
  <si>
    <t>Gegevens Volumes TD over verslagjaar: 2010</t>
  </si>
  <si>
    <t>Gegevens Volumes TD over verslagjaar: 2011</t>
  </si>
  <si>
    <t>Gegevens Volumes TD over verslagjaar: 2012</t>
  </si>
  <si>
    <t>De gegevens zijn ontleend aan de opgenomen bedragen in de Bijlage bij het tarievenbesluit van iedere netbeheerder</t>
  </si>
  <si>
    <t>Tarieven Transportdienst voor het jaar 2013</t>
  </si>
  <si>
    <t>Berekening Rekenvolumes</t>
  </si>
  <si>
    <t>Rekenvolumes Transportdienst 2014-2016 (o.b.v. gemiddelde 2010-2012)</t>
  </si>
  <si>
    <t>OPHALEN RUWE OPEX (zoals opgegeven in PRD)</t>
  </si>
  <si>
    <t>NETTO-OPEX T.B.V. REGULERING</t>
  </si>
  <si>
    <t>Opgegeven opbrengsten uit desinvesteringen</t>
  </si>
  <si>
    <t>Opbrengsten uit desinvesteringen</t>
  </si>
  <si>
    <t>Ophalen relevante parameters</t>
  </si>
  <si>
    <t>Begininkomsten 2013</t>
  </si>
  <si>
    <t>Eindinkomsten 2016</t>
  </si>
  <si>
    <t>in EUR, pp 2013</t>
  </si>
  <si>
    <t>CPI</t>
  </si>
  <si>
    <t>Toelichting bij dit bestand</t>
  </si>
  <si>
    <t>X-factor voor de periode 2014-2016</t>
  </si>
  <si>
    <t>X-factor voor de periode 2014-2016 (onafgerond)</t>
  </si>
  <si>
    <t>Ophalen te gebruiken gegevens</t>
  </si>
  <si>
    <t>Productiviteitsverandering 2013-2016</t>
  </si>
  <si>
    <t>Besparingen invoering nieuwe marktmodel (sectortotaal)</t>
  </si>
  <si>
    <t>CPI en Productiviteitsverandering</t>
  </si>
  <si>
    <t>Genormaliseerde totale kosten 2010</t>
  </si>
  <si>
    <t>Genormaliseerde totale kosten 2011</t>
  </si>
  <si>
    <t>Genormaliseerde totale kosten 2012</t>
  </si>
  <si>
    <t>Genormaliseerde totale kosten 2010 in efficiëntie-niveau en prijspeil 2013</t>
  </si>
  <si>
    <t>Berekening Eenmalige Aansluitvergoedingen</t>
  </si>
  <si>
    <t>Inschatting SO 2013 (met toepassing rekenvolumes 2014-2016)</t>
  </si>
  <si>
    <t>OPHALEN GEGEVENS</t>
  </si>
  <si>
    <t>Waarvan:</t>
  </si>
  <si>
    <t>BEREKENING TOTALE KOSTEN</t>
  </si>
  <si>
    <t>Berekening totale kosten voor verslagjaar: 2010</t>
  </si>
  <si>
    <t>Berekening totale kosten voor verslagjaar: 2011</t>
  </si>
  <si>
    <t>Berekening totale kosten voor verslagjaar: 2012</t>
  </si>
  <si>
    <t>Genormaliseerde totale kosten 2011 in efficiëntie-niveau en prijspeil 2013</t>
  </si>
  <si>
    <t>Genormaliseerde totale kosten 2012 in efficiëntie-niveau en prijspeil 2013</t>
  </si>
  <si>
    <t>Gemiddelde genormaliseerde totale kosten in efficiëntie-niveau 2013</t>
  </si>
  <si>
    <t>Berekening gemiddelde kosten ORV Lokale Heffingen</t>
  </si>
  <si>
    <t>Kosten voor ORV Lokale Heffingen 2010 in efficiëntie-niveau en prijspeil 2013</t>
  </si>
  <si>
    <t>Kosten voor ORV Lokale Heffingen 2011 in efficiëntie-niveau en prijspeil 2013</t>
  </si>
  <si>
    <t>Kosten voor ORV Lokale Heffingen 2012 in efficiëntie-niveau en prijspeil 2013</t>
  </si>
  <si>
    <t>Gemiddelde kosten ORV Lokale Heffingen in efficiëntie-niveau 2013</t>
  </si>
  <si>
    <t>EUR/#, pp 2013</t>
  </si>
  <si>
    <t>Berekening Eindinkomsten</t>
  </si>
  <si>
    <t>Berekening X-factor</t>
  </si>
  <si>
    <t>Efficiënte kosten 2016 per netbeheerder</t>
  </si>
  <si>
    <t>Inschatting efficiënte kosten ORV Lokale Heffingen 2016</t>
  </si>
  <si>
    <t>Van 2010</t>
  </si>
  <si>
    <t>Van 2011</t>
  </si>
  <si>
    <t>Van 2012</t>
  </si>
  <si>
    <t>Naar 2011</t>
  </si>
  <si>
    <t>Naar 2012</t>
  </si>
  <si>
    <t>Naar 2013</t>
  </si>
  <si>
    <t>CPI naar 2011</t>
  </si>
  <si>
    <t>CPI naar 2012</t>
  </si>
  <si>
    <t>CPI naar 2013</t>
  </si>
  <si>
    <t>Uitkomsten x- en q-factorberekening</t>
  </si>
  <si>
    <t>Samengestelde output op basis van rekenvolumes 2014-2016</t>
  </si>
  <si>
    <t>Inschatting van CPI 2014-2016 (per jaar)</t>
  </si>
  <si>
    <t>EUR, pp 2016</t>
  </si>
  <si>
    <t>EUR, pp 2014</t>
  </si>
  <si>
    <t>EUR, pp 2015</t>
  </si>
  <si>
    <t>Indicatieve tariefruimte 2014 op basis van verwachte CPI</t>
  </si>
  <si>
    <t>Indicatieve tariefruimte 2015 op basis van verwachte CPI</t>
  </si>
  <si>
    <t>Indicatieve tariefruimte 2016 op basis van verwachte CPI</t>
  </si>
  <si>
    <t>Berekening productiviteitsverandering</t>
  </si>
  <si>
    <t>Van 2009</t>
  </si>
  <si>
    <t>in EUR</t>
  </si>
  <si>
    <t>in #</t>
  </si>
  <si>
    <t>Jaarlijkse productiviteitsverandering</t>
  </si>
  <si>
    <t>Productiviteitsverandering</t>
  </si>
  <si>
    <t>Inschatting productiviteitsverandering 2013-2016</t>
  </si>
  <si>
    <t>Jaarlijkse PV + 1</t>
  </si>
  <si>
    <t>Cogas</t>
  </si>
  <si>
    <t>DNWB</t>
  </si>
  <si>
    <t>Endinet</t>
  </si>
  <si>
    <t>Enexis</t>
  </si>
  <si>
    <t>Liander</t>
  </si>
  <si>
    <t>RENDO</t>
  </si>
  <si>
    <t>Stedin</t>
  </si>
  <si>
    <t>Westland</t>
  </si>
  <si>
    <t>Totaal</t>
  </si>
  <si>
    <t>Totaal / algemeen</t>
  </si>
  <si>
    <t>Gegevens uit GAW sheet over verslagjaar: 2009</t>
  </si>
  <si>
    <t>in EUR, pp 2009</t>
  </si>
  <si>
    <t>in EUR, pp 2010</t>
  </si>
  <si>
    <t>in EUR, pp 2011</t>
  </si>
  <si>
    <t>in EUR, pp 2012</t>
  </si>
  <si>
    <t>CPI Data (bron CBS)</t>
  </si>
  <si>
    <t>CPI (volgens wettelijke formule)</t>
  </si>
  <si>
    <t>CPI (in rij vorm)</t>
  </si>
  <si>
    <t>CPI-tabel</t>
  </si>
  <si>
    <t>VAN</t>
  </si>
  <si>
    <t>NAAR</t>
  </si>
  <si>
    <t>CPI-tabel (van en naar omgedraaid)</t>
  </si>
  <si>
    <t>Gegevens uit GAW sheet over verslagjaar: 2010</t>
  </si>
  <si>
    <t>Gegevens uit GAW sheet over verslagjaar: 2011</t>
  </si>
  <si>
    <t>Gegevens uit GAW sheet over verslagjaar: 2012</t>
  </si>
  <si>
    <t>Inkoop</t>
  </si>
  <si>
    <t>Reguliere operationele kosten</t>
  </si>
  <si>
    <t>Personeelskosten, uitbesteed werk en andere externe kosten</t>
  </si>
  <si>
    <t>Overige kosten</t>
  </si>
  <si>
    <t>Lokale Heffingen</t>
  </si>
  <si>
    <t>Precario</t>
  </si>
  <si>
    <t>Gedoogbelastingen</t>
  </si>
  <si>
    <t>Voorzieningen</t>
  </si>
  <si>
    <t>Relevant deel van CPI tabel en WACC</t>
  </si>
  <si>
    <t>#</t>
  </si>
  <si>
    <t>Hiermee maken we de kosten van de verschillende netbeheerders onderling vergelijkbaar en toepasbaar voor de berekekning van de x factor.</t>
  </si>
  <si>
    <t>Dit blad geeft een overzicht van de rekenvolumes van de regionale netbeheerders voor de jaren 2014-2016.</t>
  </si>
  <si>
    <t>Standaardisatie Output (SO)</t>
  </si>
  <si>
    <t>Berekening wegingsfactoren</t>
  </si>
  <si>
    <t>%</t>
  </si>
  <si>
    <t>Rekenvolumes Aansluitdienst 2014-2016 (o.b.v. gemiddelde 2010-2012)</t>
  </si>
  <si>
    <t>Kosteneffecten door invoering leveranciersmodel voor de verslagjaren 2009-2016</t>
  </si>
  <si>
    <t>TOTAAL</t>
  </si>
  <si>
    <t>Afschrijvingen</t>
  </si>
  <si>
    <t>Eenheid</t>
  </si>
  <si>
    <t>Transportdienst</t>
  </si>
  <si>
    <t>Start-GAW (excl. bijzonderheden)</t>
  </si>
  <si>
    <t>Investeringsbedrag boekjaar Start-GAW</t>
  </si>
  <si>
    <t>Afschrijvingen Start-GAW</t>
  </si>
  <si>
    <t>Boekwaarde Start-GAW</t>
  </si>
  <si>
    <t>Nieuwe Investeringen (excl. Bijzonderheden)</t>
  </si>
  <si>
    <t>Investeringsbedrag boekjaar</t>
  </si>
  <si>
    <t>Boekwaarde</t>
  </si>
  <si>
    <t>Bijzonderheid: precario</t>
  </si>
  <si>
    <t>Investeringsbedrag boekjaar precario</t>
  </si>
  <si>
    <t>Afschrijvingen precario</t>
  </si>
  <si>
    <t>Boekwaarde precario</t>
  </si>
  <si>
    <t>Bijzonderheid: UI's</t>
  </si>
  <si>
    <t>Investeringsbedrag UI's</t>
  </si>
  <si>
    <t>Afschrijvingen UI's</t>
  </si>
  <si>
    <t>Boekwaarde UI's</t>
  </si>
  <si>
    <t>Bijzonderheid: overgenomen netten</t>
  </si>
  <si>
    <t>Investeringsbedrag overgenomen netten</t>
  </si>
  <si>
    <t>Afschrijvingen overgenomen netten</t>
  </si>
  <si>
    <t>Boekwaarde overgenomen netten</t>
  </si>
  <si>
    <t>Totalen</t>
  </si>
  <si>
    <t>Investeringsbedrag</t>
  </si>
  <si>
    <t>Boekwaarde (ultimo jaar)</t>
  </si>
  <si>
    <t>OPHALEN RUWE GEGEVENS (zoals berekend in GAW-sheet)</t>
  </si>
  <si>
    <t>GAW</t>
  </si>
  <si>
    <t>Vermogenskostenvergoeding</t>
  </si>
  <si>
    <t xml:space="preserve">Op dit blad worden de Kapitaalkosten berekend voor gebruik in de maatstaf. </t>
  </si>
  <si>
    <t>Er bestaat tevens de mogelijkheid om salderingen toe te passen op de kapitaalkosten en verder worden de opbrengsten uit desinvesteringen verrekend met de kapitaalkosten</t>
  </si>
  <si>
    <t>Kapitaalkosten</t>
  </si>
  <si>
    <t>SALDERING OPBRENGSTEN EN OVERIGE AANPASSINGEN</t>
  </si>
  <si>
    <t>Kapitaalkosten voor Maatstaf</t>
  </si>
  <si>
    <t>Kapitaalkosten ORV Lokale Heffingen</t>
  </si>
  <si>
    <t>Te salderen opbrengsten uit desinvesteringen</t>
  </si>
  <si>
    <t>Overige aanpassingen op de Kapitaalkosten (n.a.v. beoordeling NMa)</t>
  </si>
  <si>
    <t>Netto-kapitaalkosten voor maatstaf</t>
  </si>
  <si>
    <t>Bewerken  gegevens Kapitaalkosten over verslagjaar: 2009</t>
  </si>
  <si>
    <t>Bewerken  gegevens Kapitaalkosten over verslagjaar: 2010</t>
  </si>
  <si>
    <t>Bewerken  gegevens Kapitaalkosten over verslagjaar: 2011</t>
  </si>
  <si>
    <t>Bewerken  gegevens Kapitaalkosten over verslagjaar: 2012</t>
  </si>
  <si>
    <t>Forfaitair bedrag voorziening dubieuze debiteuren kleinverbruik</t>
  </si>
  <si>
    <t>Forfaitair bedrag voorziening dubieuze debiteuren grootverbruik</t>
  </si>
  <si>
    <t>Totaal aan onttrekkingen uit voorzieningen</t>
  </si>
  <si>
    <t>EUR, pp 2010</t>
  </si>
  <si>
    <t>EUR, pp 2011</t>
  </si>
  <si>
    <t>EUR, pp 2012</t>
  </si>
  <si>
    <t>EUR, pp 2013</t>
  </si>
  <si>
    <t>Totaal te salderen met kapitaalkosten (voor maatstaf)</t>
  </si>
  <si>
    <t>Kosten ORV Lokale Heffingen 2010</t>
  </si>
  <si>
    <t>Kosten ORV Lokale Heffingen 2011</t>
  </si>
  <si>
    <t>Kosten ORV Lokale Heffingen 2012</t>
  </si>
  <si>
    <t>BEREKENING GENORMALISEERDE TOTALE KOSTEN</t>
  </si>
  <si>
    <t>Kosten ORV lokale heffingen voor 2010-2012</t>
  </si>
  <si>
    <t>Genormaliseerde totale kosten voor 2010-2012</t>
  </si>
  <si>
    <t>Berekening gemiddelde genormaliseerde totale kosten</t>
  </si>
  <si>
    <t>Indicatieve TI bedragen voor vaststelling tarieven</t>
  </si>
  <si>
    <t>Indicatieve berekening Toegestane Inkomsten</t>
  </si>
  <si>
    <t>ZEBRA</t>
  </si>
  <si>
    <t>TI bedragen 2014-2016</t>
  </si>
  <si>
    <t>Verwachte CPI voor 2014-2016 (o.b.v. WACC berekening)</t>
  </si>
  <si>
    <t>Kleinverbruik</t>
  </si>
  <si>
    <t>Vastrecht (TOVT)</t>
  </si>
  <si>
    <t>Capaciteitsafhankelijk tarief (TAVTc)</t>
  </si>
  <si>
    <t>Profielgrootverbruik</t>
  </si>
  <si>
    <t>Telemetriegrootverbruik (&lt; 16 bar)</t>
  </si>
  <si>
    <t>Capaciteitsafhankelijk tarief (TAVTc) gestandaardiseerd</t>
  </si>
  <si>
    <t>Extra hoge druk (&gt;= 16 bar)</t>
  </si>
  <si>
    <t>TRANSPORTDIENST</t>
  </si>
  <si>
    <t>AANSLUITDIENST</t>
  </si>
  <si>
    <t>LD 0-40 m3/h</t>
  </si>
  <si>
    <t>HD 0-40 m3/h</t>
  </si>
  <si>
    <t>LD 40-2500 m3/h</t>
  </si>
  <si>
    <t>HD 40-2500 m3/h</t>
  </si>
  <si>
    <t>Subtotaal SO Transportdienst</t>
  </si>
  <si>
    <t>Subtotaal SO Aansluitdienst</t>
  </si>
  <si>
    <t>Totaal SO</t>
  </si>
  <si>
    <t>Inkoopkosten gastransportdiensten</t>
  </si>
  <si>
    <t>Inkoopkosten overige transportgerelateerde activiteiten</t>
  </si>
  <si>
    <t>TRANSPORTONAFHANKELIJK</t>
  </si>
  <si>
    <t>TRANSPORTAFHANKELIJK</t>
  </si>
  <si>
    <t>AANSLUITINGEN T/M 40 M3/H: HELE AANSLUITING</t>
  </si>
  <si>
    <t>AANSLUITINGEN GROTER DAN 40 M3/H: AANSLUITPUNT</t>
  </si>
  <si>
    <t>TOTAAL (TARIEFGEREGULEERDE DEEL AANSLUITDIENST)</t>
  </si>
  <si>
    <t>EAV meerlengte</t>
  </si>
  <si>
    <t>Kleinverbruikers</t>
  </si>
  <si>
    <t>=&lt; 10 m3(n)h, jaarverbruik &lt; 500 Nm3</t>
  </si>
  <si>
    <t>=&lt; 10 m3(n)h, jaarverbruik vanaf 500 Nm3 en &lt; 4.000 Nm3</t>
  </si>
  <si>
    <t>=&lt; 10 m3(n)h, jaarverbruik vanaf 4.000 Nm3</t>
  </si>
  <si>
    <t>&gt; 10 en =&lt; 16 m3(n)h</t>
  </si>
  <si>
    <t>&gt; 16 en =&lt; 25 m3(n)h</t>
  </si>
  <si>
    <t>&gt; 25 en =&lt; 40 m3(n)h</t>
  </si>
  <si>
    <t>VOLUMES PROFIELVERBRUIK: AANTALLEN AANSLUITINGEN</t>
  </si>
  <si>
    <t>Profielgrootverbruikers</t>
  </si>
  <si>
    <t>&gt; 40 en =&lt; 65 m3(n)h</t>
  </si>
  <si>
    <t>&gt; 65 en =&lt; 100 m3(n)h</t>
  </si>
  <si>
    <t>&gt; 100 en =&lt; 160 m3(n)h</t>
  </si>
  <si>
    <t>&gt; 160 en =&lt; 250 m3(n)h</t>
  </si>
  <si>
    <t>&gt; 250 m3(n)h</t>
  </si>
  <si>
    <t>VOLUMES TELEMETRIE: AANTALLEN AANSLUITINGEN</t>
  </si>
  <si>
    <t>Telemetrie &lt; 16 bar</t>
  </si>
  <si>
    <t>Gegevens OPEX TD &lt; 16bar over verslagjaar: 2009</t>
  </si>
  <si>
    <t>Gegevens OPEX TD &lt; 16bar over verslagjaar: 2010</t>
  </si>
  <si>
    <t>Gegevens OPEX TD &lt; 16bar over verslagjaar: 2011</t>
  </si>
  <si>
    <t>Gegevens OPEX TD &lt; 16bar over verslagjaar: 2012</t>
  </si>
  <si>
    <t>Productiviteitsdata OPEX Transportdienst gas</t>
  </si>
  <si>
    <t>Dit blad bevat alle PRD-gegevens over de OPEX voor de transportdienst gas zoals ingediend door de netbeheerders (EHD staat apart onderaan)</t>
  </si>
  <si>
    <t>Gegevens OPEX TD &gt; 16 bar (EHD)  over verslagjaar: 2009</t>
  </si>
  <si>
    <t>Gegevens OPEX TD &gt; 16 bar (EHD)  over verslagjaar: 2010</t>
  </si>
  <si>
    <t>Gegevens OPEX TD &gt; 16 bar (EHD)  over verslagjaar: 2011</t>
  </si>
  <si>
    <t>Gegevens OPEX TD &gt; 16 bar (EHD)  over verslagjaar: 2012</t>
  </si>
  <si>
    <t>Hoge druk (&gt;= 200 Mbar en &lt; 16 Bar)</t>
  </si>
  <si>
    <t>Lage druk (&lt; 200 Mbar)</t>
  </si>
  <si>
    <t>Totaal volume indien geen onderscheid LD/HD: Standaard</t>
  </si>
  <si>
    <t>Extra Hoge Druk (&gt; 16 bar)</t>
  </si>
  <si>
    <t>VOLUMES TELEMETRIE: GECONTRACTEERDE CAPACITEIT</t>
  </si>
  <si>
    <t>Aantal aansluitingen</t>
  </si>
  <si>
    <t>VOLUMES TELEMETRIE &lt; 16 bar</t>
  </si>
  <si>
    <t>Gecontracteerde capaciteit</t>
  </si>
  <si>
    <t>VOLUMES EXTRA HOGE DRUK (&gt; 16 bar)</t>
  </si>
  <si>
    <t>Productiviteitsdata Volumes Transportdienst Gas</t>
  </si>
  <si>
    <t>Dit blad bevat alle PRD-gegevens over de Volumes van de transportdienst voor Gas zoals ingediend door de netbeheerders (inclusief EHD)</t>
  </si>
  <si>
    <t>Tarieven Transportdienst Gas 2013</t>
  </si>
  <si>
    <t>Capaciteitsafhankelijk tarief (TAVTc) lage druk</t>
  </si>
  <si>
    <t>Capaciteitsafhankelijk tarief (TAVTc) hoge druk</t>
  </si>
  <si>
    <t>Capaciteitsafhankelijk tarief (TAVTc) standaard</t>
  </si>
  <si>
    <t>Kleinverbruik (t/m 40 m3/h)</t>
  </si>
  <si>
    <t>Profielgrootverbruik ( &gt;40 m3/h)</t>
  </si>
  <si>
    <t>Totaal OPEX AD uit gereguleerde activiteiten (Excl. EHD)</t>
  </si>
  <si>
    <t>Totaal OPEX TD uit gereguleerde activiteiten (Excl. EHD)</t>
  </si>
  <si>
    <t>Totaal OPEX TD EHD</t>
  </si>
  <si>
    <t>Gegevens OPEX AD EHD over verslagjaar: 2012</t>
  </si>
  <si>
    <t>Gegevens OPEX AD &lt; 16 bar over verslagjaar: 2009</t>
  </si>
  <si>
    <t>Gegevens OPEX AD &lt; 16 bar over verslagjaar: 2010</t>
  </si>
  <si>
    <t>Gegevens OPEX AD &lt; 16 bar over verslagjaar: 2011</t>
  </si>
  <si>
    <t>Gegevens OPEX AD &lt; 16 bar over verslagjaar: 2012</t>
  </si>
  <si>
    <t>Gegevens OPEX AD EHD over verslagjaar: 2009</t>
  </si>
  <si>
    <t>AANSLUITINGEN EHD: AANSLUITPUNT</t>
  </si>
  <si>
    <t>Totaal OPEX AD EHD</t>
  </si>
  <si>
    <t>Gegevens OPEX AD EHD over verslagjaar: 2010</t>
  </si>
  <si>
    <t>Gegevens OPEX AD EHD over verslagjaar: 2011</t>
  </si>
  <si>
    <t>EAV t/m 40 m3/h</t>
  </si>
  <si>
    <t>EAV groter dan 40 m3/h</t>
  </si>
  <si>
    <t>EHD 0-40 m3/h</t>
  </si>
  <si>
    <t>EHD 40-2500 m3/h</t>
  </si>
  <si>
    <t>Lage druk aansluitingen</t>
  </si>
  <si>
    <t>0 t/m 10 m3(n)/h</t>
  </si>
  <si>
    <t>10 t/m 16 m3(n)/h</t>
  </si>
  <si>
    <t>16 t/m 25 m3(n)/h</t>
  </si>
  <si>
    <t>25 t/m 40 m3(n)/h</t>
  </si>
  <si>
    <t>Hoge druk aansluitingen</t>
  </si>
  <si>
    <t>Extra hoge druk aansluitingen</t>
  </si>
  <si>
    <t>0 t/m 40 m3(n)/h</t>
  </si>
  <si>
    <t>40 t/m 65 m3(n)/h</t>
  </si>
  <si>
    <t>65 t/m 100 m3(n)/h</t>
  </si>
  <si>
    <t>100 t/m 160 m3(n)/h</t>
  </si>
  <si>
    <t>160 t/m 250 m3(n)/h</t>
  </si>
  <si>
    <t>250 t/m 400 m3(n)/h</t>
  </si>
  <si>
    <t>400 t/m 650 m3(n)/h</t>
  </si>
  <si>
    <t>650 t/m 1000 m3(n)/h</t>
  </si>
  <si>
    <t>1000 t/m 1600 m3(n)/h</t>
  </si>
  <si>
    <t>1600 t/m 2500 m3(n)/h</t>
  </si>
  <si>
    <t>vanaf 2500 m3(n)/h</t>
  </si>
  <si>
    <t>vanaf 40 m3(n)/h</t>
  </si>
  <si>
    <t>Tarieven PAV voor het jaar 2013</t>
  </si>
  <si>
    <t>Tarieven EAV voor het jaar 2013</t>
  </si>
  <si>
    <t>Periodieke Aansluitvergoeding aansluitingen groter dan 40 m3/h</t>
  </si>
  <si>
    <t>Periodieke Aansluitvergoeding aansluitingen t/m 40 m3/h</t>
  </si>
  <si>
    <t>Bijdragen Eenmalige Aansluitvergoeding t/m 40 m3(n)/h - aansluiting t/m 25 meter</t>
  </si>
  <si>
    <t>Bijdragen Eenmalige Aansluitvergoeding t/m 40 m3(n)/h - meerlengte &gt; 25 meter</t>
  </si>
  <si>
    <t>Bijdragen Eenmalige Aansluitvergoeding &gt; 40 m3(n)/h</t>
  </si>
  <si>
    <t>Gegevens Volumes AD over verslagjaar: 2009</t>
  </si>
  <si>
    <t>Gegevens Volumes AD over verslagjaar: 2012</t>
  </si>
  <si>
    <t>Gegevens Volumes AD over verslagjaar: 2011</t>
  </si>
  <si>
    <t>Gegevens Volumes AD over verslagjaar: 2010</t>
  </si>
  <si>
    <t>Rekencapaciteiten TD profielverbruikers</t>
  </si>
  <si>
    <t>Aggregatie Volumes TD over verslagjaar: 2009</t>
  </si>
  <si>
    <t>AGGREGATIE EN BEREKENING VOLUMES</t>
  </si>
  <si>
    <t>Productiviteitsdata Volumes Aansluitdienst Gas</t>
  </si>
  <si>
    <t>Tarieven EAV voor het jaar 2010</t>
  </si>
  <si>
    <t>Tarieven EAV voor het jaar 2011</t>
  </si>
  <si>
    <t>Tarieven EAV voor het jaar 2012</t>
  </si>
  <si>
    <t>Totaal vergoedingen EAV</t>
  </si>
  <si>
    <t>Waarvan vergoeding EAV EHD</t>
  </si>
  <si>
    <t>Berekening vergoedingen EAV voor verslagjaar: 2010</t>
  </si>
  <si>
    <t>Berekening vergoedingen EAV voor verslagjaar: 2011</t>
  </si>
  <si>
    <t>Berekening vergoedingen EAV voor verslagjaar: 2012</t>
  </si>
  <si>
    <t>Berekening gestandaardiseerd capaciteitstarief Telemetrie</t>
  </si>
  <si>
    <t>Capaciteitstarieven telemetrie</t>
  </si>
  <si>
    <t>Corresponderende rekenvolumes</t>
  </si>
  <si>
    <t>Capaciteitsafhankelijk tarief (TAVTc) gestandaardaardiseerd</t>
  </si>
  <si>
    <t>Berekening gestandaardiseerd capaciteitstarief telemetrie</t>
  </si>
  <si>
    <t>Rekenvolumes te gebruiken voor de berekening van de wegingsfactoren</t>
  </si>
  <si>
    <t>Om te voorkomen dat hierdoor vertekende wegingsfactoren ontstaan, worden uitsluitend de rekenvolumes gehanteerd van netbeheerders die in 2013 ook daadwerkelijk een tarief hanteerden in een bepaalde categorie.</t>
  </si>
  <si>
    <t>NB: In enkele gevallen komt het voor dat op de standaardmanier geen gewogen wegingsfactor berekend kan worden, omdat alle netbeheerders met een bepaald tarief in 2013 geen rekenvolume over de periode 2010-2012 hadden in die categorieën.</t>
  </si>
  <si>
    <t>In deze uitzonderlijke gevallen wordt de wegingsfactor gebaseerd op een ongewogen gemiddelde van de tarieven in 2013.</t>
  </si>
  <si>
    <t>PAV: vanaf 40 m3(n)/h</t>
  </si>
  <si>
    <t>Aansluitdienst: extra hoge druk (&gt;= 16 bar)</t>
  </si>
  <si>
    <t>EAV: vanaf 40 m3(n)/h</t>
  </si>
  <si>
    <t>Totale kosten EHD</t>
  </si>
  <si>
    <t>Berekening correctiefactor voor aanpassing SO EHD</t>
  </si>
  <si>
    <t>Kosten per eenheid SO in domein &lt; 16 bar</t>
  </si>
  <si>
    <t>Correctiefactor voor wegingsfactoren EHD</t>
  </si>
  <si>
    <t>niet van toepassing</t>
  </si>
  <si>
    <t>Kosten netverliezen</t>
  </si>
  <si>
    <t>Kosten netverliezen toegewezen aan alle afnemers exclusief EHD</t>
  </si>
  <si>
    <t>Profielverbruikers</t>
  </si>
  <si>
    <t>Telemetrieverbruikers</t>
  </si>
  <si>
    <t>Profielkleinverbruikers</t>
  </si>
  <si>
    <t>EHD afnemers</t>
  </si>
  <si>
    <t>Berekening opslagen netverliezen</t>
  </si>
  <si>
    <t>SO uit netverliezen toe te voegen aan totaal</t>
  </si>
  <si>
    <t>SO toe te wijzen aan netverliezen (totaal)</t>
  </si>
  <si>
    <t>Verhouding kostenveroorzaking (per eenheid capaciteit) tussen telemetrie en profielverbruik</t>
  </si>
  <si>
    <t>Opslag op de wegingsfactoren</t>
  </si>
  <si>
    <t>Totale capaciteit transportdienst (rekenvolume)</t>
  </si>
  <si>
    <t>BEREKENINGEN</t>
  </si>
  <si>
    <t>Tussenstap: herschaling rekenvolume capaciteit voor netverlies</t>
  </si>
  <si>
    <t>factor</t>
  </si>
  <si>
    <t>eenheid</t>
  </si>
  <si>
    <t>Berekening kosteneffect van meenemen EHD in SO Netverliezen</t>
  </si>
  <si>
    <t>Inschatting extra kosten in verband met netverliezen EHD</t>
  </si>
  <si>
    <t>Capaciteitsafhankelijk tarief (TAVTc) lage druk (excl. Opslag netverlies)</t>
  </si>
  <si>
    <t>Capaciteitsafhankelijk tarief (TAVTc) hoge druk (excl. Opslag netverlies)</t>
  </si>
  <si>
    <t>Capaciteitsafhankelijk tarief (TAVTc) standaard (excl. Opslag netverlies)</t>
  </si>
  <si>
    <t>Extra kosten voor netverliezen EHD</t>
  </si>
  <si>
    <t>Genormaliseerde totale kosten 2010 excl. Netverliezen EHD</t>
  </si>
  <si>
    <t>Berekening wegingsfactoren excl. Netverlieswaardering (en excl. Herschaling EHD)</t>
  </si>
  <si>
    <t>Berekening wegingsfactoren EHD inclusief aanpassing voor neutralisatie maatstaf</t>
  </si>
  <si>
    <t>SO (voor correctie) EHD Enexis (excl. netverliezen)</t>
  </si>
  <si>
    <t>SO (voor correctie) EHD ZEBRA (excl. netverliezen)</t>
  </si>
  <si>
    <t>SO (voor correctie) EHD Enexis netverliezen</t>
  </si>
  <si>
    <t>SO (voor correctie) EHD ZEBRA netverliezen</t>
  </si>
  <si>
    <t>Kosten EHD 2010-2012 Enexis (excl. Netverliezen)</t>
  </si>
  <si>
    <t>Kosten EHD 2010-2012 ZEBRA (excl. Netverliezen)</t>
  </si>
  <si>
    <t>AANSLUITDIENST (ALLEEN EHD)</t>
  </si>
  <si>
    <t>Inschatting kosten EHD 2010-2012 Enexis Netverliezen</t>
  </si>
  <si>
    <t>Inschatting kosten EHD 2010-2012 ZEBRA Netverliezen</t>
  </si>
  <si>
    <t>Berekening wegingsfactoren inclusief netverlieswaardering (in TD) en incl. EHD</t>
  </si>
  <si>
    <t>Bewerken  gegevens OPEX TD (&lt; 16 bar) over verslagjaar: 2009</t>
  </si>
  <si>
    <t>Bewerken  gegevens OPEX TD (&lt; 16 bar) over verslagjaar: 2010</t>
  </si>
  <si>
    <t>Bewerken  gegevens OPEX TD (&lt; 16 bar) over verslagjaar: 2011</t>
  </si>
  <si>
    <t>Bewerken  gegevens OPEX TD (&lt; 16 bar) over verslagjaar: 2012</t>
  </si>
  <si>
    <t>Bewerken  gegevens OPEX TD EHD over verslagjaar: 2009</t>
  </si>
  <si>
    <t>OPHALEN RUWE OPEX (geaggregeerd)</t>
  </si>
  <si>
    <t>Totaalbedrag aan aanpassingen</t>
  </si>
  <si>
    <t>Geaggregeerde gegevens overige opbrengsten EHD voor verslagjaar 2009</t>
  </si>
  <si>
    <t>Geaggregeerde gegevens overige opbrengsten EHD voor verslagjaar 2010</t>
  </si>
  <si>
    <t>Geaggregeerde gegevens overige opbrengsten EHD voor verslagjaar 2011</t>
  </si>
  <si>
    <t>Geaggregeerde gegevens overige opbrengsten EHD voor verslagjaar 2012</t>
  </si>
  <si>
    <t>Totaalbedrag te salderen</t>
  </si>
  <si>
    <t>Totaal netto-OPEX TD EHD (ten behoeve van tariefregulering)</t>
  </si>
  <si>
    <t>Bewerken  gegevens OPEX TD EHD over verslagjaar: 2010</t>
  </si>
  <si>
    <t>Bewerken  gegevens OPEX TD EHD over verslagjaar: 2011</t>
  </si>
  <si>
    <t>Bewerken  gegevens OPEX TD EHD over verslagjaar: 2012</t>
  </si>
  <si>
    <t>Bewerken  gegevens OPEX AD (&lt; 16 bar) over verslagjaar: 2009</t>
  </si>
  <si>
    <t>Bewerken  gegevens OPEX AD (&lt; 16 bar) over verslagjaar: 2010</t>
  </si>
  <si>
    <t>Bewerken  gegevens OPEX AD (&lt; 16 bar) over verslagjaar: 2011</t>
  </si>
  <si>
    <t>Bewerken  gegevens OPEX AD (&lt; 16 bar) over verslagjaar: 2012</t>
  </si>
  <si>
    <t>Bewerken  gegevens OPEX AD EHD over verslagjaar: 2009</t>
  </si>
  <si>
    <t>Totaal netto-OPEX AD EHD (ten behoeve van tariefregulering)</t>
  </si>
  <si>
    <t>Bewerken  gegevens OPEX AD EHD over verslagjaar: 2010</t>
  </si>
  <si>
    <t>Bewerken  gegevens OPEX AD EHD over verslagjaar: 2011</t>
  </si>
  <si>
    <t>Bewerken  gegevens OPEX AD EHD over verslagjaar: 2012</t>
  </si>
  <si>
    <t>Totaal netto-OPEX AD (ten behoeve van tariefregulering)</t>
  </si>
  <si>
    <t>Totaal netto-OPEX TD (ten behoeve van tariefregulering)</t>
  </si>
  <si>
    <t>Berekening van operationele kosten aansluitdienst</t>
  </si>
  <si>
    <t>Berekening van operationele kosten transportdienst</t>
  </si>
  <si>
    <t>Delta</t>
  </si>
  <si>
    <t>Delta EHD</t>
  </si>
  <si>
    <t>Obragas</t>
  </si>
  <si>
    <t>Intergas</t>
  </si>
  <si>
    <t>Enexis EHD</t>
  </si>
  <si>
    <t>Haarlemmer</t>
  </si>
  <si>
    <t>Rendo</t>
  </si>
  <si>
    <t>Zebra EHD</t>
  </si>
  <si>
    <t>Import gegevens uit GAW sheet (incl. EHD)</t>
  </si>
  <si>
    <t>INDELING NA FUSIES (excl. EHD)</t>
  </si>
  <si>
    <t>BEREKENING RUWE KAPITAALKOSTEN (excl. EHD)</t>
  </si>
  <si>
    <t>NETTO-KAPITAALKOSTEN T.B.V. REGULERING (Excl. EHD)</t>
  </si>
  <si>
    <t>Met kapitaalkosten te salderen overige opbrengsten</t>
  </si>
  <si>
    <t>ZEBRA EHD</t>
  </si>
  <si>
    <t>GEGEVENS KAPITAALKOSTEN EHD-NETTEN</t>
  </si>
  <si>
    <t>BEREKENING RUWE KAPITAALKOSTEN EHD</t>
  </si>
  <si>
    <t>NETTO-KAPITAALKOSTEN T.B.V. REGULERING EHD</t>
  </si>
  <si>
    <t>Netto-kapitaalkosten EHD</t>
  </si>
  <si>
    <t>Kapitaalkosten EHD</t>
  </si>
  <si>
    <t>Totaal te salderen met kapitaalkosten EHD</t>
  </si>
  <si>
    <t>Met kapitaalkosten EHD te salderen overige opbrengsten</t>
  </si>
  <si>
    <t>Te salderen opbrengsten uit desinvesteringen (EH)</t>
  </si>
  <si>
    <t>Overige aanpassingen op de Kapitaalkosten EHD (n.a.v. beoordeling NMa)</t>
  </si>
  <si>
    <t>Berekening van Kapitaalkosten transportdienst</t>
  </si>
  <si>
    <t>Berekening van Kapitaalkosten aansluitdienst</t>
  </si>
  <si>
    <t>Netto operationele kosten transportdienst (excl. EHD)</t>
  </si>
  <si>
    <t>Operationele kosten (excl. EHD)</t>
  </si>
  <si>
    <t>Netto operationele kosten aansluitdienst (excl. EHD)</t>
  </si>
  <si>
    <t>Kapitaalkosten (excl. EHD)</t>
  </si>
  <si>
    <t>Waarvan: ORV lokale heffingen: precario</t>
  </si>
  <si>
    <t>Waarvan: ORV lokale heffingen: gedoogbelastingen</t>
  </si>
  <si>
    <t>Inkomsten uit eenmalige aansluitvergoeding (aansluitdienst)</t>
  </si>
  <si>
    <t>Operationele kosten EHD</t>
  </si>
  <si>
    <t>Aansluitdienst</t>
  </si>
  <si>
    <t>Transportdienst (exclusief inschatting netverliezen)</t>
  </si>
  <si>
    <t>Inkomsten uit eenmalige aansluitvergoeding (aansluitdienst EHD)</t>
  </si>
  <si>
    <t>Netverliespercentage</t>
  </si>
  <si>
    <t>Inschatting kosten netverliezen 2010</t>
  </si>
  <si>
    <t>Inschatting kosten netverliezen 2011</t>
  </si>
  <si>
    <t>Inschatting kosten netverliezen 2012</t>
  </si>
  <si>
    <t>Gegevens Overige opbrengsten EHD AD (geaggregeerd)</t>
  </si>
  <si>
    <t>Gegevens Overige opbrengsten EHD TD (geaggregeerd)</t>
  </si>
  <si>
    <t>Totale kosten (incl. netverliezen) 2010-2012 excl. ORV, excl. EHD</t>
  </si>
  <si>
    <t>SO (incl. netverliezen) 2013 excl. EHD (o.b.v. RV)</t>
  </si>
  <si>
    <t>pre 2009</t>
  </si>
  <si>
    <t>Inschatting totale kosten netverlies (excl. EHD)</t>
  </si>
  <si>
    <t>Inschatting kosten netverliezen (excl. EHD)</t>
  </si>
  <si>
    <t>Nacalculatie ORV Lokale Heffingen 2011</t>
  </si>
  <si>
    <t>Correcties te verrekenen met tarieven transportdienst</t>
  </si>
  <si>
    <t>Procentuele aanpassing van de tarieven (positief is aanpassing naar beneden)</t>
  </si>
  <si>
    <t>Berekening procentuele aanpassing van de tarieven transportdienst</t>
  </si>
  <si>
    <t>Betrokken inkomsten (excl. EHD)</t>
  </si>
  <si>
    <t>Totale inkomsten transportdienst</t>
  </si>
  <si>
    <t>Waarvan vastrecht kleinvebruik en profielgrootverbruik</t>
  </si>
  <si>
    <t>De onderliggende berekeningen van de jaarlijkse PV's worden zoveel mogelijk aangepast aan de methodische keuzes voor NG5R.</t>
  </si>
  <si>
    <t>SO Transportdienst voor berekening PV NG5R (excl. EHD en netverlies)</t>
  </si>
  <si>
    <t>Ophalen relevante gegevens</t>
  </si>
  <si>
    <t>Berekening inschatting kosten netverliezen voor 2013</t>
  </si>
  <si>
    <t>Inschatting totale kosten netverlies (excl. EHD) 2010 in prijspeil 2013</t>
  </si>
  <si>
    <t>Inschatting totale kosten netverlies (excl. EHD) 2011 in prijspeil 2013</t>
  </si>
  <si>
    <t>Inschatting totale kosten netverlies (excl. EHD) 2012 in prijspeil 2013</t>
  </si>
  <si>
    <t>Data uit onderzoek Netverliezen</t>
  </si>
  <si>
    <t>Zebra</t>
  </si>
  <si>
    <t>Netverliespercentage 2010</t>
  </si>
  <si>
    <t>Inschatting totale kosten netverlies (excl. EHD) voor 2013 in prijspeil 2013</t>
  </si>
  <si>
    <t xml:space="preserve">Genormaliseerde totale kosten 2010 voor bepaling opslag netverliezen </t>
  </si>
  <si>
    <t xml:space="preserve">Genormaliseerde totale kosten 2011 voor bepaling opslag netverliezen </t>
  </si>
  <si>
    <t xml:space="preserve">Genormaliseerde totale kosten 2012 voor bepaling opslag netverliezen </t>
  </si>
  <si>
    <t xml:space="preserve">Genormaliseerde totale kosten voor bepaling opslag netverliezen </t>
  </si>
  <si>
    <t>Genorm. TK 2010 voor bepaling opslag netverliezen in eff.niveau en pp 2013</t>
  </si>
  <si>
    <t>Genorm. TK 2011 voor bepaling opslag netverliezen in eff.niveau en pp 2013</t>
  </si>
  <si>
    <t>Genorm. TK 2012 voor bepaling opslag netverliezen in eff.niveau en pp 2013</t>
  </si>
  <si>
    <t>Genorm. TK voor bepaling opslag netverliezen in efficiëntieniveau en prijspeil 2013</t>
  </si>
  <si>
    <t>Gemiddelde genorm. TK voor bepaling opslag netverliezen</t>
  </si>
  <si>
    <t>Gemiddelde genorm. TK voor bepaling opslag netverliezen (excl. EHD)</t>
  </si>
  <si>
    <t>Totale indicatieve SO (excl. EHD, o.b.v. Rekenvolumes)</t>
  </si>
  <si>
    <t>PAV EHD</t>
  </si>
  <si>
    <t>Periodieke aansluitvergoeding</t>
  </si>
  <si>
    <t>Totaal PAV (excl. EHD)</t>
  </si>
  <si>
    <t>Eenmalige aansluitvergoeding (&lt; 25 meter)</t>
  </si>
  <si>
    <t>Totaal EAV &lt; 25 meter (excl. EHD)</t>
  </si>
  <si>
    <t>EAV (&lt; 25 meter) EHD</t>
  </si>
  <si>
    <t>Eenmalige aansluitvergoeding meerlengte (&gt;25 meter)</t>
  </si>
  <si>
    <t>Totaal EAV meerlengte (excl. EHD)</t>
  </si>
  <si>
    <t>EAV meerlengte EHD</t>
  </si>
  <si>
    <t>Waarvan EHD:</t>
  </si>
  <si>
    <t>SO Transportdienst (excl. EHD) voor Productiviteitsverandering</t>
  </si>
  <si>
    <t>SO 2009 TD (excl. EHD)</t>
  </si>
  <si>
    <t>SO 2010 TD  (excl. EHD)</t>
  </si>
  <si>
    <t>SO 2011 TD  (excl. EHD)</t>
  </si>
  <si>
    <t>SO 2012 TD  (excl. EHD)</t>
  </si>
  <si>
    <t>SO TD (excl. EHD) op basis van wegingsfactoren zonder de opslag voor netverliezen daarin.</t>
  </si>
  <si>
    <t>Berekening SO 2013 (excl. effect opslag netverliezen en excl. EHD)</t>
  </si>
  <si>
    <t>SO van transport en aansluitdienst, excl. EHD, met toepassing van de wegingsfactoren exclusief de opslag voor netverliezen.</t>
  </si>
  <si>
    <t>SO t.b.v. berekening opslag voor netverliezen</t>
  </si>
  <si>
    <t>Extra kosten voor netverliezen EHD in 2010, o.b.v. inschatting voor 2013</t>
  </si>
  <si>
    <t>Extra kosten voor netverliezen EHD in 2011, o.b.v. inschatting voor 2013</t>
  </si>
  <si>
    <t>Extra kosten voor netverliezen EHD in 2012, o.b.v. inschatting voor 2013</t>
  </si>
  <si>
    <t>SO Transportdienst (incl. EHD en netverliezen)</t>
  </si>
  <si>
    <t>SO Aansluitdienst  (incl. EHD en netverliezen)</t>
  </si>
  <si>
    <t>Legenda celkleuren</t>
  </si>
  <si>
    <t>Data en input</t>
  </si>
  <si>
    <t>Berekende waarde</t>
  </si>
  <si>
    <t>Waarde die zonder berekening wordt overgenomen uit een andere cel</t>
  </si>
  <si>
    <t>Berekende of overgenomen waarde en tevens resultaat</t>
  </si>
  <si>
    <t>Waarde of berekening die speciale aandacht vraagt (toelichting in opmerking)</t>
  </si>
  <si>
    <t>Waarde of berekening die (vooralsnog) kennelijk onjuist of onvolledig is</t>
  </si>
  <si>
    <t>WACC NG5R (2014-2016)</t>
  </si>
  <si>
    <t>Berekening o.b.v. genormaliseerde totale kosten. Ten behoeve van de bepaling van de opslag voor netverliezen is dit totale kostenbedrag exclusief EHD en de ingeschatte kosten van netverliezen.</t>
  </si>
  <si>
    <t>Correctiebedragen als gevolg van nacalculaties in de tarieven 2013</t>
  </si>
  <si>
    <t>Tarieven 2013 t.b.v. wegingsfactoren (na aanpassing voor correcties)</t>
  </si>
  <si>
    <t>NB: Omdat de rekenvolumes gebaseerd worden op de periode 2010-2012 en de tarieven uit 2013 afkomstig zijn, kan de situatie ontstaan dat volumes worden meegerekend terwijl de betreffende netbeheerder geen tarief heeft.</t>
  </si>
  <si>
    <t>Bij het berekenen van de productsom wordt dan een positief volume vermenigvuldigt met een tarief van 'nul'. Hierdoor ontstaat een foutief gewogen gemiddelde.</t>
  </si>
  <si>
    <t>Berekening waarde maatstaf vóór berekening opslagen netverliezen</t>
  </si>
  <si>
    <t>NB: In onderstaande berekeningen wordt informatie opgehaald uit bladen die NA dit blad komen. De reden hiervoor is dat conform de methode een inschatting van de kosten per eenheid output (SO) nodig is om de opslag voor netverliezen te kunnen bepalen.</t>
  </si>
  <si>
    <t>Om deze kringverwijzing te voorkomen worden onderstaande berekeningen gemaakt, die als een nauwkeurige benadering van de uiteindelijke waarde gelden, maar eventuele tweede orde effecten negeren.</t>
  </si>
  <si>
    <t>Berekening van de SO op sectorniveau, t.b.v. inschatten maatstaf exclusief het effect van de opslag voor netverliezen</t>
  </si>
  <si>
    <t>Samengestelde output (excl. effect van opslag voor netverliezen)</t>
  </si>
  <si>
    <t>Totale SO (excl. EHD) op sectorniveau</t>
  </si>
  <si>
    <t xml:space="preserve"> (voor deze berekening wordt 1 capaciteit profielverbruik gesteld op 1 eenheid)</t>
  </si>
  <si>
    <t>Ingeschatte besparingen Marktmodel</t>
  </si>
  <si>
    <t>Berekening  jaarlijkse PV 2009-2012</t>
  </si>
  <si>
    <t>Genormaliseerde totale kosten 2011 excl. Netverliezen EHD</t>
  </si>
  <si>
    <t>Genormaliseerde totale kosten 2012 excl. Netverliezen EHD</t>
  </si>
  <si>
    <t>Inschatting extra kosten voor netverliezen EHD in 2013 o.b.v. opslag wegingsfactoren</t>
  </si>
  <si>
    <t>Efficiëntie kosten 2013 excl. ORV</t>
  </si>
  <si>
    <t>Efficiëntie kosten 2013 excl. ORV per eenheid SO (o.b.v. RV2013)</t>
  </si>
  <si>
    <t>Efficiëntie kosten 2016 excl. ORV per eenheid SO (o.b.v. RV2013)</t>
  </si>
  <si>
    <t>EUR/#, pp 2016</t>
  </si>
  <si>
    <t>Begininkomsten 2013 met toepassing van aanpassing naar efficiënte kosten</t>
  </si>
  <si>
    <t>Q-factor voor de periode 2014-2016 (op nul gesteld)</t>
  </si>
  <si>
    <t>Bron: methodebesluit</t>
  </si>
  <si>
    <t>Tarieven Aansluitdienst Gas</t>
  </si>
  <si>
    <t>Dit blad geeft een overzicht van de omzet uit de Eenmalige Aansluitvergoeding van de regionale netbeheerders voor de jaren 2010-2012</t>
  </si>
  <si>
    <t>Productiviteitsdata Overige Opbrengsten TD Gas</t>
  </si>
  <si>
    <t>Productiviteitsdata OPEX Aansluitdienst gas</t>
  </si>
  <si>
    <t>Dit blad bevat alle PRD-gegevens over de OPEX voor de aansluitdienst gas zoals ingediend door de netbeheerders (EHD onderaan)</t>
  </si>
  <si>
    <t>Productiviteitsdata Overige Opbrengsten AD Gas</t>
  </si>
  <si>
    <t>De gegevens zijn ontleend aan de opgenomen bedragen in de Bijlage bij het tarievenbesluit van iedere netbeheerder. De EAV-tarieven 2010 zijn ontleend aan de PRD-gegevens.</t>
  </si>
  <si>
    <t>Dit blad geeft een overzicht van de data met betrekking tot de GAW berekening van zowel de transportdienst als de aansluitdienst.</t>
  </si>
  <si>
    <t>Let op: EHD is als afzonderlijke netbeheerder opgenomen in de kolommenreeks. De kolommen komen zodoende niet overeen met de standaardindeling.</t>
  </si>
  <si>
    <t>Dit blad geeft een overzicht van de data met betrekking tot de kostenbesparingen van netbeheerders als gevolg van de invoering van het nieuwe marktmodel / leveranciersmodel.</t>
  </si>
  <si>
    <t>De data zijn per jaar de structurele kostenbesparingen voor de sector als geheel.</t>
  </si>
  <si>
    <t>Aggregatie Volumes Transportdienst Gas</t>
  </si>
  <si>
    <t>Dit blad geeft een overzicht van de data met betrekking tot de operationele kosten en standaardiseert de door netbeheerders opgegeven kosten tot standaard kostenposten.</t>
  </si>
  <si>
    <t>Hiermee maken we de kosten van de verschillende netbeheerders onderling vergelijkbaar en toepasbaar voor de berekening van de x factor.</t>
  </si>
  <si>
    <t xml:space="preserve">Op dit blad worden de Totale kosten berekend voor gebruik in de maatstaf ("genormaliseerde totale kosten") voor de jaren 2010-2012. </t>
  </si>
  <si>
    <t>Berekening genormaliseerde totale kosten (2010-2012)</t>
  </si>
  <si>
    <t>Dit blad bevat de berekening van de wegingsfactoren, incl. de berekening van de opslagen voor de kosten van netverliezen.</t>
  </si>
  <si>
    <t>Ook de wegingsfactoren voor EHD (gecorrigeerd voor de 'gecorrigeerde prestatie') worden op dit blad berekend.</t>
  </si>
  <si>
    <t>Relevante correcties in tarieven 2013</t>
  </si>
  <si>
    <t>2) voor de berekening van de opslagen voor netverliezen, en 3) voor de berekening van de uiteindleijke maatstaf die gehanteerd wordt in de x-factorberekening.</t>
  </si>
  <si>
    <t xml:space="preserve">Op dit blad wordt de SO berekend. In totaal zijn er drie berekening van de Samengestelde Output: 1) voor de berekening van de jaarlijkse productiviteitsverandering, </t>
  </si>
  <si>
    <t>Onderstaand worden de indicatieve TI-bedragen berekend die het resultaat vormen van de x-factorberekening. Deze bedragen hebben binnen de x-factor geen formele betekenis, maar dienen als richtbedrag.</t>
  </si>
  <si>
    <t>De daadwerkelijke TI-bedragen komen pas vast te staan bij het nemen van de jaarlijkse tarievenbesluiten.</t>
  </si>
  <si>
    <t>Dit blad bevat alle PRD-gegevens over de Overige opbrengsten uit gereguleerde activiteiten voor de transportdienst gas zoals ingediend door de netbeheerders.</t>
  </si>
  <si>
    <t>Dit blad bevat alle Tarieven voor de transportdienst voor gas zoals die zijn vastgesteld in de tarievenbesluiten voor het jaar 2013</t>
  </si>
  <si>
    <t>Dit blad bevat alle PRD-gegevens over de Overige opbrengsten uit gereguleerde activiteiten voor de aansluitdienst gas zoals ingediend door de netbeheerders.</t>
  </si>
  <si>
    <t>Op dit blad worden de volumegegevens van de transportdienst geaggregeerd en gestandaardiseerd aan de hand van de standaard rekencapaciteiten.</t>
  </si>
  <si>
    <t>Ook worden de diverse salderingen uitgevoerd die volgen uit de opgaven van de netbeheerders. Tot slot worden eventuele aanpassingen gedaan die volgen uit de beoordeling van de OPEX-gegevens door ACM.</t>
  </si>
  <si>
    <t>Bron / opmerking / formule</t>
  </si>
  <si>
    <t>(formule 46)</t>
  </si>
  <si>
    <t>(formule 8)</t>
  </si>
  <si>
    <t>(formule 7)</t>
  </si>
  <si>
    <t>(formule 6)</t>
  </si>
  <si>
    <t>(formule 5)</t>
  </si>
  <si>
    <t>(formule 3, deels)</t>
  </si>
  <si>
    <t>(formule 4)</t>
  </si>
  <si>
    <t>(formule 29)</t>
  </si>
  <si>
    <t>(formule 13)</t>
  </si>
  <si>
    <t>(formule 14)</t>
  </si>
  <si>
    <t>(formule 15)</t>
  </si>
  <si>
    <t>(formule 10)</t>
  </si>
  <si>
    <t>(formule 18)</t>
  </si>
  <si>
    <t>(formule 20)</t>
  </si>
  <si>
    <t>(formule 22)</t>
  </si>
  <si>
    <t>(formule 23)</t>
  </si>
  <si>
    <t>(formule 31)</t>
  </si>
  <si>
    <t>(formule 34)</t>
  </si>
  <si>
    <t>(formule 36)</t>
  </si>
  <si>
    <t>(formule 37)</t>
  </si>
  <si>
    <t>(formule 27)</t>
  </si>
  <si>
    <t>(formule 40)</t>
  </si>
  <si>
    <t>(formule 43, deels)</t>
  </si>
  <si>
    <t>Invoeding</t>
  </si>
  <si>
    <t>MJ</t>
  </si>
  <si>
    <t>Verbruik profielverbruikers</t>
  </si>
  <si>
    <t>Verbruik telemetriegrootverbruikers</t>
  </si>
  <si>
    <t>Netverlies</t>
  </si>
  <si>
    <t>Data invoeding en verbruik 2009</t>
  </si>
  <si>
    <t>Data invoeding en verbruik 2010</t>
  </si>
  <si>
    <t>Inkoop commodity</t>
  </si>
  <si>
    <t>Balancering</t>
  </si>
  <si>
    <t>Transport</t>
  </si>
  <si>
    <t xml:space="preserve">Data inschatting kosten netverliezen </t>
  </si>
  <si>
    <t>Berekeningen netverliezen</t>
  </si>
  <si>
    <t>Berekening kosten netverliezen (excl. EHD)</t>
  </si>
  <si>
    <t>Totale verbruik profielverbruikers</t>
  </si>
  <si>
    <t>Totale verbruik telemetriegrootverbruikers</t>
  </si>
  <si>
    <t>Totale verbruik</t>
  </si>
  <si>
    <t>Aandeel verbruik profielverbruik in totaal verbruik</t>
  </si>
  <si>
    <t>Aandeel verbruik telemetrieverbruik in totaal verbruik</t>
  </si>
  <si>
    <t>Data invoeding en verbruik (excl. EHD)</t>
  </si>
  <si>
    <t>Netverliespercentage 2009</t>
  </si>
  <si>
    <t>Berekening netverliespercentages (excl. EHD)</t>
  </si>
  <si>
    <t>Totalen over 2009 en 2010</t>
  </si>
  <si>
    <t>Waarvan: Forfaitair bedrag voorziening dubieuze debiteuren kleinverbruik</t>
  </si>
  <si>
    <t>WACC NG3R (2008-2010)</t>
  </si>
  <si>
    <t>WACC NG4R (2011-2013)</t>
  </si>
  <si>
    <t>Kapitaalkosten voor PV-berekening (met WACC NG3R)</t>
  </si>
  <si>
    <t>Kapitaalkosten voor PV-berekening (met WACC NG4R)</t>
  </si>
  <si>
    <t>OPEX TD voor PV berekening</t>
  </si>
  <si>
    <t>Kapitaalkosten voor PV-berekening (met gem. WACC NG3R/NG4R)</t>
  </si>
  <si>
    <t>Kapitaalkosten voor PV berekening (obv WACC NG3R)</t>
  </si>
  <si>
    <t>Kapitaalkosten voor PV berekening (obv WACC NG3R/NG4R)</t>
  </si>
  <si>
    <t>Kapitaalkosten voor PV berekening (obv WACC NG4R)</t>
  </si>
  <si>
    <t>Totale kosten voor PV berekening 2009-2010</t>
  </si>
  <si>
    <t>Totale kosten voor PV berekening 2010-2011</t>
  </si>
  <si>
    <t>Totale kosten voor PV berekening 2011-2012</t>
  </si>
  <si>
    <t>Berekening balansfactor voor toepassing op wegingsfactoren aansluitdienst</t>
  </si>
  <si>
    <t>Balansfactor</t>
  </si>
  <si>
    <t>Berekening balansfactor</t>
  </si>
  <si>
    <t>Totale kosten gesplitst in TD en AD voor berekening balansfactor</t>
  </si>
  <si>
    <t>Totale kosten transportdienst (incl. ORV en EHD)</t>
  </si>
  <si>
    <t>Totale kosten aansluitdienst (incl. ORV, EHD en EAV)</t>
  </si>
  <si>
    <t>BEREKENING GEMIDDELDE KOSTEN VOOR BALANSFACTOR</t>
  </si>
  <si>
    <t>Totale kosten transportdienst voor balansfactor 2010 in pp 2013</t>
  </si>
  <si>
    <t>Totale kosten transportdienst voor balansfactor 2011 in pp 2013</t>
  </si>
  <si>
    <t>Totale kosten transportdienst voor balansfactor 2012 in pp 2013</t>
  </si>
  <si>
    <t>Gemiddelde totale kosten transportdienst voor balansfactor</t>
  </si>
  <si>
    <t>Totale kosten aansluitdienst voor balansfactor 2010 in pp 2013</t>
  </si>
  <si>
    <t>Totale kosten aansluitdienst voor balansfactor 2011 in pp 2013</t>
  </si>
  <si>
    <t>Totale kosten aansluitdienst voor balansfactor 2012 in pp 2013</t>
  </si>
  <si>
    <t>Gemiddelde totale kosten aansluitdienst voor balansfactor</t>
  </si>
  <si>
    <t>Gemiddelde totale kosten transportdienst</t>
  </si>
  <si>
    <t xml:space="preserve">Inkomsten aansluitdienst o.b.v. ongecorrigeerde tarieven 2013 en rekenvolumes </t>
  </si>
  <si>
    <t xml:space="preserve">Inkomsten transportdienst o.b.v. ongecorrigeerde tarieven 2013 en rekenvolumes </t>
  </si>
  <si>
    <t>Gemiddelde totale kosten aansluitdienst</t>
  </si>
  <si>
    <t>Volume netverliezen excl. EHD (totaal)</t>
  </si>
  <si>
    <t>Resulterende wegingsfactoren (tussenstap) voor EHD capaciteitstarief</t>
  </si>
  <si>
    <t>SO capaciteitsafhankelijke tariefcategorie telemetrie</t>
  </si>
  <si>
    <t>Verhouding kosten netverliezen telemetrie tov SO capaciteitsafhankelijke tariefcategorie telemetrie</t>
  </si>
  <si>
    <t>SO capaciteitsafhankelijke tariefcategorie EHD</t>
  </si>
  <si>
    <t>Kosten netverliezen EHD</t>
  </si>
  <si>
    <t>Kosten netverliezen toe te rekenen aan telemetrie</t>
  </si>
  <si>
    <t>Rekenvolume capaciteitsafhankelijke tariefcategorie telemetrie</t>
  </si>
  <si>
    <t>NREI</t>
  </si>
  <si>
    <t>OBRA</t>
  </si>
  <si>
    <t>NXIS  (Ex. INTE)</t>
  </si>
  <si>
    <t>INTE</t>
  </si>
  <si>
    <t>LIAN (ex. HAAR)</t>
  </si>
  <si>
    <t>HAAR</t>
  </si>
  <si>
    <t>Bron invoeding en verbruik: reconciliatiegegevens uit dataverzoek van november 2012.</t>
  </si>
  <si>
    <t>Verbruik</t>
  </si>
  <si>
    <t>Hoeveelheid netverlies (volume in MJ) per eenheid capaciteit</t>
  </si>
  <si>
    <t>NXIS (Ex. INTE)</t>
  </si>
  <si>
    <t>Bedrag oninbare/afgeboekte facturen van in rekening gebrachte kosten n.a.v. fraude en leegstand</t>
  </si>
  <si>
    <t>Opgegeven bedrag (o.b.v. toelichting in PRD)</t>
  </si>
  <si>
    <t>TD: Opbrengst uit verhuur en verkoop materialen e.d.</t>
  </si>
  <si>
    <t>Fraude en leegstand: In rekening gebracht gas</t>
  </si>
  <si>
    <t>TD: In rekening gebrachte schades en storingen</t>
  </si>
  <si>
    <t>TD: In rekening gebrachte incasso, administratie- en aanmaningskosten</t>
  </si>
  <si>
    <t>AD: Verwijdering, reconstructie, modificatie en onderhoud aansluitingen</t>
  </si>
  <si>
    <t>AD: Opbrengst uit verhuur en verkoop materialen e.d.</t>
  </si>
  <si>
    <t>Fraude en leegstand: In rekening gebrachte aansluitvergoeding</t>
  </si>
  <si>
    <t>AD: In rekening gebrachte schades en storingen</t>
  </si>
  <si>
    <t>AD: In rekening gebrachte incasso, administratie- en aanmaningskosten</t>
  </si>
  <si>
    <t>Netto structurele besparing</t>
  </si>
  <si>
    <t>Eenmalige (incidentele) extra kosten</t>
  </si>
  <si>
    <t>EUR, pp 2009</t>
  </si>
  <si>
    <t>Opgegeven bedrag (o.b.v. toelichting in PRD; in mindering brengen)</t>
  </si>
  <si>
    <t>Voor de jaren 2009 t/m 2012 zijn het de gerealiseerde besparingen. Voor de jaren 2013 t/m 2016 zijn het de verwachte besparingen.</t>
  </si>
  <si>
    <t>Berekening  jaarlijkse PV's 2005-2009 (op basis van NG3R en NG4R)</t>
  </si>
  <si>
    <t>Jaarlijkse productiviteitsverandering 2005-2006</t>
  </si>
  <si>
    <t>Jaarlijkse productiviteitsverandering 2006-2007</t>
  </si>
  <si>
    <t>Jaarlijkse productiviteitsverandering 2007-2008</t>
  </si>
  <si>
    <t>Jaarlijkse productiviteitsverandering 2008-2009</t>
  </si>
  <si>
    <t>Inschatting dubieuze debiteuren kleinverbruik elektriciteit 2010</t>
  </si>
  <si>
    <t>Inschatting dubieuze debiteuren kleinverbruik elektriciteit 2011</t>
  </si>
  <si>
    <t>Inschatting dubieuze debiteuren kleinverbruik elektriciteit 2012</t>
  </si>
  <si>
    <t>Besparingen invoering nieuwe marktmodel gas</t>
  </si>
  <si>
    <t>Inschatting gemiddelde kosten dub.deb. kleinverbruik in prijspeil 2013</t>
  </si>
  <si>
    <t>Besparingsbedrag marktmodel (excl. effect dub.deb.) begin reguleringsperiode</t>
  </si>
  <si>
    <t>Besparingsbedrag marktmodel (excl. effect dub.deb.) einde reguleringsperiode</t>
  </si>
  <si>
    <t>Besparingsbedrag t.o.v. 2009 (mee te nemen in NE6R)</t>
  </si>
  <si>
    <t>Bedrag t.o.v. besparing in 2009:</t>
  </si>
  <si>
    <t>Bron: Tabel 2.3 (pag. 56) van rapport Ecorys</t>
  </si>
  <si>
    <t>Relevante data in verband met invoering nieuwe marktmodel</t>
  </si>
  <si>
    <t>Besparingssaldo</t>
  </si>
  <si>
    <t>Nieuwe' structurele besparingen 2013 (niveau 2012 + 5 maanden "nieuwe niveau")</t>
  </si>
  <si>
    <t>Inschatting werkelijke kosten dubieuze debiteuren kleinverbruik 2010</t>
  </si>
  <si>
    <t>Inschatting werkelijke kosten dubieuze debiteuren kleinverbruik 2011</t>
  </si>
  <si>
    <t>Inschatting werkelijke kosten dubieuze debiteuren kleinverbruik 2012</t>
  </si>
  <si>
    <t>De inschatting van de langjarige PV voor de periode 2013-2016 wordt gebaseerd op de jaarlijkse PV's in de periode 2005-2012 (eerste meetjaar 2005-2006).</t>
  </si>
  <si>
    <t>De jaarlijkse productiviteitsveranderingen zijn gebaseerd op de x-factorberekeningen uit NG3R en NG4R. Op deze berekeningen zijn een aantal aanpassingen gemaakt, welke beschreven zijn in het methodebesluit.</t>
  </si>
  <si>
    <t>Een beschrijving van deze aanpassingen is opgenomen in het methodebesluit.</t>
  </si>
  <si>
    <t>Voor de productiviteitsberekening over 2009-2012 wordt gebruik gemaakt van  de kostenniveaus van de transportdienst voor de jaren 2009-2012 die op sommige punten zijn aangepast voor de PV-meting (ten behoeve van de methode in de periode 2014-2016).</t>
  </si>
  <si>
    <t>WACC</t>
  </si>
  <si>
    <t>Overzicht WACC parameters</t>
  </si>
  <si>
    <t>WACC Bijlage bij methodebesluit NG3R</t>
  </si>
  <si>
    <t>WACC Bijlage bij methodebesluit NG4R</t>
  </si>
  <si>
    <t>WACC Bijlage bij methodebesluit NG5R</t>
  </si>
  <si>
    <t>Inschatting kosten netverliezen voor verslagjaar 2010 bij netverliespercentage van 0,513%</t>
  </si>
  <si>
    <t>Inschatting kosten netverliezen voor verslagjaar 2011 bij netverliespercentage van 0,513%</t>
  </si>
  <si>
    <t>Inschatting kosten netverliezen voor verslagjaar 2012 bij netverliespercentage van 0,513%</t>
  </si>
  <si>
    <t>Verhoging  schatting kosten wegens te lage kostenschatting</t>
  </si>
  <si>
    <t>Ophoging schatting kosten netverliezen</t>
  </si>
  <si>
    <t>Ophoging kostenschatting wegens gewijzigd netverliespercentage</t>
  </si>
  <si>
    <t>Ophoging kostenschatting wegens verhoging kostenschatting</t>
  </si>
  <si>
    <t>Inschatting kosten netverliezen bij netverliespercentage van 0,519%</t>
  </si>
  <si>
    <t>Inschatting totale kosten netverlies (excl. EHD) 2010 in prijspeil 2010</t>
  </si>
  <si>
    <t>Inschatting totale kosten netverlies (excl. EHD) 2011 in prijspeil 2011</t>
  </si>
  <si>
    <t>Inschatting totale kosten netverlies (excl. EHD) 2012 in prijspeil 2012</t>
  </si>
  <si>
    <t>Oorspronkelijk gehanteerde netverliespercentage (o.a. in rapport Kyos)</t>
  </si>
  <si>
    <t>Aandeel in verbruik en netverliezen</t>
  </si>
  <si>
    <t>Volume netverliezen 2009 plus 2010</t>
  </si>
  <si>
    <t>Aandeel van profielverbruikers in netverlies</t>
  </si>
  <si>
    <t>Aandeel van telemetrieverbruikers in netverlies</t>
  </si>
  <si>
    <t>Berekening Begininkomsten 2013</t>
  </si>
  <si>
    <t>Berekening van kostenbasis voor vaststellen van Efficiënte Kosten voor het jaar 2013</t>
  </si>
  <si>
    <t>Op dit blad worden de Totale kosten berekend voor gebruik in de kostenbasis voor het vaststellen van de efficiënte kosten voor het jaar 2013.</t>
  </si>
  <si>
    <t>Gerealiseerde besparing 2010 (t.o.v. 2009; analyse Ecorys)</t>
  </si>
  <si>
    <t>Gerealiseerde besparing 2011 (t.o.v. 2009; analyse Ecorys)</t>
  </si>
  <si>
    <t>Gerealiseerde besparing 2012 (t.o.v. 2009; analyse Ecorys)</t>
  </si>
  <si>
    <t>Berekeningen efficiënte kosten 2013 ten behoeve van de toepassingsvoorwaarde van de one-off</t>
  </si>
  <si>
    <t>Ingeschatte besparing begin reguleringsperiode (2014 t.o.v. 2009; analyse Ecorys)</t>
  </si>
  <si>
    <t>Deze bedragen zijn incl. besparingen op dubieuze debiteuren</t>
  </si>
  <si>
    <t>Ingeschatte besparing einde reguleringsperiode (2016 t.o.v. 2009; analyse Ecorys)</t>
  </si>
  <si>
    <t>Berekening gemiddelde kosten t.b.v. Efficiënte kosten 2013</t>
  </si>
  <si>
    <t>Berekening Efficiënte kosten 2013 t.b.v. toepassingsvoorwaarde one-off</t>
  </si>
  <si>
    <t>Efficiënte kosten 2013 (t.b.v. one-off) excl. ORV per netbeheerder</t>
  </si>
  <si>
    <t>Inschatting efficiënte kosten ORV Lokale Heffingen 2013  (t.b.v. one-off)</t>
  </si>
  <si>
    <t>Efficiënte kosten 2013 per netbeheerder (t.b.v. toepassingsvoorwaarde one-off)</t>
  </si>
  <si>
    <t>Inschatting van de kosten voor het jaar 2013  (ten behoeve van 'aanleidingstoets one-off')</t>
  </si>
  <si>
    <t>De berekening vindt plaats op sectorniveau, omdat de aanleidingstoets op sectorniveau wordt uitgevoerd.</t>
  </si>
  <si>
    <t>Inschatting kosten 2013</t>
  </si>
  <si>
    <t>Ophalen gemiddelden voor inschatting kosten 2013</t>
  </si>
  <si>
    <t>Gemiddelde kostenbasis voor kosten 2013 in efficiëntie-niveau 2013</t>
  </si>
  <si>
    <t>Ingeschatte besparing 2013 (t.o.v. 2009; analyse Ecorys)</t>
  </si>
  <si>
    <t>BEREKENING</t>
  </si>
  <si>
    <t>Toetsen voor de toepassing van de aanpassing van de begininkomsten naar efficiënte kosten 2013 ("one-off")</t>
  </si>
  <si>
    <t>Op dit blad worden de twee toetsen uitgevoerd die in het methodebesluit beschreven zijn in verband met de aanpassing van de begininkomsten.</t>
  </si>
  <si>
    <t>De uitkomsten van de beide toetsen zijn kwalitatief verwoord in het methodebesluit.</t>
  </si>
  <si>
    <t>Toets toepassingsvoorwaarde voor aanpassen begininkomsten naar efficiënte kosten 2013 (one-off)</t>
  </si>
  <si>
    <t>Toets aanleiding voor aanpassen begininkomsten naar efficiënte kosten 2013 (one-off)</t>
  </si>
  <si>
    <t>Ophalen tarieven 2013 na correcties</t>
  </si>
  <si>
    <t>Ophalen Rekenvolumes 2014-2016</t>
  </si>
  <si>
    <t>Begininkomstenbedrag Transportdienst</t>
  </si>
  <si>
    <t>Begininkomstenbedrag Aansluitdienst</t>
  </si>
  <si>
    <t>In deze berekening wordt gebruik gemaakt van de WACC voor NG4R omdat die als basis dient voor de berekening van de efficiënte kosten in 2013 ten behoeve van de toepassingsvoorwaarde voor aanpassing van de begininkomsten aan het efficiënte kostenniveau voor 2013 ("one-off").</t>
  </si>
  <si>
    <t>Kapitaalkosten totaal (excl. ORV Lokale Heffngen) voor Eff.Kosten 2013 voor one-off-toets (met WACC NG4R)</t>
  </si>
  <si>
    <t>Kapitaalkosten ORV Lokale Heffngen voor Eff.Kosten 2013 voor one-off-toets (met WACC NG4R)</t>
  </si>
  <si>
    <t>Kapitaalkosten EHD voor Eff.Kosten 2013 voor one-off-toets (met WACC NG4R)</t>
  </si>
  <si>
    <t>Te salderen opbrengsten uit desinvesteringen (EHD)</t>
  </si>
  <si>
    <t>Overige aanpassingen op de Kapitaalkosten EHD (n.a.v. beoordeling ACM)</t>
  </si>
  <si>
    <t>Kapitaalkosten AD voor Eff.Kosten 2013 voor one-off-toets (met WACC NG4R)</t>
  </si>
  <si>
    <t>Genormaliseerde totale kosten 2010 (WACC NG5R)</t>
  </si>
  <si>
    <t>Genormaliseerde totale kosten 2011 (WACC NG5R)</t>
  </si>
  <si>
    <t>Genormaliseerde totale kosten 2012 (WACC NG5R)</t>
  </si>
  <si>
    <t>Berekening van genormaliseerde totale kosten (voor toepassing in de maatstaf)</t>
  </si>
  <si>
    <t>In deze berekening wordt gebruik gemaakt van de WACC voor NG5R omdat die als basis dient voor de berekening van de efficiënte kosten in 2016.</t>
  </si>
  <si>
    <t>Netto-kapitaalkosten transportdienst (excl. ORV Lokale Heffingen) (WACC NG5R)</t>
  </si>
  <si>
    <t>Kapitaalkosten ORV Lokale Heffingen (transportdienst) (WACC NG5R)</t>
  </si>
  <si>
    <t>Netto-kapitaalkosten aansluitdienst (WACC NG5R)</t>
  </si>
  <si>
    <t>Transportdienst (WACC NG5R)</t>
  </si>
  <si>
    <t>Aansluitdienst (WACC NG5R)</t>
  </si>
  <si>
    <t>Totale kosten (incl. EAV) (WACC NG5R)</t>
  </si>
  <si>
    <t>Kosten ORV Lokale Heffingen (WACC NG5R)</t>
  </si>
  <si>
    <t>Kosten voor EHD netten (WACC NG5R)</t>
  </si>
  <si>
    <t>Kapitaalkosten EHD AD voor Eff.Kosten 2013 voor one-off-toets (met WACC NG4R)</t>
  </si>
  <si>
    <t>Netto-kapitaalkosten transportdienst (excl. ORV Lokale Heffingen) (WACC NG4R)</t>
  </si>
  <si>
    <t>Kapitaalkosten ORV Lokale Heffingen (transportdienst) (WACC NG4R)</t>
  </si>
  <si>
    <t>Netto-kapitaalkosten aansluitdienst (WACC NG4R)</t>
  </si>
  <si>
    <t>Transportdienst (WACC NG4R)</t>
  </si>
  <si>
    <t>Aansluitdienst (WACC NG4R)</t>
  </si>
  <si>
    <t>Totale kosten (incl. EAV) (WACC NG4R)</t>
  </si>
  <si>
    <t>Kosten ORV Lokale Heffingen (WACC NG4R)</t>
  </si>
  <si>
    <t>Kosten voor EHD netten (WACC NG4R)</t>
  </si>
  <si>
    <t>Genormaliseerde totale kosten 2010 (WACC NG4R)</t>
  </si>
  <si>
    <t>Genormaliseerde totale kosten 2011 (WACC NG4R)</t>
  </si>
  <si>
    <t>Genormaliseerde totale kosten 2012 (WACC NG4R)</t>
  </si>
  <si>
    <t>incl. Inkomsten EAV; incl. ingeschatte kosten Netverliezen; incl. kosten EHD-netten, maar excl. de ingeschatte kosten voor netverliezen op EHD.</t>
  </si>
  <si>
    <t>Genormaliseerd: totale kosten; excl. ORV's;  ook excl. kosten voor dubieuze debiteuren kleinverbruik (forf. voorziening) maar wel excl. besparingen invoering Marktmodel (die er dus weer terug bij opgeteld);</t>
  </si>
  <si>
    <t>Op dit blad berekenen we de Efficiënte kosten 2013 zoals we die hanteren voor de vergelijking met de Begininkomsten: met toepassing van oude WACC (WACC NG4R). Dit is de toepassingsvoorwaarde van de "one-off"</t>
  </si>
  <si>
    <t>Berekening gemiddelde (genormaliseerde) kosten</t>
  </si>
  <si>
    <t>Berekening eindinkomsten 2016</t>
  </si>
  <si>
    <t>Efficiënte kosten 2016 excl. ORV</t>
  </si>
  <si>
    <t>Efficiënte kosten 2016 excl. ORV per netbeheerder</t>
  </si>
  <si>
    <t>Op dit blad worden de kosten berekend voor gebruik in de inschatting van de kosten voor het jaar 2013, ten behoeve van de aanleidingstoets van de one-off.</t>
  </si>
  <si>
    <t>In deze berekening wordt gebruik gemaakt van de WACC voor NG4R omdat die als basis dient voor het inschatten van de kosten voor het jaar 2013, ten behoeve van de aanleidingstoets voor de one-off.</t>
  </si>
  <si>
    <t>Er wordt in hoge mate gebruik gemaakt van de kostenbasis voor de berekening van de Efficiënte kosten voor het jaar 2013, ten behoeve van de toepassingsvoorwaarde van de one-off.</t>
  </si>
  <si>
    <t>Ophalen besparingen marktmodel, kosten dub.deb. en netverliezen</t>
  </si>
  <si>
    <t>Begininkomsten NG5R (product van tarieven 2013 en rekenvolumes 2014-2016)</t>
  </si>
  <si>
    <t>Verschil tussen begininkomsten NG5R en Efficëntie kosten 2013</t>
  </si>
  <si>
    <t>Verschil tussen begininkomsten NG5R en inschatting van de kosten in 2013</t>
  </si>
  <si>
    <t>Begininkomsten NG5R (product van tarieven 2013 en rekenvolumes 2014-2016) sector</t>
  </si>
  <si>
    <t>ACM kiest er voor de begininkomsten niet aan te passen naar het niveau van de efficiënte kosten 2013</t>
  </si>
  <si>
    <t>Keuze voor niet toepassen one-off</t>
  </si>
  <si>
    <t>Begininkomsten (product van tarieven 2013 en rekenvolumes 2014-2016; t.b.v. regulering NG5R)</t>
  </si>
  <si>
    <t>R</t>
  </si>
  <si>
    <t>E</t>
  </si>
  <si>
    <t>K</t>
  </si>
  <si>
    <t>N</t>
  </si>
  <si>
    <t>V</t>
  </si>
  <si>
    <t>O</t>
  </si>
  <si>
    <t>L</t>
  </si>
  <si>
    <t>U</t>
  </si>
  <si>
    <t>M</t>
  </si>
  <si>
    <t>S</t>
  </si>
  <si>
    <t>Eenmalige Aansluitvergoeding &gt; 40 m3(n)/h</t>
  </si>
  <si>
    <t>Periodieke Aansluitvergoeding aansluitingen &gt; 40 m3/h</t>
  </si>
  <si>
    <t>Eenmalige Aansluitvergoeding t/m 40 m3(n)/h - aansluiting t/m 25 meter</t>
  </si>
  <si>
    <t xml:space="preserve"> Eenmalige Aansluitvergoeding t/m 40 m3(n)/h - meerlengte &gt; 25 meter</t>
  </si>
  <si>
    <t>volume</t>
  </si>
  <si>
    <t>Gecorrigeerde prestatie EHD gemeten in SO</t>
  </si>
  <si>
    <t>Totale prestatie EHD gemeten in SO (ongecorrigeerd)</t>
  </si>
  <si>
    <t>Deze opslag is echter juist weer onderdeel van de uiteindelijke berekening van de samengestelde output. Een simpele verwijzing naar de Samengestelde Ouput zo zodoende leiden tot een kringverwijzing in het model.</t>
  </si>
  <si>
    <t>(Het ophalen van de productiviteitsverandering betreft een vooruitverwijzing in het model, maar leidt niet tot een kringverwijzing)</t>
  </si>
  <si>
    <t>Verschil als percentage van de begininkomsten</t>
  </si>
  <si>
    <t>Berekening efficiënte kosten 2013 t.b.v. berekening Eindinkomsten (maatstaf) (WACC NE6R)</t>
  </si>
  <si>
    <t>Efficiëntie kosten 2013 t.b.v. berekening Eindinkomsten 2016 excl. ORV  (WACC NE6R)</t>
  </si>
  <si>
    <t>Inschatting sectorkosten 2013</t>
  </si>
  <si>
    <t>Inschatting sectorkosten 2013 (incl. ORV) t.b.v. aanleidingstoets one-off</t>
  </si>
  <si>
    <t>Inschatting sectorkosten 2013 (t.b.v. aanleiding one-off)</t>
  </si>
  <si>
    <t>SALDERING OVERIGE OPBRENGSTEN /  ELIMINATIE VAN BETROKKEN KOSTEN</t>
  </si>
  <si>
    <t>AANPASSINGEN O.B.V. BEOORDELING ACM</t>
  </si>
  <si>
    <t>Dit blad geeft een overzicht van de data met betrekking tot de berekening van de kosten van netverliezen. Het betreft invoedingdata en verbruik voor de jaren 2009 en 2010, en kosteninschattingen voor de jaren 2010-2012 (exclusief EHD).</t>
  </si>
  <si>
    <t>Op dit blad wordt het netverliespercentage en een inschatting van de kosten van netverliezen berekend.</t>
  </si>
  <si>
    <t>De netverliezen op de EHD-netten worden hier buiten beschouwing gelaten.</t>
  </si>
  <si>
    <t>Ten behoeve van de gemiddelde genormaliseerde totale kosten in efficiëntieniveau 2013</t>
  </si>
  <si>
    <t>Bron: exacte getal (incl. alle decimalen) is afkomstig uit notitie van ACM: Regulering netverliezen gas (29 juli 2013)</t>
  </si>
  <si>
    <t>Inputgegevens Onttrekkingen Dubieuze Debiteuren</t>
  </si>
  <si>
    <t>Dit blad geeft een overzicht van de data met betrekking tot de kosten van dubieuze debiteuren.</t>
  </si>
  <si>
    <t>Dit is nodig om te voorkomen dat netbeheerders twee keer voor deze besparingen worden gecorrigeerd, namelijk via de correctie van de operationele kosten voor de forfaitaire voorzieningen dubieuze debiteuren kleinverbruik én voor de besparingen uit hoofde van het marktmodel.</t>
  </si>
  <si>
    <t>In deze laatste post is ook rekening gehouden met te realiseren besparingen op dubieuze debiteuren kleinverbruik.</t>
  </si>
  <si>
    <t>De data is afkomstig uit de productiviteitsdata 2010-2012 en specifiek de toelichting daarop.</t>
  </si>
  <si>
    <t>Data ontrekkingen dubieuze debiteuren - Type 1</t>
  </si>
  <si>
    <t>Gesplitst naar Elektriciteit / Gas:</t>
  </si>
  <si>
    <t>Nee</t>
  </si>
  <si>
    <t>Gesplitst naar Kleinverbruik / Grootverbruik:</t>
  </si>
  <si>
    <t>Ja</t>
  </si>
  <si>
    <t>Exclusief Meetdienst of andere niet-gereguleerde activiteiten:</t>
  </si>
  <si>
    <t>Elektriciteit &amp;Gas</t>
  </si>
  <si>
    <t>Onttrekkingen Dubieuze Debiteuren 2010</t>
  </si>
  <si>
    <t>Onttrekkingen Dubieuze Debiteuren 2011</t>
  </si>
  <si>
    <t>Onttrekkingen Dubieuze Debiteuren 2012</t>
  </si>
  <si>
    <t>Data ontrekkingen dubieuze debiteuren - Type 2</t>
  </si>
  <si>
    <t>Data ontrekkingen dubieuze debiteuren - Type 3</t>
  </si>
  <si>
    <t>Data ontrekkingen dubieuze debiteuren - Type 4</t>
  </si>
  <si>
    <t>Elektriciteit</t>
  </si>
  <si>
    <t>Gas</t>
  </si>
  <si>
    <t>Onttrekkingen Dubieuze Debiteuren 2010 Transportdienst</t>
  </si>
  <si>
    <t>Onttrekkingen Dubieuze Debiteuren 2010 Aansluitdienst</t>
  </si>
  <si>
    <t>Onttrekkingen Dubieuze Debiteuren 2010 - Totaal</t>
  </si>
  <si>
    <t>Onttrekkingen Dubieuze Debiteuren 2011 Transportdienst</t>
  </si>
  <si>
    <t>Onttrekkingen Dubieuze Debiteuren 2011 Aansluitdienst</t>
  </si>
  <si>
    <t>Onttrekkingen Dubieuze Debiteuren 2011 - Totaal</t>
  </si>
  <si>
    <t>Onttrekkingen Dubieuze Debiteuren 2012 Transportdienst</t>
  </si>
  <si>
    <t>Onttrekkingen Dubieuze Debiteuren 2012 Aansluitdienst</t>
  </si>
  <si>
    <t>Onttrekkingen Dubieuze Debiteuren 2012 - Totaal</t>
  </si>
  <si>
    <t>Van Westland geen data bekend over 2010. Hiervoor is inschatting gemaakt op basis van 0,5% van de betrokken omzet. Dit komt overeen met de forfaitaire vergoeding voor dubieuze debiteuren kleinverbruik waar netbeheerders volgens de RAR tot in 2013 recht op hadden.</t>
  </si>
  <si>
    <t>Onttrekkingen Dubieuze Debiteuren 2010 kleinverbruik</t>
  </si>
  <si>
    <t>Onttrekkingen Dubieuze Debiteuren 2011 kleinverbruik</t>
  </si>
  <si>
    <t>Onttrekkingen Dubieuze Debiteuren 2012 kleinverbruik</t>
  </si>
  <si>
    <t>Omzet Transport en Aansluitdienst Elektriciteit en Gas</t>
  </si>
  <si>
    <t>Productiviteitsdata 2010, 2011 en 2012</t>
  </si>
  <si>
    <t>Omzet transportdienst</t>
  </si>
  <si>
    <t>Omzet periodieke aansluitvergoeding (tariefgereguleerde deel)</t>
  </si>
  <si>
    <t>Totale omzet TD + PAV elektriciteit 2010</t>
  </si>
  <si>
    <t>Totale omzet TD + PAV gas 2010</t>
  </si>
  <si>
    <t>Totale omzet TD + PAV elektriciteit 2011</t>
  </si>
  <si>
    <t>Totale omzet TD + PAV gas 2011</t>
  </si>
  <si>
    <t>Totale omzet TD + PAV elektriciteit 2012</t>
  </si>
  <si>
    <t>Totale omzet TD + PAV gas 2012</t>
  </si>
  <si>
    <t>Omzet meetdienst E en G</t>
  </si>
  <si>
    <t>De opgegeven ontrekkingen voor dubieuze debiteuren hebben niet betrekking op de opbrengsten behaald op de meters van Oxxio. Hiervoor wordt gecorrigeerd. Dit wordt gedaan op basis van de verhouding tussen de opbrengsten van Oxxio en de totaalomzet van de meetdienst Elektriciteit in het jaar 2012.</t>
  </si>
  <si>
    <t>CPI2011</t>
  </si>
  <si>
    <t>CPI2012</t>
  </si>
  <si>
    <t>Aandeel omzet oxxio voor alle jaren voor zowel E als G</t>
  </si>
  <si>
    <t>Omzet meetdienst 2010 Elektriciteit</t>
  </si>
  <si>
    <t>Productiviteitsdata meetdomein</t>
  </si>
  <si>
    <t>Omzet meetdienst 2010 Elektriciteit (excl Oxxio)</t>
  </si>
  <si>
    <t>Omzet meetdienst 2010 Gas</t>
  </si>
  <si>
    <t>Omzet meetdienst 2010 Gas (excl Oxxio)</t>
  </si>
  <si>
    <t>Totale omzet meetdienst 2010 (excl Oxxio)</t>
  </si>
  <si>
    <t>Omzet meetdienst 2011 Elektriciteit</t>
  </si>
  <si>
    <t>Omzet meetdienst 2011 Elektriciteit (excl Oxxio)</t>
  </si>
  <si>
    <t>Omzet meetdienst 2011 Gas</t>
  </si>
  <si>
    <t>Omzet meetdienst 2011 Gas (excl Oxxio)</t>
  </si>
  <si>
    <t>Totale omzet meetdienst 2011 (excl Oxxio)</t>
  </si>
  <si>
    <t>Omzet meetdienst 2012 Elektriciteit</t>
  </si>
  <si>
    <t>waarvan omzet Oxxio</t>
  </si>
  <si>
    <t>Omzet meetdienst 2012 Elektriciteit (excl Oxxio)</t>
  </si>
  <si>
    <t>Omzet meetdienst 2012 Gas</t>
  </si>
  <si>
    <t>Omzet meetdienst 2012 Gas (excl Oxxio)</t>
  </si>
  <si>
    <t>Totale omzet meetdienst 2012 (excl Oxxio)</t>
  </si>
  <si>
    <t>Tussenberekening totale omzet</t>
  </si>
  <si>
    <t>Totale omzet elektriciteit en gas 2010 (inclusief meetdienst)</t>
  </si>
  <si>
    <t>Totale omzet elektriciteit en gas 2011 (inclusief meetdienst)</t>
  </si>
  <si>
    <t>Totale omzet elektriciteit en gas 2012 (inclusief meetdienst)</t>
  </si>
  <si>
    <t>Ophalen data</t>
  </si>
  <si>
    <t>Type 1</t>
  </si>
  <si>
    <t>Type 2</t>
  </si>
  <si>
    <t>Type 3</t>
  </si>
  <si>
    <t>Type 4</t>
  </si>
  <si>
    <t>Onttrekkingen Dubieuze Debiteuren 2010 E</t>
  </si>
  <si>
    <t>Onttrekkingen Dubieuze Debiteuren 2011 E</t>
  </si>
  <si>
    <t>Onttrekkingen Dubieuze Debiteuren 2012 E</t>
  </si>
  <si>
    <t>Onttrekkingen Dubieuze Debiteuren 2010 G</t>
  </si>
  <si>
    <t>Onttrekkingen Dubieuze Debiteuren 2011 G</t>
  </si>
  <si>
    <t>Onttrekkingen Dubieuze Debiteuren 2012 G</t>
  </si>
  <si>
    <t>Totale omzet elektriciteit 2010</t>
  </si>
  <si>
    <t>Totale omzet elektriciteit 2011</t>
  </si>
  <si>
    <t>Totale omzet elektriciteit 2012</t>
  </si>
  <si>
    <t>Totale omzet gas 2010</t>
  </si>
  <si>
    <t>Totale omzet gas 2011</t>
  </si>
  <si>
    <t>Totale omzet gas 2012</t>
  </si>
  <si>
    <t>Omzet Meetdienst Elektriciteit en Gas</t>
  </si>
  <si>
    <t>Totale omzet meetdienst 2010 E en G</t>
  </si>
  <si>
    <t>Totale omzet meetdienst 2011 E en G</t>
  </si>
  <si>
    <t>Totale omzet meetdienst 2012 E en G</t>
  </si>
  <si>
    <t>Totale omzet Elektriciteit en Gas</t>
  </si>
  <si>
    <t>Stap 1a: Type 1 en 2 corrigeren voor de meetdienst en splitsen in Elektriciteit en Gas</t>
  </si>
  <si>
    <t>Acties:</t>
  </si>
  <si>
    <t>Corrigeren Meetdienst of andere niet-gereguleerde activiteiten</t>
  </si>
  <si>
    <t>Splitsen naar elektriciteit en gas</t>
  </si>
  <si>
    <t>Ontrekkingen dubieuze debiteuren E exclusief meetdienst 2010</t>
  </si>
  <si>
    <t>Ontrekkingen dubieuze debiteuren E exclusief meetdienst 2011</t>
  </si>
  <si>
    <t>Ontrekkingen dubieuze debiteuren E exclusief meetdienst 2012</t>
  </si>
  <si>
    <t>Ontrekkingen dubieuze debiteuren G exclusief meetdienst 2010</t>
  </si>
  <si>
    <t>Ontrekkingen dubieuze debiteuren G exclusief meetdienst 2011</t>
  </si>
  <si>
    <t>Ontrekkingen dubieuze debiteuren G exclusief meetdienst 2012</t>
  </si>
  <si>
    <t>Stap 1b: Type 3 splitsen in Elektriciteit en Gas</t>
  </si>
  <si>
    <t>Stap 2: Splitsen naar kleinverbruik en grootverbruik</t>
  </si>
  <si>
    <t>Ophalen omzet E en G op basis van tarieven 2013 en rekenvolumina 2014-2016</t>
  </si>
  <si>
    <t>Toerekenen ontrekkingen dubieuze debiteuren aan deel dat betrekking heeft op kleinverbruik</t>
  </si>
  <si>
    <t>Optelsom (gecorrigeerde) type 1, 2, 3 en 4</t>
  </si>
  <si>
    <t>Inschatting werkelijke kosten dubieuze debiteuren kleinverbruik t.b.v. correctie besparingen marktmodel</t>
  </si>
  <si>
    <t>Type 5</t>
  </si>
  <si>
    <t>Data ontrekkingen dubieuze debiteuren - Type 5</t>
  </si>
  <si>
    <t>Omzet Kleinverbruik en Grootverbruik (o.b.v. wegingsfactoren x rekenvolumina NG5R)</t>
  </si>
  <si>
    <t>Omzet kleinverbruik G</t>
  </si>
  <si>
    <t>Omzet grootverbruik G</t>
  </si>
  <si>
    <t>Ontrekkingen dubieuze debiteuren G kleinverbruik 2010</t>
  </si>
  <si>
    <t>Ontrekkingen dubieuze debiteuren G kleinverbruik 2011</t>
  </si>
  <si>
    <t>Ontrekkingen dubieuze debiteuren G kleinverbruik 2012</t>
  </si>
  <si>
    <t>Stap 3: Samenvoegen resulaten uit Stap 2 en data type 5</t>
  </si>
  <si>
    <t>Samenvoegen resulaten uit Stap 2 en data type 5</t>
  </si>
  <si>
    <t>Splitsing klein/grootverbruik t.b.v. opdeling kosten dubieuze debiteuren</t>
  </si>
  <si>
    <t>Inkomsten kleinverbruik</t>
  </si>
  <si>
    <t>Inkomsten grootverbruik</t>
  </si>
  <si>
    <t>ZEBRA is hierin niet meegenomen omdat deze netbeheerder geen kleinverbruikers kent.</t>
  </si>
  <si>
    <t>(formule 52 en 53)</t>
  </si>
  <si>
    <t>(formule 51, deels)</t>
  </si>
  <si>
    <t>(formule 47)</t>
  </si>
  <si>
    <t>(formule 50)</t>
  </si>
  <si>
    <t>(formule 48)</t>
  </si>
  <si>
    <t>(formule 44, deels)</t>
  </si>
  <si>
    <t>(formule 43)</t>
  </si>
  <si>
    <t>(formule 35)</t>
  </si>
  <si>
    <t>(formule 45)</t>
  </si>
  <si>
    <t>(formule 30)</t>
  </si>
  <si>
    <t>(formule 38)</t>
  </si>
  <si>
    <t>(formule 41)</t>
  </si>
  <si>
    <t>(formule 42)</t>
  </si>
  <si>
    <t>(formule 25)</t>
  </si>
  <si>
    <t>(formule 25 en 28)</t>
  </si>
  <si>
    <t>(formule 24)</t>
  </si>
  <si>
    <t>(formule 26)</t>
  </si>
  <si>
    <t>(formule 21, deels)</t>
  </si>
  <si>
    <t>(formule 23 en 21, deels)</t>
  </si>
  <si>
    <t>(formule 17)</t>
  </si>
  <si>
    <t>(formule 12, indirect)</t>
  </si>
  <si>
    <t>(formule 11)</t>
  </si>
  <si>
    <t>(formule 11, afwijkend)</t>
  </si>
  <si>
    <t>(formule 11 en 22)</t>
  </si>
  <si>
    <t>(formule 54)</t>
  </si>
  <si>
    <t>Bron: Tarievenbesluiten 2013</t>
  </si>
  <si>
    <t>BEREKENING GENORMALISEERDE TOTALE KOSTEN (met WACC NG4R)</t>
  </si>
  <si>
    <t>Inschatting kosten netverliezen EHD 2013 in prijspeil 2013</t>
  </si>
  <si>
    <t>Inschatting kosten netverliezen (excl. EHD) 2013 in prijspeil 2013</t>
  </si>
  <si>
    <t>Besparingsbedrag 2013 met aangepaste berekening i.v.m. invoering leveranciersmodel per 1 aug 2013</t>
  </si>
  <si>
    <t>Delta van 2012 naar 2013 (aanname: komt 100% voort uit invoering leveranciersmodel)</t>
  </si>
  <si>
    <t>5/9e deel van deze delta (omdat leveranciersmodel nu slechts 5 ipv 9 maanden actief is)</t>
  </si>
  <si>
    <t>Op al deze typen dienen nog een aantal verdeelslagen te worden gemaakt voor de uiteindelijke toerekening naar kleinverbruikers gas. ACM hanteert hiervoor de omzet van de verschillende diensten (transport &amp; aansluitdienst en meetdienst).</t>
  </si>
  <si>
    <t xml:space="preserve">In het methodebesluit is toegelicht dat bij de verrekening van de besparingen uit hoofde van het marktmodel er een correctie dient plaats te vinden voor de besparingen op dubieuze debiteuren kleinverbruik. </t>
  </si>
  <si>
    <t>Tevens worden enkele andere tussenresultaten berekend, o.a. voor de berekening van de balansfactor.</t>
  </si>
  <si>
    <t>Eventuele wijzigingen van gegevens die n.a.v. de beoordeling door ACM worden gedaan, zijn in onderstaand overzicht nog niet opgenomen.</t>
  </si>
  <si>
    <t>Eventuele wijzigingen van gegevens die n.a.v. de beoordeling doorACM worden gedaan, zijn in onderstaand overzicht nog niet opgenomen.</t>
  </si>
  <si>
    <t>Eventuele wijzigingen van gegevens die n.a.v. de beoordeling door de ACM worden gedaan, zijn in onderstaand overzicht nog niet opgenomen.</t>
  </si>
  <si>
    <t>Zaaknummer</t>
  </si>
  <si>
    <t>Kenmerk</t>
  </si>
  <si>
    <t>Dit blad bevat alle tarieven voor de aansluitdienst voor Gas zoals die zijn vastgesteld in de tarievenbesluiten voor het jaar 2013. Tevens zijn de EAV tarieven voor de jaren 2010-2012 opgenomen.</t>
  </si>
  <si>
    <t>Bron inschatting kosten: rapport Redpoint/Kyos (gegevens op basis van netverliespercentage van 0,513%).</t>
  </si>
  <si>
    <t xml:space="preserve">Aangezien netbeheerders niet allemaal dezelfde administratieve scheiding aanbrengen in deze data, zijn er vijf typen data voor 'onttrekkingen dubieuze debiteuren kleinverbuik' te onderscheiden. </t>
  </si>
  <si>
    <t>Op dit blad worden de begininkomsten berekend. Deze begininkomsten zijn het somproduct van de tarieven in 2013 (na correctie voor nacalculaties die niet op 2013 zien) en de Rekenvolumes voor de periode 2014-2016</t>
  </si>
  <si>
    <t>Op dit blad wordt de inschatting van de werkelijke kosten dubieuze debiteuren kleinverbruik berekend.</t>
  </si>
  <si>
    <t>Sector</t>
  </si>
  <si>
    <t>X-factor</t>
  </si>
  <si>
    <t>Overige parameters</t>
  </si>
  <si>
    <t>WACC 2014-2016</t>
  </si>
  <si>
    <t>Samengestelde Output (SO)</t>
  </si>
  <si>
    <t>SO</t>
  </si>
  <si>
    <t>Aandeel SO</t>
  </si>
  <si>
    <t>Dit blad geeft een overzicht van de rekenvolumes van de regionale netbeheerders gas voor de jaren 2014-2016.</t>
  </si>
  <si>
    <t>Bijlage 1</t>
  </si>
  <si>
    <t>PV 2006</t>
  </si>
  <si>
    <t>PV 2007</t>
  </si>
  <si>
    <t>PV 2008</t>
  </si>
  <si>
    <t>PV 2009</t>
  </si>
  <si>
    <t>PV 2010</t>
  </si>
  <si>
    <t>PV 2011</t>
  </si>
  <si>
    <t>PV 2012</t>
  </si>
  <si>
    <t>Gegevens berekening x-factor en totale inkomsten</t>
  </si>
  <si>
    <t>Langjarige productiviteitsverandering NG5R</t>
  </si>
  <si>
    <t>Jaarlijkse productiviteitsverandering (2006-2012)</t>
  </si>
  <si>
    <t>Vergoeding netverliezen via x-factor</t>
  </si>
  <si>
    <t>Eventuele wijzigingen van gegevens die n.a.v. de beoordeling door ACM worden gedaan, zijn in onderstaand overzicht aangegeven in een paarse kleur.</t>
  </si>
  <si>
    <t>Deze x-factoren dienen als uitgangspunt voor de correctie van de inkomsten voor netverliezen gas in de tarievenbesluiten.</t>
  </si>
  <si>
    <t>X-factor 2014-2016 (exclusief netverliezen gas)</t>
  </si>
  <si>
    <t>Bovenstaande x-factoren zijn het resultaat van de volgende bewerking: op het tabblad "Data netverliezen", worden de volgende cellen op nul gesteld: F27-F29, F33-F35 en F39-F41.</t>
  </si>
  <si>
    <t>Deze begininkomsten en x-factoren dienen als uitgangspunt voor de correctie van de inkomsten voor besparingen marktmodel in de tarievenbesluiten.</t>
  </si>
  <si>
    <t>Hieronder staan de begininkomsten en x-factoren die voor netbeheerders zouden gelden wanneer in de begininkomsten rekening wordt gehouden met de besparingen voortvloeiend uit de invoering van het marktmodel.</t>
  </si>
  <si>
    <t>Hieronder staan de x-factoren die voor netbeheerders zouden gelden wanneer in de eindinkomsten geen rekening wordt gehouden met een vergoeding voor de kosten van netverliezen gas.</t>
  </si>
  <si>
    <t>Begininkomsten 2013 na verwijderen van besparingen marktmodel</t>
  </si>
  <si>
    <t>X-factoren 2014-2016 na verwijderen van besparingen marktmodel</t>
  </si>
  <si>
    <t>Effecten besparingen marktmodel via x-factor</t>
  </si>
  <si>
    <t>Bovenstaande begininkomsten en x-factoren zijn het resultaat van de volgende berekeningen.</t>
  </si>
  <si>
    <t>Besparingsbedrag te verwijderen (blad Data Marktmodel, cel M20)</t>
  </si>
  <si>
    <t>Totaal SO kleinverbruik (TD+PAV; &lt; 40 m3)</t>
  </si>
  <si>
    <t xml:space="preserve">Besparingsbedrag per netbeheerder (in mindering te brengen op BI) </t>
  </si>
  <si>
    <t>ACM hanteert hierbij het besparingsbedrag aan het begin van de periode (2014) t.o.v. 2009, aangezien besparingen t/m 2009 onderdeel zijn van de Begininkomsten waarop onderstaand een aanpassing wordt gemaakt.</t>
  </si>
  <si>
    <t>Reeds in mindering gebracht op tarieven 2013 (nacalculatie)</t>
  </si>
  <si>
    <t>ACM houdt tevens rekening met de correctie voor dubieuze debiteuren die reeds onderdeel is geweest van de tarieven in 2013, omdat anders een dubbeltelling van de besparing zou ontstaan (bron: tarievenbesluiten RNB's gas 2013).</t>
  </si>
  <si>
    <t>Netbeheerder:</t>
  </si>
  <si>
    <t xml:space="preserve">Bron gegevens: </t>
  </si>
  <si>
    <t>Aanpassing gegevens</t>
  </si>
  <si>
    <t>Oorspronkelijk</t>
  </si>
  <si>
    <t>Aanpassing</t>
  </si>
  <si>
    <t>Nieuw</t>
  </si>
  <si>
    <t>Alle</t>
  </si>
  <si>
    <t>Brief Stedin 24 juni 2014</t>
  </si>
  <si>
    <t>Tabblad</t>
  </si>
  <si>
    <t>Cel</t>
  </si>
  <si>
    <t>Berekening kosten dub. deb.</t>
  </si>
  <si>
    <t>G114</t>
  </si>
  <si>
    <t>H114</t>
  </si>
  <si>
    <t>I114</t>
  </si>
  <si>
    <t>J114</t>
  </si>
  <si>
    <t>K114</t>
  </si>
  <si>
    <t>L114</t>
  </si>
  <si>
    <t>M114</t>
  </si>
  <si>
    <t>N114</t>
  </si>
  <si>
    <t>Ontrekkingen dubieuze debiteuren G kleinverbruik 2012, Cogas</t>
  </si>
  <si>
    <t>Ontrekkingen dubieuze debiteuren G kleinverbruik 2012, DNWB</t>
  </si>
  <si>
    <t>Ontrekkingen dubieuze debiteuren G kleinverbruik 2012, Endinet</t>
  </si>
  <si>
    <t>Ontrekkingen dubieuze debiteuren G kleinverbruik 2012, Enexis</t>
  </si>
  <si>
    <t>Ontrekkingen dubieuze debiteuren G kleinverbruik 2012, Liander</t>
  </si>
  <si>
    <t>Ontrekkingen dubieuze debiteuren G kleinverbruik 2012, Rendo</t>
  </si>
  <si>
    <t>Ontrekkingen dubieuze debiteuren G kleinverbruik 2012, Stedin</t>
  </si>
  <si>
    <t>Ontrekkingen dubieuze debiteuren G kleinverbruik 2012, Westland</t>
  </si>
  <si>
    <t>Data dubieuze debiteuren</t>
  </si>
  <si>
    <t>T31</t>
  </si>
  <si>
    <t>X31</t>
  </si>
  <si>
    <t>Onttrekkingen dubieuze debiteuren, type 2, Haarlemmermeer</t>
  </si>
  <si>
    <t>Onttrekkingen dubieuze debiteuren, type 2, Oost-Brabant</t>
  </si>
  <si>
    <t>Onderzoek operationele kosten Enexis</t>
  </si>
  <si>
    <t>Betreft:</t>
  </si>
  <si>
    <t>Aanpassing eenmalige compensatiekorting</t>
  </si>
  <si>
    <t>PRD OPEX TD (2009-2012)</t>
  </si>
  <si>
    <t>PRD OPEX AD (2009-2012)</t>
  </si>
  <si>
    <t>U15</t>
  </si>
  <si>
    <t>U35</t>
  </si>
  <si>
    <t>Onderzoek operationele kosten Liander</t>
  </si>
  <si>
    <t>ICT projecten niet gereguleerd</t>
  </si>
  <si>
    <t>Personeelskosten, uitbesteed werk en andere externe kosten - TD-TO</t>
  </si>
  <si>
    <t>Personeelskosten, uitbesteed werk en andere externe kosten - TD-TA</t>
  </si>
  <si>
    <t>G112</t>
  </si>
  <si>
    <t>H112</t>
  </si>
  <si>
    <t>I112</t>
  </si>
  <si>
    <t>J112</t>
  </si>
  <si>
    <t>K112</t>
  </si>
  <si>
    <t>L112</t>
  </si>
  <si>
    <t>M112</t>
  </si>
  <si>
    <t>N112</t>
  </si>
  <si>
    <t>G113</t>
  </si>
  <si>
    <t>H113</t>
  </si>
  <si>
    <t>I113</t>
  </si>
  <si>
    <t>J113</t>
  </si>
  <si>
    <t>K113</t>
  </si>
  <si>
    <t>L113</t>
  </si>
  <si>
    <t>M113</t>
  </si>
  <si>
    <t>N113</t>
  </si>
  <si>
    <t>Elektriciteit Omzet transportdienst</t>
  </si>
  <si>
    <t>Elektriciteit Omzet periodieke aansluitvergoeding (tariefgereguleerde deel)</t>
  </si>
  <si>
    <t>Gas Omzet transportdienst</t>
  </si>
  <si>
    <t>Gas Omzet periodieke aansluitvergoeding (tariefgereguleerde deel)</t>
  </si>
  <si>
    <t>K89</t>
  </si>
  <si>
    <t>K90</t>
  </si>
  <si>
    <t>I94</t>
  </si>
  <si>
    <t>I95</t>
  </si>
  <si>
    <t>J94</t>
  </si>
  <si>
    <t>J95</t>
  </si>
  <si>
    <t>K94</t>
  </si>
  <si>
    <t>K95</t>
  </si>
  <si>
    <t>S94</t>
  </si>
  <si>
    <t>S95</t>
  </si>
  <si>
    <t>T94</t>
  </si>
  <si>
    <t>T95</t>
  </si>
  <si>
    <t>U94</t>
  </si>
  <si>
    <t>U95</t>
  </si>
  <si>
    <t>V94</t>
  </si>
  <si>
    <t>V95</t>
  </si>
  <si>
    <t>W94</t>
  </si>
  <si>
    <t>W95</t>
  </si>
  <si>
    <t>X94</t>
  </si>
  <si>
    <t>X95</t>
  </si>
  <si>
    <t>J105</t>
  </si>
  <si>
    <t>U105</t>
  </si>
  <si>
    <t>V105</t>
  </si>
  <si>
    <t>J106</t>
  </si>
  <si>
    <t>U106</t>
  </si>
  <si>
    <t>V106</t>
  </si>
  <si>
    <t>Mail Endinet 24-7-2014, PRD 2010 en 2011</t>
  </si>
  <si>
    <t>Endinet, Enexis, Liander</t>
  </si>
  <si>
    <t>Onttrekkingen dubieuze debiteuren Haarlemmermeer en Oost-Brabant en toevoeging/correctie omzetten</t>
  </si>
  <si>
    <t>Onderzoek operationele kosten Stedin</t>
  </si>
  <si>
    <t>Aanpassing doorbelasting managementfee Joulz</t>
  </si>
  <si>
    <t>M16</t>
  </si>
  <si>
    <t>M20</t>
  </si>
  <si>
    <t>M40</t>
  </si>
  <si>
    <t>Aanpassing splitsingskosten</t>
  </si>
  <si>
    <t>behoudens de aanpassingen die onderstaand worden toegelicht.</t>
  </si>
  <si>
    <t>In onderstaande overzichten geldt steeds:</t>
  </si>
  <si>
    <t>Aanpassing: aanpassing van de gegevens op basis van een specifieke bron (wordt steeds genoemd).</t>
  </si>
  <si>
    <t>Nieuw: nieuwe gegevens zoals deze zijn opgenomen in de bladen. Op dit blad wordt steeds verwezen naar deze gegevens.</t>
  </si>
  <si>
    <t>In alle gevallen betreft het gegevens in euro's, weergegeven in het prijspeil van het investeringsjaar, of percentages bij de productiviteitsverandering.</t>
  </si>
  <si>
    <t>Toelichting bij berekening Gewijzigde x-factoren, q-factoren en rekenvolumina NG5R</t>
  </si>
  <si>
    <t xml:space="preserve">Dit Excel-bestand bevat het model waarmee de x-factoren voor de regionale netbeheerders gas voor de periode 2014 tot en met 2016 worden berekend. </t>
  </si>
  <si>
    <t>Dit bestand maakt onderdeel uit van de (gewijzigde) x/q/rv-besluiten voor de vijfde periode voor de regionale netbeheerders gas (besluiten van PM 2014 met kenmerk PM).</t>
  </si>
  <si>
    <t xml:space="preserve">Dit bestand zoals dat nu tot stand is gekomen is volledig gebaseerd op de berekening voor de vaststelling van de x- en q-factoren en rekenvolumina NG5R van besluiten van 26 september 2013 met kenmerk 103998, </t>
  </si>
  <si>
    <t>Oorspronkelijke gegevens: gegevens zoals opgenomen in het model dat gepubliceerd is bij de gewijzigde x- en q-factoren en rekenvolumina NG5R van besluiten van 26 september 2013 met kenmerk 103998.</t>
  </si>
  <si>
    <t>H20</t>
  </si>
  <si>
    <t>I21</t>
  </si>
  <si>
    <t>J22</t>
  </si>
  <si>
    <t>Ophalen PV uit PV 2006-2009</t>
  </si>
  <si>
    <t>Doorvoeren gegevens productiviteitsverandering 2006-2009</t>
  </si>
  <si>
    <t>Aanpassing meetdomein</t>
  </si>
  <si>
    <t>U75</t>
  </si>
  <si>
    <t>W15</t>
  </si>
  <si>
    <t>W35</t>
  </si>
  <si>
    <t>Aanpassing kapitaalkostensheet: investeringsgegevens Liander o.b.v.foutief geboekte investeringen (onterecht als investeringsbijdragen gepassiveerd)</t>
  </si>
  <si>
    <t xml:space="preserve">Bron nieuwe gegevens: </t>
  </si>
  <si>
    <t>E-mail Liander aan ACM op 18 september 2013 en 25 juli 2014</t>
  </si>
  <si>
    <t>Import GAW-sheet</t>
  </si>
  <si>
    <t>O20</t>
  </si>
  <si>
    <t>O21</t>
  </si>
  <si>
    <t>O78</t>
  </si>
  <si>
    <t>O79</t>
  </si>
  <si>
    <t>O136</t>
  </si>
  <si>
    <t>O137</t>
  </si>
  <si>
    <t>O194</t>
  </si>
  <si>
    <t>O195</t>
  </si>
  <si>
    <t>PRD Ov.Opbrengst TD (2009-2012)</t>
  </si>
  <si>
    <t>Diverse en overig 1</t>
  </si>
  <si>
    <t>U65</t>
  </si>
  <si>
    <t>U77</t>
  </si>
  <si>
    <t>Deze tabel bevat een overzicht van de gehanteerde gegevens (op hoofdlijnen) om te komen tot vaststelling van de x-factor voor regionale netbeheerders gas.</t>
  </si>
  <si>
    <t>Resultaten x-factor gas</t>
  </si>
  <si>
    <t>Foutieve celverwijzing berekening kosten dubieuze debiteuren en effect Oost-Brabant/Haarlemmermeer</t>
  </si>
  <si>
    <t>Bijlage 2 bij herstel x-factorbesluit Cogas Infra &amp; Beheer B.V. - Rekenvolumes Gas</t>
  </si>
  <si>
    <t>Bijlage 2 bij herstel x-factorbesluit DELTA Netwerkbedrijf B.V. - Rekenvolumes</t>
  </si>
  <si>
    <t>Bijlage 2 bij herstel x-factorbesluit Endinet B.V. - Rekenvolumes Gas</t>
  </si>
  <si>
    <t>Bijlage 2 bij herstel x-factorbesluit Enexis B.V. - Rekenvolumes Gas</t>
  </si>
  <si>
    <t>Bijlage 2 bij herstel x-factorbesluit Liander N.V. - Rekenvolumes Gas</t>
  </si>
  <si>
    <t>Bijlage 2 bij herstel x-factorbesluit N.V. RENDO - Rekenvolumes Gas</t>
  </si>
  <si>
    <t>Bijlage 2 bij herstel x-factorbesluit Stedin B.V. - Rekenvolumes Gas</t>
  </si>
  <si>
    <t>Bijlage 2 bij herstel x-factorbesluit Westland Infra Netbeheer B.V. - Rekenvolumes Gas</t>
  </si>
  <si>
    <t>Bijlage 2 bij herstel x-factorbesluit Zebra Gasnetwerk B.V. - Rekenvolumes Gas</t>
  </si>
  <si>
    <t>SO Vastrecht (TOVT) KV</t>
  </si>
  <si>
    <t>SO Capaciteitsafhankelijk tarief (TAVTc) KV</t>
  </si>
  <si>
    <t>X-factoren 2014-2016 na verwijderen van besparingen marktmodel (onafgerond)</t>
  </si>
  <si>
    <t>SO PAV KV</t>
  </si>
  <si>
    <t>Dit bestand bevat het rekenmodel waarmee ACM de x-factoren berekent. Deze x-factoren heeft ACM vastgesteld in de volgende x-factorbesluiten.</t>
  </si>
  <si>
    <t xml:space="preserve">Cogas Infra &amp; Beheer B.V. </t>
  </si>
  <si>
    <t xml:space="preserve">DELTA Netwerkbedrijf B.V. </t>
  </si>
  <si>
    <t xml:space="preserve">Enexis B.V. </t>
  </si>
  <si>
    <t xml:space="preserve">Liander N.V. </t>
  </si>
  <si>
    <t xml:space="preserve">Endinet B.V. </t>
  </si>
  <si>
    <t xml:space="preserve">RENDO Netbeheer B.V. </t>
  </si>
  <si>
    <t xml:space="preserve">Stedin Netbeheer B.V. </t>
  </si>
  <si>
    <t xml:space="preserve">Westland Infra Netbeheer B.V. </t>
  </si>
  <si>
    <t xml:space="preserve">Zebra Gasnetwerk B.V. </t>
  </si>
  <si>
    <t>14.0731.52</t>
  </si>
  <si>
    <t>14.0733.52</t>
  </si>
  <si>
    <t>14.0735.52</t>
  </si>
  <si>
    <t>14.0737.52</t>
  </si>
  <si>
    <t>14.0739.52</t>
  </si>
  <si>
    <t>14.0741.52</t>
  </si>
  <si>
    <t>14.0743.52</t>
  </si>
  <si>
    <t>14.0745.52</t>
  </si>
  <si>
    <t>14.0746.52</t>
  </si>
  <si>
    <t>ACM/DE/2014/205162</t>
  </si>
  <si>
    <t>ACM/DE/2014/205164</t>
  </si>
  <si>
    <t>ACM/DE/2014/205166</t>
  </si>
  <si>
    <t>ACM/DE/2014/205168</t>
  </si>
  <si>
    <t>ACM/DE/2014/205170</t>
  </si>
  <si>
    <t>ACM/DE/2014/205172</t>
  </si>
  <si>
    <t>ACM/DE/2014/205174</t>
  </si>
  <si>
    <t>ACM/DE/2014/205176</t>
  </si>
  <si>
    <t>ACM/DE/2014/205177</t>
  </si>
  <si>
    <t>Toelichting bij berekening gewijzigde x-factoren, q-factoren en rekenvolumina NG5R d.d. 11 september 2014</t>
  </si>
  <si>
    <t>Herstel x-factorbesluiten 2014-2016 Gas</t>
  </si>
  <si>
    <t>Aanpassing kapitaalkosten a.g.v. aanpassing start-GAW gasaansluitingen Stedin</t>
  </si>
  <si>
    <t>Dit bestand bevat het rekenmodel waarmee ACM de x-factoren berekent. Deze x-factoren heeft ACM gewijzigd vastgesteld in de volgende x-factorbesluiten.</t>
  </si>
  <si>
    <t>Gewijzigde berekening start-GAW voor gasaansluitingen van Stedin (bestand: RNB's Gas-2011-2013-rekenmodule-start-GAW GAD wijziging zomer 2016)</t>
  </si>
  <si>
    <t>De wijziging is tot stand gekomen op basis van een e-mail van Stedin aan ACM van 18 maart 2016.</t>
  </si>
  <si>
    <t>Onderstaande bedragen zijn afkomstig uit de GAW sheet (zie bestand: RNB's gas-2014-2016-GAW-afschrijvingen - wijziging zomer 2016)</t>
  </si>
  <si>
    <t>R48</t>
  </si>
  <si>
    <t>R106</t>
  </si>
  <si>
    <t>R164</t>
  </si>
  <si>
    <t>R222</t>
  </si>
  <si>
    <t>R223</t>
  </si>
  <si>
    <t>R165</t>
  </si>
  <si>
    <t>R107</t>
  </si>
  <si>
    <t>R49</t>
  </si>
  <si>
    <t>Aanpassing: gewijzigde EAV volumes Cogas 2011 en 2012</t>
  </si>
  <si>
    <t>E-mail van Cogas aan ACM, d.d. 15 januari 2016</t>
  </si>
  <si>
    <t>Celverwijziging</t>
  </si>
  <si>
    <t>VOLUMES EAV t/m 40 m3(n)/h &gt; 25 meter</t>
  </si>
  <si>
    <t xml:space="preserve">VOLUMES EAV &gt; 40 m3(n)/h </t>
  </si>
  <si>
    <t>Tabblad "PRD Volumes AD (2009-2012)", cel G300</t>
  </si>
  <si>
    <t>Tabblad "PRD Volumes AD (2009-2012)", cel G301</t>
  </si>
  <si>
    <t>Tabblad "PRD Volumes AD (2009-2012)", cel G302</t>
  </si>
  <si>
    <t>Tabblad "PRD Volumes AD (2009-2012)", cel G303</t>
  </si>
  <si>
    <t>Tabblad "PRD Volumes AD (2009-2012)", cel G306</t>
  </si>
  <si>
    <t>Tabblad "PRD Volumes AD (2009-2012)", cel G307</t>
  </si>
  <si>
    <t>Tabblad "PRD Volumes AD (2009-2012)", cel G308</t>
  </si>
  <si>
    <t>Tabblad "PRD Volumes AD (2009-2012)", cel G309</t>
  </si>
  <si>
    <t>Tabblad "PRD Volumes AD (2009-2012)", cel G312</t>
  </si>
  <si>
    <t>Tabblad "PRD Volumes AD (2009-2012)", cel G418</t>
  </si>
  <si>
    <t>Tabblad "PRD Volumes AD (2009-2012)", cel G419</t>
  </si>
  <si>
    <t>Tabblad "PRD Volumes AD (2009-2012)", cel G420</t>
  </si>
  <si>
    <t>Tabblad "PRD Volumes AD (2009-2012)", cel G421</t>
  </si>
  <si>
    <t>Tabblad "PRD Volumes AD (2009-2012)", cel G424</t>
  </si>
  <si>
    <t>Tabblad "PRD Volumes AD (2009-2012)", cel G425</t>
  </si>
  <si>
    <t>Tabblad "PRD Volumes AD (2009-2012)", cel G426</t>
  </si>
  <si>
    <t>Tabblad "PRD Volumes AD (2009-2012)", cel G427</t>
  </si>
  <si>
    <t>Tabblad "PRD Volumes AD (2009-2012)", cel G430</t>
  </si>
  <si>
    <t>VOLUMES EAV t/m 40 m3(n)/h t/m 25 meter</t>
  </si>
  <si>
    <t>Tabblad "PRD Volumes AD (2009-2012)", cel G318</t>
  </si>
  <si>
    <t>Tabblad "PRD Volumes AD (2009-2012)", cel G319</t>
  </si>
  <si>
    <t>Tabblad "PRD Volumes AD (2009-2012)", cel G320</t>
  </si>
  <si>
    <t>Tabblad "PRD Volumes AD (2009-2012)", cel G321</t>
  </si>
  <si>
    <t>Tabblad "PRD Volumes AD (2009-2012)", cel G324</t>
  </si>
  <si>
    <t>Tabblad "PRD Volumes AD (2009-2012)", cel G325</t>
  </si>
  <si>
    <t>Tabblad "PRD Volumes AD (2009-2012)", cel G326</t>
  </si>
  <si>
    <t>Tabblad "PRD Volumes AD (2009-2012)", cel G327</t>
  </si>
  <si>
    <t>Tabblad "PRD Volumes AD (2009-2012)", cel G330</t>
  </si>
  <si>
    <t>Tabblad "PRD Volumes AD (2009-2012)", cel G336</t>
  </si>
  <si>
    <t>Tabblad "PRD Volumes AD (2009-2012)", cel G337</t>
  </si>
  <si>
    <t>Tabblad "PRD Volumes AD (2009-2012)", cel G338</t>
  </si>
  <si>
    <t>Tabblad "PRD Volumes AD (2009-2012)", cel G339</t>
  </si>
  <si>
    <t>Tabblad "PRD Volumes AD (2009-2012)", cel G340</t>
  </si>
  <si>
    <t>Tabblad "PRD Volumes AD (2009-2012)", cel G341</t>
  </si>
  <si>
    <t>Tabblad "PRD Volumes AD (2009-2012)", cel G342</t>
  </si>
  <si>
    <t>Tabblad "PRD Volumes AD (2009-2012)", cel G343</t>
  </si>
  <si>
    <t>Tabblad "PRD Volumes AD (2009-2012)", cel G344</t>
  </si>
  <si>
    <t>Tabblad "PRD Volumes AD (2009-2012)", cel G345</t>
  </si>
  <si>
    <t>Tabblad "PRD Volumes AD (2009-2012)", cel G348</t>
  </si>
  <si>
    <t>Tabblad "PRD Volumes AD (2009-2012)", cel G349</t>
  </si>
  <si>
    <t>Tabblad "PRD Volumes AD (2009-2012)", cel G350</t>
  </si>
  <si>
    <t>Tabblad "PRD Volumes AD (2009-2012)", cel G351</t>
  </si>
  <si>
    <t>Tabblad "PRD Volumes AD (2009-2012)", cel G352</t>
  </si>
  <si>
    <t>Tabblad "PRD Volumes AD (2009-2012)", cel G353</t>
  </si>
  <si>
    <t>Tabblad "PRD Volumes AD (2009-2012)", cel G354</t>
  </si>
  <si>
    <t>Tabblad "PRD Volumes AD (2009-2012)", cel G355</t>
  </si>
  <si>
    <t>Tabblad "PRD Volumes AD (2009-2012)", cel G356</t>
  </si>
  <si>
    <t>Tabblad "PRD Volumes AD (2009-2012)", cel G357</t>
  </si>
  <si>
    <t>Tabblad "PRD Volumes AD (2009-2012)", cel G359</t>
  </si>
  <si>
    <t>Tabblad "PRD Volumes AD (2009-2012)", cel G436</t>
  </si>
  <si>
    <t>Tabblad "PRD Volumes AD (2009-2012)", cel G437</t>
  </si>
  <si>
    <t>Tabblad "PRD Volumes AD (2009-2012)", cel G438</t>
  </si>
  <si>
    <t>Tabblad "PRD Volumes AD (2009-2012)", cel G439</t>
  </si>
  <si>
    <t>Tabblad "PRD Volumes AD (2009-2012)", cel G442</t>
  </si>
  <si>
    <t>Tabblad "PRD Volumes AD (2009-2012)", cel G443</t>
  </si>
  <si>
    <t>Tabblad "PRD Volumes AD (2009-2012)", cel G444</t>
  </si>
  <si>
    <t>Tabblad "PRD Volumes AD (2009-2012)", cel G445</t>
  </si>
  <si>
    <t>Tabblad "PRD Volumes AD (2009-2012)", cel G448</t>
  </si>
  <si>
    <t>Tabblad "PRD Volumes AD (2009-2012)", cel G454</t>
  </si>
  <si>
    <t>Tabblad "PRD Volumes AD (2009-2012)", cel G455</t>
  </si>
  <si>
    <t>Tabblad "PRD Volumes AD (2009-2012)", cel G456</t>
  </si>
  <si>
    <t>Tabblad "PRD Volumes AD (2009-2012)", cel G457</t>
  </si>
  <si>
    <t>Tabblad "PRD Volumes AD (2009-2012)", cel G458</t>
  </si>
  <si>
    <t>Tabblad "PRD Volumes AD (2009-2012)", cel G459</t>
  </si>
  <si>
    <t>Tabblad "PRD Volumes AD (2009-2012)", cel G460</t>
  </si>
  <si>
    <t>Tabblad "PRD Volumes AD (2009-2012)", cel G461</t>
  </si>
  <si>
    <t>Tabblad "PRD Volumes AD (2009-2012)", cel G462</t>
  </si>
  <si>
    <t>Tabblad "PRD Volumes AD (2009-2012)", cel G463</t>
  </si>
  <si>
    <t>Tabblad "PRD Volumes AD (2009-2012)", cel G466</t>
  </si>
  <si>
    <t>Tabblad "PRD Volumes AD (2009-2012)", cel G467</t>
  </si>
  <si>
    <t>Tabblad "PRD Volumes AD (2009-2012)", cel G468</t>
  </si>
  <si>
    <t>Tabblad "PRD Volumes AD (2009-2012)", cel G469</t>
  </si>
  <si>
    <t>Tabblad "PRD Volumes AD (2009-2012)", cel G470</t>
  </si>
  <si>
    <t>Tabblad "PRD Volumes AD (2009-2012)", cel G471</t>
  </si>
  <si>
    <t>Tabblad "PRD Volumes AD (2009-2012)", cel G472</t>
  </si>
  <si>
    <t>Tabblad "PRD Volumes AD (2009-2012)", cel G473</t>
  </si>
  <si>
    <t>Tabblad "PRD Volumes AD (2009-2012)", cel G474</t>
  </si>
  <si>
    <t>Tabblad "PRD Volumes AD (2009-2012)", cel G475</t>
  </si>
  <si>
    <t>Tabblad "PRD Volumes AD (2009-2012)", cel G478</t>
  </si>
  <si>
    <t>Modelmatige aanpassing in de berekening, zodat zowel in de kosten als in de samengestelde output geen rekening meer wordt gehouden met de inkoop van netverliezen door RNB's</t>
  </si>
  <si>
    <t>ACM heeft gekozen voor een aanpak waarbij het oorspronkelijke model zo min mogelijk wordt aangepast, uiteraard wel met het beoogde materiële effect.</t>
  </si>
  <si>
    <t>De aanpassingen in het model zijn, net als de data aanpassingen, aangegeven met de groene wijzigingskleur (gelijk aan kleur van dit tabblad).</t>
  </si>
  <si>
    <t>De aanpassingen worden ook hieronder genoemd, met een celverwijziging</t>
  </si>
  <si>
    <t>Aanpassing berekening</t>
  </si>
  <si>
    <t>Celverwijzing</t>
  </si>
  <si>
    <t>Verwijderen berekening jaarlijkse kosten netverliezen</t>
  </si>
  <si>
    <t>Tabblad "Berekening netverliezen", cellen F56, F62 en F68</t>
  </si>
  <si>
    <t>Bewerking</t>
  </si>
  <si>
    <t>Berekening vervangen door harde waarde '0'</t>
  </si>
  <si>
    <t xml:space="preserve">Aanpassing: dubbele opgave voorzieningen dubieuze debiteuren </t>
  </si>
  <si>
    <t>Reactie van Endinet op de Winstenrapportage regionale netbeheerders 2008-2013 van 17 februari 2015</t>
  </si>
  <si>
    <t>Eliminatie dubbeltelling dubieuze debiteuren</t>
  </si>
  <si>
    <t>PRD Ov.Opbrengst TD (2009-2012), S53</t>
  </si>
  <si>
    <t>PRD Ov.Opbrengst TD (2009-2012), S102</t>
  </si>
  <si>
    <t>PRD Ov.Opbrengst TD (2009-2012), I201</t>
  </si>
  <si>
    <t>PRD Ov.Opbrengst AD (2009-2012), S55</t>
  </si>
  <si>
    <t>PRD Ov.Opbrengst AD (2009-2012), S107</t>
  </si>
  <si>
    <t>PRD Ov.Opbrengst AD (2009-2012), I211</t>
  </si>
  <si>
    <t>PRD OPEX TD (2009-2012), S25</t>
  </si>
  <si>
    <t>PRD OPEX TD (2009-2012), S85</t>
  </si>
  <si>
    <t>Correctie bedrag fraude en leegstand AD</t>
  </si>
  <si>
    <t>Correctie bedrag fraude en leegstand van AD naar TD</t>
  </si>
  <si>
    <t>Tevens enkele onjuiste bedragen gecorrigeerd</t>
  </si>
  <si>
    <t>Doorvoeren aanpassingen jaarlijkse productiviteitsverandering</t>
  </si>
  <si>
    <t>Nieuw berekende gegevens productiviteitsverandering in afzonderlijke bestanden (zie bijlage)</t>
  </si>
  <si>
    <t>Tabblad "Productiviteitsverandering", cel I21</t>
  </si>
  <si>
    <t>Tabblad "Productiviteitsverandering", cel J22</t>
  </si>
  <si>
    <t>Verwijderen vergoeding voor netverliezen uit de x-factorberekening (i.v.m. wijziging methodebesluit)</t>
  </si>
  <si>
    <t>Tabblad "Productiviteitsverandering", cel H20</t>
  </si>
  <si>
    <t>NB: Voor de leesbaarheid worden in deze bijlage de rekenvolumina afgerond weergegeven. Bij het vaststellen van tarieven wordt gebruik gemaakt van onafgeronde rekenvolumina.</t>
  </si>
  <si>
    <t>Bestand "PV2006-2009 voor X2014-2016", tabblad "productiviteit TD", cellen Q44 t/m Q46.</t>
  </si>
  <si>
    <t>PRD OPEX TD (2009-2012), I205</t>
  </si>
  <si>
    <t>PRD OPEX AD (2009-2012), I221</t>
  </si>
  <si>
    <t>x-factor en totale inkomsten</t>
  </si>
  <si>
    <r>
      <rPr>
        <i/>
        <sz val="10"/>
        <rFont val="Arial"/>
        <family val="2"/>
      </rPr>
      <t>Bron: RNBs Gas 2014-2016 PV-berekening over '05-'06 (aug 2016); Tabblad:</t>
    </r>
    <r>
      <rPr>
        <sz val="10"/>
        <rFont val="Arial"/>
        <family val="2"/>
      </rPr>
      <t xml:space="preserve"> Productiviteit</t>
    </r>
    <r>
      <rPr>
        <i/>
        <sz val="10"/>
        <rFont val="Arial"/>
        <family val="2"/>
      </rPr>
      <t>; Cel:</t>
    </r>
    <r>
      <rPr>
        <sz val="10"/>
        <rFont val="Arial"/>
        <family val="2"/>
      </rPr>
      <t xml:space="preserve"> Q24</t>
    </r>
  </si>
  <si>
    <t>Bron: RNBs Gas 2014-2016 gewijzigde GAW-berekening (aug 2016)</t>
  </si>
  <si>
    <t>16.0787.52</t>
  </si>
  <si>
    <t>16.0789.52</t>
  </si>
  <si>
    <t>16.0792.52</t>
  </si>
  <si>
    <t>16.0794.52</t>
  </si>
  <si>
    <t>16.0796.52</t>
  </si>
  <si>
    <t>16.0799.52</t>
  </si>
  <si>
    <t>16.0801.52</t>
  </si>
  <si>
    <t>16.0803.52</t>
  </si>
  <si>
    <t>16.0804.52</t>
  </si>
  <si>
    <t>Toelichting bij berekening gewijzigde x-factoren, q-factoren en rekenvolumina NG5R d.d. 25 augustus 2016</t>
  </si>
  <si>
    <t>Wijziging x-factorbesluiten 2014-2016 Gas d.d. 25 augustus 2016</t>
  </si>
  <si>
    <t>ACM/DE/2016/204810</t>
  </si>
  <si>
    <t>ACM/DE/2016/204812</t>
  </si>
  <si>
    <t>ACM/DE/2016/204814</t>
  </si>
  <si>
    <t>ACM/DE/2016/204816</t>
  </si>
  <si>
    <t>ACM/DE/2016/204818</t>
  </si>
  <si>
    <t>ACM/DE/2016/204820</t>
  </si>
  <si>
    <t>ACM/DE/2016/204822</t>
  </si>
  <si>
    <t>ACM/DE/2016/204824</t>
  </si>
  <si>
    <t>ACM/DE/2016/204825</t>
  </si>
  <si>
    <t xml:space="preserve">Dit bestand zoals dat nu tot stand is gekomen is volledig gebaseerd op de berekening voor de vaststelling van de x- en q-factoren en rekenvolumina NG5R van besluiten van 11 september 2014, </t>
  </si>
  <si>
    <r>
      <t>Oorspronkelijke gegevens: gegevens zoals opgenomen in het model dat gepubliceerd is bij de gewijzigde x- en q-factoren en rekenvolumina NG5R van besluiten van 11 september 2014</t>
    </r>
    <r>
      <rPr>
        <sz val="10"/>
        <color rgb="FFFF0000"/>
        <rFont val="Arial"/>
        <family val="2"/>
      </rPr>
      <t>.</t>
    </r>
  </si>
  <si>
    <t>Dit bestand maakt onderdeel uit van de (gewijzigde) x/q/rv-besluiten voor de vijfde periode voor de regionale netbeheerders gas (besluiten van 25 augustus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</si>
</sst>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3">
    <numFmt numFmtId="43" formatCode="_ * #,##0.00_ ;_ * \-#,##0.00_ ;_ * &quot;-&quot;??_ ;_ @_ "/>
    <numFmt numFmtId="164" formatCode="_-* #,##0_-;_-* #,##0\-;_-* &quot;-&quot;_-;_-@_-"/>
    <numFmt numFmtId="165" formatCode="_-* #,##0.00_-;_-* #,##0.00\-;_-* &quot;-&quot;??_-;_-@_-"/>
    <numFmt numFmtId="166" formatCode="_-* #,##0_-;_-* #,##0\-;_-* &quot;-&quot;??_-;_-@_-"/>
    <numFmt numFmtId="167" formatCode="0.000"/>
    <numFmt numFmtId="168" formatCode="_([$€]* #,##0.00_);_([$€]* \(#,##0.00\);_([$€]* &quot;-&quot;??_);_(@_)"/>
    <numFmt numFmtId="169" formatCode="_-* #,##0.000_-;_-* #,##0.000\-;_-* &quot;-&quot;??_-;_-@_-"/>
    <numFmt numFmtId="170" formatCode="0.0%"/>
    <numFmt numFmtId="171" formatCode="0.0000"/>
    <numFmt numFmtId="172" formatCode="0.0"/>
    <numFmt numFmtId="173" formatCode="_-* #,##0.0000_-;_-* #,##0.0000\-;_-* &quot;-&quot;??_-;_-@_-"/>
    <numFmt numFmtId="174" formatCode="_-* #,##0.0000000_-;_-* #,##0.0000000\-;_-* &quot;-&quot;??_-;_-@_-"/>
    <numFmt numFmtId="175" formatCode="0.000%"/>
    <numFmt numFmtId="176" formatCode="#,##0_ ;\-#,##0\ "/>
    <numFmt numFmtId="177" formatCode="[$-409]d/mmm/yyyy;@"/>
    <numFmt numFmtId="178" formatCode="_(* #,##0.00_);_(* \(#,##0.00\);_(* &quot;-&quot;??_);_(@_)"/>
    <numFmt numFmtId="179" formatCode="_-&quot;€&quot;\ * #,##0.00_-;_-&quot;€&quot;\ * #,##0.00\-;_-&quot;€&quot;\ * &quot;-&quot;??_-;_-@_-"/>
    <numFmt numFmtId="180" formatCode="0.000000"/>
    <numFmt numFmtId="181" formatCode="#,##0.0"/>
    <numFmt numFmtId="182" formatCode="0.000000000"/>
    <numFmt numFmtId="183" formatCode="0.00000000000"/>
    <numFmt numFmtId="184" formatCode="0.000000000000"/>
    <numFmt numFmtId="185" formatCode="_(* #,##0.000_);_(* \(#,##0.000\);_(* &quot;-&quot;??_);_(@_)"/>
    <numFmt numFmtId="186" formatCode="&quot;$&quot;#,##0_);[Red]\(&quot;$&quot;#,##0\)"/>
    <numFmt numFmtId="187" formatCode="mmm\-yyyy"/>
    <numFmt numFmtId="188" formatCode="&quot;$&quot;#,##0.00_);\(&quot;$&quot;#,##0.00\)"/>
    <numFmt numFmtId="189" formatCode="#,##0.000_);\(#,##0.000\)"/>
    <numFmt numFmtId="190" formatCode="0.00_)"/>
    <numFmt numFmtId="191" formatCode="0.0_)"/>
    <numFmt numFmtId="192" formatCode="#,##0.0000000_);\(#,##0.0000000\)"/>
    <numFmt numFmtId="193" formatCode=";;;"/>
    <numFmt numFmtId="194" formatCode="#,##0.00&quot;*&quot;"/>
    <numFmt numFmtId="195" formatCode="#,##0.0\ ;\(#,##0.0\)"/>
    <numFmt numFmtId="196" formatCode="&quot;$&quot;#,##0.00"/>
    <numFmt numFmtId="197" formatCode="&quot;$&quot;#,##0.00\ "/>
    <numFmt numFmtId="198" formatCode="#,##0.0\x_);[Red]\(#,##0.0\)"/>
    <numFmt numFmtId="199" formatCode="0.00_);\(0.00\)"/>
    <numFmt numFmtId="200" formatCode="#,##0%_);\(#,##0%\)"/>
    <numFmt numFmtId="201" formatCode="#,##0\x_);\(#,##0\x\)"/>
    <numFmt numFmtId="202" formatCode="0.0\ \ "/>
    <numFmt numFmtId="203" formatCode="#,##0.0_);\(#,##0.0\)"/>
    <numFmt numFmtId="204" formatCode="dd\-mmm\-yyyy"/>
    <numFmt numFmtId="205" formatCode="#,##0_);\(#,##0\);\-_);@_)"/>
    <numFmt numFmtId="206" formatCode="#,##0.00_);\(#,##0.00\);\-_)"/>
    <numFmt numFmtId="207" formatCode="#,##0.0_);\(#,##0.0\);\-_);@_)"/>
    <numFmt numFmtId="208" formatCode="###0_);\(###0\);\-_);@_)"/>
    <numFmt numFmtId="209" formatCode="0_);\(0\);\-_);@_)"/>
    <numFmt numFmtId="210" formatCode="_-\ #,##0.00_-;\(#,##0.00\);_-* &quot;–&quot;_-;_-@_-"/>
    <numFmt numFmtId="211" formatCode="_-* ##,##0_-;\(##,##0\);_-* &quot;-&quot;_-;_-@_-"/>
    <numFmt numFmtId="212" formatCode="0.00_);\(0.00\);0.00"/>
    <numFmt numFmtId="213" formatCode="0.00\%;\-0.00\%;0.00\%"/>
    <numFmt numFmtId="214" formatCode="##0.00000"/>
    <numFmt numFmtId="215" formatCode="0.00\x;\-0.00\x;0.00\x"/>
    <numFmt numFmtId="216" formatCode="#,##0_%_);\(#,##0\)_%;#,##0_%_);@_%_)"/>
    <numFmt numFmtId="217" formatCode="m/d/yy_%_)"/>
    <numFmt numFmtId="218" formatCode="0.0\%_);\(0.0\%\);0.0\%_);@_%_)"/>
    <numFmt numFmtId="219" formatCode="&quot;$&quot;#,##0_%_);\(&quot;$&quot;#,##0\)_%;&quot;$&quot;#,##0_%_);@_%_)"/>
    <numFmt numFmtId="220" formatCode="_-* ###0_-;\(###0\);_-* &quot;–&quot;_-;_-@_-"/>
    <numFmt numFmtId="221" formatCode="_-* #,###.0_-;\(#,###.0\);_-* &quot;–&quot;_-;_-@_-"/>
    <numFmt numFmtId="222" formatCode="#,##0.0_);\ \(#,##0.0\);\-???"/>
    <numFmt numFmtId="223" formatCode="yyyy"/>
    <numFmt numFmtId="224" formatCode="#,##0.00\x_);\(#,##0.00\x\);\-_)"/>
    <numFmt numFmtId="225" formatCode="0.00\ "/>
    <numFmt numFmtId="226" formatCode="#,##0_);\(#,##0\);&quot;–&quot;_;&quot;&quot;"/>
    <numFmt numFmtId="227" formatCode="#,##0_);\-#,##0_);\-_)"/>
    <numFmt numFmtId="228" formatCode="#,##0.00_);\-#,##0.00_);\-_)"/>
    <numFmt numFmtId="229" formatCode="#,##0.0_);\-#,##0.0_);\-_)"/>
    <numFmt numFmtId="230" formatCode="_-* #,##0_-;\(#,##0\);_-* &quot;–&quot;_-;_-@_-"/>
    <numFmt numFmtId="231" formatCode="_-\ #,##0.0_-;\(#,##0.0\);_-* &quot;–&quot;_-;_-@_-"/>
    <numFmt numFmtId="232" formatCode="&quot;$&quot;#,##0.0_);\(&quot;$&quot;#,##0.0\);\-_)"/>
    <numFmt numFmtId="233" formatCode="#,##0.0_)"/>
    <numFmt numFmtId="234" formatCode="0.00000000%"/>
    <numFmt numFmtId="235" formatCode="_ * #,##0_ ;_ * \-#,##0_ ;_ * &quot;-&quot;??_ ;_ @_ "/>
  </numFmts>
  <fonts count="177">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4"/>
      <name val="Arial"/>
      <family val="2"/>
    </font>
    <font>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0"/>
      <color indexed="8"/>
      <name val="Arial"/>
      <family val="2"/>
    </font>
    <font>
      <i/>
      <sz val="10"/>
      <name val="Arial"/>
      <family val="2"/>
    </font>
    <font>
      <sz val="8"/>
      <color indexed="81"/>
      <name val="Tahoma"/>
      <family val="2"/>
    </font>
    <font>
      <sz val="10"/>
      <name val="Comic Sans MS"/>
      <family val="4"/>
    </font>
    <font>
      <sz val="8"/>
      <name val="Arial"/>
      <family val="2"/>
    </font>
    <font>
      <sz val="8"/>
      <color indexed="8"/>
      <name val="Arial"/>
      <family val="2"/>
    </font>
    <font>
      <sz val="10"/>
      <name val="ScalaSans"/>
    </font>
    <font>
      <sz val="10"/>
      <name val="ScalaSans"/>
      <family val="2"/>
    </font>
    <font>
      <sz val="10"/>
      <name val="Arial"/>
      <family val="2"/>
    </font>
    <font>
      <b/>
      <sz val="10"/>
      <color indexed="8"/>
      <name val="Arial"/>
      <family val="2"/>
    </font>
    <font>
      <sz val="10"/>
      <color indexed="8"/>
      <name val="MS Sans Serif"/>
      <family val="2"/>
    </font>
    <font>
      <sz val="10"/>
      <color rgb="FFFF0000"/>
      <name val="Arial"/>
      <family val="2"/>
    </font>
    <font>
      <b/>
      <sz val="8"/>
      <color indexed="81"/>
      <name val="Tahoma"/>
      <family val="2"/>
    </font>
    <font>
      <b/>
      <sz val="10"/>
      <color rgb="FFFF0000"/>
      <name val="Arial"/>
      <family val="2"/>
    </font>
    <font>
      <sz val="10"/>
      <name val="Arial"/>
      <family val="2"/>
    </font>
    <font>
      <b/>
      <sz val="12"/>
      <name val="Arial"/>
      <family val="2"/>
    </font>
    <font>
      <sz val="12"/>
      <name val="Arial"/>
      <family val="2"/>
    </font>
    <font>
      <sz val="12"/>
      <name val="Times New Roman"/>
      <family val="1"/>
    </font>
    <font>
      <sz val="10"/>
      <name val="Helv"/>
      <charset val="204"/>
    </font>
    <font>
      <sz val="10"/>
      <name val="Book Antiqua"/>
      <family val="1"/>
    </font>
    <font>
      <sz val="10"/>
      <name val="Courier"/>
      <family val="3"/>
    </font>
    <font>
      <sz val="10"/>
      <name val="Courier"/>
      <family val="3"/>
    </font>
    <font>
      <sz val="9"/>
      <name val="Arial"/>
      <family val="2"/>
    </font>
    <font>
      <b/>
      <sz val="12"/>
      <name val="Tms Rmn"/>
    </font>
    <font>
      <b/>
      <sz val="12"/>
      <color indexed="13"/>
      <name val="Arial"/>
      <family val="2"/>
    </font>
    <font>
      <sz val="8"/>
      <color indexed="13"/>
      <name val="Arial"/>
      <family val="2"/>
    </font>
    <font>
      <sz val="9"/>
      <color indexed="44"/>
      <name val="Arial"/>
      <family val="2"/>
    </font>
    <font>
      <sz val="8"/>
      <color indexed="12"/>
      <name val="Tms Rmn"/>
    </font>
    <font>
      <b/>
      <i/>
      <sz val="9"/>
      <name val="Palatino"/>
      <family val="1"/>
    </font>
    <font>
      <b/>
      <i/>
      <sz val="9"/>
      <name val="Arial"/>
      <family val="2"/>
    </font>
    <font>
      <sz val="14"/>
      <color indexed="57"/>
      <name val="Arial"/>
      <family val="2"/>
    </font>
    <font>
      <sz val="9"/>
      <color indexed="50"/>
      <name val="Arial"/>
      <family val="2"/>
    </font>
    <font>
      <sz val="6.5"/>
      <name val="Arial"/>
      <family val="2"/>
    </font>
    <font>
      <sz val="8"/>
      <color indexed="57"/>
      <name val="Arial"/>
      <family val="2"/>
    </font>
    <font>
      <b/>
      <sz val="8"/>
      <color indexed="57"/>
      <name val="Arial"/>
      <family val="2"/>
    </font>
    <font>
      <sz val="7"/>
      <name val="Arial"/>
      <family val="2"/>
    </font>
    <font>
      <vertAlign val="superscript"/>
      <sz val="8"/>
      <name val="Arial"/>
      <family val="2"/>
    </font>
    <font>
      <sz val="7.5"/>
      <name val="Arial"/>
      <family val="2"/>
    </font>
    <font>
      <sz val="10"/>
      <color indexed="17"/>
      <name val="Times New Roman"/>
      <family val="1"/>
    </font>
    <font>
      <sz val="10"/>
      <name val="Times New Roman"/>
      <family val="1"/>
    </font>
    <font>
      <sz val="10"/>
      <name val="Times New Roman"/>
      <family val="1"/>
    </font>
    <font>
      <b/>
      <i/>
      <sz val="8"/>
      <name val="Arial"/>
      <family val="2"/>
    </font>
    <font>
      <sz val="8"/>
      <name val="Arial"/>
      <family val="2"/>
    </font>
    <font>
      <b/>
      <sz val="8"/>
      <name val="Book Antiqua"/>
      <family val="1"/>
    </font>
    <font>
      <b/>
      <sz val="9"/>
      <name val="Palatino"/>
      <family val="1"/>
    </font>
    <font>
      <b/>
      <sz val="9"/>
      <color indexed="18"/>
      <name val="Arial"/>
      <family val="2"/>
    </font>
    <font>
      <sz val="8"/>
      <color indexed="12"/>
      <name val="Times New Roman"/>
      <family val="1"/>
    </font>
    <font>
      <sz val="8"/>
      <name val="Palatino"/>
      <family val="1"/>
    </font>
    <font>
      <b/>
      <sz val="8"/>
      <color indexed="13"/>
      <name val="Times New Roman"/>
      <family val="1"/>
    </font>
    <font>
      <sz val="24"/>
      <name val="Arial"/>
      <family val="2"/>
    </font>
    <font>
      <b/>
      <sz val="18"/>
      <name val="Palatino"/>
      <family val="1"/>
    </font>
    <font>
      <b/>
      <sz val="14"/>
      <color indexed="8"/>
      <name val="Arial"/>
      <family val="2"/>
    </font>
    <font>
      <sz val="11"/>
      <color indexed="12"/>
      <name val="Book Antiqua"/>
      <family val="1"/>
    </font>
    <font>
      <sz val="8"/>
      <name val="Palatino"/>
      <family val="1"/>
    </font>
    <font>
      <sz val="8"/>
      <color indexed="10"/>
      <name val="Times New Roman"/>
      <family val="1"/>
    </font>
    <font>
      <sz val="14"/>
      <color indexed="32"/>
      <name val="Times New Roman"/>
      <family val="1"/>
    </font>
    <font>
      <sz val="7"/>
      <name val="Palatino"/>
      <family val="1"/>
    </font>
    <font>
      <sz val="7"/>
      <name val="Arial"/>
      <family val="2"/>
    </font>
    <font>
      <sz val="10"/>
      <color indexed="12"/>
      <name val="Arial"/>
      <family val="2"/>
    </font>
    <font>
      <sz val="12"/>
      <color indexed="57"/>
      <name val="Arial"/>
      <family val="2"/>
    </font>
    <font>
      <sz val="6"/>
      <name val="Arial"/>
      <family val="2"/>
    </font>
    <font>
      <b/>
      <vertAlign val="superscript"/>
      <sz val="8"/>
      <name val="Arial"/>
      <family val="2"/>
    </font>
    <font>
      <b/>
      <sz val="6.5"/>
      <color indexed="8"/>
      <name val="Arial"/>
      <family val="2"/>
    </font>
    <font>
      <sz val="7"/>
      <color indexed="57"/>
      <name val="Arial"/>
      <family val="2"/>
    </font>
    <font>
      <sz val="6"/>
      <color indexed="16"/>
      <name val="Palatino"/>
      <family val="1"/>
    </font>
    <font>
      <b/>
      <sz val="12"/>
      <name val="Arial"/>
      <family val="2"/>
    </font>
    <font>
      <b/>
      <sz val="8"/>
      <name val="Palatino"/>
      <family val="1"/>
    </font>
    <font>
      <b/>
      <sz val="8"/>
      <name val="Palatino"/>
      <family val="1"/>
    </font>
    <font>
      <u/>
      <sz val="8"/>
      <color indexed="53"/>
      <name val="Arial"/>
      <family val="2"/>
    </font>
    <font>
      <b/>
      <sz val="12"/>
      <name val="Arial MT"/>
    </font>
    <font>
      <sz val="9"/>
      <color indexed="12"/>
      <name val="Times New Roman"/>
      <family val="1"/>
    </font>
    <font>
      <b/>
      <sz val="8"/>
      <name val="Arial"/>
      <family val="2"/>
    </font>
    <font>
      <sz val="12"/>
      <name val="Times New Roman"/>
      <family val="1"/>
    </font>
    <font>
      <sz val="12"/>
      <name val="Arial MT"/>
    </font>
    <font>
      <sz val="10"/>
      <name val="Helv"/>
    </font>
    <font>
      <b/>
      <sz val="9"/>
      <name val="Arial"/>
      <family val="2"/>
    </font>
    <font>
      <b/>
      <sz val="10"/>
      <name val="Palatino"/>
      <family val="1"/>
    </font>
    <font>
      <sz val="8"/>
      <color indexed="17"/>
      <name val="Times New Roman"/>
      <family val="1"/>
    </font>
    <font>
      <b/>
      <sz val="12"/>
      <color indexed="10"/>
      <name val="Arial MT"/>
    </font>
    <font>
      <b/>
      <sz val="14"/>
      <color indexed="24"/>
      <name val="Book Antiqua"/>
      <family val="1"/>
    </font>
    <font>
      <sz val="9"/>
      <name val="Times New Roman"/>
      <family val="1"/>
    </font>
    <font>
      <i/>
      <sz val="10"/>
      <color indexed="10"/>
      <name val="Arial"/>
      <family val="2"/>
    </font>
    <font>
      <b/>
      <i/>
      <sz val="16"/>
      <name val="Helv"/>
    </font>
    <font>
      <sz val="10"/>
      <name val="Verdana"/>
      <family val="2"/>
    </font>
    <font>
      <sz val="8"/>
      <name val="Book Antiqua"/>
      <family val="1"/>
    </font>
    <font>
      <sz val="10"/>
      <color indexed="16"/>
      <name val="Helvetica-Black"/>
    </font>
    <font>
      <i/>
      <sz val="14"/>
      <name val="Times New Roman"/>
      <family val="1"/>
    </font>
    <font>
      <b/>
      <sz val="22"/>
      <name val="Book Antiqua"/>
      <family val="1"/>
    </font>
    <font>
      <sz val="10"/>
      <name val="MS Sans Serif"/>
      <family val="2"/>
    </font>
    <font>
      <sz val="10"/>
      <name val="Palatino"/>
      <family val="1"/>
    </font>
    <font>
      <sz val="8"/>
      <color indexed="32"/>
      <name val="Arial"/>
      <family val="2"/>
    </font>
    <font>
      <sz val="12"/>
      <color indexed="8"/>
      <name val="Arial MT"/>
    </font>
    <font>
      <b/>
      <i/>
      <sz val="10"/>
      <name val="Arial"/>
      <family val="2"/>
    </font>
    <font>
      <b/>
      <sz val="8"/>
      <color indexed="18"/>
      <name val="Arial"/>
      <family val="2"/>
    </font>
    <font>
      <sz val="10"/>
      <color indexed="23"/>
      <name val="MS Sans Serif"/>
      <family val="2"/>
    </font>
    <font>
      <b/>
      <sz val="12"/>
      <name val="MS Sans Serif"/>
      <family val="2"/>
    </font>
    <font>
      <sz val="10"/>
      <name val="Geneva"/>
    </font>
    <font>
      <b/>
      <sz val="8"/>
      <name val="HelveticaNeue Condensed"/>
      <family val="2"/>
    </font>
    <font>
      <b/>
      <sz val="8"/>
      <name val="HelveticaNeue Condensed"/>
    </font>
    <font>
      <sz val="8"/>
      <name val="HelveticaNeue LightCond"/>
      <family val="2"/>
    </font>
    <font>
      <sz val="8"/>
      <color indexed="17"/>
      <name val="HelveticaNeue LightCond"/>
      <family val="2"/>
    </font>
    <font>
      <b/>
      <sz val="12"/>
      <color indexed="18"/>
      <name val="Arial"/>
      <family val="2"/>
    </font>
    <font>
      <sz val="9"/>
      <color indexed="21"/>
      <name val="Helvetica-Black"/>
    </font>
    <font>
      <sz val="9"/>
      <name val="Helvetica-Black"/>
    </font>
    <font>
      <sz val="8"/>
      <name val="Helvetica-Narrow"/>
      <family val="2"/>
    </font>
    <font>
      <b/>
      <sz val="7"/>
      <name val="Helvetica-Narrow"/>
      <family val="2"/>
    </font>
    <font>
      <b/>
      <u/>
      <sz val="9"/>
      <name val="Arial"/>
      <family val="2"/>
    </font>
    <font>
      <b/>
      <sz val="16"/>
      <name val="Arial"/>
      <family val="2"/>
    </font>
    <font>
      <b/>
      <sz val="14"/>
      <name val="Palatino"/>
      <family val="1"/>
    </font>
    <font>
      <b/>
      <sz val="8"/>
      <color indexed="8"/>
      <name val="Times New Roman"/>
      <family val="1"/>
    </font>
    <font>
      <b/>
      <sz val="7"/>
      <name val="Arial"/>
      <family val="2"/>
    </font>
    <font>
      <b/>
      <sz val="8"/>
      <color indexed="9"/>
      <name val="Times New Roman"/>
      <family val="1"/>
    </font>
    <font>
      <b/>
      <sz val="12"/>
      <color indexed="53"/>
      <name val="Arial"/>
      <family val="2"/>
    </font>
    <font>
      <sz val="8"/>
      <name val="Book Antiqua"/>
      <family val="1"/>
    </font>
    <font>
      <sz val="10"/>
      <color indexed="8"/>
      <name val="EYInterstate Light"/>
      <family val="2"/>
    </font>
    <font>
      <sz val="10"/>
      <color indexed="9"/>
      <name val="EYInterstate Light"/>
      <family val="2"/>
    </font>
    <font>
      <sz val="10"/>
      <color indexed="20"/>
      <name val="EYInterstate Light"/>
      <family val="2"/>
    </font>
    <font>
      <b/>
      <sz val="10"/>
      <color indexed="52"/>
      <name val="EYInterstate Light"/>
      <family val="2"/>
    </font>
    <font>
      <b/>
      <sz val="10"/>
      <color indexed="9"/>
      <name val="EYInterstate Light"/>
      <family val="2"/>
    </font>
    <font>
      <i/>
      <sz val="10"/>
      <color indexed="23"/>
      <name val="EYInterstate Light"/>
      <family val="2"/>
    </font>
    <font>
      <sz val="10"/>
      <color indexed="17"/>
      <name val="EYInterstate Light"/>
      <family val="2"/>
    </font>
    <font>
      <b/>
      <sz val="15"/>
      <color indexed="56"/>
      <name val="EYInterstate Light"/>
      <family val="2"/>
    </font>
    <font>
      <b/>
      <sz val="13"/>
      <color indexed="56"/>
      <name val="EYInterstate Light"/>
      <family val="2"/>
    </font>
    <font>
      <b/>
      <sz val="11"/>
      <color indexed="56"/>
      <name val="EYInterstate Light"/>
      <family val="2"/>
    </font>
    <font>
      <sz val="10"/>
      <color indexed="62"/>
      <name val="EYInterstate Light"/>
      <family val="2"/>
    </font>
    <font>
      <sz val="10"/>
      <color indexed="52"/>
      <name val="EYInterstate Light"/>
      <family val="2"/>
    </font>
    <font>
      <sz val="10"/>
      <color indexed="60"/>
      <name val="EYInterstate Light"/>
      <family val="2"/>
    </font>
    <font>
      <b/>
      <sz val="10"/>
      <color indexed="63"/>
      <name val="EYInterstate Light"/>
      <family val="2"/>
    </font>
    <font>
      <b/>
      <sz val="10"/>
      <color indexed="8"/>
      <name val="EYInterstate Light"/>
      <family val="2"/>
    </font>
    <font>
      <sz val="10"/>
      <color indexed="10"/>
      <name val="EYInterstate Light"/>
      <family val="2"/>
    </font>
    <font>
      <b/>
      <sz val="10"/>
      <color theme="0"/>
      <name val="Arial"/>
      <family val="2"/>
    </font>
    <font>
      <b/>
      <sz val="10"/>
      <color indexed="10"/>
      <name val="Arial"/>
      <family val="2"/>
    </font>
    <font>
      <i/>
      <sz val="10"/>
      <color theme="0"/>
      <name val="Arial"/>
      <family val="2"/>
    </font>
    <font>
      <sz val="10"/>
      <color theme="1"/>
      <name val="Arial"/>
      <family val="2"/>
    </font>
    <font>
      <sz val="11"/>
      <color theme="1"/>
      <name val="Arial"/>
      <family val="2"/>
    </font>
    <font>
      <b/>
      <sz val="11"/>
      <name val="Arial"/>
      <family val="2"/>
    </font>
    <font>
      <i/>
      <sz val="10"/>
      <color theme="1"/>
      <name val="Arial"/>
      <family val="2"/>
    </font>
    <font>
      <i/>
      <sz val="11"/>
      <color theme="1"/>
      <name val="Arial"/>
      <family val="2"/>
    </font>
    <font>
      <b/>
      <sz val="10"/>
      <color theme="1"/>
      <name val="Arial"/>
      <family val="2"/>
    </font>
    <font>
      <sz val="10"/>
      <color theme="1"/>
      <name val="Calibri"/>
      <family val="2"/>
      <scheme val="minor"/>
    </font>
    <font>
      <i/>
      <sz val="10"/>
      <color theme="1"/>
      <name val="Calibri"/>
      <family val="2"/>
      <scheme val="minor"/>
    </font>
    <font>
      <sz val="11"/>
      <color rgb="FFFF0000"/>
      <name val="Calibri"/>
      <family val="2"/>
      <scheme val="minor"/>
    </font>
    <font>
      <sz val="10"/>
      <name val="Arial"/>
      <family val="2"/>
    </font>
    <font>
      <b/>
      <sz val="8"/>
      <name val="Arial"/>
      <family val="2"/>
    </font>
    <font>
      <sz val="9.5"/>
      <color theme="1"/>
      <name val="Arial"/>
      <family val="2"/>
    </font>
    <font>
      <sz val="9.5"/>
      <color rgb="FF000000"/>
      <name val="Arial"/>
      <family val="2"/>
    </font>
    <font>
      <sz val="10"/>
      <name val="Arial"/>
      <family val="2"/>
    </font>
    <font>
      <sz val="10"/>
      <name val="Tahoma"/>
      <family val="2"/>
    </font>
    <font>
      <b/>
      <sz val="14"/>
      <color theme="0"/>
      <name val="Arial"/>
      <family val="2"/>
    </font>
    <font>
      <sz val="9.5"/>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0"/>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1"/>
        <bgColor indexed="64"/>
      </patternFill>
    </fill>
    <fill>
      <patternFill patternType="solid">
        <fgColor rgb="FFFF3399"/>
        <bgColor indexed="64"/>
      </patternFill>
    </fill>
    <fill>
      <patternFill patternType="solid">
        <fgColor rgb="FFCCFFCC"/>
        <bgColor indexed="64"/>
      </patternFill>
    </fill>
    <fill>
      <patternFill patternType="solid">
        <fgColor rgb="FFFFFF99"/>
        <bgColor indexed="64"/>
      </patternFill>
    </fill>
    <fill>
      <patternFill patternType="solid">
        <fgColor rgb="FFFFCC99"/>
        <bgColor indexed="64"/>
      </patternFill>
    </fill>
    <fill>
      <patternFill patternType="solid">
        <fgColor rgb="FFCCFFFF"/>
        <bgColor indexed="64"/>
      </patternFill>
    </fill>
    <fill>
      <patternFill patternType="solid">
        <fgColor rgb="FFFF99CC"/>
        <bgColor indexed="64"/>
      </patternFill>
    </fill>
    <fill>
      <patternFill patternType="solid">
        <fgColor rgb="FFC0C0C0"/>
        <bgColor indexed="64"/>
      </patternFill>
    </fill>
    <fill>
      <patternFill patternType="solid">
        <fgColor indexed="13"/>
        <bgColor indexed="64"/>
      </patternFill>
    </fill>
    <fill>
      <patternFill patternType="solid">
        <fgColor theme="0" tint="-0.14999847407452621"/>
        <bgColor indexed="64"/>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5"/>
        <bgColor indexed="64"/>
      </patternFill>
    </fill>
    <fill>
      <patternFill patternType="lightGray">
        <fgColor indexed="12"/>
      </patternFill>
    </fill>
    <fill>
      <patternFill patternType="solid">
        <fgColor indexed="8"/>
        <bgColor indexed="64"/>
      </patternFill>
    </fill>
    <fill>
      <patternFill patternType="solid">
        <fgColor indexed="26"/>
        <bgColor indexed="64"/>
      </patternFill>
    </fill>
    <fill>
      <patternFill patternType="solid">
        <fgColor indexed="16"/>
        <bgColor indexed="64"/>
      </patternFill>
    </fill>
    <fill>
      <patternFill patternType="lightGray">
        <fgColor indexed="13"/>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0070C0"/>
        <bgColor indexed="64"/>
      </patternFill>
    </fill>
    <fill>
      <patternFill patternType="solid">
        <fgColor theme="0"/>
        <bgColor indexed="64"/>
      </patternFill>
    </fill>
    <fill>
      <patternFill patternType="solid">
        <fgColor theme="4" tint="0.79998168889431442"/>
        <bgColor indexed="64"/>
      </patternFill>
    </fill>
    <fill>
      <patternFill patternType="solid">
        <fgColor rgb="FFDBE721"/>
        <bgColor indexed="64"/>
      </patternFill>
    </fill>
    <fill>
      <patternFill patternType="solid">
        <fgColor rgb="FFFFFFCC"/>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style="thin">
        <color indexed="64"/>
      </bottom>
      <diagonal/>
    </border>
    <border>
      <left/>
      <right/>
      <top/>
      <bottom style="hair">
        <color indexed="64"/>
      </bottom>
      <diagonal/>
    </border>
    <border>
      <left/>
      <right/>
      <top style="medium">
        <color indexed="64"/>
      </top>
      <bottom style="thin">
        <color indexed="64"/>
      </bottom>
      <diagonal/>
    </border>
    <border>
      <left/>
      <right/>
      <top/>
      <bottom style="medium">
        <color indexed="64"/>
      </bottom>
      <diagonal/>
    </border>
    <border>
      <left/>
      <right style="thin">
        <color indexed="8"/>
      </right>
      <top style="thin">
        <color indexed="8"/>
      </top>
      <bottom/>
      <diagonal/>
    </border>
    <border>
      <left/>
      <right/>
      <top/>
      <bottom style="dotted">
        <color indexed="64"/>
      </bottom>
      <diagonal/>
    </border>
    <border>
      <left style="thin">
        <color indexed="8"/>
      </left>
      <right style="thin">
        <color indexed="8"/>
      </right>
      <top style="thin">
        <color indexed="8"/>
      </top>
      <bottom style="thin">
        <color indexed="8"/>
      </bottom>
      <diagonal/>
    </border>
    <border>
      <left/>
      <right/>
      <top style="medium">
        <color indexed="18"/>
      </top>
      <bottom/>
      <diagonal/>
    </border>
    <border>
      <left/>
      <right/>
      <top style="thin">
        <color indexed="64"/>
      </top>
      <bottom style="medium">
        <color indexed="64"/>
      </bottom>
      <diagonal/>
    </border>
    <border>
      <left style="thick">
        <color indexed="64"/>
      </left>
      <right style="thin">
        <color indexed="64"/>
      </right>
      <top/>
      <bottom/>
      <diagonal/>
    </border>
    <border>
      <left style="hair">
        <color theme="7" tint="0.39994506668294322"/>
      </left>
      <right/>
      <top style="hair">
        <color theme="7" tint="0.39994506668294322"/>
      </top>
      <bottom/>
      <diagonal/>
    </border>
    <border>
      <left/>
      <right/>
      <top style="hair">
        <color theme="7" tint="0.39994506668294322"/>
      </top>
      <bottom/>
      <diagonal/>
    </border>
    <border>
      <left/>
      <right style="hair">
        <color theme="7" tint="0.39994506668294322"/>
      </right>
      <top style="hair">
        <color theme="7" tint="0.39994506668294322"/>
      </top>
      <bottom/>
      <diagonal/>
    </border>
    <border>
      <left style="hair">
        <color theme="7" tint="0.39994506668294322"/>
      </left>
      <right/>
      <top/>
      <bottom/>
      <diagonal/>
    </border>
    <border>
      <left/>
      <right style="hair">
        <color theme="7" tint="0.39994506668294322"/>
      </right>
      <top/>
      <bottom/>
      <diagonal/>
    </border>
    <border>
      <left style="hair">
        <color theme="7" tint="0.39994506668294322"/>
      </left>
      <right/>
      <top/>
      <bottom style="hair">
        <color theme="7" tint="0.39994506668294322"/>
      </bottom>
      <diagonal/>
    </border>
    <border>
      <left/>
      <right/>
      <top/>
      <bottom style="hair">
        <color theme="7" tint="0.39994506668294322"/>
      </bottom>
      <diagonal/>
    </border>
    <border>
      <left/>
      <right style="hair">
        <color theme="7" tint="0.39994506668294322"/>
      </right>
      <top/>
      <bottom style="hair">
        <color theme="7" tint="0.39994506668294322"/>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theme="0"/>
      </bottom>
      <diagonal/>
    </border>
    <border>
      <left/>
      <right/>
      <top style="thin">
        <color theme="0"/>
      </top>
      <bottom/>
      <diagonal/>
    </border>
    <border>
      <left/>
      <right style="thin">
        <color indexed="64"/>
      </right>
      <top/>
      <bottom style="thin">
        <color theme="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364">
    <xf numFmtId="0" fontId="0" fillId="0" borderId="0"/>
    <xf numFmtId="0" fontId="3"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1" fillId="20" borderId="1" applyNumberFormat="0" applyAlignment="0" applyProtection="0"/>
    <xf numFmtId="0" fontId="12" fillId="21" borderId="2" applyNumberFormat="0" applyAlignment="0" applyProtection="0"/>
    <xf numFmtId="0" fontId="12" fillId="21" borderId="2" applyNumberFormat="0" applyAlignment="0" applyProtection="0"/>
    <xf numFmtId="168" fontId="3" fillId="0" borderId="0" applyFont="0" applyFill="0" applyBorder="0" applyAlignment="0" applyProtection="0"/>
    <xf numFmtId="0" fontId="13" fillId="0" borderId="0" applyNumberFormat="0" applyFill="0" applyBorder="0" applyAlignment="0" applyProtection="0"/>
    <xf numFmtId="0" fontId="20" fillId="0" borderId="3" applyNumberFormat="0" applyFill="0" applyAlignment="0" applyProtection="0"/>
    <xf numFmtId="0" fontId="14" fillId="4" borderId="0" applyNumberFormat="0" applyBorder="0" applyAlignment="0" applyProtection="0"/>
    <xf numFmtId="0" fontId="14" fillId="4" borderId="0" applyNumberFormat="0" applyBorder="0" applyAlignment="0" applyProtection="0"/>
    <xf numFmtId="0" fontId="15" fillId="0" borderId="0"/>
    <xf numFmtId="0" fontId="16" fillId="0" borderId="4"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19" fillId="7" borderId="1" applyNumberFormat="0" applyAlignment="0" applyProtection="0"/>
    <xf numFmtId="165" fontId="3" fillId="0" borderId="0" applyFont="0" applyFill="0" applyBorder="0" applyAlignment="0" applyProtection="0"/>
    <xf numFmtId="0" fontId="16" fillId="0" borderId="4"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20" fillId="0" borderId="3"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30" fillId="0" borderId="0"/>
    <xf numFmtId="0" fontId="3" fillId="23" borderId="7" applyNumberFormat="0" applyFont="0" applyAlignment="0" applyProtection="0"/>
    <xf numFmtId="0" fontId="3" fillId="23" borderId="7" applyNumberFormat="0" applyFont="0" applyAlignment="0" applyProtection="0"/>
    <xf numFmtId="0" fontId="10" fillId="3" borderId="0" applyNumberFormat="0" applyBorder="0" applyAlignment="0" applyProtection="0"/>
    <xf numFmtId="0" fontId="22" fillId="20" borderId="8" applyNumberFormat="0" applyAlignment="0" applyProtection="0"/>
    <xf numFmtId="9" fontId="3" fillId="0" borderId="0" applyFont="0" applyFill="0" applyBorder="0" applyAlignment="0" applyProtection="0"/>
    <xf numFmtId="0" fontId="26" fillId="0" borderId="0"/>
    <xf numFmtId="0" fontId="26" fillId="0" borderId="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2" fillId="20" borderId="8" applyNumberFormat="0" applyAlignment="0" applyProtection="0"/>
    <xf numFmtId="0" fontId="1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7" fillId="0" borderId="0"/>
    <xf numFmtId="0" fontId="3" fillId="0" borderId="0"/>
    <xf numFmtId="0" fontId="3" fillId="0" borderId="0"/>
    <xf numFmtId="0" fontId="3" fillId="0" borderId="0"/>
    <xf numFmtId="0" fontId="3" fillId="0" borderId="0"/>
    <xf numFmtId="0" fontId="2" fillId="0" borderId="0"/>
    <xf numFmtId="165" fontId="3" fillId="0" borderId="0" applyFont="0" applyFill="0" applyBorder="0" applyAlignment="0" applyProtection="0"/>
    <xf numFmtId="43" fontId="2" fillId="0" borderId="0" applyFont="0" applyFill="0" applyBorder="0" applyAlignment="0" applyProtection="0"/>
    <xf numFmtId="177" fontId="3" fillId="0" borderId="0"/>
    <xf numFmtId="0" fontId="46" fillId="0" borderId="0" applyFont="0" applyFill="0" applyBorder="0" applyAlignment="0"/>
    <xf numFmtId="0" fontId="45" fillId="0" borderId="0"/>
    <xf numFmtId="0" fontId="48" fillId="0" borderId="0">
      <alignment vertical="center"/>
    </xf>
    <xf numFmtId="0" fontId="47" fillId="0" borderId="0">
      <alignment vertical="center"/>
    </xf>
    <xf numFmtId="0" fontId="37" fillId="0" borderId="0"/>
    <xf numFmtId="180" fontId="41" fillId="0" borderId="0">
      <alignment horizontal="left" wrapText="1"/>
    </xf>
    <xf numFmtId="0" fontId="48" fillId="0" borderId="0">
      <alignment vertical="center"/>
    </xf>
    <xf numFmtId="0" fontId="47" fillId="0" borderId="0">
      <alignment vertical="center"/>
    </xf>
    <xf numFmtId="0" fontId="48" fillId="0" borderId="0">
      <alignment vertical="center"/>
    </xf>
    <xf numFmtId="0" fontId="44" fillId="0" borderId="0"/>
    <xf numFmtId="180" fontId="41" fillId="0" borderId="0">
      <alignment horizontal="left" wrapText="1"/>
    </xf>
    <xf numFmtId="0" fontId="47" fillId="0" borderId="0">
      <alignment vertical="center"/>
    </xf>
    <xf numFmtId="0" fontId="41" fillId="0" borderId="0"/>
    <xf numFmtId="0" fontId="49" fillId="0" borderId="0">
      <alignment vertical="top"/>
    </xf>
    <xf numFmtId="0" fontId="3" fillId="0" borderId="0"/>
    <xf numFmtId="181" fontId="50" fillId="0" borderId="0"/>
    <xf numFmtId="0" fontId="4" fillId="0" borderId="17" applyNumberFormat="0" applyFill="0" applyAlignment="0" applyProtection="0"/>
    <xf numFmtId="225" fontId="51" fillId="43" borderId="18" applyNumberFormat="0" applyBorder="0" applyAlignment="0">
      <alignment horizontal="centerContinuous" vertical="center"/>
      <protection hidden="1"/>
    </xf>
    <xf numFmtId="1" fontId="52" fillId="44" borderId="13" applyNumberFormat="0" applyBorder="0" applyAlignment="0">
      <alignment horizontal="center" vertical="top" wrapText="1"/>
      <protection hidden="1"/>
    </xf>
    <xf numFmtId="49" fontId="53" fillId="42" borderId="0" applyNumberFormat="0" applyFont="0" applyBorder="0" applyAlignment="0" applyProtection="0">
      <alignment horizontal="left"/>
    </xf>
    <xf numFmtId="0" fontId="54" fillId="0" borderId="0" applyNumberFormat="0" applyFill="0" applyBorder="0" applyAlignment="0" applyProtection="0"/>
    <xf numFmtId="203" fontId="55" fillId="0" borderId="19" applyBorder="0"/>
    <xf numFmtId="186" fontId="41" fillId="0" borderId="0" applyFont="0" applyFill="0" applyBorder="0" applyAlignment="0" applyProtection="0"/>
    <xf numFmtId="0" fontId="41" fillId="45" borderId="15" applyFont="0" applyFill="0" applyBorder="0" applyAlignment="0" applyProtection="0"/>
    <xf numFmtId="186" fontId="41" fillId="0" borderId="0" applyFont="0" applyFill="0" applyBorder="0" applyAlignment="0" applyProtection="0"/>
    <xf numFmtId="0" fontId="56" fillId="0" borderId="0" applyNumberFormat="0" applyFill="0" applyBorder="0" applyAlignment="0" applyProtection="0"/>
    <xf numFmtId="0" fontId="57" fillId="0" borderId="0"/>
    <xf numFmtId="0" fontId="58" fillId="0" borderId="0">
      <alignment horizontal="left"/>
    </xf>
    <xf numFmtId="220" fontId="59" fillId="0" borderId="0">
      <alignment horizontal="right"/>
    </xf>
    <xf numFmtId="0" fontId="4" fillId="0" borderId="0">
      <alignment vertical="center"/>
    </xf>
    <xf numFmtId="211" fontId="4" fillId="0" borderId="0" applyFill="0" applyBorder="0">
      <alignment horizontal="right"/>
    </xf>
    <xf numFmtId="0" fontId="60" fillId="0" borderId="0">
      <alignment horizontal="right" vertical="center"/>
    </xf>
    <xf numFmtId="0" fontId="61" fillId="0" borderId="0">
      <alignment horizontal="right" vertical="center"/>
    </xf>
    <xf numFmtId="0" fontId="62" fillId="0" borderId="0"/>
    <xf numFmtId="0" fontId="63" fillId="0" borderId="0">
      <alignment horizontal="right" vertical="center"/>
    </xf>
    <xf numFmtId="210" fontId="60" fillId="0" borderId="0">
      <alignment horizontal="right"/>
    </xf>
    <xf numFmtId="0" fontId="64" fillId="0" borderId="0">
      <alignment horizontal="right" vertical="center"/>
    </xf>
    <xf numFmtId="210" fontId="64" fillId="0" borderId="0">
      <alignment horizontal="right"/>
    </xf>
    <xf numFmtId="221" fontId="64" fillId="0" borderId="0">
      <alignment horizontal="right" vertical="center"/>
    </xf>
    <xf numFmtId="207" fontId="65" fillId="0" borderId="0"/>
    <xf numFmtId="207" fontId="66" fillId="0" borderId="0"/>
    <xf numFmtId="37" fontId="67" fillId="0" borderId="0"/>
    <xf numFmtId="183" fontId="41" fillId="0" borderId="0"/>
    <xf numFmtId="184" fontId="41" fillId="0" borderId="0"/>
    <xf numFmtId="0" fontId="4"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16" applyNumberFormat="0" applyFill="0" applyBorder="0" applyAlignment="0" applyProtection="0">
      <alignment horizontal="center"/>
    </xf>
    <xf numFmtId="0" fontId="3" fillId="0" borderId="0">
      <alignment horizontal="center" wrapText="1"/>
      <protection hidden="1"/>
    </xf>
    <xf numFmtId="203" fontId="71" fillId="0" borderId="16" applyBorder="0">
      <alignment horizontal="center"/>
    </xf>
    <xf numFmtId="1" fontId="72" fillId="0" borderId="20">
      <alignment vertical="top"/>
    </xf>
    <xf numFmtId="172" fontId="15" fillId="0" borderId="0" applyBorder="0">
      <alignment horizontal="right"/>
    </xf>
    <xf numFmtId="172" fontId="15" fillId="0" borderId="21" applyAlignment="0">
      <alignment horizontal="right"/>
    </xf>
    <xf numFmtId="0" fontId="73" fillId="0" borderId="0" applyFont="0" applyFill="0" applyBorder="0" applyAlignment="0" applyProtection="0"/>
    <xf numFmtId="216" fontId="74" fillId="0" borderId="0" applyFont="0" applyFill="0" applyBorder="0" applyAlignment="0" applyProtection="0">
      <alignment horizontal="right"/>
    </xf>
    <xf numFmtId="165" fontId="3" fillId="0" borderId="0" applyFont="0" applyFill="0" applyBorder="0" applyAlignment="0" applyProtection="0"/>
    <xf numFmtId="178" fontId="41" fillId="0" borderId="0" applyFont="0" applyFill="0" applyBorder="0" applyAlignment="0" applyProtection="0"/>
    <xf numFmtId="206" fontId="49" fillId="0" borderId="0" applyFont="0" applyFill="0" applyBorder="0" applyAlignment="0" applyProtection="0"/>
    <xf numFmtId="205" fontId="75" fillId="0" borderId="0" applyFill="0" applyBorder="0" applyAlignment="0" applyProtection="0">
      <alignment horizontal="right"/>
      <protection locked="0"/>
    </xf>
    <xf numFmtId="0" fontId="76" fillId="46" borderId="0">
      <alignment horizontal="center" vertical="center" wrapText="1"/>
    </xf>
    <xf numFmtId="203" fontId="77" fillId="0" borderId="21">
      <alignment horizontal="left"/>
    </xf>
    <xf numFmtId="181" fontId="78" fillId="0" borderId="0"/>
    <xf numFmtId="212" fontId="3" fillId="0" borderId="0" applyFill="0" applyBorder="0">
      <alignment horizontal="right"/>
      <protection locked="0"/>
    </xf>
    <xf numFmtId="0" fontId="46" fillId="0" borderId="0" applyFont="0" applyFill="0" applyBorder="0" applyAlignment="0" applyProtection="0"/>
    <xf numFmtId="0" fontId="79" fillId="0" borderId="22">
      <protection locked="0"/>
    </xf>
    <xf numFmtId="219" fontId="74" fillId="0" borderId="0" applyFont="0" applyFill="0" applyBorder="0" applyAlignment="0" applyProtection="0">
      <alignment horizontal="right"/>
    </xf>
    <xf numFmtId="0" fontId="74" fillId="0" borderId="0" applyFont="0" applyFill="0" applyBorder="0" applyAlignment="0" applyProtection="0">
      <alignment horizontal="right"/>
    </xf>
    <xf numFmtId="0" fontId="80" fillId="0" borderId="0" applyNumberFormat="0">
      <alignment horizontal="right"/>
    </xf>
    <xf numFmtId="199" fontId="41" fillId="0" borderId="0" applyFont="0" applyFill="0" applyBorder="0" applyAlignment="0" applyProtection="0"/>
    <xf numFmtId="192" fontId="41" fillId="0" borderId="0" applyFont="0" applyFill="0" applyBorder="0" applyAlignment="0" applyProtection="0"/>
    <xf numFmtId="189" fontId="41" fillId="0" borderId="0" applyFont="0" applyFill="0" applyBorder="0" applyAlignment="0" applyProtection="0"/>
    <xf numFmtId="217" fontId="74" fillId="0" borderId="0" applyFont="0" applyFill="0" applyBorder="0" applyAlignment="0" applyProtection="0"/>
    <xf numFmtId="199" fontId="41" fillId="0" borderId="0" applyFont="0" applyFill="0" applyBorder="0" applyAlignment="0" applyProtection="0"/>
    <xf numFmtId="204" fontId="41" fillId="0" borderId="0"/>
    <xf numFmtId="223" fontId="41" fillId="0" borderId="0"/>
    <xf numFmtId="0" fontId="41" fillId="0" borderId="0" applyFont="0" applyFill="0" applyBorder="0" applyAlignment="0" applyProtection="0"/>
    <xf numFmtId="167" fontId="41" fillId="0" borderId="0" applyFont="0" applyFill="0" applyBorder="0" applyAlignment="0" applyProtection="0"/>
    <xf numFmtId="171" fontId="3" fillId="0" borderId="0" applyFont="0" applyFill="0" applyBorder="0" applyAlignment="0" applyProtection="0"/>
    <xf numFmtId="0" fontId="41" fillId="0" borderId="0" applyFill="0" applyBorder="0" applyAlignment="0" applyProtection="0"/>
    <xf numFmtId="0" fontId="41" fillId="0" borderId="0" applyFill="0" applyBorder="0" applyAlignment="0" applyProtection="0"/>
    <xf numFmtId="0" fontId="41" fillId="0" borderId="0" applyFill="0" applyBorder="0" applyAlignment="0" applyProtection="0"/>
    <xf numFmtId="0" fontId="74" fillId="0" borderId="23" applyNumberFormat="0" applyFont="0" applyFill="0" applyAlignment="0" applyProtection="0"/>
    <xf numFmtId="205" fontId="81" fillId="0" borderId="0" applyFill="0" applyBorder="0" applyAlignment="0" applyProtection="0"/>
    <xf numFmtId="179" fontId="41" fillId="0" borderId="0" applyFont="0" applyFill="0" applyBorder="0" applyAlignment="0" applyProtection="0"/>
    <xf numFmtId="179" fontId="41" fillId="0" borderId="0" applyFont="0" applyFill="0" applyBorder="0" applyAlignment="0" applyProtection="0"/>
    <xf numFmtId="1" fontId="82" fillId="45" borderId="12" applyNumberFormat="0" applyBorder="0" applyAlignment="0">
      <alignment horizontal="centerContinuous" vertical="center"/>
      <protection locked="0"/>
    </xf>
    <xf numFmtId="0" fontId="83" fillId="0" borderId="0" applyFill="0" applyBorder="0" applyProtection="0">
      <alignment horizontal="left"/>
    </xf>
    <xf numFmtId="0" fontId="84" fillId="0" borderId="0" applyNumberFormat="0" applyFill="0" applyBorder="0" applyAlignment="0" applyProtection="0"/>
    <xf numFmtId="233" fontId="85" fillId="0" borderId="14" applyNumberFormat="0" applyFill="0" applyBorder="0" applyAlignment="0" applyProtection="0"/>
    <xf numFmtId="231" fontId="4" fillId="0" borderId="0">
      <alignment horizontal="right"/>
    </xf>
    <xf numFmtId="226" fontId="69" fillId="0" borderId="0" applyFill="0" applyBorder="0">
      <alignment horizontal="right"/>
    </xf>
    <xf numFmtId="49" fontId="69" fillId="0" borderId="0" applyFill="0" applyBorder="0"/>
    <xf numFmtId="0" fontId="86" fillId="0" borderId="0">
      <alignment horizontal="left"/>
    </xf>
    <xf numFmtId="0" fontId="4" fillId="0" borderId="0">
      <alignment vertical="center"/>
    </xf>
    <xf numFmtId="49" fontId="87" fillId="0" borderId="0" applyFill="0" applyBorder="0">
      <alignment horizontal="right" vertical="center"/>
    </xf>
    <xf numFmtId="0" fontId="88" fillId="0" borderId="0">
      <alignment horizontal="right"/>
    </xf>
    <xf numFmtId="220" fontId="59" fillId="0" borderId="0">
      <alignment horizontal="right" vertical="center"/>
    </xf>
    <xf numFmtId="230" fontId="89" fillId="0" borderId="0">
      <alignment horizontal="right"/>
    </xf>
    <xf numFmtId="230" fontId="15" fillId="0" borderId="0"/>
    <xf numFmtId="0" fontId="4" fillId="0" borderId="0">
      <alignment horizontal="right" vertical="center"/>
    </xf>
    <xf numFmtId="0" fontId="90" fillId="0" borderId="0">
      <alignment horizontal="left" vertical="center"/>
    </xf>
    <xf numFmtId="0" fontId="60" fillId="0" borderId="0">
      <alignment horizontal="left"/>
    </xf>
    <xf numFmtId="218" fontId="74" fillId="0" borderId="0" applyFont="0" applyFill="0" applyBorder="0" applyAlignment="0" applyProtection="0">
      <alignment horizontal="right"/>
    </xf>
    <xf numFmtId="0" fontId="91" fillId="0" borderId="0" applyProtection="0">
      <alignment horizontal="right"/>
    </xf>
    <xf numFmtId="0" fontId="41" fillId="0" borderId="0"/>
    <xf numFmtId="0" fontId="41" fillId="0" borderId="0"/>
    <xf numFmtId="0" fontId="92" fillId="0" borderId="0"/>
    <xf numFmtId="0" fontId="93" fillId="0" borderId="0">
      <alignment horizontal="center"/>
    </xf>
    <xf numFmtId="0" fontId="93" fillId="0" borderId="0">
      <alignment horizontal="center"/>
    </xf>
    <xf numFmtId="0" fontId="94" fillId="0" borderId="0">
      <alignment horizontal="center"/>
    </xf>
    <xf numFmtId="193" fontId="67" fillId="0" borderId="0"/>
    <xf numFmtId="193" fontId="3" fillId="0" borderId="0" applyFont="0" applyFill="0" applyBorder="0" applyAlignment="0" applyProtection="0"/>
    <xf numFmtId="0" fontId="95" fillId="0" borderId="0" applyNumberFormat="0" applyFill="0" applyBorder="0" applyAlignment="0" applyProtection="0">
      <alignment vertical="top"/>
      <protection locked="0"/>
    </xf>
    <xf numFmtId="170" fontId="96" fillId="24" borderId="0">
      <protection locked="0"/>
    </xf>
    <xf numFmtId="0" fontId="97" fillId="0" borderId="0" applyNumberFormat="0" applyFill="0" applyBorder="0" applyAlignment="0"/>
    <xf numFmtId="0" fontId="85" fillId="0" borderId="0" applyNumberFormat="0" applyFill="0" applyBorder="0" applyAlignment="0">
      <protection locked="0"/>
    </xf>
    <xf numFmtId="203" fontId="85" fillId="0" borderId="0" applyNumberFormat="0" applyBorder="0" applyAlignment="0" applyProtection="0"/>
    <xf numFmtId="199" fontId="3" fillId="0" borderId="0" applyFill="0" applyBorder="0">
      <alignment horizontal="right"/>
      <protection locked="0"/>
    </xf>
    <xf numFmtId="0" fontId="69" fillId="0" borderId="0" applyNumberFormat="0" applyFill="0" applyBorder="0" applyAlignment="0" applyProtection="0"/>
    <xf numFmtId="0" fontId="98" fillId="0" borderId="0" applyNumberFormat="0" applyFill="0" applyBorder="0" applyAlignment="0" applyProtection="0"/>
    <xf numFmtId="195" fontId="4" fillId="0" borderId="0" applyNumberFormat="0" applyFill="0" applyBorder="0" applyAlignment="0" applyProtection="0"/>
    <xf numFmtId="199" fontId="3" fillId="0" borderId="0" applyFill="0" applyBorder="0">
      <alignment horizontal="right"/>
      <protection locked="0"/>
    </xf>
    <xf numFmtId="0" fontId="5" fillId="40" borderId="24">
      <alignment horizontal="left" vertical="center" wrapText="1"/>
    </xf>
    <xf numFmtId="165" fontId="41" fillId="0" borderId="0" applyFont="0" applyFill="0" applyBorder="0" applyAlignment="0" applyProtection="0"/>
    <xf numFmtId="0" fontId="100" fillId="26" borderId="0">
      <alignment horizontal="right" vertical="top" wrapText="1"/>
    </xf>
    <xf numFmtId="0" fontId="101" fillId="0" borderId="0"/>
    <xf numFmtId="49" fontId="102" fillId="47" borderId="0" applyNumberFormat="0" applyBorder="0" applyAlignment="0" applyProtection="0"/>
    <xf numFmtId="0" fontId="103" fillId="0" borderId="0"/>
    <xf numFmtId="205" fontId="104" fillId="0" borderId="0" applyFill="0" applyBorder="0" applyAlignment="0" applyProtection="0"/>
    <xf numFmtId="0" fontId="105" fillId="27" borderId="0">
      <alignment horizontal="left" vertical="top"/>
    </xf>
    <xf numFmtId="196" fontId="41" fillId="0" borderId="0" applyFont="0" applyFill="0" applyBorder="0" applyAlignment="0" applyProtection="0"/>
    <xf numFmtId="197" fontId="41" fillId="0" borderId="0" applyFont="0" applyFill="0" applyBorder="0" applyAlignment="0" applyProtection="0"/>
    <xf numFmtId="37" fontId="3" fillId="0" borderId="0" applyFont="0" applyFill="0" applyBorder="0" applyAlignment="0" applyProtection="0"/>
    <xf numFmtId="232" fontId="49" fillId="0" borderId="0" applyFont="0" applyFill="0" applyBorder="0" applyAlignment="0" applyProtection="0"/>
    <xf numFmtId="0" fontId="106" fillId="30" borderId="25">
      <alignment horizontal="left" vertical="top" indent="2"/>
    </xf>
    <xf numFmtId="201" fontId="3" fillId="0" borderId="0" applyFont="0" applyFill="0" applyBorder="0" applyAlignment="0" applyProtection="0"/>
    <xf numFmtId="200" fontId="3" fillId="0" borderId="0" applyFont="0" applyFill="0" applyBorder="0" applyAlignment="0" applyProtection="0"/>
    <xf numFmtId="0" fontId="107" fillId="0" borderId="0" applyNumberFormat="0" applyFill="0" applyBorder="0" applyAlignment="0"/>
    <xf numFmtId="38" fontId="107" fillId="0" borderId="0" applyBorder="0"/>
    <xf numFmtId="187" fontId="4" fillId="48" borderId="0">
      <alignment horizontal="center"/>
    </xf>
    <xf numFmtId="0" fontId="74" fillId="0" borderId="0" applyFont="0" applyFill="0" applyBorder="0" applyAlignment="0" applyProtection="0">
      <alignment horizontal="right"/>
    </xf>
    <xf numFmtId="0" fontId="46" fillId="0" borderId="0" applyFont="0" applyFill="0" applyBorder="0" applyAlignment="0" applyProtection="0"/>
    <xf numFmtId="0" fontId="46" fillId="0" borderId="0" applyFont="0" applyFill="0" applyBorder="0" applyAlignment="0" applyProtection="0"/>
    <xf numFmtId="0" fontId="74" fillId="0" borderId="0" applyFont="0" applyFill="0" applyBorder="0" applyAlignment="0" applyProtection="0">
      <alignment horizontal="right"/>
    </xf>
    <xf numFmtId="224" fontId="67" fillId="0" borderId="0" applyFont="0" applyFill="0" applyBorder="0" applyAlignment="0" applyProtection="0"/>
    <xf numFmtId="0" fontId="43" fillId="0" borderId="0" applyFont="0">
      <protection locked="0"/>
    </xf>
    <xf numFmtId="222" fontId="108" fillId="0" borderId="0"/>
    <xf numFmtId="190" fontId="109" fillId="0" borderId="0"/>
    <xf numFmtId="227" fontId="4" fillId="0" borderId="0"/>
    <xf numFmtId="228" fontId="4" fillId="0" borderId="0"/>
    <xf numFmtId="0" fontId="3" fillId="0" borderId="0"/>
    <xf numFmtId="0" fontId="41" fillId="0" borderId="0"/>
    <xf numFmtId="0" fontId="110" fillId="0" borderId="0"/>
    <xf numFmtId="0" fontId="99" fillId="23" borderId="7" applyNumberFormat="0" applyFont="0" applyAlignment="0" applyProtection="0"/>
    <xf numFmtId="0" fontId="69" fillId="0" borderId="0" applyNumberFormat="0" applyFill="0" applyBorder="0" applyAlignment="0" applyProtection="0"/>
    <xf numFmtId="0" fontId="15" fillId="0" borderId="0" applyNumberFormat="0" applyFill="0" applyBorder="0" applyAlignment="0" applyProtection="0"/>
    <xf numFmtId="195" fontId="68" fillId="0" borderId="0" applyNumberFormat="0" applyFill="0" applyBorder="0" applyAlignment="0" applyProtection="0"/>
    <xf numFmtId="195" fontId="15" fillId="0" borderId="0" applyNumberFormat="0" applyFill="0" applyBorder="0" applyAlignment="0" applyProtection="0"/>
    <xf numFmtId="0" fontId="111" fillId="0" borderId="0" applyNumberFormat="0" applyFill="0" applyBorder="0" applyAlignment="0" applyProtection="0"/>
    <xf numFmtId="195" fontId="4" fillId="0" borderId="0" applyNumberFormat="0" applyFill="0" applyBorder="0" applyAlignment="0" applyProtection="0"/>
    <xf numFmtId="1" fontId="112" fillId="0" borderId="0" applyProtection="0">
      <alignment horizontal="right" vertical="center"/>
    </xf>
    <xf numFmtId="0" fontId="113" fillId="0" borderId="0">
      <alignment vertical="center"/>
    </xf>
    <xf numFmtId="0" fontId="114" fillId="30" borderId="21"/>
    <xf numFmtId="191" fontId="41" fillId="0" borderId="0" applyFont="0" applyFill="0" applyBorder="0" applyAlignment="0" applyProtection="0"/>
    <xf numFmtId="194" fontId="41" fillId="0" borderId="0" applyFont="0" applyFill="0" applyBorder="0" applyAlignment="0" applyProtection="0"/>
    <xf numFmtId="202" fontId="41" fillId="0" borderId="0" applyFont="0" applyFill="0" applyBorder="0" applyAlignment="0" applyProtection="0"/>
    <xf numFmtId="9" fontId="44" fillId="0" borderId="0" applyFont="0" applyFill="0" applyBorder="0" applyAlignment="0" applyProtection="0"/>
    <xf numFmtId="198" fontId="41" fillId="0" borderId="0" applyFont="0" applyFill="0" applyBorder="0" applyAlignment="0" applyProtection="0"/>
    <xf numFmtId="185" fontId="41" fillId="0" borderId="0" applyFont="0" applyFill="0" applyBorder="0" applyAlignment="0" applyProtection="0"/>
    <xf numFmtId="10" fontId="5" fillId="0" borderId="0" applyFont="0" applyFill="0" applyBorder="0" applyAlignment="0" applyProtection="0">
      <alignment horizontal="center"/>
    </xf>
    <xf numFmtId="9" fontId="3" fillId="0" borderId="0" applyFont="0" applyFill="0" applyBorder="0" applyAlignment="0" applyProtection="0"/>
    <xf numFmtId="0" fontId="49" fillId="0" borderId="0" applyFont="0" applyFill="0" applyBorder="0" applyAlignment="0" applyProtection="0"/>
    <xf numFmtId="0" fontId="100" fillId="0" borderId="0"/>
    <xf numFmtId="213" fontId="115" fillId="0" borderId="0" applyFill="0" applyBorder="0">
      <alignment horizontal="right"/>
      <protection locked="0"/>
    </xf>
    <xf numFmtId="188" fontId="116" fillId="0" borderId="0" applyFont="0" applyFill="0" applyBorder="0" applyAlignment="0" applyProtection="0"/>
    <xf numFmtId="9" fontId="3" fillId="0" borderId="0" applyFont="0" applyFill="0" applyBorder="0" applyAlignment="0" applyProtection="0"/>
    <xf numFmtId="225" fontId="117" fillId="24" borderId="0" applyBorder="0" applyAlignment="0">
      <protection hidden="1"/>
    </xf>
    <xf numFmtId="1" fontId="117" fillId="24" borderId="0">
      <alignment horizontal="center"/>
    </xf>
    <xf numFmtId="0" fontId="67" fillId="0" borderId="0">
      <alignment vertical="top"/>
    </xf>
    <xf numFmtId="215" fontId="3" fillId="0" borderId="0">
      <alignment horizontal="right"/>
      <protection locked="0"/>
    </xf>
    <xf numFmtId="2" fontId="118" fillId="32" borderId="0"/>
    <xf numFmtId="0" fontId="119" fillId="0" borderId="0" applyNumberFormat="0" applyBorder="0"/>
    <xf numFmtId="229" fontId="120" fillId="0" borderId="0"/>
    <xf numFmtId="214" fontId="121" fillId="0" borderId="0" applyFill="0" applyBorder="0">
      <alignment horizontal="right"/>
      <protection hidden="1"/>
    </xf>
    <xf numFmtId="0" fontId="122" fillId="46" borderId="11">
      <alignment horizontal="center" vertical="center" wrapText="1"/>
      <protection hidden="1"/>
    </xf>
    <xf numFmtId="0" fontId="123" fillId="0" borderId="0"/>
    <xf numFmtId="0" fontId="49" fillId="0" borderId="0">
      <alignment vertical="top"/>
    </xf>
    <xf numFmtId="0" fontId="124" fillId="0" borderId="0" applyNumberFormat="0" applyFill="0" applyBorder="0" applyAlignment="0" applyProtection="0">
      <protection locked="0"/>
    </xf>
    <xf numFmtId="0" fontId="125" fillId="0" borderId="0" applyNumberFormat="0" applyFill="0" applyBorder="0" applyAlignment="0" applyProtection="0">
      <alignment horizontal="right" vertical="center" wrapText="1"/>
    </xf>
    <xf numFmtId="0" fontId="41" fillId="0" borderId="0" applyNumberFormat="0" applyFill="0" applyBorder="0" applyAlignment="0" applyProtection="0">
      <protection locked="0"/>
    </xf>
    <xf numFmtId="0" fontId="126" fillId="0" borderId="0" applyNumberFormat="0" applyFill="0" applyBorder="0" applyAlignment="0" applyProtection="0"/>
    <xf numFmtId="0" fontId="127" fillId="0" borderId="0" applyNumberFormat="0" applyFill="0" applyBorder="0" applyAlignment="0" applyProtection="0">
      <alignment horizontal="right" vertical="center"/>
    </xf>
    <xf numFmtId="0" fontId="41" fillId="0" borderId="0" applyNumberFormat="0" applyFill="0" applyBorder="0" applyAlignment="0" applyProtection="0"/>
    <xf numFmtId="229" fontId="128" fillId="0" borderId="0"/>
    <xf numFmtId="181" fontId="42" fillId="0" borderId="0"/>
    <xf numFmtId="0" fontId="71" fillId="0" borderId="0" applyBorder="0" applyProtection="0">
      <alignment vertical="center"/>
    </xf>
    <xf numFmtId="0" fontId="71" fillId="0" borderId="16" applyBorder="0" applyProtection="0">
      <alignment horizontal="right" vertical="center"/>
    </xf>
    <xf numFmtId="0" fontId="129" fillId="49" borderId="0" applyBorder="0" applyProtection="0">
      <alignment horizontal="centerContinuous" vertical="center"/>
    </xf>
    <xf numFmtId="0" fontId="129" fillId="47" borderId="16" applyBorder="0" applyProtection="0">
      <alignment horizontal="centerContinuous" vertical="center"/>
    </xf>
    <xf numFmtId="0" fontId="130" fillId="0" borderId="0" applyFill="0" applyBorder="0" applyProtection="0">
      <alignment horizontal="left"/>
    </xf>
    <xf numFmtId="0" fontId="83" fillId="0" borderId="13" applyFill="0" applyBorder="0" applyProtection="0">
      <alignment horizontal="left" vertical="top"/>
    </xf>
    <xf numFmtId="170" fontId="131" fillId="0" borderId="0" applyNumberFormat="0" applyFill="0" applyBorder="0">
      <alignment horizontal="left"/>
    </xf>
    <xf numFmtId="170" fontId="131" fillId="0" borderId="0" applyNumberFormat="0" applyFill="0" applyBorder="0">
      <alignment horizontal="right"/>
    </xf>
    <xf numFmtId="170" fontId="132" fillId="0" borderId="0" applyNumberFormat="0" applyFill="0" applyBorder="0">
      <alignment horizontal="right"/>
    </xf>
    <xf numFmtId="0" fontId="41" fillId="0" borderId="0" applyFont="0" applyFill="0" applyBorder="0" applyAlignment="0" applyProtection="0"/>
    <xf numFmtId="0" fontId="42" fillId="0" borderId="0" applyNumberFormat="0" applyFill="0" applyBorder="0" applyAlignment="0" applyProtection="0"/>
    <xf numFmtId="0" fontId="133" fillId="0" borderId="0" applyNumberFormat="0" applyFill="0" applyBorder="0" applyAlignment="0" applyProtection="0"/>
    <xf numFmtId="181" fontId="134" fillId="0" borderId="0"/>
    <xf numFmtId="0" fontId="41" fillId="0" borderId="0">
      <alignment horizontal="center"/>
    </xf>
    <xf numFmtId="0" fontId="135" fillId="0" borderId="0">
      <alignment horizontal="center"/>
    </xf>
    <xf numFmtId="209" fontId="136" fillId="0" borderId="0" applyFill="0" applyBorder="0" applyAlignment="0" applyProtection="0"/>
    <xf numFmtId="0" fontId="137" fillId="0" borderId="0" applyNumberFormat="0" applyFill="0" applyBorder="0" applyAlignment="0" applyProtection="0"/>
    <xf numFmtId="0" fontId="102" fillId="0" borderId="0" applyNumberFormat="0" applyFill="0" applyBorder="0" applyAlignment="0" applyProtection="0"/>
    <xf numFmtId="172" fontId="102" fillId="0" borderId="0"/>
    <xf numFmtId="208" fontId="138" fillId="47" borderId="0" applyBorder="0" applyAlignment="0" applyProtection="0">
      <alignment horizontal="left"/>
    </xf>
    <xf numFmtId="49" fontId="139" fillId="0" borderId="0" applyNumberFormat="0" applyFill="0" applyAlignment="0" applyProtection="0">
      <alignment horizontal="left"/>
    </xf>
    <xf numFmtId="172" fontId="15" fillId="0" borderId="26"/>
    <xf numFmtId="227" fontId="72" fillId="0" borderId="26" applyAlignment="0"/>
    <xf numFmtId="228" fontId="72" fillId="0" borderId="26" applyAlignment="0"/>
    <xf numFmtId="172" fontId="15" fillId="0" borderId="26"/>
    <xf numFmtId="225" fontId="117" fillId="24" borderId="13" applyBorder="0">
      <alignment horizontal="right" vertical="center"/>
      <protection locked="0"/>
    </xf>
    <xf numFmtId="179" fontId="41" fillId="0" borderId="0" applyFont="0" applyFill="0" applyBorder="0" applyAlignment="0" applyProtection="0"/>
    <xf numFmtId="1" fontId="41" fillId="0" borderId="0">
      <alignment horizontal="center"/>
    </xf>
    <xf numFmtId="223" fontId="41" fillId="0" borderId="0"/>
    <xf numFmtId="0" fontId="140" fillId="50" borderId="27" applyNumberFormat="0" applyFont="0" applyBorder="0" applyAlignment="0" applyProtection="0">
      <alignment horizontal="right"/>
    </xf>
    <xf numFmtId="182" fontId="41" fillId="0" borderId="0"/>
    <xf numFmtId="0" fontId="3" fillId="0" borderId="0"/>
    <xf numFmtId="0" fontId="37" fillId="0" borderId="0"/>
    <xf numFmtId="0" fontId="141" fillId="2" borderId="0" applyNumberFormat="0" applyBorder="0" applyAlignment="0" applyProtection="0"/>
    <xf numFmtId="0" fontId="141" fillId="3" borderId="0" applyNumberFormat="0" applyBorder="0" applyAlignment="0" applyProtection="0"/>
    <xf numFmtId="0" fontId="141" fillId="4" borderId="0" applyNumberFormat="0" applyBorder="0" applyAlignment="0" applyProtection="0"/>
    <xf numFmtId="0" fontId="141" fillId="5" borderId="0" applyNumberFormat="0" applyBorder="0" applyAlignment="0" applyProtection="0"/>
    <xf numFmtId="0" fontId="141" fillId="6" borderId="0" applyNumberFormat="0" applyBorder="0" applyAlignment="0" applyProtection="0"/>
    <xf numFmtId="0" fontId="141" fillId="7" borderId="0" applyNumberFormat="0" applyBorder="0" applyAlignment="0" applyProtection="0"/>
    <xf numFmtId="0" fontId="141" fillId="8" borderId="0" applyNumberFormat="0" applyBorder="0" applyAlignment="0" applyProtection="0"/>
    <xf numFmtId="0" fontId="141" fillId="9" borderId="0" applyNumberFormat="0" applyBorder="0" applyAlignment="0" applyProtection="0"/>
    <xf numFmtId="0" fontId="141" fillId="10" borderId="0" applyNumberFormat="0" applyBorder="0" applyAlignment="0" applyProtection="0"/>
    <xf numFmtId="0" fontId="141" fillId="5" borderId="0" applyNumberFormat="0" applyBorder="0" applyAlignment="0" applyProtection="0"/>
    <xf numFmtId="0" fontId="141" fillId="8" borderId="0" applyNumberFormat="0" applyBorder="0" applyAlignment="0" applyProtection="0"/>
    <xf numFmtId="0" fontId="141" fillId="11" borderId="0" applyNumberFormat="0" applyBorder="0" applyAlignment="0" applyProtection="0"/>
    <xf numFmtId="0" fontId="142" fillId="12" borderId="0" applyNumberFormat="0" applyBorder="0" applyAlignment="0" applyProtection="0"/>
    <xf numFmtId="0" fontId="142" fillId="9" borderId="0" applyNumberFormat="0" applyBorder="0" applyAlignment="0" applyProtection="0"/>
    <xf numFmtId="0" fontId="142" fillId="10" borderId="0" applyNumberFormat="0" applyBorder="0" applyAlignment="0" applyProtection="0"/>
    <xf numFmtId="0" fontId="142" fillId="13" borderId="0" applyNumberFormat="0" applyBorder="0" applyAlignment="0" applyProtection="0"/>
    <xf numFmtId="0" fontId="142" fillId="14" borderId="0" applyNumberFormat="0" applyBorder="0" applyAlignment="0" applyProtection="0"/>
    <xf numFmtId="0" fontId="142" fillId="15" borderId="0" applyNumberFormat="0" applyBorder="0" applyAlignment="0" applyProtection="0"/>
    <xf numFmtId="0" fontId="142" fillId="16" borderId="0" applyNumberFormat="0" applyBorder="0" applyAlignment="0" applyProtection="0"/>
    <xf numFmtId="0" fontId="142" fillId="17" borderId="0" applyNumberFormat="0" applyBorder="0" applyAlignment="0" applyProtection="0"/>
    <xf numFmtId="0" fontId="142" fillId="18" borderId="0" applyNumberFormat="0" applyBorder="0" applyAlignment="0" applyProtection="0"/>
    <xf numFmtId="0" fontId="142" fillId="13" borderId="0" applyNumberFormat="0" applyBorder="0" applyAlignment="0" applyProtection="0"/>
    <xf numFmtId="0" fontId="142" fillId="14" borderId="0" applyNumberFormat="0" applyBorder="0" applyAlignment="0" applyProtection="0"/>
    <xf numFmtId="0" fontId="142" fillId="19" borderId="0" applyNumberFormat="0" applyBorder="0" applyAlignment="0" applyProtection="0"/>
    <xf numFmtId="0" fontId="143" fillId="3" borderId="0" applyNumberFormat="0" applyBorder="0" applyAlignment="0" applyProtection="0"/>
    <xf numFmtId="0" fontId="144" fillId="20" borderId="1" applyNumberFormat="0" applyAlignment="0" applyProtection="0"/>
    <xf numFmtId="0" fontId="145" fillId="21" borderId="2" applyNumberFormat="0" applyAlignment="0" applyProtection="0"/>
    <xf numFmtId="43" fontId="99" fillId="0" borderId="0" applyFont="0" applyFill="0" applyBorder="0" applyAlignment="0" applyProtection="0"/>
    <xf numFmtId="0" fontId="146" fillId="0" borderId="0" applyNumberFormat="0" applyFill="0" applyBorder="0" applyAlignment="0" applyProtection="0"/>
    <xf numFmtId="0" fontId="147" fillId="4" borderId="0" applyNumberFormat="0" applyBorder="0" applyAlignment="0" applyProtection="0"/>
    <xf numFmtId="0" fontId="148" fillId="0" borderId="4" applyNumberFormat="0" applyFill="0" applyAlignment="0" applyProtection="0"/>
    <xf numFmtId="0" fontId="149" fillId="0" borderId="5" applyNumberFormat="0" applyFill="0" applyAlignment="0" applyProtection="0"/>
    <xf numFmtId="0" fontId="150" fillId="0" borderId="6" applyNumberFormat="0" applyFill="0" applyAlignment="0" applyProtection="0"/>
    <xf numFmtId="0" fontId="150" fillId="0" borderId="0" applyNumberFormat="0" applyFill="0" applyBorder="0" applyAlignment="0" applyProtection="0"/>
    <xf numFmtId="0" fontId="151" fillId="7" borderId="1" applyNumberFormat="0" applyAlignment="0" applyProtection="0"/>
    <xf numFmtId="0" fontId="152" fillId="0" borderId="3" applyNumberFormat="0" applyFill="0" applyAlignment="0" applyProtection="0"/>
    <xf numFmtId="0" fontId="153" fillId="22" borderId="0" applyNumberFormat="0" applyBorder="0" applyAlignment="0" applyProtection="0"/>
    <xf numFmtId="0" fontId="154" fillId="20" borderId="8" applyNumberFormat="0" applyAlignment="0" applyProtection="0"/>
    <xf numFmtId="0" fontId="23" fillId="0" borderId="0" applyNumberFormat="0" applyFill="0" applyBorder="0" applyAlignment="0" applyProtection="0"/>
    <xf numFmtId="0" fontId="155" fillId="0" borderId="9" applyNumberFormat="0" applyFill="0" applyAlignment="0" applyProtection="0"/>
    <xf numFmtId="0" fontId="156" fillId="0" borderId="0" applyNumberFormat="0" applyFill="0" applyBorder="0" applyAlignment="0" applyProtection="0"/>
    <xf numFmtId="0" fontId="4" fillId="0" borderId="0" applyNumberFormat="0" applyFont="0" applyBorder="0" applyAlignment="0" applyProtection="0"/>
    <xf numFmtId="0" fontId="3" fillId="0" borderId="0"/>
    <xf numFmtId="0" fontId="3" fillId="0" borderId="0"/>
    <xf numFmtId="0" fontId="1" fillId="0" borderId="0"/>
    <xf numFmtId="165"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 fillId="0" borderId="0"/>
    <xf numFmtId="165" fontId="3" fillId="0" borderId="0" applyFont="0" applyFill="0" applyBorder="0" applyAlignment="0" applyProtection="0"/>
    <xf numFmtId="0" fontId="169" fillId="0" borderId="0"/>
    <xf numFmtId="0" fontId="3" fillId="0" borderId="0"/>
    <xf numFmtId="0" fontId="170" fillId="0" borderId="0"/>
    <xf numFmtId="165" fontId="169" fillId="0" borderId="0" applyFont="0" applyFill="0" applyBorder="0" applyAlignment="0" applyProtection="0"/>
    <xf numFmtId="9" fontId="169" fillId="0" borderId="0" applyFont="0" applyFill="0" applyBorder="0" applyAlignment="0" applyProtection="0"/>
    <xf numFmtId="0" fontId="37" fillId="0" borderId="0"/>
    <xf numFmtId="0" fontId="37" fillId="0" borderId="0"/>
    <xf numFmtId="165" fontId="173" fillId="0" borderId="0" applyFont="0" applyFill="0" applyBorder="0" applyAlignment="0" applyProtection="0"/>
  </cellStyleXfs>
  <cellXfs count="520">
    <xf numFmtId="0" fontId="0" fillId="0" borderId="0" xfId="0"/>
    <xf numFmtId="0" fontId="6" fillId="24" borderId="10" xfId="0" applyFont="1" applyFill="1" applyBorder="1"/>
    <xf numFmtId="0" fontId="5" fillId="25" borderId="10" xfId="0" applyFont="1" applyFill="1" applyBorder="1"/>
    <xf numFmtId="0" fontId="5" fillId="0" borderId="0" xfId="0" applyFont="1"/>
    <xf numFmtId="0" fontId="7" fillId="0" borderId="0" xfId="0" applyFont="1"/>
    <xf numFmtId="0" fontId="5" fillId="24" borderId="10" xfId="0" applyFont="1" applyFill="1" applyBorder="1"/>
    <xf numFmtId="0" fontId="0" fillId="26" borderId="0" xfId="0" applyFill="1"/>
    <xf numFmtId="0" fontId="0" fillId="24" borderId="0" xfId="0" applyFill="1"/>
    <xf numFmtId="166" fontId="0" fillId="26" borderId="0" xfId="43" applyNumberFormat="1" applyFont="1" applyFill="1"/>
    <xf numFmtId="0" fontId="0" fillId="25" borderId="10" xfId="0" applyFill="1" applyBorder="1"/>
    <xf numFmtId="0" fontId="5" fillId="25" borderId="10" xfId="0" applyFont="1" applyFill="1" applyBorder="1" applyAlignment="1">
      <alignment horizontal="right"/>
    </xf>
    <xf numFmtId="0" fontId="26" fillId="0" borderId="0" xfId="0" applyFont="1" applyFill="1"/>
    <xf numFmtId="0" fontId="0" fillId="29" borderId="0" xfId="0" applyFill="1"/>
    <xf numFmtId="0" fontId="26" fillId="0" borderId="0" xfId="0" applyFont="1"/>
    <xf numFmtId="0" fontId="27" fillId="30" borderId="0" xfId="1" applyFont="1" applyFill="1" applyAlignment="1">
      <alignment horizontal="right"/>
    </xf>
    <xf numFmtId="0" fontId="27" fillId="30" borderId="0" xfId="1" applyFont="1" applyFill="1"/>
    <xf numFmtId="167" fontId="27" fillId="0" borderId="0" xfId="1" applyNumberFormat="1" applyFont="1" applyFill="1"/>
    <xf numFmtId="0" fontId="27" fillId="29" borderId="0" xfId="1" applyFont="1" applyFill="1"/>
    <xf numFmtId="0" fontId="27" fillId="31" borderId="0" xfId="1" applyFont="1" applyFill="1"/>
    <xf numFmtId="167" fontId="27" fillId="27" borderId="0" xfId="1" applyNumberFormat="1" applyFont="1" applyFill="1"/>
    <xf numFmtId="0" fontId="0" fillId="31" borderId="0" xfId="0" applyFill="1"/>
    <xf numFmtId="166" fontId="0" fillId="27" borderId="0" xfId="0" applyNumberFormat="1" applyFill="1"/>
    <xf numFmtId="0" fontId="5" fillId="0" borderId="0" xfId="0" applyFont="1" applyBorder="1"/>
    <xf numFmtId="0" fontId="0" fillId="0" borderId="0" xfId="0" applyBorder="1"/>
    <xf numFmtId="166" fontId="0" fillId="27" borderId="0" xfId="43" applyNumberFormat="1" applyFont="1" applyFill="1"/>
    <xf numFmtId="0" fontId="3" fillId="0" borderId="0" xfId="1" applyFont="1" applyBorder="1"/>
    <xf numFmtId="0" fontId="26" fillId="0" borderId="0" xfId="0" applyFont="1" applyFill="1" applyBorder="1"/>
    <xf numFmtId="0" fontId="28" fillId="0" borderId="0" xfId="0" applyFont="1"/>
    <xf numFmtId="0" fontId="0" fillId="0" borderId="0" xfId="0" applyFill="1"/>
    <xf numFmtId="166" fontId="0" fillId="0" borderId="0" xfId="43" applyNumberFormat="1" applyFont="1" applyFill="1"/>
    <xf numFmtId="166" fontId="3" fillId="27" borderId="0" xfId="43" applyNumberFormat="1" applyFill="1"/>
    <xf numFmtId="0" fontId="26" fillId="30" borderId="0" xfId="1" applyFont="1" applyFill="1"/>
    <xf numFmtId="10" fontId="0" fillId="26" borderId="0" xfId="0" applyNumberFormat="1" applyFill="1"/>
    <xf numFmtId="10" fontId="0" fillId="29" borderId="0" xfId="0" applyNumberFormat="1" applyFill="1"/>
    <xf numFmtId="9" fontId="0" fillId="0" borderId="0" xfId="0" applyNumberFormat="1"/>
    <xf numFmtId="166" fontId="0" fillId="29" borderId="0" xfId="0" applyNumberFormat="1" applyFill="1"/>
    <xf numFmtId="170" fontId="0" fillId="0" borderId="0" xfId="56" applyNumberFormat="1" applyFont="1"/>
    <xf numFmtId="10" fontId="0" fillId="26" borderId="0" xfId="56" applyNumberFormat="1" applyFont="1" applyFill="1"/>
    <xf numFmtId="166" fontId="3" fillId="0" borderId="0" xfId="43" applyNumberFormat="1" applyFill="1"/>
    <xf numFmtId="166" fontId="0" fillId="29" borderId="0" xfId="43" applyNumberFormat="1" applyFont="1" applyFill="1"/>
    <xf numFmtId="169" fontId="3" fillId="29" borderId="0" xfId="43" applyNumberFormat="1" applyFill="1"/>
    <xf numFmtId="166" fontId="3" fillId="26" borderId="0" xfId="43" applyNumberFormat="1" applyFill="1"/>
    <xf numFmtId="166" fontId="3" fillId="0" borderId="0" xfId="43" applyNumberFormat="1"/>
    <xf numFmtId="166" fontId="3" fillId="29" borderId="0" xfId="43" applyNumberFormat="1" applyFill="1"/>
    <xf numFmtId="10" fontId="0" fillId="0" borderId="0" xfId="56" applyNumberFormat="1" applyFont="1" applyFill="1"/>
    <xf numFmtId="164" fontId="31" fillId="0" borderId="0" xfId="1" applyNumberFormat="1" applyFont="1" applyFill="1" applyBorder="1" applyAlignment="1" applyProtection="1">
      <alignment horizontal="center"/>
      <protection locked="0"/>
    </xf>
    <xf numFmtId="164" fontId="31" fillId="0" borderId="0" xfId="1" applyNumberFormat="1" applyFont="1" applyFill="1" applyBorder="1" applyAlignment="1" applyProtection="1">
      <alignment horizontal="center"/>
    </xf>
    <xf numFmtId="0" fontId="0" fillId="0" borderId="0" xfId="0" applyAlignment="1">
      <alignment horizontal="center"/>
    </xf>
    <xf numFmtId="0" fontId="5" fillId="24" borderId="10" xfId="0" applyFont="1" applyFill="1" applyBorder="1" applyAlignment="1">
      <alignment horizontal="center"/>
    </xf>
    <xf numFmtId="0" fontId="5" fillId="25" borderId="10" xfId="0" applyFont="1" applyFill="1" applyBorder="1" applyAlignment="1">
      <alignment horizontal="center"/>
    </xf>
    <xf numFmtId="0" fontId="0" fillId="0" borderId="0" xfId="0" applyFill="1" applyAlignment="1">
      <alignment horizontal="center"/>
    </xf>
    <xf numFmtId="0" fontId="3" fillId="0" borderId="0" xfId="0" applyFont="1"/>
    <xf numFmtId="0" fontId="5" fillId="0" borderId="0" xfId="0" applyFont="1" applyFill="1" applyBorder="1"/>
    <xf numFmtId="10" fontId="0" fillId="0" borderId="0" xfId="0" applyNumberFormat="1" applyFill="1"/>
    <xf numFmtId="166" fontId="0" fillId="0" borderId="0" xfId="0" applyNumberFormat="1" applyFill="1"/>
    <xf numFmtId="0" fontId="5" fillId="0" borderId="0" xfId="0" applyFont="1" applyFill="1"/>
    <xf numFmtId="165" fontId="3" fillId="30" borderId="0" xfId="1" applyNumberFormat="1" applyFill="1"/>
    <xf numFmtId="165" fontId="3" fillId="0" borderId="0" xfId="1" applyNumberFormat="1" applyFill="1" applyBorder="1"/>
    <xf numFmtId="165" fontId="27" fillId="0" borderId="0" xfId="1" applyNumberFormat="1" applyFont="1" applyFill="1" applyBorder="1"/>
    <xf numFmtId="165" fontId="32" fillId="0" borderId="0" xfId="1" applyNumberFormat="1" applyFont="1" applyFill="1" applyBorder="1"/>
    <xf numFmtId="3" fontId="32" fillId="0" borderId="0" xfId="1" applyNumberFormat="1" applyFont="1" applyFill="1" applyBorder="1"/>
    <xf numFmtId="0" fontId="0" fillId="0" borderId="0" xfId="0" applyFill="1" applyBorder="1"/>
    <xf numFmtId="166" fontId="3" fillId="0" borderId="0" xfId="43" applyNumberFormat="1" applyAlignment="1">
      <alignment horizontal="center"/>
    </xf>
    <xf numFmtId="166" fontId="0" fillId="0" borderId="0" xfId="43" applyNumberFormat="1" applyFont="1"/>
    <xf numFmtId="166" fontId="0" fillId="0" borderId="0" xfId="43" applyNumberFormat="1" applyFont="1" applyAlignment="1">
      <alignment horizontal="center"/>
    </xf>
    <xf numFmtId="166" fontId="5" fillId="25" borderId="10" xfId="43" applyNumberFormat="1" applyFont="1" applyFill="1" applyBorder="1" applyAlignment="1">
      <alignment horizontal="center"/>
    </xf>
    <xf numFmtId="166" fontId="5" fillId="25" borderId="10" xfId="43" applyNumberFormat="1" applyFont="1" applyFill="1" applyBorder="1"/>
    <xf numFmtId="166" fontId="3" fillId="0" borderId="0" xfId="43" applyNumberFormat="1" applyFont="1" applyFill="1" applyAlignment="1">
      <alignment horizontal="center"/>
    </xf>
    <xf numFmtId="166" fontId="3" fillId="0" borderId="0" xfId="43" applyNumberFormat="1" applyFont="1" applyFill="1"/>
    <xf numFmtId="166" fontId="3" fillId="27" borderId="0" xfId="43" applyNumberFormat="1" applyFont="1" applyFill="1"/>
    <xf numFmtId="166" fontId="0" fillId="32" borderId="0" xfId="0" applyNumberFormat="1" applyFill="1"/>
    <xf numFmtId="170" fontId="0" fillId="29" borderId="0" xfId="56" applyNumberFormat="1" applyFont="1" applyFill="1"/>
    <xf numFmtId="170" fontId="0" fillId="24" borderId="0" xfId="56" applyNumberFormat="1" applyFont="1" applyFill="1"/>
    <xf numFmtId="165" fontId="0" fillId="27" borderId="0" xfId="43" applyFont="1" applyFill="1"/>
    <xf numFmtId="165" fontId="0" fillId="32" borderId="0" xfId="43" applyFont="1" applyFill="1"/>
    <xf numFmtId="169" fontId="0" fillId="32" borderId="0" xfId="43" applyNumberFormat="1" applyFont="1" applyFill="1"/>
    <xf numFmtId="169" fontId="0" fillId="27" borderId="0" xfId="43" applyNumberFormat="1" applyFont="1" applyFill="1"/>
    <xf numFmtId="171" fontId="0" fillId="29" borderId="0" xfId="56" applyNumberFormat="1" applyFont="1" applyFill="1"/>
    <xf numFmtId="0" fontId="3" fillId="0" borderId="0" xfId="0" applyFont="1" applyFill="1"/>
    <xf numFmtId="0" fontId="5" fillId="0" borderId="0" xfId="1" applyFont="1" applyBorder="1"/>
    <xf numFmtId="166" fontId="3" fillId="27" borderId="0" xfId="43" applyNumberFormat="1" applyFont="1" applyFill="1" applyAlignment="1">
      <alignment horizontal="center"/>
    </xf>
    <xf numFmtId="166" fontId="3" fillId="27" borderId="0" xfId="43" applyNumberFormat="1" applyFont="1" applyFill="1" applyAlignment="1">
      <alignment horizontal="right"/>
    </xf>
    <xf numFmtId="165" fontId="0" fillId="0" borderId="0" xfId="43" applyFont="1"/>
    <xf numFmtId="166" fontId="0" fillId="27" borderId="0" xfId="0" applyNumberFormat="1" applyFill="1" applyAlignment="1">
      <alignment horizontal="center"/>
    </xf>
    <xf numFmtId="166" fontId="0" fillId="32" borderId="0" xfId="0" applyNumberFormat="1" applyFill="1" applyAlignment="1">
      <alignment horizontal="center"/>
    </xf>
    <xf numFmtId="166" fontId="3" fillId="0" borderId="0" xfId="43" applyNumberFormat="1" applyFont="1" applyFill="1" applyAlignment="1">
      <alignment horizontal="left"/>
    </xf>
    <xf numFmtId="167" fontId="0" fillId="0" borderId="0" xfId="0" applyNumberFormat="1"/>
    <xf numFmtId="166" fontId="0" fillId="34" borderId="0" xfId="43" applyNumberFormat="1" applyFont="1" applyFill="1"/>
    <xf numFmtId="0" fontId="5" fillId="30" borderId="0" xfId="1" applyFont="1" applyFill="1"/>
    <xf numFmtId="39" fontId="26" fillId="30" borderId="0" xfId="57" applyNumberFormat="1" applyFont="1" applyFill="1" applyBorder="1" applyAlignment="1" applyProtection="1"/>
    <xf numFmtId="39" fontId="26" fillId="30" borderId="0" xfId="58" applyNumberFormat="1" applyFont="1" applyFill="1" applyBorder="1" applyAlignment="1" applyProtection="1"/>
    <xf numFmtId="39" fontId="5" fillId="30" borderId="0" xfId="58" applyNumberFormat="1" applyFont="1" applyFill="1" applyBorder="1" applyAlignment="1" applyProtection="1"/>
    <xf numFmtId="0" fontId="0" fillId="30" borderId="0" xfId="1" applyFont="1" applyFill="1"/>
    <xf numFmtId="0" fontId="0" fillId="0" borderId="0" xfId="1" applyFont="1" applyBorder="1"/>
    <xf numFmtId="0" fontId="0" fillId="0" borderId="0" xfId="1" applyFont="1" applyFill="1" applyBorder="1"/>
    <xf numFmtId="0" fontId="0" fillId="34" borderId="0" xfId="0" applyFill="1"/>
    <xf numFmtId="165" fontId="0" fillId="34" borderId="0" xfId="43" applyFont="1" applyFill="1"/>
    <xf numFmtId="166" fontId="0" fillId="36" borderId="0" xfId="43" applyNumberFormat="1" applyFont="1" applyFill="1"/>
    <xf numFmtId="166" fontId="0" fillId="35" borderId="0" xfId="43" applyNumberFormat="1" applyFont="1" applyFill="1"/>
    <xf numFmtId="39" fontId="26" fillId="0" borderId="0" xfId="57" quotePrefix="1" applyNumberFormat="1" applyFont="1" applyBorder="1" applyAlignment="1" applyProtection="1"/>
    <xf numFmtId="39" fontId="26" fillId="0" borderId="0" xfId="57" applyNumberFormat="1" applyFont="1" applyBorder="1" applyAlignment="1" applyProtection="1"/>
    <xf numFmtId="39" fontId="28" fillId="0" borderId="0" xfId="57" quotePrefix="1" applyNumberFormat="1" applyFont="1" applyBorder="1" applyAlignment="1" applyProtection="1"/>
    <xf numFmtId="166" fontId="0" fillId="35" borderId="0" xfId="43" applyNumberFormat="1" applyFont="1" applyFill="1" applyAlignment="1">
      <alignment horizontal="right"/>
    </xf>
    <xf numFmtId="0" fontId="5" fillId="30" borderId="0" xfId="1" applyFont="1" applyFill="1" applyBorder="1"/>
    <xf numFmtId="39" fontId="33" fillId="30" borderId="0" xfId="58" applyNumberFormat="1" applyFont="1" applyFill="1" applyBorder="1" applyAlignment="1" applyProtection="1"/>
    <xf numFmtId="39" fontId="34" fillId="30" borderId="0" xfId="58" applyNumberFormat="1" applyFont="1" applyFill="1" applyBorder="1" applyAlignment="1" applyProtection="1"/>
    <xf numFmtId="165" fontId="0" fillId="35" borderId="0" xfId="43" applyFont="1" applyFill="1"/>
    <xf numFmtId="166" fontId="0" fillId="35" borderId="0" xfId="0" applyNumberFormat="1" applyFill="1"/>
    <xf numFmtId="0" fontId="5" fillId="0" borderId="0" xfId="58" applyFont="1" applyFill="1" applyBorder="1" applyAlignment="1" applyProtection="1">
      <alignment horizontal="left"/>
    </xf>
    <xf numFmtId="166" fontId="0" fillId="0" borderId="0" xfId="43" applyNumberFormat="1" applyFont="1" applyFill="1" applyAlignment="1">
      <alignment horizontal="right"/>
    </xf>
    <xf numFmtId="165" fontId="0" fillId="36" borderId="0" xfId="43" applyFont="1" applyFill="1"/>
    <xf numFmtId="166" fontId="0" fillId="36" borderId="0" xfId="0" applyNumberFormat="1" applyFill="1"/>
    <xf numFmtId="165" fontId="0" fillId="0" borderId="0" xfId="43" applyFont="1" applyFill="1"/>
    <xf numFmtId="165" fontId="5" fillId="25" borderId="10" xfId="43" applyFont="1" applyFill="1" applyBorder="1"/>
    <xf numFmtId="166" fontId="7" fillId="0" borderId="0" xfId="43" applyNumberFormat="1" applyFont="1"/>
    <xf numFmtId="165" fontId="0" fillId="37" borderId="0" xfId="43" applyFont="1" applyFill="1"/>
    <xf numFmtId="165" fontId="0" fillId="38" borderId="0" xfId="43" applyFont="1" applyFill="1"/>
    <xf numFmtId="0" fontId="26" fillId="0" borderId="0" xfId="0" applyFont="1" applyBorder="1"/>
    <xf numFmtId="166" fontId="0" fillId="30" borderId="0" xfId="43" applyNumberFormat="1" applyFont="1" applyFill="1"/>
    <xf numFmtId="173" fontId="0" fillId="35" borderId="0" xfId="43" applyNumberFormat="1" applyFont="1" applyFill="1"/>
    <xf numFmtId="165" fontId="28" fillId="0" borderId="0" xfId="43" applyFont="1" applyFill="1"/>
    <xf numFmtId="0" fontId="5" fillId="0" borderId="0" xfId="1" applyFont="1" applyFill="1" applyBorder="1"/>
    <xf numFmtId="39" fontId="26" fillId="0" borderId="0" xfId="57" applyNumberFormat="1" applyFont="1" applyFill="1" applyBorder="1" applyAlignment="1" applyProtection="1"/>
    <xf numFmtId="39" fontId="26" fillId="0" borderId="0" xfId="58" applyNumberFormat="1" applyFont="1" applyFill="1" applyBorder="1" applyAlignment="1" applyProtection="1"/>
    <xf numFmtId="39" fontId="5" fillId="0" borderId="0" xfId="58" applyNumberFormat="1" applyFont="1" applyFill="1" applyBorder="1" applyAlignment="1" applyProtection="1"/>
    <xf numFmtId="39" fontId="33" fillId="0" borderId="0" xfId="58" applyNumberFormat="1" applyFont="1" applyFill="1" applyBorder="1" applyAlignment="1" applyProtection="1"/>
    <xf numFmtId="0" fontId="5" fillId="0" borderId="0" xfId="1" applyFont="1" applyFill="1"/>
    <xf numFmtId="172" fontId="0" fillId="0" borderId="0" xfId="0" applyNumberFormat="1" applyFill="1" applyBorder="1"/>
    <xf numFmtId="173" fontId="0" fillId="36" borderId="0" xfId="43" applyNumberFormat="1" applyFont="1" applyFill="1"/>
    <xf numFmtId="39" fontId="3" fillId="30" borderId="0" xfId="57" quotePrefix="1" applyNumberFormat="1" applyFont="1" applyFill="1" applyBorder="1" applyAlignment="1" applyProtection="1"/>
    <xf numFmtId="39" fontId="3" fillId="30" borderId="0" xfId="57" applyNumberFormat="1" applyFont="1" applyFill="1" applyBorder="1" applyAlignment="1" applyProtection="1"/>
    <xf numFmtId="166" fontId="3" fillId="34" borderId="0" xfId="43" applyNumberFormat="1" applyFill="1"/>
    <xf numFmtId="166" fontId="3" fillId="37" borderId="0" xfId="43" applyNumberFormat="1" applyFont="1" applyFill="1" applyAlignment="1">
      <alignment horizontal="center"/>
    </xf>
    <xf numFmtId="166" fontId="26" fillId="0" borderId="0" xfId="43" applyNumberFormat="1" applyFont="1" applyFill="1"/>
    <xf numFmtId="166" fontId="3" fillId="36" borderId="0" xfId="43" applyNumberFormat="1" applyFont="1" applyFill="1"/>
    <xf numFmtId="0" fontId="3" fillId="0" borderId="0" xfId="0" applyFont="1" applyBorder="1"/>
    <xf numFmtId="166" fontId="0" fillId="37" borderId="0" xfId="0" applyNumberFormat="1" applyFill="1" applyAlignment="1">
      <alignment horizontal="center"/>
    </xf>
    <xf numFmtId="39" fontId="3" fillId="0" borderId="0" xfId="57" applyNumberFormat="1" applyFont="1" applyFill="1" applyBorder="1" applyAlignment="1" applyProtection="1"/>
    <xf numFmtId="174" fontId="0" fillId="35" borderId="0" xfId="43" applyNumberFormat="1" applyFont="1" applyFill="1"/>
    <xf numFmtId="166" fontId="0" fillId="37" borderId="0" xfId="43" applyNumberFormat="1" applyFont="1" applyFill="1"/>
    <xf numFmtId="165" fontId="3" fillId="30" borderId="0" xfId="1" applyNumberFormat="1" applyFont="1" applyFill="1"/>
    <xf numFmtId="165" fontId="36" fillId="30" borderId="0" xfId="1" applyNumberFormat="1" applyFont="1" applyFill="1"/>
    <xf numFmtId="165" fontId="27" fillId="30" borderId="0" xfId="1" applyNumberFormat="1" applyFont="1" applyFill="1"/>
    <xf numFmtId="165" fontId="3" fillId="0" borderId="0" xfId="1" applyNumberFormat="1" applyFont="1" applyFill="1"/>
    <xf numFmtId="166" fontId="27" fillId="35" borderId="0" xfId="43" applyNumberFormat="1" applyFont="1" applyFill="1"/>
    <xf numFmtId="166" fontId="27" fillId="34" borderId="0" xfId="43" applyNumberFormat="1" applyFont="1" applyFill="1"/>
    <xf numFmtId="166" fontId="3" fillId="34" borderId="0" xfId="43" applyNumberFormat="1" applyFont="1" applyFill="1"/>
    <xf numFmtId="166" fontId="0" fillId="0" borderId="0" xfId="0" applyNumberFormat="1"/>
    <xf numFmtId="166" fontId="27" fillId="38" borderId="0" xfId="43" applyNumberFormat="1" applyFont="1" applyFill="1"/>
    <xf numFmtId="165" fontId="3" fillId="34" borderId="0" xfId="1" applyNumberFormat="1" applyFont="1" applyFill="1"/>
    <xf numFmtId="166" fontId="0" fillId="37" borderId="0" xfId="0" applyNumberFormat="1" applyFill="1"/>
    <xf numFmtId="9" fontId="0" fillId="0" borderId="0" xfId="56" applyFont="1"/>
    <xf numFmtId="170" fontId="0" fillId="35" borderId="0" xfId="56" applyNumberFormat="1" applyFont="1" applyFill="1"/>
    <xf numFmtId="165" fontId="3" fillId="0" borderId="0" xfId="43" applyFont="1"/>
    <xf numFmtId="165" fontId="27" fillId="30" borderId="0" xfId="43" applyFont="1" applyFill="1"/>
    <xf numFmtId="166" fontId="3" fillId="35" borderId="0" xfId="43" applyNumberFormat="1" applyFont="1" applyFill="1"/>
    <xf numFmtId="0" fontId="3" fillId="0" borderId="0" xfId="0" quotePrefix="1" applyFont="1"/>
    <xf numFmtId="166" fontId="0" fillId="35" borderId="0" xfId="0" applyNumberFormat="1" applyFill="1" applyAlignment="1">
      <alignment horizontal="center"/>
    </xf>
    <xf numFmtId="166" fontId="0" fillId="36" borderId="0" xfId="0" applyNumberFormat="1" applyFill="1" applyAlignment="1">
      <alignment horizontal="center"/>
    </xf>
    <xf numFmtId="170" fontId="0" fillId="0" borderId="0" xfId="56" applyNumberFormat="1" applyFont="1" applyFill="1"/>
    <xf numFmtId="165" fontId="0" fillId="39" borderId="0" xfId="43" applyFont="1" applyFill="1"/>
    <xf numFmtId="0" fontId="0" fillId="39" borderId="0" xfId="0" applyFill="1"/>
    <xf numFmtId="0" fontId="5" fillId="25" borderId="10" xfId="1" applyFont="1" applyFill="1" applyBorder="1"/>
    <xf numFmtId="0" fontId="0" fillId="25" borderId="10" xfId="1" applyFont="1" applyFill="1" applyBorder="1"/>
    <xf numFmtId="0" fontId="3" fillId="26" borderId="11" xfId="69" applyFont="1" applyFill="1" applyBorder="1"/>
    <xf numFmtId="0" fontId="3" fillId="30" borderId="0" xfId="69" applyFont="1" applyFill="1" applyBorder="1"/>
    <xf numFmtId="0" fontId="3" fillId="27" borderId="11" xfId="69" applyFont="1" applyFill="1" applyBorder="1"/>
    <xf numFmtId="0" fontId="3" fillId="29" borderId="11" xfId="69" applyFont="1" applyFill="1" applyBorder="1"/>
    <xf numFmtId="0" fontId="27" fillId="30" borderId="0" xfId="69" applyFont="1" applyFill="1" applyBorder="1"/>
    <xf numFmtId="0" fontId="3" fillId="32" borderId="11" xfId="69" applyFont="1" applyFill="1" applyBorder="1"/>
    <xf numFmtId="0" fontId="3" fillId="28" borderId="11" xfId="69" applyFont="1" applyFill="1" applyBorder="1"/>
    <xf numFmtId="0" fontId="3" fillId="33" borderId="11" xfId="69" applyFont="1" applyFill="1" applyBorder="1"/>
    <xf numFmtId="9" fontId="0" fillId="0" borderId="0" xfId="56" applyFont="1" applyFill="1"/>
    <xf numFmtId="165" fontId="0" fillId="0" borderId="0" xfId="0" applyNumberFormat="1"/>
    <xf numFmtId="166" fontId="0" fillId="0" borderId="0" xfId="0" applyNumberFormat="1" applyFill="1" applyAlignment="1">
      <alignment horizontal="center"/>
    </xf>
    <xf numFmtId="0" fontId="3" fillId="0" borderId="0" xfId="70"/>
    <xf numFmtId="0" fontId="0" fillId="0" borderId="0" xfId="0" applyBorder="1" applyAlignment="1">
      <alignment horizontal="left"/>
    </xf>
    <xf numFmtId="166" fontId="0" fillId="35" borderId="0" xfId="0" applyNumberFormat="1" applyFill="1" applyBorder="1"/>
    <xf numFmtId="166" fontId="0" fillId="34" borderId="0" xfId="43" applyNumberFormat="1" applyFont="1" applyFill="1" applyBorder="1"/>
    <xf numFmtId="0" fontId="38" fillId="0" borderId="0" xfId="0" applyFont="1"/>
    <xf numFmtId="166" fontId="0" fillId="35" borderId="0" xfId="43" applyNumberFormat="1" applyFont="1" applyFill="1" applyBorder="1"/>
    <xf numFmtId="175" fontId="0" fillId="35" borderId="0" xfId="56" applyNumberFormat="1" applyFont="1" applyFill="1" applyBorder="1"/>
    <xf numFmtId="0" fontId="38" fillId="0" borderId="0" xfId="0" applyFont="1" applyBorder="1"/>
    <xf numFmtId="0" fontId="28" fillId="0" borderId="0" xfId="0" applyFont="1" applyBorder="1"/>
    <xf numFmtId="0" fontId="38" fillId="0" borderId="0" xfId="0" applyFont="1" applyBorder="1" applyAlignment="1">
      <alignment horizontal="left"/>
    </xf>
    <xf numFmtId="0" fontId="0" fillId="0" borderId="0" xfId="0" applyBorder="1" applyAlignment="1">
      <alignment horizontal="center"/>
    </xf>
    <xf numFmtId="166" fontId="0" fillId="34" borderId="0" xfId="0" applyNumberFormat="1" applyFill="1" applyBorder="1"/>
    <xf numFmtId="166" fontId="0" fillId="35" borderId="0" xfId="0" applyNumberFormat="1" applyFill="1" applyBorder="1" applyAlignment="1">
      <alignment horizontal="center"/>
    </xf>
    <xf numFmtId="0" fontId="3" fillId="0" borderId="0" xfId="0" applyFont="1" applyFill="1" applyBorder="1"/>
    <xf numFmtId="0" fontId="3" fillId="0" borderId="0" xfId="0" applyFont="1" applyBorder="1" applyAlignment="1">
      <alignment horizontal="left"/>
    </xf>
    <xf numFmtId="175" fontId="0" fillId="37" borderId="0" xfId="56" applyNumberFormat="1" applyFont="1" applyFill="1" applyBorder="1"/>
    <xf numFmtId="3" fontId="0" fillId="0" borderId="0" xfId="0" applyNumberFormat="1" applyBorder="1"/>
    <xf numFmtId="175" fontId="0" fillId="0" borderId="0" xfId="56" applyNumberFormat="1" applyFont="1" applyFill="1" applyBorder="1"/>
    <xf numFmtId="166" fontId="0" fillId="36" borderId="0" xfId="43" applyNumberFormat="1" applyFont="1" applyFill="1" applyBorder="1"/>
    <xf numFmtId="0" fontId="3" fillId="0" borderId="0" xfId="0" applyFont="1" applyAlignment="1">
      <alignment horizontal="center"/>
    </xf>
    <xf numFmtId="166" fontId="3" fillId="35" borderId="0" xfId="43" applyNumberFormat="1" applyFill="1"/>
    <xf numFmtId="166" fontId="3" fillId="37" borderId="0" xfId="43" applyNumberFormat="1" applyFont="1" applyFill="1"/>
    <xf numFmtId="0" fontId="5" fillId="41" borderId="0" xfId="0" applyFont="1" applyFill="1"/>
    <xf numFmtId="39" fontId="3" fillId="30" borderId="0" xfId="58" applyNumberFormat="1" applyFont="1" applyFill="1" applyBorder="1" applyAlignment="1" applyProtection="1"/>
    <xf numFmtId="166" fontId="27" fillId="0" borderId="0" xfId="43" applyNumberFormat="1" applyFont="1" applyFill="1"/>
    <xf numFmtId="165" fontId="28" fillId="0" borderId="0" xfId="1" applyNumberFormat="1" applyFont="1" applyFill="1"/>
    <xf numFmtId="10" fontId="0" fillId="36" borderId="0" xfId="56" applyNumberFormat="1" applyFont="1" applyFill="1"/>
    <xf numFmtId="166" fontId="3" fillId="37" borderId="0" xfId="0" applyNumberFormat="1" applyFont="1" applyFill="1"/>
    <xf numFmtId="166" fontId="0" fillId="35" borderId="0" xfId="43" applyNumberFormat="1" applyFont="1" applyFill="1" applyAlignment="1">
      <alignment horizontal="center"/>
    </xf>
    <xf numFmtId="166" fontId="0" fillId="36" borderId="0" xfId="43" applyNumberFormat="1" applyFont="1" applyFill="1" applyAlignment="1">
      <alignment horizontal="center"/>
    </xf>
    <xf numFmtId="166" fontId="27" fillId="36" borderId="0" xfId="43" applyNumberFormat="1" applyFont="1" applyFill="1"/>
    <xf numFmtId="0" fontId="3" fillId="0" borderId="0" xfId="0" quotePrefix="1" applyFont="1" applyFill="1"/>
    <xf numFmtId="10" fontId="0" fillId="36" borderId="0" xfId="0" applyNumberFormat="1" applyFill="1"/>
    <xf numFmtId="0" fontId="40" fillId="0" borderId="0" xfId="0" applyFont="1"/>
    <xf numFmtId="165" fontId="0" fillId="35" borderId="0" xfId="0" applyNumberFormat="1" applyFill="1"/>
    <xf numFmtId="176" fontId="38" fillId="0" borderId="0" xfId="0" applyNumberFormat="1" applyFont="1"/>
    <xf numFmtId="0" fontId="5" fillId="24" borderId="10" xfId="0" applyFont="1" applyFill="1" applyBorder="1" applyAlignment="1">
      <alignment horizontal="center" vertical="top"/>
    </xf>
    <xf numFmtId="0" fontId="5" fillId="24" borderId="10" xfId="0" applyFont="1" applyFill="1" applyBorder="1" applyAlignment="1">
      <alignment horizontal="center" vertical="top" wrapText="1"/>
    </xf>
    <xf numFmtId="166" fontId="0" fillId="0" borderId="0" xfId="43" applyNumberFormat="1" applyFont="1" applyBorder="1"/>
    <xf numFmtId="166" fontId="0" fillId="0" borderId="0" xfId="43" applyNumberFormat="1" applyFont="1" applyFill="1" applyBorder="1"/>
    <xf numFmtId="166" fontId="0" fillId="37" borderId="0" xfId="43" applyNumberFormat="1" applyFont="1" applyFill="1" applyBorder="1"/>
    <xf numFmtId="166" fontId="38" fillId="0" borderId="0" xfId="43" applyNumberFormat="1" applyFont="1" applyAlignment="1">
      <alignment horizontal="left"/>
    </xf>
    <xf numFmtId="166" fontId="0" fillId="0" borderId="0" xfId="43" applyNumberFormat="1" applyFont="1" applyFill="1" applyAlignment="1">
      <alignment horizontal="center"/>
    </xf>
    <xf numFmtId="166" fontId="3" fillId="0" borderId="0" xfId="43" applyNumberFormat="1" applyFill="1" applyAlignment="1">
      <alignment horizontal="center"/>
    </xf>
    <xf numFmtId="0" fontId="0" fillId="0" borderId="0" xfId="0" applyAlignment="1">
      <alignment horizontal="left"/>
    </xf>
    <xf numFmtId="0" fontId="0" fillId="0" borderId="0" xfId="43" applyNumberFormat="1" applyFont="1" applyFill="1" applyBorder="1" applyAlignment="1" applyProtection="1">
      <alignment horizontal="left"/>
      <protection locked="0"/>
    </xf>
    <xf numFmtId="0" fontId="27" fillId="0" borderId="0" xfId="71" applyNumberFormat="1" applyFont="1" applyFill="1" applyBorder="1"/>
    <xf numFmtId="166" fontId="0" fillId="34" borderId="0" xfId="43" applyNumberFormat="1" applyFont="1" applyFill="1" applyAlignment="1">
      <alignment wrapText="1"/>
    </xf>
    <xf numFmtId="166" fontId="0" fillId="34" borderId="0" xfId="43" applyNumberFormat="1" applyFont="1" applyFill="1" applyAlignment="1"/>
    <xf numFmtId="166" fontId="0" fillId="0" borderId="0" xfId="43" applyNumberFormat="1" applyFont="1" applyAlignment="1">
      <alignment wrapText="1"/>
    </xf>
    <xf numFmtId="166" fontId="0" fillId="0" borderId="0" xfId="43" applyNumberFormat="1" applyFont="1" applyFill="1" applyProtection="1">
      <protection locked="0"/>
    </xf>
    <xf numFmtId="166" fontId="0" fillId="0" borderId="0" xfId="43" applyNumberFormat="1" applyFont="1" applyFill="1" applyAlignment="1" applyProtection="1">
      <alignment horizontal="center"/>
      <protection locked="0"/>
    </xf>
    <xf numFmtId="166" fontId="0" fillId="0" borderId="0" xfId="43" applyNumberFormat="1" applyFont="1" applyProtection="1">
      <protection locked="0"/>
    </xf>
    <xf numFmtId="166" fontId="0" fillId="34" borderId="0" xfId="43" applyNumberFormat="1" applyFont="1" applyFill="1" applyBorder="1" applyAlignment="1" applyProtection="1"/>
    <xf numFmtId="166" fontId="0" fillId="34" borderId="0" xfId="43" applyNumberFormat="1" applyFont="1" applyFill="1" applyBorder="1" applyAlignment="1" applyProtection="1">
      <alignment horizontal="center"/>
    </xf>
    <xf numFmtId="166" fontId="0" fillId="0" borderId="0" xfId="43" applyNumberFormat="1" applyFont="1" applyAlignment="1" applyProtection="1">
      <alignment horizontal="center"/>
      <protection locked="0"/>
    </xf>
    <xf numFmtId="165" fontId="0" fillId="34" borderId="0" xfId="43" applyFont="1" applyFill="1" applyAlignment="1">
      <alignment horizontal="left" vertical="center"/>
    </xf>
    <xf numFmtId="165" fontId="0" fillId="34" borderId="0" xfId="43" applyFont="1" applyFill="1" applyAlignment="1">
      <alignment horizontal="left"/>
    </xf>
    <xf numFmtId="165" fontId="0" fillId="0" borderId="0" xfId="43" applyFont="1" applyAlignment="1">
      <alignment horizontal="left" vertical="center"/>
    </xf>
    <xf numFmtId="165" fontId="0" fillId="0" borderId="0" xfId="43" applyFont="1" applyAlignment="1">
      <alignment horizontal="left"/>
    </xf>
    <xf numFmtId="165" fontId="0" fillId="0" borderId="0" xfId="43" applyFont="1" applyFill="1" applyAlignment="1">
      <alignment horizontal="left"/>
    </xf>
    <xf numFmtId="165" fontId="0" fillId="0" borderId="0" xfId="43" applyFont="1" applyAlignment="1"/>
    <xf numFmtId="165" fontId="5" fillId="24" borderId="10" xfId="43" applyFont="1" applyFill="1" applyBorder="1"/>
    <xf numFmtId="165" fontId="5" fillId="24" borderId="10" xfId="43" applyFont="1" applyFill="1" applyBorder="1" applyAlignment="1"/>
    <xf numFmtId="165" fontId="5" fillId="24" borderId="10" xfId="43" applyFont="1" applyFill="1" applyBorder="1" applyAlignment="1">
      <alignment horizontal="center"/>
    </xf>
    <xf numFmtId="165" fontId="5" fillId="25" borderId="10" xfId="43" applyFont="1" applyFill="1" applyBorder="1" applyAlignment="1"/>
    <xf numFmtId="2" fontId="0" fillId="35" borderId="0" xfId="0" applyNumberFormat="1" applyFill="1"/>
    <xf numFmtId="2" fontId="0" fillId="0" borderId="0" xfId="0" applyNumberFormat="1"/>
    <xf numFmtId="2" fontId="0" fillId="0" borderId="0" xfId="43" applyNumberFormat="1" applyFont="1"/>
    <xf numFmtId="0" fontId="28" fillId="0" borderId="0" xfId="0" quotePrefix="1" applyFont="1"/>
    <xf numFmtId="0" fontId="5" fillId="0" borderId="0" xfId="0" applyFont="1" applyAlignment="1">
      <alignment horizontal="center"/>
    </xf>
    <xf numFmtId="2" fontId="0" fillId="29" borderId="0" xfId="0" applyNumberFormat="1" applyFill="1"/>
    <xf numFmtId="166" fontId="0" fillId="38" borderId="0" xfId="0" applyNumberFormat="1" applyFill="1"/>
    <xf numFmtId="0" fontId="3" fillId="0" borderId="0" xfId="73"/>
    <xf numFmtId="166" fontId="0" fillId="38" borderId="0" xfId="43" applyNumberFormat="1" applyFont="1" applyFill="1"/>
    <xf numFmtId="0" fontId="38" fillId="0" borderId="0" xfId="0" applyFont="1" applyFill="1"/>
    <xf numFmtId="169" fontId="3" fillId="0" borderId="0" xfId="43" applyNumberFormat="1" applyFill="1"/>
    <xf numFmtId="0" fontId="28" fillId="0" borderId="0" xfId="0" applyFont="1" applyFill="1"/>
    <xf numFmtId="166" fontId="3" fillId="0" borderId="0" xfId="43" applyNumberFormat="1" applyFont="1" applyFill="1" applyBorder="1" applyAlignment="1" applyProtection="1">
      <alignment horizontal="right"/>
      <protection locked="0"/>
    </xf>
    <xf numFmtId="0" fontId="0" fillId="0" borderId="0" xfId="0" applyFill="1" applyBorder="1"/>
    <xf numFmtId="166" fontId="0" fillId="0" borderId="0" xfId="43" applyNumberFormat="1" applyFont="1" applyFill="1" applyBorder="1"/>
    <xf numFmtId="0" fontId="0" fillId="0" borderId="0" xfId="0" applyFill="1" applyBorder="1"/>
    <xf numFmtId="166" fontId="0" fillId="0" borderId="0" xfId="43" applyNumberFormat="1" applyFont="1" applyFill="1" applyBorder="1"/>
    <xf numFmtId="0" fontId="0" fillId="0" borderId="0" xfId="0"/>
    <xf numFmtId="0" fontId="0" fillId="0" borderId="0" xfId="0" applyFill="1"/>
    <xf numFmtId="0" fontId="5" fillId="0" borderId="0" xfId="0" applyFont="1" applyBorder="1"/>
    <xf numFmtId="0" fontId="5" fillId="0" borderId="0" xfId="0" applyFont="1"/>
    <xf numFmtId="166" fontId="0" fillId="0" borderId="0" xfId="43" applyNumberFormat="1" applyFont="1" applyBorder="1"/>
    <xf numFmtId="10" fontId="0" fillId="36" borderId="0" xfId="56" applyNumberFormat="1" applyFont="1" applyFill="1" applyBorder="1"/>
    <xf numFmtId="175" fontId="0" fillId="34" borderId="0" xfId="56" applyNumberFormat="1" applyFont="1" applyFill="1" applyAlignment="1">
      <alignment horizontal="right"/>
    </xf>
    <xf numFmtId="165" fontId="0" fillId="0" borderId="0" xfId="43" applyFont="1" applyAlignment="1">
      <alignment horizontal="center"/>
    </xf>
    <xf numFmtId="234" fontId="0" fillId="0" borderId="0" xfId="56" applyNumberFormat="1" applyFont="1" applyBorder="1"/>
    <xf numFmtId="9" fontId="0" fillId="34" borderId="0" xfId="0" applyNumberFormat="1" applyFill="1" applyBorder="1"/>
    <xf numFmtId="0" fontId="6" fillId="24" borderId="10" xfId="0" applyFont="1" applyFill="1" applyBorder="1" applyAlignment="1">
      <alignment wrapText="1"/>
    </xf>
    <xf numFmtId="0" fontId="6" fillId="51" borderId="10" xfId="0" applyFont="1" applyFill="1" applyBorder="1" applyAlignment="1">
      <alignment wrapText="1"/>
    </xf>
    <xf numFmtId="166" fontId="3" fillId="35" borderId="0" xfId="0" applyNumberFormat="1" applyFont="1" applyFill="1"/>
    <xf numFmtId="166" fontId="3" fillId="36" borderId="0" xfId="0" applyNumberFormat="1" applyFont="1" applyFill="1"/>
    <xf numFmtId="166" fontId="3" fillId="0" borderId="0" xfId="43" applyNumberFormat="1" applyFont="1"/>
    <xf numFmtId="0" fontId="0" fillId="53" borderId="0" xfId="0" applyFill="1"/>
    <xf numFmtId="0" fontId="38" fillId="53" borderId="0" xfId="0" applyFont="1" applyFill="1"/>
    <xf numFmtId="0" fontId="157" fillId="54" borderId="10" xfId="70" applyFont="1" applyFill="1" applyBorder="1"/>
    <xf numFmtId="0" fontId="157" fillId="54" borderId="36" xfId="70" applyFont="1" applyFill="1" applyBorder="1"/>
    <xf numFmtId="0" fontId="3" fillId="55" borderId="0" xfId="70" applyFill="1"/>
    <xf numFmtId="0" fontId="3" fillId="55" borderId="13" xfId="70" applyFill="1" applyBorder="1"/>
    <xf numFmtId="0" fontId="3" fillId="55" borderId="0" xfId="70" applyFill="1" applyBorder="1"/>
    <xf numFmtId="0" fontId="3" fillId="55" borderId="37" xfId="70" applyFill="1" applyBorder="1"/>
    <xf numFmtId="0" fontId="3" fillId="55" borderId="0" xfId="70" applyFill="1" applyBorder="1" applyAlignment="1">
      <alignment horizontal="center"/>
    </xf>
    <xf numFmtId="0" fontId="3" fillId="55" borderId="14" xfId="70" applyFill="1" applyBorder="1"/>
    <xf numFmtId="0" fontId="3" fillId="55" borderId="15" xfId="70" applyFill="1" applyBorder="1"/>
    <xf numFmtId="0" fontId="3" fillId="55" borderId="16" xfId="70" applyFill="1" applyBorder="1"/>
    <xf numFmtId="0" fontId="3" fillId="55" borderId="38" xfId="70" applyFill="1" applyBorder="1"/>
    <xf numFmtId="0" fontId="3" fillId="55" borderId="12" xfId="70" applyFill="1" applyBorder="1"/>
    <xf numFmtId="0" fontId="3" fillId="55" borderId="39" xfId="70" applyFill="1" applyBorder="1"/>
    <xf numFmtId="0" fontId="5" fillId="55" borderId="13" xfId="1" applyFont="1" applyFill="1" applyBorder="1"/>
    <xf numFmtId="39" fontId="3" fillId="55" borderId="13" xfId="348" applyNumberFormat="1" applyFont="1" applyFill="1" applyBorder="1" applyAlignment="1" applyProtection="1"/>
    <xf numFmtId="39" fontId="3" fillId="55" borderId="13" xfId="349" applyNumberFormat="1" applyFont="1" applyFill="1" applyBorder="1" applyAlignment="1" applyProtection="1"/>
    <xf numFmtId="39" fontId="5" fillId="55" borderId="13" xfId="349" applyNumberFormat="1" applyFont="1" applyFill="1" applyBorder="1" applyAlignment="1" applyProtection="1"/>
    <xf numFmtId="39" fontId="33" fillId="55" borderId="13" xfId="349" applyNumberFormat="1" applyFont="1" applyFill="1" applyBorder="1" applyAlignment="1" applyProtection="1"/>
    <xf numFmtId="39" fontId="34" fillId="55" borderId="13" xfId="349" applyNumberFormat="1" applyFont="1" applyFill="1" applyBorder="1" applyAlignment="1" applyProtection="1"/>
    <xf numFmtId="0" fontId="157" fillId="54" borderId="18" xfId="70" applyFont="1" applyFill="1" applyBorder="1"/>
    <xf numFmtId="0" fontId="5" fillId="56" borderId="18" xfId="70" applyFont="1" applyFill="1" applyBorder="1"/>
    <xf numFmtId="0" fontId="3" fillId="56" borderId="10" xfId="70" applyFill="1" applyBorder="1"/>
    <xf numFmtId="166" fontId="0" fillId="56" borderId="36" xfId="43" applyNumberFormat="1" applyFont="1" applyFill="1" applyBorder="1" applyAlignment="1">
      <alignment horizontal="right"/>
    </xf>
    <xf numFmtId="0" fontId="5" fillId="55" borderId="13" xfId="349" applyFont="1" applyFill="1" applyBorder="1" applyAlignment="1" applyProtection="1">
      <alignment horizontal="left"/>
    </xf>
    <xf numFmtId="0" fontId="3" fillId="55" borderId="13" xfId="70" applyFont="1" applyFill="1" applyBorder="1"/>
    <xf numFmtId="166" fontId="3" fillId="36" borderId="40" xfId="43" applyNumberFormat="1" applyFont="1" applyFill="1" applyBorder="1"/>
    <xf numFmtId="166" fontId="3" fillId="36" borderId="41" xfId="43" applyNumberFormat="1" applyFont="1" applyFill="1" applyBorder="1"/>
    <xf numFmtId="166" fontId="0" fillId="55" borderId="14" xfId="43" applyNumberFormat="1" applyFont="1" applyFill="1" applyBorder="1" applyAlignment="1">
      <alignment horizontal="right"/>
    </xf>
    <xf numFmtId="166" fontId="3" fillId="36" borderId="42" xfId="43" applyNumberFormat="1" applyFont="1" applyFill="1" applyBorder="1"/>
    <xf numFmtId="166" fontId="3" fillId="36" borderId="38" xfId="43" applyNumberFormat="1" applyFont="1" applyFill="1" applyBorder="1"/>
    <xf numFmtId="0" fontId="3" fillId="55" borderId="36" xfId="70" applyFill="1" applyBorder="1"/>
    <xf numFmtId="0" fontId="3" fillId="55" borderId="14" xfId="70" applyFont="1" applyFill="1" applyBorder="1"/>
    <xf numFmtId="166" fontId="3" fillId="36" borderId="14" xfId="43" applyNumberFormat="1" applyFont="1" applyFill="1" applyBorder="1"/>
    <xf numFmtId="0" fontId="159" fillId="55" borderId="0" xfId="70" applyFont="1" applyFill="1" applyBorder="1" applyAlignment="1">
      <alignment horizontal="center"/>
    </xf>
    <xf numFmtId="0" fontId="159" fillId="55" borderId="14" xfId="70" applyFont="1" applyFill="1" applyBorder="1" applyAlignment="1">
      <alignment horizontal="center"/>
    </xf>
    <xf numFmtId="0" fontId="0" fillId="0" borderId="0" xfId="0" applyFont="1"/>
    <xf numFmtId="10" fontId="0" fillId="36" borderId="0" xfId="56" applyNumberFormat="1" applyFont="1" applyFill="1" applyAlignment="1">
      <alignment horizontal="right"/>
    </xf>
    <xf numFmtId="10" fontId="0" fillId="35" borderId="0" xfId="56" applyNumberFormat="1" applyFont="1" applyFill="1"/>
    <xf numFmtId="166" fontId="3" fillId="38" borderId="0" xfId="43" applyNumberFormat="1" applyFill="1"/>
    <xf numFmtId="0" fontId="160" fillId="0" borderId="0" xfId="350" applyFont="1"/>
    <xf numFmtId="0" fontId="160" fillId="0" borderId="0" xfId="350" applyFont="1" applyAlignment="1">
      <alignment horizontal="left"/>
    </xf>
    <xf numFmtId="0" fontId="161" fillId="0" borderId="0" xfId="350" applyFont="1"/>
    <xf numFmtId="0" fontId="161" fillId="0" borderId="0" xfId="350" applyFont="1" applyAlignment="1">
      <alignment horizontal="center"/>
    </xf>
    <xf numFmtId="0" fontId="5" fillId="24" borderId="10" xfId="350" applyFont="1" applyFill="1" applyBorder="1"/>
    <xf numFmtId="0" fontId="5" fillId="24" borderId="10" xfId="350" applyFont="1" applyFill="1" applyBorder="1" applyAlignment="1">
      <alignment horizontal="left"/>
    </xf>
    <xf numFmtId="0" fontId="6" fillId="24" borderId="10" xfId="350" applyFont="1" applyFill="1" applyBorder="1"/>
    <xf numFmtId="0" fontId="162" fillId="24" borderId="10" xfId="350" applyFont="1" applyFill="1" applyBorder="1" applyAlignment="1">
      <alignment horizontal="center"/>
    </xf>
    <xf numFmtId="0" fontId="162" fillId="24" borderId="10" xfId="350" applyFont="1" applyFill="1" applyBorder="1"/>
    <xf numFmtId="0" fontId="3" fillId="0" borderId="0" xfId="70" applyFont="1"/>
    <xf numFmtId="0" fontId="160" fillId="0" borderId="0" xfId="350" applyFont="1" applyFill="1" applyAlignment="1">
      <alignment horizontal="left"/>
    </xf>
    <xf numFmtId="0" fontId="160" fillId="0" borderId="0" xfId="350" applyFont="1" applyAlignment="1">
      <alignment horizontal="center"/>
    </xf>
    <xf numFmtId="0" fontId="7" fillId="0" borderId="0" xfId="350" applyFont="1" applyFill="1"/>
    <xf numFmtId="0" fontId="160" fillId="0" borderId="0" xfId="350" applyFont="1" applyFill="1" applyAlignment="1">
      <alignment horizontal="center"/>
    </xf>
    <xf numFmtId="0" fontId="5" fillId="25" borderId="10" xfId="350" applyFont="1" applyFill="1" applyBorder="1"/>
    <xf numFmtId="0" fontId="5" fillId="25" borderId="10" xfId="350" applyFont="1" applyFill="1" applyBorder="1" applyAlignment="1">
      <alignment horizontal="left"/>
    </xf>
    <xf numFmtId="0" fontId="5" fillId="0" borderId="0" xfId="350" applyFont="1" applyBorder="1" applyAlignment="1">
      <alignment horizontal="left"/>
    </xf>
    <xf numFmtId="166" fontId="3" fillId="0" borderId="0" xfId="351" applyNumberFormat="1" applyFont="1" applyFill="1" applyAlignment="1">
      <alignment horizontal="center"/>
    </xf>
    <xf numFmtId="166" fontId="160" fillId="26" borderId="0" xfId="351" applyNumberFormat="1" applyFont="1" applyFill="1"/>
    <xf numFmtId="166" fontId="160" fillId="35" borderId="0" xfId="351" applyNumberFormat="1" applyFont="1" applyFill="1"/>
    <xf numFmtId="0" fontId="160" fillId="0" borderId="0" xfId="350" applyFont="1" applyBorder="1" applyAlignment="1">
      <alignment horizontal="left"/>
    </xf>
    <xf numFmtId="166" fontId="160" fillId="0" borderId="0" xfId="351" applyNumberFormat="1" applyFont="1"/>
    <xf numFmtId="166" fontId="160" fillId="0" borderId="0" xfId="351" applyNumberFormat="1" applyFont="1" applyFill="1"/>
    <xf numFmtId="0" fontId="160" fillId="0" borderId="0" xfId="350" applyFont="1" applyFill="1" applyBorder="1" applyAlignment="1">
      <alignment horizontal="left"/>
    </xf>
    <xf numFmtId="166" fontId="3" fillId="27" borderId="0" xfId="351" applyNumberFormat="1" applyFont="1" applyFill="1" applyAlignment="1">
      <alignment horizontal="center"/>
    </xf>
    <xf numFmtId="0" fontId="5" fillId="25" borderId="10" xfId="350" applyFont="1" applyFill="1" applyBorder="1" applyAlignment="1">
      <alignment horizontal="center"/>
    </xf>
    <xf numFmtId="0" fontId="163" fillId="0" borderId="0" xfId="350" applyFont="1"/>
    <xf numFmtId="235" fontId="5" fillId="25" borderId="10" xfId="352" applyNumberFormat="1" applyFont="1" applyFill="1" applyBorder="1" applyAlignment="1">
      <alignment horizontal="center"/>
    </xf>
    <xf numFmtId="235" fontId="5" fillId="25" borderId="10" xfId="352" applyNumberFormat="1" applyFont="1" applyFill="1" applyBorder="1"/>
    <xf numFmtId="235" fontId="160" fillId="0" borderId="0" xfId="352" applyNumberFormat="1" applyFont="1" applyAlignment="1">
      <alignment horizontal="center"/>
    </xf>
    <xf numFmtId="235" fontId="160" fillId="0" borderId="0" xfId="352" applyNumberFormat="1" applyFont="1"/>
    <xf numFmtId="0" fontId="164" fillId="0" borderId="0" xfId="350" applyFont="1"/>
    <xf numFmtId="0" fontId="165" fillId="0" borderId="0" xfId="350" applyFont="1" applyAlignment="1">
      <alignment horizontal="left"/>
    </xf>
    <xf numFmtId="0" fontId="160" fillId="55" borderId="0" xfId="350" applyFont="1" applyFill="1" applyAlignment="1">
      <alignment horizontal="left"/>
    </xf>
    <xf numFmtId="235" fontId="3" fillId="27" borderId="0" xfId="352" applyNumberFormat="1" applyFont="1" applyFill="1" applyAlignment="1">
      <alignment horizontal="center"/>
    </xf>
    <xf numFmtId="235" fontId="160" fillId="34" borderId="0" xfId="352" applyNumberFormat="1" applyFont="1" applyFill="1"/>
    <xf numFmtId="0" fontId="161" fillId="0" borderId="0" xfId="350" applyFont="1" applyFill="1"/>
    <xf numFmtId="0" fontId="165" fillId="0" borderId="0" xfId="350" applyFont="1" applyFill="1" applyAlignment="1">
      <alignment horizontal="left"/>
    </xf>
    <xf numFmtId="235" fontId="161" fillId="0" borderId="0" xfId="352" applyNumberFormat="1" applyFont="1" applyAlignment="1">
      <alignment horizontal="center"/>
    </xf>
    <xf numFmtId="235" fontId="162" fillId="25" borderId="10" xfId="352" applyNumberFormat="1" applyFont="1" applyFill="1" applyBorder="1" applyAlignment="1">
      <alignment horizontal="center"/>
    </xf>
    <xf numFmtId="0" fontId="163" fillId="0" borderId="0" xfId="350" applyFont="1" applyAlignment="1">
      <alignment horizontal="left"/>
    </xf>
    <xf numFmtId="170" fontId="160" fillId="36" borderId="0" xfId="353" applyNumberFormat="1" applyFont="1" applyFill="1" applyAlignment="1">
      <alignment horizontal="right"/>
    </xf>
    <xf numFmtId="170" fontId="160" fillId="35" borderId="0" xfId="353" applyNumberFormat="1" applyFont="1" applyFill="1" applyAlignment="1">
      <alignment horizontal="right"/>
    </xf>
    <xf numFmtId="235" fontId="3" fillId="0" borderId="0" xfId="352" applyNumberFormat="1" applyFont="1" applyFill="1" applyAlignment="1">
      <alignment horizontal="center"/>
    </xf>
    <xf numFmtId="235" fontId="3" fillId="35" borderId="0" xfId="352" applyNumberFormat="1" applyFont="1" applyFill="1" applyAlignment="1">
      <alignment horizontal="center"/>
    </xf>
    <xf numFmtId="235" fontId="161" fillId="0" borderId="0" xfId="352" applyNumberFormat="1" applyFont="1" applyFill="1" applyAlignment="1">
      <alignment horizontal="center"/>
    </xf>
    <xf numFmtId="235" fontId="160" fillId="35" borderId="0" xfId="352" applyNumberFormat="1" applyFont="1" applyFill="1"/>
    <xf numFmtId="0" fontId="162" fillId="25" borderId="10" xfId="350" applyFont="1" applyFill="1" applyBorder="1" applyAlignment="1">
      <alignment horizontal="center"/>
    </xf>
    <xf numFmtId="0" fontId="162" fillId="25" borderId="10" xfId="350" applyFont="1" applyFill="1" applyBorder="1"/>
    <xf numFmtId="0" fontId="5" fillId="0" borderId="0" xfId="350" applyFont="1" applyFill="1" applyBorder="1" applyAlignment="1">
      <alignment horizontal="left"/>
    </xf>
    <xf numFmtId="0" fontId="5" fillId="0" borderId="0" xfId="350" applyFont="1" applyFill="1" applyBorder="1"/>
    <xf numFmtId="0" fontId="162" fillId="0" borderId="0" xfId="350" applyFont="1" applyFill="1" applyBorder="1" applyAlignment="1">
      <alignment horizontal="center"/>
    </xf>
    <xf numFmtId="0" fontId="162" fillId="0" borderId="0" xfId="350" applyFont="1" applyFill="1" applyBorder="1"/>
    <xf numFmtId="0" fontId="166" fillId="0" borderId="0" xfId="350" applyFont="1"/>
    <xf numFmtId="0" fontId="1" fillId="0" borderId="0" xfId="350"/>
    <xf numFmtId="166" fontId="0" fillId="0" borderId="0" xfId="351" applyNumberFormat="1" applyFont="1"/>
    <xf numFmtId="166" fontId="0" fillId="35" borderId="0" xfId="351" applyNumberFormat="1" applyFont="1" applyFill="1"/>
    <xf numFmtId="0" fontId="1" fillId="0" borderId="0" xfId="350" applyFont="1"/>
    <xf numFmtId="0" fontId="1" fillId="0" borderId="0" xfId="350" applyFont="1" applyAlignment="1">
      <alignment horizontal="center"/>
    </xf>
    <xf numFmtId="166" fontId="160" fillId="36" borderId="0" xfId="351" applyNumberFormat="1" applyFont="1" applyFill="1"/>
    <xf numFmtId="0" fontId="160" fillId="0" borderId="0" xfId="350" applyFont="1" applyFill="1"/>
    <xf numFmtId="235" fontId="160" fillId="0" borderId="0" xfId="352" applyNumberFormat="1" applyFont="1" applyFill="1"/>
    <xf numFmtId="0" fontId="163" fillId="0" borderId="0" xfId="350" applyFont="1" applyFill="1" applyAlignment="1">
      <alignment horizontal="left"/>
    </xf>
    <xf numFmtId="0" fontId="167" fillId="0" borderId="0" xfId="350" applyFont="1"/>
    <xf numFmtId="0" fontId="0" fillId="35" borderId="0" xfId="43" applyNumberFormat="1" applyFont="1" applyFill="1"/>
    <xf numFmtId="0" fontId="5" fillId="25" borderId="10" xfId="350" applyFont="1" applyFill="1" applyBorder="1" applyAlignment="1"/>
    <xf numFmtId="0" fontId="165" fillId="0" borderId="0" xfId="350" applyFont="1" applyAlignment="1"/>
    <xf numFmtId="0" fontId="163" fillId="0" borderId="0" xfId="350" applyFont="1" applyAlignment="1"/>
    <xf numFmtId="0" fontId="165" fillId="0" borderId="0" xfId="350" applyFont="1" applyBorder="1" applyAlignment="1"/>
    <xf numFmtId="166" fontId="0" fillId="0" borderId="0" xfId="351" applyNumberFormat="1" applyFont="1" applyFill="1"/>
    <xf numFmtId="166" fontId="0" fillId="38" borderId="0" xfId="351" applyNumberFormat="1" applyFont="1" applyFill="1"/>
    <xf numFmtId="0" fontId="0" fillId="0" borderId="0" xfId="351" applyNumberFormat="1" applyFont="1" applyFill="1"/>
    <xf numFmtId="0" fontId="5" fillId="0" borderId="0" xfId="350" applyFont="1" applyBorder="1" applyAlignment="1"/>
    <xf numFmtId="166" fontId="168" fillId="0" borderId="0" xfId="351" applyNumberFormat="1" applyFont="1" applyFill="1"/>
    <xf numFmtId="0" fontId="160" fillId="0" borderId="0" xfId="350" applyFont="1" applyFill="1" applyBorder="1" applyAlignment="1"/>
    <xf numFmtId="0" fontId="166" fillId="0" borderId="0" xfId="350" applyFont="1" applyAlignment="1">
      <alignment horizontal="center"/>
    </xf>
    <xf numFmtId="0" fontId="3" fillId="0" borderId="0" xfId="350" applyFont="1" applyBorder="1"/>
    <xf numFmtId="166" fontId="1" fillId="37" borderId="0" xfId="350" applyNumberFormat="1" applyFill="1"/>
    <xf numFmtId="0" fontId="168" fillId="0" borderId="0" xfId="350" applyFont="1"/>
    <xf numFmtId="166" fontId="1" fillId="0" borderId="0" xfId="350" applyNumberFormat="1" applyFill="1"/>
    <xf numFmtId="0" fontId="5" fillId="55" borderId="0" xfId="0" applyFont="1" applyFill="1"/>
    <xf numFmtId="0" fontId="0" fillId="55" borderId="0" xfId="0" applyFill="1"/>
    <xf numFmtId="0" fontId="165" fillId="55" borderId="45" xfId="0" applyFont="1" applyFill="1" applyBorder="1" applyAlignment="1"/>
    <xf numFmtId="0" fontId="6" fillId="24" borderId="0" xfId="350" applyFont="1" applyFill="1" applyBorder="1"/>
    <xf numFmtId="0" fontId="6" fillId="0" borderId="0" xfId="350" applyFont="1" applyFill="1" applyBorder="1"/>
    <xf numFmtId="0" fontId="5" fillId="0" borderId="0" xfId="73" applyFont="1"/>
    <xf numFmtId="0" fontId="3" fillId="0" borderId="0" xfId="73" applyFont="1"/>
    <xf numFmtId="0" fontId="5" fillId="0" borderId="0" xfId="73" applyFont="1" applyFill="1"/>
    <xf numFmtId="0" fontId="5" fillId="25" borderId="10" xfId="73" applyFont="1" applyFill="1" applyBorder="1"/>
    <xf numFmtId="0" fontId="3" fillId="25" borderId="10" xfId="73" applyFill="1" applyBorder="1"/>
    <xf numFmtId="0" fontId="3" fillId="0" borderId="0" xfId="73" applyFill="1"/>
    <xf numFmtId="170" fontId="0" fillId="27" borderId="0" xfId="56" applyNumberFormat="1" applyFont="1" applyFill="1"/>
    <xf numFmtId="0" fontId="6" fillId="24" borderId="10" xfId="73" applyFont="1" applyFill="1" applyBorder="1"/>
    <xf numFmtId="0" fontId="5" fillId="24" borderId="10" xfId="73" applyFont="1" applyFill="1" applyBorder="1"/>
    <xf numFmtId="166" fontId="3" fillId="27" borderId="0" xfId="73" applyNumberFormat="1" applyFill="1"/>
    <xf numFmtId="166" fontId="3" fillId="36" borderId="0" xfId="43" applyNumberFormat="1" applyFill="1"/>
    <xf numFmtId="166" fontId="3" fillId="0" borderId="0" xfId="73" applyNumberFormat="1" applyFill="1"/>
    <xf numFmtId="2" fontId="3" fillId="29" borderId="0" xfId="73" applyNumberFormat="1" applyFill="1"/>
    <xf numFmtId="0" fontId="5" fillId="0" borderId="0" xfId="73" applyFont="1" applyAlignment="1">
      <alignment horizontal="center"/>
    </xf>
    <xf numFmtId="175" fontId="3" fillId="36" borderId="0" xfId="73" applyNumberFormat="1" applyFill="1"/>
    <xf numFmtId="175" fontId="3" fillId="0" borderId="0" xfId="73" applyNumberFormat="1" applyFill="1"/>
    <xf numFmtId="166" fontId="0" fillId="36" borderId="0" xfId="351" applyNumberFormat="1" applyFont="1" applyFill="1"/>
    <xf numFmtId="0" fontId="3" fillId="34" borderId="0" xfId="73" applyFill="1"/>
    <xf numFmtId="0" fontId="3" fillId="0" borderId="0" xfId="1" applyFont="1"/>
    <xf numFmtId="0" fontId="27" fillId="0" borderId="0" xfId="1" applyFont="1"/>
    <xf numFmtId="0" fontId="3" fillId="0" borderId="0" xfId="361" applyFont="1"/>
    <xf numFmtId="0" fontId="3" fillId="25" borderId="10" xfId="361" applyFont="1" applyFill="1" applyBorder="1"/>
    <xf numFmtId="0" fontId="5" fillId="25" borderId="10" xfId="361" applyFont="1" applyFill="1" applyBorder="1"/>
    <xf numFmtId="0" fontId="27" fillId="25" borderId="0" xfId="1" applyFont="1" applyFill="1"/>
    <xf numFmtId="0" fontId="3" fillId="0" borderId="0" xfId="361" applyFont="1" applyAlignment="1">
      <alignment vertical="top"/>
    </xf>
    <xf numFmtId="0" fontId="5" fillId="0" borderId="0" xfId="1" applyFont="1"/>
    <xf numFmtId="0" fontId="5" fillId="0" borderId="0" xfId="361" applyFont="1"/>
    <xf numFmtId="166" fontId="3" fillId="38" borderId="0" xfId="351" applyNumberFormat="1" applyFont="1" applyFill="1" applyAlignment="1">
      <alignment horizontal="center"/>
    </xf>
    <xf numFmtId="0" fontId="3" fillId="0" borderId="0" xfId="361" applyFont="1" applyFill="1"/>
    <xf numFmtId="166" fontId="160" fillId="38" borderId="0" xfId="351" applyNumberFormat="1" applyFont="1" applyFill="1"/>
    <xf numFmtId="0" fontId="36" fillId="0" borderId="0" xfId="1" applyFont="1"/>
    <xf numFmtId="0" fontId="3" fillId="34" borderId="0" xfId="1" applyFont="1" applyFill="1"/>
    <xf numFmtId="0" fontId="3" fillId="0" borderId="0" xfId="362" applyFont="1"/>
    <xf numFmtId="166" fontId="27" fillId="32" borderId="0" xfId="43" applyNumberFormat="1" applyFont="1" applyFill="1"/>
    <xf numFmtId="235" fontId="160" fillId="38" borderId="0" xfId="352" applyNumberFormat="1" applyFont="1" applyFill="1"/>
    <xf numFmtId="0" fontId="37" fillId="24" borderId="10" xfId="1" applyFont="1" applyFill="1" applyBorder="1"/>
    <xf numFmtId="0" fontId="42" fillId="24" borderId="10" xfId="1" applyFont="1" applyFill="1" applyBorder="1"/>
    <xf numFmtId="0" fontId="37" fillId="0" borderId="0" xfId="1" applyFont="1"/>
    <xf numFmtId="0" fontId="3" fillId="0" borderId="0" xfId="69" applyFont="1" applyFill="1" applyBorder="1"/>
    <xf numFmtId="0" fontId="37" fillId="0" borderId="0" xfId="1" applyFont="1" applyFill="1"/>
    <xf numFmtId="0" fontId="37" fillId="0" borderId="0" xfId="354" applyFont="1"/>
    <xf numFmtId="0" fontId="27" fillId="0" borderId="0" xfId="354" applyFont="1"/>
    <xf numFmtId="0" fontId="37" fillId="0" borderId="0" xfId="1" applyFont="1" applyAlignment="1">
      <alignment wrapText="1"/>
    </xf>
    <xf numFmtId="10" fontId="3" fillId="34" borderId="0" xfId="56" applyNumberFormat="1" applyFont="1" applyFill="1"/>
    <xf numFmtId="10" fontId="3" fillId="37" borderId="0" xfId="56" applyNumberFormat="1" applyFont="1" applyFill="1"/>
    <xf numFmtId="0" fontId="7" fillId="0" borderId="0" xfId="362" applyFont="1"/>
    <xf numFmtId="166" fontId="3" fillId="26" borderId="0" xfId="43" applyNumberFormat="1" applyFont="1" applyFill="1"/>
    <xf numFmtId="169" fontId="3" fillId="36" borderId="0" xfId="43" applyNumberFormat="1" applyFont="1" applyFill="1"/>
    <xf numFmtId="165" fontId="3" fillId="35" borderId="0" xfId="43" applyNumberFormat="1" applyFont="1" applyFill="1"/>
    <xf numFmtId="0" fontId="42" fillId="24" borderId="10" xfId="0" applyFont="1" applyFill="1" applyBorder="1"/>
    <xf numFmtId="0" fontId="171" fillId="0" borderId="43" xfId="0" applyFont="1" applyBorder="1"/>
    <xf numFmtId="0" fontId="172" fillId="0" borderId="43" xfId="0" applyFont="1" applyBorder="1"/>
    <xf numFmtId="0" fontId="171" fillId="0" borderId="44" xfId="0" applyFont="1" applyBorder="1"/>
    <xf numFmtId="0" fontId="172" fillId="0" borderId="44" xfId="0" applyFont="1" applyBorder="1"/>
    <xf numFmtId="0" fontId="40" fillId="0" borderId="0" xfId="1" applyFont="1"/>
    <xf numFmtId="166" fontId="0" fillId="57" borderId="0" xfId="43" applyNumberFormat="1" applyFont="1" applyFill="1"/>
    <xf numFmtId="0" fontId="3" fillId="0" borderId="0" xfId="361" applyFont="1" applyFill="1" applyBorder="1"/>
    <xf numFmtId="0" fontId="5" fillId="0" borderId="0" xfId="361" applyFont="1" applyFill="1" applyBorder="1"/>
    <xf numFmtId="0" fontId="27" fillId="0" borderId="0" xfId="1" applyFont="1" applyFill="1"/>
    <xf numFmtId="0" fontId="3" fillId="0" borderId="0" xfId="0" applyFont="1" applyFill="1" applyAlignment="1">
      <alignment horizontal="left" vertical="top"/>
    </xf>
    <xf numFmtId="0" fontId="40" fillId="0" borderId="0" xfId="0" applyFont="1" applyFill="1" applyAlignment="1">
      <alignment horizontal="left" vertical="top"/>
    </xf>
    <xf numFmtId="0" fontId="119" fillId="0" borderId="0" xfId="1" applyFont="1"/>
    <xf numFmtId="0" fontId="3" fillId="0" borderId="0" xfId="1" applyFont="1" applyAlignment="1">
      <alignment horizontal="left"/>
    </xf>
    <xf numFmtId="166" fontId="3" fillId="58" borderId="0" xfId="43" applyNumberFormat="1" applyFont="1" applyFill="1"/>
    <xf numFmtId="166" fontId="27" fillId="0" borderId="0" xfId="43" applyNumberFormat="1" applyFont="1"/>
    <xf numFmtId="0" fontId="27" fillId="0" borderId="0" xfId="1" applyFont="1" applyAlignment="1">
      <alignment horizontal="left"/>
    </xf>
    <xf numFmtId="0" fontId="0" fillId="0" borderId="0" xfId="0"/>
    <xf numFmtId="0" fontId="0" fillId="0" borderId="0" xfId="0" applyBorder="1"/>
    <xf numFmtId="0" fontId="0" fillId="0" borderId="0" xfId="0" applyFill="1" applyBorder="1"/>
    <xf numFmtId="0" fontId="3" fillId="0" borderId="0" xfId="0" applyFont="1" applyFill="1" applyBorder="1"/>
    <xf numFmtId="166" fontId="0" fillId="57" borderId="0" xfId="43" applyNumberFormat="1" applyFont="1" applyFill="1" applyAlignment="1">
      <alignment horizontal="center"/>
    </xf>
    <xf numFmtId="10" fontId="3" fillId="0" borderId="0" xfId="56" applyNumberFormat="1" applyFont="1" applyFill="1"/>
    <xf numFmtId="165" fontId="3" fillId="27" borderId="0" xfId="43" applyNumberFormat="1" applyFont="1" applyFill="1"/>
    <xf numFmtId="0" fontId="174" fillId="0" borderId="0" xfId="0" applyFont="1" applyAlignment="1">
      <alignment vertical="center"/>
    </xf>
    <xf numFmtId="166" fontId="3" fillId="57" borderId="0" xfId="43" applyNumberFormat="1" applyFill="1"/>
    <xf numFmtId="166" fontId="3" fillId="57" borderId="0" xfId="43" applyNumberFormat="1" applyFont="1" applyFill="1" applyAlignment="1">
      <alignment horizontal="right"/>
    </xf>
    <xf numFmtId="0" fontId="37" fillId="24" borderId="10" xfId="1" applyFont="1" applyFill="1" applyBorder="1" applyAlignment="1">
      <alignment horizontal="left"/>
    </xf>
    <xf numFmtId="0" fontId="3" fillId="0" borderId="0" xfId="361" applyFont="1" applyAlignment="1">
      <alignment horizontal="left"/>
    </xf>
    <xf numFmtId="0" fontId="37" fillId="0" borderId="0" xfId="1" applyFont="1" applyAlignment="1">
      <alignment horizontal="left"/>
    </xf>
    <xf numFmtId="0" fontId="37" fillId="0" borderId="0" xfId="1" applyFont="1" applyFill="1" applyAlignment="1">
      <alignment horizontal="left"/>
    </xf>
    <xf numFmtId="0" fontId="37" fillId="0" borderId="0" xfId="354" applyFont="1" applyAlignment="1">
      <alignment horizontal="left"/>
    </xf>
    <xf numFmtId="0" fontId="37" fillId="0" borderId="0" xfId="1" applyFont="1" applyAlignment="1">
      <alignment horizontal="left" wrapText="1"/>
    </xf>
    <xf numFmtId="0" fontId="3" fillId="0" borderId="0" xfId="361" applyFont="1" applyFill="1" applyAlignment="1">
      <alignment horizontal="left"/>
    </xf>
    <xf numFmtId="0" fontId="3" fillId="25" borderId="10" xfId="361" applyFont="1" applyFill="1" applyBorder="1" applyAlignment="1">
      <alignment horizontal="left"/>
    </xf>
    <xf numFmtId="0" fontId="3" fillId="0" borderId="0" xfId="361" applyFont="1" applyFill="1" applyBorder="1" applyAlignment="1">
      <alignment horizontal="left"/>
    </xf>
    <xf numFmtId="0" fontId="5" fillId="0" borderId="0" xfId="1" applyFont="1" applyAlignment="1">
      <alignment horizontal="left"/>
    </xf>
    <xf numFmtId="0" fontId="3" fillId="0" borderId="0" xfId="362" applyFont="1" applyAlignment="1">
      <alignment horizontal="left"/>
    </xf>
    <xf numFmtId="0" fontId="7" fillId="0" borderId="0" xfId="362" applyFont="1" applyAlignment="1">
      <alignment horizontal="left"/>
    </xf>
    <xf numFmtId="0" fontId="165" fillId="0" borderId="45" xfId="0" applyFont="1" applyFill="1" applyBorder="1" applyAlignment="1"/>
    <xf numFmtId="0" fontId="171" fillId="0" borderId="43" xfId="0" applyFont="1" applyFill="1" applyBorder="1"/>
    <xf numFmtId="0" fontId="175" fillId="54" borderId="18" xfId="70" applyFont="1" applyFill="1" applyBorder="1" applyAlignment="1">
      <alignment vertical="center"/>
    </xf>
    <xf numFmtId="0" fontId="3" fillId="55" borderId="14" xfId="70" applyFont="1" applyFill="1" applyBorder="1" applyAlignment="1"/>
    <xf numFmtId="0" fontId="3" fillId="55" borderId="14" xfId="70" applyFill="1" applyBorder="1" applyAlignment="1"/>
    <xf numFmtId="175" fontId="3" fillId="36" borderId="0" xfId="56" applyNumberFormat="1" applyFont="1" applyFill="1"/>
    <xf numFmtId="175" fontId="3" fillId="0" borderId="0" xfId="1" applyNumberFormat="1" applyFont="1"/>
    <xf numFmtId="175" fontId="3" fillId="37" borderId="0" xfId="56" applyNumberFormat="1" applyFont="1" applyFill="1"/>
    <xf numFmtId="175" fontId="0" fillId="34" borderId="0" xfId="67" applyNumberFormat="1" applyFont="1" applyFill="1"/>
    <xf numFmtId="175" fontId="0" fillId="0" borderId="0" xfId="0" applyNumberFormat="1"/>
    <xf numFmtId="175" fontId="0" fillId="57" borderId="0" xfId="67" applyNumberFormat="1" applyFont="1" applyFill="1"/>
    <xf numFmtId="175" fontId="0" fillId="35" borderId="0" xfId="67" applyNumberFormat="1" applyFont="1" applyFill="1"/>
    <xf numFmtId="175" fontId="0" fillId="29" borderId="0" xfId="0" applyNumberFormat="1" applyFill="1"/>
    <xf numFmtId="175" fontId="0" fillId="37" borderId="0" xfId="56" applyNumberFormat="1" applyFont="1" applyFill="1"/>
    <xf numFmtId="0" fontId="5" fillId="0" borderId="45" xfId="0" applyFont="1" applyFill="1" applyBorder="1" applyAlignment="1"/>
    <xf numFmtId="0" fontId="176" fillId="0" borderId="43" xfId="0" applyFont="1" applyFill="1" applyBorder="1"/>
    <xf numFmtId="0" fontId="176" fillId="0" borderId="43" xfId="0" applyFont="1" applyBorder="1"/>
    <xf numFmtId="0" fontId="176" fillId="0" borderId="44" xfId="0" applyFont="1" applyBorder="1"/>
    <xf numFmtId="0" fontId="3" fillId="0" borderId="0" xfId="0" applyFont="1" applyFill="1" applyAlignment="1">
      <alignment horizontal="left" wrapText="1"/>
    </xf>
    <xf numFmtId="0" fontId="3" fillId="0" borderId="0" xfId="0" applyFont="1" applyAlignment="1">
      <alignment horizontal="left" wrapText="1"/>
    </xf>
    <xf numFmtId="0" fontId="3" fillId="0" borderId="0" xfId="361" applyFont="1" applyFill="1" applyAlignment="1">
      <alignment horizontal="left" vertical="top" wrapText="1"/>
    </xf>
    <xf numFmtId="0" fontId="158" fillId="0" borderId="0" xfId="0" applyFont="1" applyFill="1" applyAlignment="1">
      <alignment horizontal="center"/>
    </xf>
    <xf numFmtId="0" fontId="40" fillId="52" borderId="30" xfId="0" applyFont="1" applyFill="1" applyBorder="1" applyAlignment="1">
      <alignment horizontal="center" vertical="center"/>
    </xf>
    <xf numFmtId="0" fontId="40" fillId="52" borderId="32" xfId="0" applyFont="1" applyFill="1" applyBorder="1" applyAlignment="1">
      <alignment horizontal="center" vertical="center"/>
    </xf>
    <xf numFmtId="0" fontId="40" fillId="52" borderId="35" xfId="0" applyFont="1" applyFill="1" applyBorder="1" applyAlignment="1">
      <alignment horizontal="center" vertical="center"/>
    </xf>
    <xf numFmtId="0" fontId="40" fillId="52" borderId="28" xfId="0" applyFont="1" applyFill="1" applyBorder="1" applyAlignment="1">
      <alignment horizontal="center" vertical="center"/>
    </xf>
    <xf numFmtId="0" fontId="40" fillId="52" borderId="31" xfId="0" applyFont="1" applyFill="1" applyBorder="1" applyAlignment="1">
      <alignment horizontal="center" vertical="center"/>
    </xf>
    <xf numFmtId="0" fontId="40" fillId="52" borderId="33" xfId="0" applyFont="1" applyFill="1" applyBorder="1" applyAlignment="1">
      <alignment horizontal="center" vertical="center"/>
    </xf>
    <xf numFmtId="0" fontId="40" fillId="52" borderId="29" xfId="0" applyFont="1" applyFill="1" applyBorder="1" applyAlignment="1">
      <alignment horizontal="center" vertical="center"/>
    </xf>
    <xf numFmtId="0" fontId="40" fillId="52" borderId="0" xfId="0" applyFont="1" applyFill="1" applyBorder="1" applyAlignment="1">
      <alignment horizontal="center" vertical="center"/>
    </xf>
    <xf numFmtId="0" fontId="40" fillId="52" borderId="34" xfId="0" applyFont="1" applyFill="1" applyBorder="1" applyAlignment="1">
      <alignment horizontal="center" vertical="center"/>
    </xf>
    <xf numFmtId="0" fontId="3" fillId="55" borderId="0" xfId="74" applyFont="1" applyFill="1" applyAlignment="1">
      <alignment horizontal="left" vertical="top" wrapText="1"/>
    </xf>
    <xf numFmtId="0" fontId="3" fillId="55" borderId="0" xfId="74" applyFont="1" applyFill="1" applyAlignment="1">
      <alignment horizontal="left" wrapText="1"/>
    </xf>
  </cellXfs>
  <cellStyles count="364">
    <cellStyle name="_x000d__x000a_JournalTemplate=C:\COMFO\CTALK\JOURSTD.TPL_x000d__x000a_LbStateAddress=3 3 0 251 1 89 2 311_x000d__x000a_LbStateJou" xfId="1"/>
    <cellStyle name="_x000d__x000a_JournalTemplate=C:\COMFO\CTALK\JOURSTD.TPL_x000d__x000a_LbStateAddress=3 3 0 251 1 89 2 311_x000d__x000a_LbStateJou 2" xfId="82"/>
    <cellStyle name="_x000d__x000a_JournalTemplate=C:\COMFO\CTALK\JOURSTD.TPL_x000d__x000a_LbStateAddress=3 3 0 251 1 89 2 311_x000d__x000a_LbStateJou 2 2" xfId="354"/>
    <cellStyle name="_x000d__x000a_JournalTemplate=C:\COMFO\CTALK\JOURSTD.TPL_x000d__x000a_LbStateAddress=3 3 0 251 1 89 2 311_x000d__x000a_LbStateJou 3" xfId="304"/>
    <cellStyle name="_x000d__x000a_JournalTemplate=C:\COMFO\CTALK\JOURSTD.TPL_x000d__x000a_LbStateAddress=3 3 0 251 1 89 2 311_x000d__x000a_LbStateJou 4" xfId="305"/>
    <cellStyle name="_x000d__x000a_JournalTemplate=C:\COMFO\CTALK\JOURSTD.TPL_x000d__x000a_LbStateAddress=3 3 0 251 1 89 2 311_x000d__x000a_LbStateJou 5" xfId="356"/>
    <cellStyle name="_x000d__x000a_JournalTemplate=C:\COMFO\CTALK\JOURSTD.TPL_x000d__x000a_LbStateAddress=3 3 0 251 1 89 2 311_x000d__x000a_LbStateJou_091215 MB berekening x-factoren NG4R_incl gasaansluiting" xfId="357"/>
    <cellStyle name="_x000d__x000a_JournalTemplate=C:\COMFO\CTALK\JOURSTD.TPL_x000d__x000a_LbStateAddress=3 3 0 251 1 89 2 311_x000d__x000a_LbStateJou_CONCEPT invulmodule E 2012 - aanpassing tab 7" xfId="71"/>
    <cellStyle name=";;;" xfId="78"/>
    <cellStyle name="_2010 02 11 Aansluitcontr omzet 2010 TR en M+A   v02" xfId="85"/>
    <cellStyle name="_2011 05 23 Maandrapportage dec (v20)" xfId="81"/>
    <cellStyle name="_Adriatica - Cover" xfId="84"/>
    <cellStyle name="_Adriatica Historical Financial Data 070430" xfId="86"/>
    <cellStyle name="_Adriatica Venus model draft 071108 ex macros" xfId="80"/>
    <cellStyle name="_Broker SOTP 080131" xfId="83"/>
    <cellStyle name="_Eni SOTP Sequoia Valuation 070501" xfId="88"/>
    <cellStyle name="_Map1" xfId="89"/>
    <cellStyle name="=C:\WINNT35\SYSTEM32\COMMAND.COM" xfId="90"/>
    <cellStyle name="20% - Accent1" xfId="2" builtinId="30" customBuiltin="1"/>
    <cellStyle name="20% - Accent1 2" xfId="306"/>
    <cellStyle name="20% - Accent2" xfId="3" builtinId="34" customBuiltin="1"/>
    <cellStyle name="20% - Accent2 2" xfId="307"/>
    <cellStyle name="20% - Accent3" xfId="4" builtinId="38" customBuiltin="1"/>
    <cellStyle name="20% - Accent3 2" xfId="308"/>
    <cellStyle name="20% - Accent4" xfId="5" builtinId="42" customBuiltin="1"/>
    <cellStyle name="20% - Accent4 2" xfId="309"/>
    <cellStyle name="20% - Accent5" xfId="6" builtinId="46" customBuiltin="1"/>
    <cellStyle name="20% - Accent5 2" xfId="310"/>
    <cellStyle name="20% - Accent6" xfId="7" builtinId="50" customBuiltin="1"/>
    <cellStyle name="20% - Accent6 2" xfId="311"/>
    <cellStyle name="40% - Accent1" xfId="8" builtinId="31" customBuiltin="1"/>
    <cellStyle name="40% - Accent1 2" xfId="312"/>
    <cellStyle name="40% - Accent2" xfId="9" builtinId="35" customBuiltin="1"/>
    <cellStyle name="40% - Accent2 2" xfId="313"/>
    <cellStyle name="40% - Accent3" xfId="10" builtinId="39" customBuiltin="1"/>
    <cellStyle name="40% - Accent3 2" xfId="314"/>
    <cellStyle name="40% - Accent4" xfId="11" builtinId="43" customBuiltin="1"/>
    <cellStyle name="40% - Accent4 2" xfId="315"/>
    <cellStyle name="40% - Accent5" xfId="12" builtinId="47" customBuiltin="1"/>
    <cellStyle name="40% - Accent5 2" xfId="316"/>
    <cellStyle name="40% - Accent6" xfId="13" builtinId="51" customBuiltin="1"/>
    <cellStyle name="40% - Accent6 2" xfId="317"/>
    <cellStyle name="60% - Accent1" xfId="14" builtinId="32" customBuiltin="1"/>
    <cellStyle name="60% - Accent1 2" xfId="318"/>
    <cellStyle name="60% - Accent2" xfId="15" builtinId="36" customBuiltin="1"/>
    <cellStyle name="60% - Accent2 2" xfId="319"/>
    <cellStyle name="60% - Accent3" xfId="16" builtinId="40" customBuiltin="1"/>
    <cellStyle name="60% - Accent3 2" xfId="320"/>
    <cellStyle name="60% - Accent4" xfId="17" builtinId="44" customBuiltin="1"/>
    <cellStyle name="60% - Accent4 2" xfId="321"/>
    <cellStyle name="60% - Accent5" xfId="18" builtinId="48" customBuiltin="1"/>
    <cellStyle name="60% - Accent5 2" xfId="322"/>
    <cellStyle name="60% - Accent6" xfId="19" builtinId="52" customBuiltin="1"/>
    <cellStyle name="60% - Accent6 2" xfId="323"/>
    <cellStyle name="Accent1" xfId="20" builtinId="29" customBuiltin="1"/>
    <cellStyle name="Accent1 2" xfId="324"/>
    <cellStyle name="Accent2" xfId="21" builtinId="33" customBuiltin="1"/>
    <cellStyle name="Accent2 2" xfId="325"/>
    <cellStyle name="Accent3" xfId="22" builtinId="37" customBuiltin="1"/>
    <cellStyle name="Accent3 2" xfId="326"/>
    <cellStyle name="Accent4" xfId="23" builtinId="41" customBuiltin="1"/>
    <cellStyle name="Accent4 2" xfId="327"/>
    <cellStyle name="Accent5" xfId="24" builtinId="45" customBuiltin="1"/>
    <cellStyle name="Accent5 2" xfId="328"/>
    <cellStyle name="Accent6" xfId="25" builtinId="49" customBuiltin="1"/>
    <cellStyle name="Accent6 2" xfId="329"/>
    <cellStyle name="AFE" xfId="92"/>
    <cellStyle name="Andre's Title" xfId="93"/>
    <cellStyle name="ArialNormal" xfId="94"/>
    <cellStyle name="Bad" xfId="26"/>
    <cellStyle name="Bad 2" xfId="330"/>
    <cellStyle name="Band 1" xfId="95"/>
    <cellStyle name="Band 2" xfId="96"/>
    <cellStyle name="BANDE BLEUE" xfId="97"/>
    <cellStyle name="Berekening" xfId="27" builtinId="22" customBuiltin="1"/>
    <cellStyle name="Blue" xfId="98"/>
    <cellStyle name="BoxHeading" xfId="99"/>
    <cellStyle name="British Pound" xfId="100"/>
    <cellStyle name="British Pound[2]" xfId="101"/>
    <cellStyle name="British Pound_Adriatica Model 070703v3" xfId="102"/>
    <cellStyle name="Business Description" xfId="103"/>
    <cellStyle name="C01_Page_head" xfId="104"/>
    <cellStyle name="C02_Date line" xfId="105"/>
    <cellStyle name="C03_Col head general" xfId="106"/>
    <cellStyle name="C08_Table text" xfId="107"/>
    <cellStyle name="C09_Style I Roman figures" xfId="108"/>
    <cellStyle name="C10_2001 Figs Green" xfId="109"/>
    <cellStyle name="C11_2002 Figs Bold Green" xfId="110"/>
    <cellStyle name="C12_Annotation" xfId="111"/>
    <cellStyle name="C13_Annotation Superiors" xfId="112"/>
    <cellStyle name="C14_2001 Figs 2 decimals Green" xfId="113"/>
    <cellStyle name="C15_Previous year figs" xfId="114"/>
    <cellStyle name="C15a_Previous year figs 2 dec" xfId="115"/>
    <cellStyle name="C15d_Previous Year Figs 1 dec" xfId="116"/>
    <cellStyle name="Calculation" xfId="28"/>
    <cellStyle name="Calculation 2" xfId="331"/>
    <cellStyle name="CB Link" xfId="117"/>
    <cellStyle name="CB Normal" xfId="118"/>
    <cellStyle name="CComma" xfId="119"/>
    <cellStyle name="CComma (0)" xfId="120"/>
    <cellStyle name="CCurrency (0)" xfId="121"/>
    <cellStyle name="Check Cell" xfId="29"/>
    <cellStyle name="Check Cell 2" xfId="332"/>
    <cellStyle name="Co. Names" xfId="122"/>
    <cellStyle name="Co. Names - Bold" xfId="123"/>
    <cellStyle name="Co. Names_Break-Up" xfId="124"/>
    <cellStyle name="COL HEADINGS" xfId="125"/>
    <cellStyle name="ColHeading" xfId="126"/>
    <cellStyle name="ColumnHead" xfId="127"/>
    <cellStyle name="ColumnHeading" xfId="128"/>
    <cellStyle name="ColumnHeadings" xfId="129"/>
    <cellStyle name="ColumnHeadings2" xfId="130"/>
    <cellStyle name="Comma [1]" xfId="131"/>
    <cellStyle name="Comma 0" xfId="132"/>
    <cellStyle name="Comma 2" xfId="133"/>
    <cellStyle name="Comma 3" xfId="333"/>
    <cellStyle name="Comma_Budget 2007 (Bewerkt PJB)" xfId="134"/>
    <cellStyle name="Comma0" xfId="135"/>
    <cellStyle name="Comment" xfId="136"/>
    <cellStyle name="Company" xfId="137"/>
    <cellStyle name="Controlecel" xfId="30" builtinId="23" customBuiltin="1"/>
    <cellStyle name="CoTitle" xfId="138"/>
    <cellStyle name="CountryTitle" xfId="139"/>
    <cellStyle name="CurRatio" xfId="140"/>
    <cellStyle name="Currency [1]" xfId="141"/>
    <cellStyle name="Currency [2]" xfId="142"/>
    <cellStyle name="Currency 0" xfId="143"/>
    <cellStyle name="Currency 2" xfId="144"/>
    <cellStyle name="data" xfId="145"/>
    <cellStyle name="date" xfId="146"/>
    <cellStyle name="date [dd mmm]" xfId="147"/>
    <cellStyle name="date [mmm yyyy]" xfId="148"/>
    <cellStyle name="Date Aligned" xfId="149"/>
    <cellStyle name="date_Adriatica Model 070703v3" xfId="150"/>
    <cellStyle name="Dates" xfId="151"/>
    <cellStyle name="DatesYears" xfId="152"/>
    <cellStyle name="days" xfId="153"/>
    <cellStyle name="decimal [3]" xfId="154"/>
    <cellStyle name="decimal [4]" xfId="155"/>
    <cellStyle name="Dollars" xfId="156"/>
    <cellStyle name="Dollars(0)" xfId="157"/>
    <cellStyle name="Dollars_Adriatica - Cover" xfId="158"/>
    <cellStyle name="Dotted Line" xfId="159"/>
    <cellStyle name="Estimate" xfId="160"/>
    <cellStyle name="Euro" xfId="31"/>
    <cellStyle name="Euro 2" xfId="161"/>
    <cellStyle name="Euro_2010 02 04 Aansluitcontr omzet 2009 TR en M+A   v10" xfId="162"/>
    <cellStyle name="Explanatory Text" xfId="32"/>
    <cellStyle name="Explanatory Text 2" xfId="334"/>
    <cellStyle name="FieldName" xfId="163"/>
    <cellStyle name="Footnote" xfId="164"/>
    <cellStyle name="Footnotes" xfId="165"/>
    <cellStyle name="Formula" xfId="166"/>
    <cellStyle name="G01_2001 figures 1 decimal a" xfId="167"/>
    <cellStyle name="G02 Tab figs Light 0 deci" xfId="168"/>
    <cellStyle name="G02 Table Text" xfId="169"/>
    <cellStyle name="G02_B_page_head" xfId="170"/>
    <cellStyle name="G03_Text" xfId="171"/>
    <cellStyle name="G05 Tab Head Light" xfId="172"/>
    <cellStyle name="G05_Superiors" xfId="173"/>
    <cellStyle name="G06_2001 Col heads" xfId="174"/>
    <cellStyle name="G06a_$_Million" xfId="175"/>
    <cellStyle name="G07_2002 figures bold black" xfId="176"/>
    <cellStyle name="G08_2001_figs" xfId="177"/>
    <cellStyle name="G11_Folio" xfId="178"/>
    <cellStyle name="G12_Date line" xfId="179"/>
    <cellStyle name="Gekoppelde cel" xfId="33" builtinId="24" customBuiltin="1"/>
    <cellStyle name="Goed" xfId="34" builtinId="26" customBuiltin="1"/>
    <cellStyle name="Good" xfId="35"/>
    <cellStyle name="Good 2" xfId="335"/>
    <cellStyle name="Hard Percent" xfId="180"/>
    <cellStyle name="Header" xfId="36"/>
    <cellStyle name="Header 2" xfId="181"/>
    <cellStyle name="Header 3" xfId="358"/>
    <cellStyle name="header1" xfId="182"/>
    <cellStyle name="header2" xfId="183"/>
    <cellStyle name="header3" xfId="184"/>
    <cellStyle name="headers" xfId="185"/>
    <cellStyle name="heading" xfId="186"/>
    <cellStyle name="Heading 1" xfId="37"/>
    <cellStyle name="Heading 1 2" xfId="336"/>
    <cellStyle name="Heading 2" xfId="38"/>
    <cellStyle name="Heading 2 2" xfId="337"/>
    <cellStyle name="Heading 3" xfId="39"/>
    <cellStyle name="Heading 3 2" xfId="338"/>
    <cellStyle name="Heading 4" xfId="40"/>
    <cellStyle name="Heading 4 2" xfId="339"/>
    <cellStyle name="heading_a2" xfId="187"/>
    <cellStyle name="Hidden" xfId="188"/>
    <cellStyle name="hide" xfId="189"/>
    <cellStyle name="Hyperlink black" xfId="190"/>
    <cellStyle name="Input" xfId="41"/>
    <cellStyle name="Input %" xfId="191"/>
    <cellStyle name="Input 2" xfId="340"/>
    <cellStyle name="Input_Adriatica - Cover" xfId="192"/>
    <cellStyle name="InputBlueFont" xfId="193"/>
    <cellStyle name="InputCell" xfId="194"/>
    <cellStyle name="Invoer" xfId="42" builtinId="20" customBuiltin="1"/>
    <cellStyle name="Item" xfId="195"/>
    <cellStyle name="Item Descriptions" xfId="196"/>
    <cellStyle name="Item Descriptions - Bold" xfId="197"/>
    <cellStyle name="Item Descriptions_6079BX" xfId="198"/>
    <cellStyle name="Item_090305_Swap &amp; EK ratios_analyse" xfId="199"/>
    <cellStyle name="ItemTypeClass" xfId="200"/>
    <cellStyle name="Komma" xfId="43" builtinId="3"/>
    <cellStyle name="Komma 14 2" xfId="351"/>
    <cellStyle name="Komma 2" xfId="68"/>
    <cellStyle name="Komma 2 2" xfId="76"/>
    <cellStyle name="Komma 2 3" xfId="201"/>
    <cellStyle name="Komma 3" xfId="75"/>
    <cellStyle name="Komma 3 2" xfId="355"/>
    <cellStyle name="Komma 4" xfId="352"/>
    <cellStyle name="Komma 5" xfId="359"/>
    <cellStyle name="Komma 6" xfId="363"/>
    <cellStyle name="Kop 1" xfId="44" builtinId="16" customBuiltin="1"/>
    <cellStyle name="Kop 2" xfId="45" builtinId="17" customBuiltin="1"/>
    <cellStyle name="Kop 3" xfId="46" builtinId="18" customBuiltin="1"/>
    <cellStyle name="Kop 4" xfId="47" builtinId="19" customBuiltin="1"/>
    <cellStyle name="Labels" xfId="202"/>
    <cellStyle name="Legal 8½ x 14 in" xfId="203"/>
    <cellStyle name="ligne vert clair police gras" xfId="204"/>
    <cellStyle name="Line" xfId="205"/>
    <cellStyle name="Link" xfId="206"/>
    <cellStyle name="Linked Cell" xfId="48"/>
    <cellStyle name="Linked Cell 2" xfId="341"/>
    <cellStyle name="Memo" xfId="207"/>
    <cellStyle name="million" xfId="208"/>
    <cellStyle name="million [1]" xfId="209"/>
    <cellStyle name="MLComma0" xfId="210"/>
    <cellStyle name="MLDollar0" xfId="211"/>
    <cellStyle name="MLHeaderSection" xfId="212"/>
    <cellStyle name="MLMultiple0" xfId="213"/>
    <cellStyle name="MLPercent0" xfId="214"/>
    <cellStyle name="Model" xfId="215"/>
    <cellStyle name="Models" xfId="216"/>
    <cellStyle name="MonthYears" xfId="217"/>
    <cellStyle name="Multiple" xfId="218"/>
    <cellStyle name="Multiple [0]" xfId="219"/>
    <cellStyle name="Multiple [1]" xfId="220"/>
    <cellStyle name="Multiple_Adriatica - Cover" xfId="221"/>
    <cellStyle name="Multiple0" xfId="222"/>
    <cellStyle name="MultipleType" xfId="223"/>
    <cellStyle name="Names" xfId="224"/>
    <cellStyle name="Neutraal" xfId="49" builtinId="28" customBuiltin="1"/>
    <cellStyle name="Neutral" xfId="50"/>
    <cellStyle name="Neutral 2" xfId="342"/>
    <cellStyle name="Normal - Style1" xfId="225"/>
    <cellStyle name="Normal [0]" xfId="226"/>
    <cellStyle name="Normal [2]" xfId="227"/>
    <cellStyle name="Normal 2" xfId="228"/>
    <cellStyle name="Normal 3" xfId="229"/>
    <cellStyle name="Normal_# klanten" xfId="51"/>
    <cellStyle name="Normale_129-137 ok" xfId="230"/>
    <cellStyle name="Note" xfId="52"/>
    <cellStyle name="Note 2" xfId="231"/>
    <cellStyle name="Notitie" xfId="53" builtinId="10" customBuiltin="1"/>
    <cellStyle name="Numbers" xfId="232"/>
    <cellStyle name="Numbers - Bold" xfId="233"/>
    <cellStyle name="Numbers - Bold - Italic" xfId="234"/>
    <cellStyle name="Numbers - Bold_6079BX" xfId="235"/>
    <cellStyle name="Numbers - Large" xfId="236"/>
    <cellStyle name="Numbers_6079BX" xfId="237"/>
    <cellStyle name="Ongeldig" xfId="54" builtinId="27" customBuiltin="1"/>
    <cellStyle name="Output" xfId="55"/>
    <cellStyle name="Output 2" xfId="343"/>
    <cellStyle name="Page Number" xfId="238"/>
    <cellStyle name="PageSubtitle" xfId="239"/>
    <cellStyle name="PageTitle" xfId="240"/>
    <cellStyle name="pence" xfId="241"/>
    <cellStyle name="pence [1]" xfId="242"/>
    <cellStyle name="pence_Nightingale financials v7" xfId="243"/>
    <cellStyle name="Percent [0]" xfId="244"/>
    <cellStyle name="percent [1]" xfId="245"/>
    <cellStyle name="percent [100]" xfId="246"/>
    <cellStyle name="percent [2]" xfId="247"/>
    <cellStyle name="Percent 2" xfId="248"/>
    <cellStyle name="Percent0" xfId="249"/>
    <cellStyle name="Percentage" xfId="250"/>
    <cellStyle name="PercentChange" xfId="251"/>
    <cellStyle name="Price" xfId="252"/>
    <cellStyle name="Procent" xfId="56" builtinId="5"/>
    <cellStyle name="Procent 2" xfId="67"/>
    <cellStyle name="Procent 2 2" xfId="253"/>
    <cellStyle name="Procent 3" xfId="353"/>
    <cellStyle name="Procent 4" xfId="360"/>
    <cellStyle name="Protected" xfId="254"/>
    <cellStyle name="ProtectedDates" xfId="255"/>
    <cellStyle name="r" xfId="256"/>
    <cellStyle name="RatioX" xfId="257"/>
    <cellStyle name="Result" xfId="258"/>
    <cellStyle name="RowHead" xfId="259"/>
    <cellStyle name="RowHeading" xfId="260"/>
    <cellStyle name="ScripFactor" xfId="261"/>
    <cellStyle name="SectionHeading" xfId="262"/>
    <cellStyle name="Standaard" xfId="0" builtinId="0"/>
    <cellStyle name="Standaard 2" xfId="70"/>
    <cellStyle name="Standaard 2 2" xfId="73"/>
    <cellStyle name="Standaard 2 2 2" xfId="77"/>
    <cellStyle name="Standaard 2 3" xfId="74"/>
    <cellStyle name="Standaard 3" xfId="72"/>
    <cellStyle name="Standaard 4" xfId="87"/>
    <cellStyle name="Standaard 5" xfId="350"/>
    <cellStyle name="Standaard_103838 Berekeningen XQRV-besluit Herstel NE4R" xfId="361"/>
    <cellStyle name="Standaard_103838 Berekeningen XQRV-besluit Herstel NE4R 2" xfId="362"/>
    <cellStyle name="Standaard_20100727 Rekenmodel NE5R v1.9" xfId="69"/>
    <cellStyle name="Standaard_Tabellen - CIV2" xfId="57"/>
    <cellStyle name="Standaard_Tabellen - CIV2 2" xfId="348"/>
    <cellStyle name="Standaard_Tarievenmand 2002" xfId="58"/>
    <cellStyle name="Standaard_Tarievenmand 2002 2" xfId="349"/>
    <cellStyle name="Stijl 1" xfId="79"/>
    <cellStyle name="Stijl 2" xfId="91"/>
    <cellStyle name="Style 1" xfId="263"/>
    <cellStyle name="Style 2" xfId="264"/>
    <cellStyle name="Style D" xfId="265"/>
    <cellStyle name="Style D green" xfId="266"/>
    <cellStyle name="Style D_Base Data" xfId="267"/>
    <cellStyle name="Style E" xfId="268"/>
    <cellStyle name="Style E green" xfId="269"/>
    <cellStyle name="Style E_Base Data" xfId="270"/>
    <cellStyle name="SubHeading" xfId="271"/>
    <cellStyle name="SubsidTitle" xfId="272"/>
    <cellStyle name="Table Head" xfId="273"/>
    <cellStyle name="Table Head Aligned" xfId="274"/>
    <cellStyle name="Table Head Blue" xfId="275"/>
    <cellStyle name="Table Head Green" xfId="276"/>
    <cellStyle name="Table Title" xfId="277"/>
    <cellStyle name="Table Units" xfId="278"/>
    <cellStyle name="TableBody" xfId="279"/>
    <cellStyle name="TableBodyR" xfId="280"/>
    <cellStyle name="TableColHeads" xfId="281"/>
    <cellStyle name="times" xfId="282"/>
    <cellStyle name="Titel" xfId="59" builtinId="15" customBuiltin="1"/>
    <cellStyle name="Title" xfId="60"/>
    <cellStyle name="Title - PROJECT" xfId="283"/>
    <cellStyle name="Title - Underline" xfId="284"/>
    <cellStyle name="Title 2" xfId="344"/>
    <cellStyle name="Title_Adriatica - Cover" xfId="285"/>
    <cellStyle name="title1" xfId="286"/>
    <cellStyle name="title2" xfId="287"/>
    <cellStyle name="Titles" xfId="288"/>
    <cellStyle name="Titles - Col. Headings" xfId="289"/>
    <cellStyle name="Titles - Other" xfId="290"/>
    <cellStyle name="Titles_Adriatica - WoodMac Production Output 070430" xfId="291"/>
    <cellStyle name="Titles2" xfId="292"/>
    <cellStyle name="TITRE ORANGE" xfId="293"/>
    <cellStyle name="Totaal" xfId="61" builtinId="25" customBuiltin="1"/>
    <cellStyle name="Total" xfId="62"/>
    <cellStyle name="Total 2" xfId="345"/>
    <cellStyle name="Totals" xfId="294"/>
    <cellStyle name="Totals [0]" xfId="295"/>
    <cellStyle name="Totals [2]" xfId="296"/>
    <cellStyle name="Totals_090305_Swap &amp; EK ratios_analyse" xfId="297"/>
    <cellStyle name="Uitvoer" xfId="63" builtinId="21" customBuiltin="1"/>
    <cellStyle name="UnProtectedCalc" xfId="298"/>
    <cellStyle name="Valuta 2" xfId="299"/>
    <cellStyle name="Verklarende tekst" xfId="64" builtinId="53" customBuiltin="1"/>
    <cellStyle name="Waarschuwingstekst" xfId="65" builtinId="11" customBuiltin="1"/>
    <cellStyle name="Warning Text" xfId="66"/>
    <cellStyle name="Warning Text 2" xfId="346"/>
    <cellStyle name="WIt" xfId="347"/>
    <cellStyle name="Year" xfId="300"/>
    <cellStyle name="Years" xfId="301"/>
    <cellStyle name="yellow" xfId="302"/>
    <cellStyle name="Zero" xfId="303"/>
  </cellStyles>
  <dxfs count="0"/>
  <tableStyles count="0" defaultTableStyle="TableStyleMedium9" defaultPivotStyle="PivotStyleLight16"/>
  <colors>
    <mruColors>
      <color rgb="FFFFCC99"/>
      <color rgb="FFDBE721"/>
      <color rgb="FFFF3399"/>
      <color rgb="FFCCFFCC"/>
      <color rgb="FFFFFF99"/>
      <color rgb="FFFF99CC"/>
      <color rgb="FFCCFFFF"/>
      <color rgb="FFFF66CC"/>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Parameters!#REF!</c:f>
              <c:strCache>
                <c:ptCount val="1"/>
                <c:pt idx="0">
                  <c:v>#VERW!</c:v>
                </c:pt>
              </c:strCache>
            </c:strRef>
          </c:tx>
          <c:spPr>
            <a:ln w="25400">
              <a:solidFill>
                <a:srgbClr val="000000"/>
              </a:solidFill>
              <a:prstDash val="solid"/>
            </a:ln>
          </c:spPr>
          <c:marker>
            <c:symbol val="none"/>
          </c:marker>
          <c:dPt>
            <c:idx val="7"/>
            <c:bubble3D val="0"/>
            <c:spPr>
              <a:ln w="28575">
                <a:noFill/>
              </a:ln>
            </c:spPr>
          </c:dPt>
          <c:cat>
            <c:numRef>
              <c:f>Parameters!#REF!</c:f>
              <c:numCache>
                <c:formatCode>General</c:formatCode>
                <c:ptCount val="1"/>
                <c:pt idx="0">
                  <c:v>1</c:v>
                </c:pt>
              </c:numCache>
            </c:numRef>
          </c:cat>
          <c:val>
            <c:numRef>
              <c:f>Parameters!#REF!</c:f>
              <c:numCache>
                <c:formatCode>General</c:formatCode>
                <c:ptCount val="1"/>
                <c:pt idx="0">
                  <c:v>1</c:v>
                </c:pt>
              </c:numCache>
            </c:numRef>
          </c:val>
          <c:smooth val="0"/>
        </c:ser>
        <c:ser>
          <c:idx val="1"/>
          <c:order val="1"/>
          <c:tx>
            <c:strRef>
              <c:f>Parameters!#REF!</c:f>
              <c:strCache>
                <c:ptCount val="1"/>
                <c:pt idx="0">
                  <c:v>#VERW!</c:v>
                </c:pt>
              </c:strCache>
            </c:strRef>
          </c:tx>
          <c:spPr>
            <a:ln w="25400">
              <a:solidFill>
                <a:srgbClr val="FF00FF"/>
              </a:solidFill>
              <a:prstDash val="solid"/>
            </a:ln>
          </c:spPr>
          <c:marker>
            <c:symbol val="none"/>
          </c:marker>
          <c:cat>
            <c:numRef>
              <c:f>Parameters!#REF!</c:f>
              <c:numCache>
                <c:formatCode>General</c:formatCode>
                <c:ptCount val="1"/>
                <c:pt idx="0">
                  <c:v>1</c:v>
                </c:pt>
              </c:numCache>
            </c:numRef>
          </c:cat>
          <c:val>
            <c:numRef>
              <c:f>Parameters!#REF!</c:f>
              <c:numCache>
                <c:formatCode>General</c:formatCode>
                <c:ptCount val="1"/>
                <c:pt idx="0">
                  <c:v>1</c:v>
                </c:pt>
              </c:numCache>
            </c:numRef>
          </c:val>
          <c:smooth val="0"/>
        </c:ser>
        <c:ser>
          <c:idx val="2"/>
          <c:order val="2"/>
          <c:tx>
            <c:strRef>
              <c:f>Parameters!#REF!</c:f>
              <c:strCache>
                <c:ptCount val="1"/>
                <c:pt idx="0">
                  <c:v>#VERW!</c:v>
                </c:pt>
              </c:strCache>
            </c:strRef>
          </c:tx>
          <c:spPr>
            <a:ln w="25400">
              <a:solidFill>
                <a:srgbClr val="339966"/>
              </a:solidFill>
              <a:prstDash val="solid"/>
            </a:ln>
          </c:spPr>
          <c:marker>
            <c:symbol val="none"/>
          </c:marker>
          <c:cat>
            <c:numRef>
              <c:f>Parameters!#REF!</c:f>
              <c:numCache>
                <c:formatCode>General</c:formatCode>
                <c:ptCount val="1"/>
                <c:pt idx="0">
                  <c:v>1</c:v>
                </c:pt>
              </c:numCache>
            </c:numRef>
          </c:cat>
          <c:val>
            <c:numRef>
              <c:f>Parameters!#REF!</c:f>
              <c:numCache>
                <c:formatCode>General</c:formatCode>
                <c:ptCount val="1"/>
                <c:pt idx="0">
                  <c:v>1</c:v>
                </c:pt>
              </c:numCache>
            </c:numRef>
          </c:val>
          <c:smooth val="0"/>
        </c:ser>
        <c:ser>
          <c:idx val="3"/>
          <c:order val="3"/>
          <c:tx>
            <c:strRef>
              <c:f>Parameters!#REF!</c:f>
              <c:strCache>
                <c:ptCount val="1"/>
                <c:pt idx="0">
                  <c:v>#VERW!</c:v>
                </c:pt>
              </c:strCache>
            </c:strRef>
          </c:tx>
          <c:spPr>
            <a:ln w="25400">
              <a:solidFill>
                <a:srgbClr val="00FFFF"/>
              </a:solidFill>
              <a:prstDash val="solid"/>
            </a:ln>
          </c:spPr>
          <c:marker>
            <c:symbol val="none"/>
          </c:marker>
          <c:cat>
            <c:numRef>
              <c:f>Parameters!#REF!</c:f>
              <c:numCache>
                <c:formatCode>General</c:formatCode>
                <c:ptCount val="1"/>
                <c:pt idx="0">
                  <c:v>1</c:v>
                </c:pt>
              </c:numCache>
            </c:numRef>
          </c:cat>
          <c:val>
            <c:numRef>
              <c:f>Parameters!#REF!</c:f>
              <c:numCache>
                <c:formatCode>General</c:formatCode>
                <c:ptCount val="1"/>
                <c:pt idx="0">
                  <c:v>1</c:v>
                </c:pt>
              </c:numCache>
            </c:numRef>
          </c:val>
          <c:smooth val="0"/>
        </c:ser>
        <c:ser>
          <c:idx val="4"/>
          <c:order val="4"/>
          <c:tx>
            <c:strRef>
              <c:f>Parameters!#REF!</c:f>
              <c:strCache>
                <c:ptCount val="1"/>
                <c:pt idx="0">
                  <c:v>#VERW!</c:v>
                </c:pt>
              </c:strCache>
            </c:strRef>
          </c:tx>
          <c:spPr>
            <a:ln w="25400">
              <a:solidFill>
                <a:srgbClr val="800080"/>
              </a:solidFill>
              <a:prstDash val="solid"/>
            </a:ln>
          </c:spPr>
          <c:marker>
            <c:symbol val="none"/>
          </c:marker>
          <c:cat>
            <c:numRef>
              <c:f>Parameters!#REF!</c:f>
              <c:numCache>
                <c:formatCode>General</c:formatCode>
                <c:ptCount val="1"/>
                <c:pt idx="0">
                  <c:v>1</c:v>
                </c:pt>
              </c:numCache>
            </c:numRef>
          </c:cat>
          <c:val>
            <c:numRef>
              <c:f>Parameters!#REF!</c:f>
              <c:numCache>
                <c:formatCode>General</c:formatCode>
                <c:ptCount val="1"/>
                <c:pt idx="0">
                  <c:v>1</c:v>
                </c:pt>
              </c:numCache>
            </c:numRef>
          </c:val>
          <c:smooth val="0"/>
        </c:ser>
        <c:dLbls>
          <c:showLegendKey val="0"/>
          <c:showVal val="0"/>
          <c:showCatName val="0"/>
          <c:showSerName val="0"/>
          <c:showPercent val="0"/>
          <c:showBubbleSize val="0"/>
        </c:dLbls>
        <c:marker val="1"/>
        <c:smooth val="0"/>
        <c:axId val="71310336"/>
        <c:axId val="71316224"/>
      </c:lineChart>
      <c:catAx>
        <c:axId val="71310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nl-NL"/>
          </a:p>
        </c:txPr>
        <c:crossAx val="71316224"/>
        <c:crosses val="autoZero"/>
        <c:auto val="1"/>
        <c:lblAlgn val="ctr"/>
        <c:lblOffset val="100"/>
        <c:tickLblSkip val="1"/>
        <c:tickMarkSkip val="1"/>
        <c:noMultiLvlLbl val="0"/>
      </c:catAx>
      <c:valAx>
        <c:axId val="713162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nl-NL"/>
          </a:p>
        </c:txPr>
        <c:crossAx val="7131033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3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266700</xdr:colOff>
      <xdr:row>11</xdr:row>
      <xdr:rowOff>0</xdr:rowOff>
    </xdr:from>
    <xdr:to>
      <xdr:col>7</xdr:col>
      <xdr:colOff>962025</xdr:colOff>
      <xdr:row>11</xdr:row>
      <xdr:rowOff>0</xdr:rowOff>
    </xdr:to>
    <xdr:graphicFrame macro="">
      <xdr:nvGraphicFramePr>
        <xdr:cNvPr id="41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721"/>
    <pageSetUpPr fitToPage="1"/>
  </sheetPr>
  <dimension ref="B2:E32"/>
  <sheetViews>
    <sheetView showGridLines="0" tabSelected="1" zoomScale="85" zoomScaleNormal="85" workbookViewId="0"/>
  </sheetViews>
  <sheetFormatPr defaultRowHeight="12.75"/>
  <cols>
    <col min="1" max="1" width="2.5703125" style="258" customWidth="1"/>
    <col min="2" max="2" width="75.28515625" style="258" customWidth="1"/>
    <col min="3" max="3" width="15" style="258" customWidth="1"/>
    <col min="4" max="4" width="27" style="258" customWidth="1"/>
    <col min="5" max="5" width="2.5703125" style="258" customWidth="1"/>
    <col min="6" max="6" width="21.42578125" style="258" customWidth="1"/>
    <col min="7" max="15" width="14.85546875" style="258" customWidth="1"/>
    <col min="16" max="16384" width="9.140625" style="258"/>
  </cols>
  <sheetData>
    <row r="2" spans="2:5" s="1" customFormat="1" ht="18">
      <c r="B2" s="448" t="s">
        <v>1363</v>
      </c>
    </row>
    <row r="4" spans="2:5" s="2" customFormat="1">
      <c r="B4" s="2" t="s">
        <v>38</v>
      </c>
    </row>
    <row r="6" spans="2:5" ht="12.75" customHeight="1">
      <c r="B6" s="505" t="s">
        <v>1221</v>
      </c>
      <c r="C6" s="505"/>
      <c r="D6" s="505"/>
      <c r="E6" s="259"/>
    </row>
    <row r="7" spans="2:5">
      <c r="B7" s="505"/>
      <c r="C7" s="505"/>
      <c r="D7" s="505"/>
      <c r="E7" s="259"/>
    </row>
    <row r="8" spans="2:5" s="465" customFormat="1">
      <c r="B8" s="55"/>
      <c r="C8" s="259"/>
      <c r="D8" s="259"/>
      <c r="E8" s="259"/>
    </row>
    <row r="9" spans="2:5">
      <c r="B9" s="501" t="s">
        <v>1364</v>
      </c>
      <c r="C9" s="487" t="s">
        <v>997</v>
      </c>
      <c r="D9" s="487" t="s">
        <v>998</v>
      </c>
      <c r="E9" s="259"/>
    </row>
    <row r="10" spans="2:5">
      <c r="B10" s="488" t="s">
        <v>1191</v>
      </c>
      <c r="C10" s="502" t="s">
        <v>1354</v>
      </c>
      <c r="D10" s="502" t="s">
        <v>1365</v>
      </c>
      <c r="E10" s="259"/>
    </row>
    <row r="11" spans="2:5">
      <c r="B11" s="449" t="s">
        <v>1192</v>
      </c>
      <c r="C11" s="503" t="s">
        <v>1355</v>
      </c>
      <c r="D11" s="503" t="s">
        <v>1366</v>
      </c>
    </row>
    <row r="12" spans="2:5">
      <c r="B12" s="449" t="s">
        <v>1193</v>
      </c>
      <c r="C12" s="503" t="s">
        <v>1356</v>
      </c>
      <c r="D12" s="503" t="s">
        <v>1367</v>
      </c>
    </row>
    <row r="13" spans="2:5">
      <c r="B13" s="449" t="s">
        <v>1194</v>
      </c>
      <c r="C13" s="503" t="s">
        <v>1357</v>
      </c>
      <c r="D13" s="503" t="s">
        <v>1368</v>
      </c>
    </row>
    <row r="14" spans="2:5">
      <c r="B14" s="449" t="s">
        <v>1195</v>
      </c>
      <c r="C14" s="503" t="s">
        <v>1358</v>
      </c>
      <c r="D14" s="503" t="s">
        <v>1369</v>
      </c>
    </row>
    <row r="15" spans="2:5">
      <c r="B15" s="449" t="s">
        <v>1196</v>
      </c>
      <c r="C15" s="503" t="s">
        <v>1359</v>
      </c>
      <c r="D15" s="503" t="s">
        <v>1370</v>
      </c>
    </row>
    <row r="16" spans="2:5">
      <c r="B16" s="449" t="s">
        <v>1197</v>
      </c>
      <c r="C16" s="503" t="s">
        <v>1360</v>
      </c>
      <c r="D16" s="503" t="s">
        <v>1371</v>
      </c>
    </row>
    <row r="17" spans="2:4">
      <c r="B17" s="449" t="s">
        <v>1198</v>
      </c>
      <c r="C17" s="503" t="s">
        <v>1361</v>
      </c>
      <c r="D17" s="503" t="s">
        <v>1372</v>
      </c>
    </row>
    <row r="18" spans="2:4">
      <c r="B18" s="451" t="s">
        <v>1199</v>
      </c>
      <c r="C18" s="504" t="s">
        <v>1362</v>
      </c>
      <c r="D18" s="504" t="s">
        <v>1373</v>
      </c>
    </row>
    <row r="20" spans="2:4" s="163" customFormat="1">
      <c r="B20" s="162" t="s">
        <v>507</v>
      </c>
    </row>
    <row r="22" spans="2:4">
      <c r="B22" s="164" t="s">
        <v>508</v>
      </c>
    </row>
    <row r="23" spans="2:4">
      <c r="B23" s="165"/>
    </row>
    <row r="24" spans="2:4">
      <c r="B24" s="166" t="s">
        <v>509</v>
      </c>
    </row>
    <row r="25" spans="2:4">
      <c r="B25" s="165"/>
    </row>
    <row r="26" spans="2:4">
      <c r="B26" s="167" t="s">
        <v>510</v>
      </c>
    </row>
    <row r="27" spans="2:4">
      <c r="B27" s="168"/>
    </row>
    <row r="28" spans="2:4">
      <c r="B28" s="169" t="s">
        <v>511</v>
      </c>
    </row>
    <row r="30" spans="2:4">
      <c r="B30" s="170" t="s">
        <v>512</v>
      </c>
    </row>
    <row r="32" spans="2:4">
      <c r="B32" s="171" t="s">
        <v>513</v>
      </c>
    </row>
  </sheetData>
  <mergeCells count="1">
    <mergeCell ref="B6:D7"/>
  </mergeCells>
  <pageMargins left="0.75" right="0.75" top="1" bottom="1" header="0.5" footer="0.5"/>
  <pageSetup paperSize="9" scale="7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BE721"/>
  </sheetPr>
  <dimension ref="B1:X359"/>
  <sheetViews>
    <sheetView showGridLines="0" zoomScale="85" zoomScaleNormal="85" workbookViewId="0">
      <pane xSplit="4" ySplit="7" topLeftCell="E8" activePane="bottomRight" state="frozen"/>
      <selection activeCell="L8" sqref="L8"/>
      <selection pane="topRight" activeCell="L8" sqref="L8"/>
      <selection pane="bottomLeft" activeCell="L8" sqref="L8"/>
      <selection pane="bottomRight" activeCell="E8" sqref="E8"/>
    </sheetView>
  </sheetViews>
  <sheetFormatPr defaultRowHeight="12.75"/>
  <cols>
    <col min="1" max="1" width="2.5703125" customWidth="1"/>
    <col min="2" max="2" width="59.140625" customWidth="1"/>
    <col min="3" max="3" width="2.5703125" customWidth="1"/>
    <col min="4" max="4" width="14.5703125" customWidth="1"/>
    <col min="5" max="5" width="2.5703125" customWidth="1"/>
    <col min="6" max="6" width="21.42578125" style="47" customWidth="1"/>
    <col min="7" max="13" width="14.85546875" customWidth="1"/>
    <col min="14" max="14" width="15" customWidth="1"/>
    <col min="15" max="15" width="15.28515625" customWidth="1"/>
    <col min="17" max="17" width="23.28515625" customWidth="1"/>
    <col min="19" max="24" width="15.28515625" customWidth="1"/>
  </cols>
  <sheetData>
    <row r="1" spans="2:24" ht="12" customHeight="1"/>
    <row r="2" spans="2:24" s="1" customFormat="1" ht="18">
      <c r="B2" s="1" t="s">
        <v>542</v>
      </c>
      <c r="F2" s="48" t="s">
        <v>105</v>
      </c>
      <c r="G2" s="5" t="s">
        <v>96</v>
      </c>
      <c r="H2" s="5" t="s">
        <v>97</v>
      </c>
      <c r="I2" s="5" t="s">
        <v>98</v>
      </c>
      <c r="J2" s="5" t="s">
        <v>99</v>
      </c>
      <c r="K2" s="5" t="s">
        <v>100</v>
      </c>
      <c r="L2" s="5" t="s">
        <v>101</v>
      </c>
      <c r="M2" s="5" t="s">
        <v>102</v>
      </c>
      <c r="N2" s="5" t="s">
        <v>103</v>
      </c>
      <c r="O2" s="5" t="s">
        <v>197</v>
      </c>
      <c r="Q2" s="5" t="s">
        <v>567</v>
      </c>
      <c r="S2" s="5" t="s">
        <v>653</v>
      </c>
      <c r="T2" s="5" t="s">
        <v>654</v>
      </c>
      <c r="U2" s="5" t="s">
        <v>655</v>
      </c>
      <c r="V2" s="5" t="s">
        <v>656</v>
      </c>
      <c r="W2" s="5" t="s">
        <v>657</v>
      </c>
      <c r="X2" s="5" t="s">
        <v>658</v>
      </c>
    </row>
    <row r="4" spans="2:24">
      <c r="B4" s="78" t="s">
        <v>543</v>
      </c>
    </row>
    <row r="5" spans="2:24">
      <c r="B5" s="28" t="s">
        <v>3</v>
      </c>
    </row>
    <row r="6" spans="2:24">
      <c r="B6" s="78" t="s">
        <v>994</v>
      </c>
    </row>
    <row r="8" spans="2:24">
      <c r="F8" s="4"/>
    </row>
    <row r="10" spans="2:24" s="2" customFormat="1">
      <c r="B10" s="2" t="s">
        <v>271</v>
      </c>
      <c r="F10" s="49"/>
    </row>
    <row r="12" spans="2:24">
      <c r="B12" s="22" t="s">
        <v>220</v>
      </c>
    </row>
    <row r="13" spans="2:24">
      <c r="B13" s="23"/>
    </row>
    <row r="14" spans="2:24">
      <c r="B14" s="22" t="s">
        <v>121</v>
      </c>
      <c r="F14" s="64"/>
      <c r="G14" s="63"/>
      <c r="H14" s="63"/>
      <c r="I14" s="63"/>
      <c r="J14" s="63"/>
      <c r="K14" s="63"/>
      <c r="L14" s="63"/>
      <c r="M14" s="63"/>
      <c r="N14" s="63"/>
      <c r="O14" s="63"/>
    </row>
    <row r="15" spans="2:24">
      <c r="B15" s="23" t="s">
        <v>216</v>
      </c>
      <c r="D15" t="s">
        <v>107</v>
      </c>
      <c r="F15" s="69">
        <f>SUM(G15:O15)</f>
        <v>0</v>
      </c>
      <c r="G15" s="87">
        <v>0</v>
      </c>
      <c r="H15" s="87"/>
      <c r="I15" s="98">
        <f>S15+T15</f>
        <v>0</v>
      </c>
      <c r="J15" s="98">
        <f>U15+V15</f>
        <v>0</v>
      </c>
      <c r="K15" s="98">
        <f>W15+X15</f>
        <v>0</v>
      </c>
      <c r="L15" s="87"/>
      <c r="M15" s="87"/>
      <c r="N15" s="87"/>
      <c r="O15" s="87"/>
      <c r="S15" s="87">
        <v>0</v>
      </c>
      <c r="T15" s="87">
        <v>0</v>
      </c>
      <c r="U15" s="87">
        <v>0</v>
      </c>
      <c r="V15" s="87">
        <v>0</v>
      </c>
      <c r="W15" s="87">
        <v>0</v>
      </c>
      <c r="X15" s="87">
        <v>0</v>
      </c>
    </row>
    <row r="16" spans="2:24">
      <c r="B16" s="23" t="s">
        <v>217</v>
      </c>
      <c r="D16" t="s">
        <v>107</v>
      </c>
      <c r="F16" s="69">
        <f>SUM(G16:O16)</f>
        <v>0</v>
      </c>
      <c r="G16" s="87">
        <v>0</v>
      </c>
      <c r="H16" s="87"/>
      <c r="I16" s="98">
        <f>S16+T16</f>
        <v>0</v>
      </c>
      <c r="J16" s="98">
        <f>U16+V16</f>
        <v>0</v>
      </c>
      <c r="K16" s="98">
        <f>W16+X16</f>
        <v>0</v>
      </c>
      <c r="L16" s="87"/>
      <c r="M16" s="87"/>
      <c r="N16" s="87"/>
      <c r="O16" s="87"/>
      <c r="S16" s="87">
        <v>0</v>
      </c>
      <c r="T16" s="87">
        <v>0</v>
      </c>
      <c r="U16" s="87">
        <v>0</v>
      </c>
      <c r="V16" s="87">
        <v>0</v>
      </c>
      <c r="W16" s="87">
        <v>0</v>
      </c>
      <c r="X16" s="87">
        <v>0</v>
      </c>
    </row>
    <row r="17" spans="2:24">
      <c r="B17" s="23"/>
      <c r="F17" s="64"/>
      <c r="G17" s="63"/>
      <c r="H17" s="63"/>
      <c r="I17" s="63"/>
      <c r="J17" s="63"/>
      <c r="K17" s="63"/>
      <c r="L17" s="63"/>
      <c r="M17" s="63"/>
      <c r="N17" s="63"/>
      <c r="O17" s="63"/>
      <c r="S17" s="258"/>
      <c r="T17" s="258"/>
      <c r="U17" s="258"/>
      <c r="V17" s="258"/>
      <c r="W17" s="258"/>
      <c r="X17" s="258"/>
    </row>
    <row r="18" spans="2:24">
      <c r="B18" s="22" t="s">
        <v>122</v>
      </c>
      <c r="G18" s="258"/>
      <c r="H18" s="258"/>
      <c r="I18" s="258"/>
      <c r="J18" s="258"/>
      <c r="K18" s="258"/>
      <c r="L18" s="258"/>
      <c r="M18" s="258"/>
      <c r="N18" s="258"/>
      <c r="O18" s="258"/>
      <c r="S18" s="258"/>
      <c r="T18" s="258"/>
      <c r="U18" s="258"/>
      <c r="V18" s="258"/>
      <c r="W18" s="258"/>
      <c r="X18" s="258"/>
    </row>
    <row r="19" spans="2:24">
      <c r="B19" s="23" t="s">
        <v>123</v>
      </c>
      <c r="D19" t="s">
        <v>107</v>
      </c>
      <c r="F19" s="69">
        <f>SUM(G19:O19)</f>
        <v>61981987.530688927</v>
      </c>
      <c r="G19" s="87">
        <v>1528000</v>
      </c>
      <c r="H19" s="87">
        <v>1000132.424992964</v>
      </c>
      <c r="I19" s="98">
        <f t="shared" ref="I19:I20" si="0">S19+T19</f>
        <v>2425117.5241681654</v>
      </c>
      <c r="J19" s="98">
        <f t="shared" ref="J19:J20" si="1">U19+V19</f>
        <v>14700479.59077063</v>
      </c>
      <c r="K19" s="98">
        <f t="shared" ref="K19:K20" si="2">W19+X19</f>
        <v>32066931.659944508</v>
      </c>
      <c r="L19" s="87">
        <v>879075.06</v>
      </c>
      <c r="M19" s="87">
        <v>8758546.9788277224</v>
      </c>
      <c r="N19" s="87">
        <v>623704.29198493902</v>
      </c>
      <c r="O19" s="87"/>
      <c r="S19" s="87">
        <v>1353713.6781232634</v>
      </c>
      <c r="T19" s="87">
        <v>1071403.8460449022</v>
      </c>
      <c r="U19" s="87">
        <v>13488865.91591</v>
      </c>
      <c r="V19" s="87">
        <v>1211613.6748606304</v>
      </c>
      <c r="W19" s="87">
        <v>31713489.827842399</v>
      </c>
      <c r="X19" s="87">
        <v>353441.83210210782</v>
      </c>
    </row>
    <row r="20" spans="2:24">
      <c r="B20" s="23" t="s">
        <v>124</v>
      </c>
      <c r="D20" t="s">
        <v>107</v>
      </c>
      <c r="F20" s="69">
        <f>SUM(G20:O20)</f>
        <v>6353626.3891888</v>
      </c>
      <c r="G20" s="87"/>
      <c r="H20" s="87"/>
      <c r="I20" s="98">
        <f t="shared" si="0"/>
        <v>0</v>
      </c>
      <c r="J20" s="98">
        <f t="shared" si="1"/>
        <v>0</v>
      </c>
      <c r="K20" s="98">
        <f t="shared" si="2"/>
        <v>0</v>
      </c>
      <c r="L20" s="87">
        <v>46622.87</v>
      </c>
      <c r="M20" s="249">
        <f>6348003.5191888+'Aanpassing gegevens (sep.2014)'!H106</f>
        <v>6307003.5191887999</v>
      </c>
      <c r="N20" s="87"/>
      <c r="O20" s="87"/>
      <c r="S20" s="87">
        <v>0</v>
      </c>
      <c r="T20" s="87">
        <v>0</v>
      </c>
      <c r="U20" s="87">
        <v>0</v>
      </c>
      <c r="V20" s="87">
        <v>0</v>
      </c>
      <c r="W20" s="87">
        <v>0</v>
      </c>
      <c r="X20" s="87">
        <v>0</v>
      </c>
    </row>
    <row r="21" spans="2:24">
      <c r="B21" s="23"/>
      <c r="F21" s="64"/>
      <c r="G21" s="63"/>
      <c r="H21" s="63"/>
      <c r="I21" s="63"/>
      <c r="J21" s="63"/>
      <c r="K21" s="63"/>
      <c r="L21" s="63"/>
      <c r="M21" s="63"/>
      <c r="N21" s="63"/>
      <c r="O21" s="63"/>
      <c r="S21" s="258"/>
      <c r="T21" s="258"/>
      <c r="U21" s="258"/>
      <c r="V21" s="258"/>
      <c r="W21" s="258"/>
      <c r="X21" s="258"/>
    </row>
    <row r="22" spans="2:24">
      <c r="B22" s="22" t="s">
        <v>125</v>
      </c>
      <c r="F22" s="64"/>
      <c r="G22" s="63"/>
      <c r="H22" s="63"/>
      <c r="I22" s="63"/>
      <c r="J22" s="63"/>
      <c r="K22" s="63"/>
      <c r="L22" s="63"/>
      <c r="M22" s="63"/>
      <c r="N22" s="63"/>
      <c r="O22" s="63"/>
      <c r="S22" s="258"/>
      <c r="T22" s="258"/>
      <c r="U22" s="258"/>
      <c r="V22" s="258"/>
      <c r="W22" s="258"/>
      <c r="X22" s="258"/>
    </row>
    <row r="23" spans="2:24">
      <c r="B23" s="23" t="s">
        <v>126</v>
      </c>
      <c r="D23" t="s">
        <v>107</v>
      </c>
      <c r="F23" s="69">
        <f>SUM(G23:O23)</f>
        <v>0</v>
      </c>
      <c r="G23" s="87"/>
      <c r="H23" s="87"/>
      <c r="I23" s="98">
        <f t="shared" ref="I23:I24" si="3">S23+T23</f>
        <v>0</v>
      </c>
      <c r="J23" s="98">
        <f t="shared" ref="J23:J24" si="4">U23+V23</f>
        <v>0</v>
      </c>
      <c r="K23" s="98">
        <f t="shared" ref="K23:K24" si="5">W23+X23</f>
        <v>0</v>
      </c>
      <c r="L23" s="87"/>
      <c r="M23" s="87"/>
      <c r="N23" s="87"/>
      <c r="O23" s="87"/>
      <c r="S23" s="87">
        <v>0</v>
      </c>
      <c r="T23" s="87">
        <v>0</v>
      </c>
      <c r="U23" s="87">
        <v>0</v>
      </c>
      <c r="V23" s="87">
        <v>0</v>
      </c>
      <c r="W23" s="87">
        <v>0</v>
      </c>
      <c r="X23" s="87">
        <v>0</v>
      </c>
    </row>
    <row r="24" spans="2:24">
      <c r="B24" s="23" t="s">
        <v>127</v>
      </c>
      <c r="D24" t="s">
        <v>107</v>
      </c>
      <c r="F24" s="69">
        <f>SUM(G24:O24)</f>
        <v>6000</v>
      </c>
      <c r="G24" s="87">
        <v>6000</v>
      </c>
      <c r="H24" s="87"/>
      <c r="I24" s="98">
        <f t="shared" si="3"/>
        <v>0</v>
      </c>
      <c r="J24" s="98">
        <f t="shared" si="4"/>
        <v>0</v>
      </c>
      <c r="K24" s="98">
        <f t="shared" si="5"/>
        <v>0</v>
      </c>
      <c r="L24" s="87"/>
      <c r="M24" s="87"/>
      <c r="N24" s="87"/>
      <c r="O24" s="87"/>
      <c r="S24" s="87">
        <v>0</v>
      </c>
      <c r="T24" s="87">
        <v>0</v>
      </c>
      <c r="U24" s="87">
        <v>0</v>
      </c>
      <c r="V24" s="87">
        <v>0</v>
      </c>
      <c r="W24" s="87">
        <v>0</v>
      </c>
      <c r="X24" s="87">
        <v>0</v>
      </c>
    </row>
    <row r="25" spans="2:24">
      <c r="B25" s="23"/>
      <c r="F25" s="64"/>
      <c r="G25" s="63"/>
      <c r="H25" s="63"/>
      <c r="I25" s="63"/>
      <c r="J25" s="63"/>
      <c r="K25" s="63"/>
      <c r="L25" s="63"/>
      <c r="M25" s="63"/>
      <c r="N25" s="63"/>
      <c r="O25" s="63"/>
      <c r="S25" s="258"/>
      <c r="T25" s="258"/>
      <c r="U25" s="258"/>
      <c r="V25" s="258"/>
      <c r="W25" s="258"/>
      <c r="X25" s="258"/>
    </row>
    <row r="26" spans="2:24">
      <c r="B26" s="22" t="s">
        <v>128</v>
      </c>
      <c r="F26" s="64"/>
      <c r="G26" s="63"/>
      <c r="H26" s="63"/>
      <c r="I26" s="63"/>
      <c r="J26" s="63"/>
      <c r="K26" s="63"/>
      <c r="L26" s="63"/>
      <c r="M26" s="63"/>
      <c r="N26" s="63"/>
      <c r="O26" s="63"/>
      <c r="S26" s="258"/>
      <c r="T26" s="258"/>
      <c r="U26" s="258"/>
      <c r="V26" s="258"/>
      <c r="W26" s="258"/>
      <c r="X26" s="258"/>
    </row>
    <row r="27" spans="2:24">
      <c r="B27" s="93" t="s">
        <v>180</v>
      </c>
      <c r="D27" t="s">
        <v>107</v>
      </c>
      <c r="F27" s="69">
        <f>SUM(G27:O27)</f>
        <v>901299.89307408675</v>
      </c>
      <c r="G27" s="87">
        <f>26000</f>
        <v>26000</v>
      </c>
      <c r="H27" s="87">
        <v>22458.734700000001</v>
      </c>
      <c r="I27" s="98">
        <f t="shared" ref="I27:I29" si="6">S27+T27</f>
        <v>51862.014201924241</v>
      </c>
      <c r="J27" s="98">
        <f t="shared" ref="J27:J29" si="7">U27+V27</f>
        <v>213349.71157806349</v>
      </c>
      <c r="K27" s="98">
        <f t="shared" ref="K27:K29" si="8">W27+X27</f>
        <v>220536.54314187251</v>
      </c>
      <c r="L27" s="87">
        <v>14875.46</v>
      </c>
      <c r="M27" s="87">
        <f>349904.310123952+1655.70106566478</f>
        <v>351560.01118961675</v>
      </c>
      <c r="N27" s="87">
        <v>657.41826260991138</v>
      </c>
      <c r="O27" s="87"/>
      <c r="S27" s="87">
        <v>28869.959889768183</v>
      </c>
      <c r="T27" s="87">
        <v>22992.054312156059</v>
      </c>
      <c r="U27" s="87">
        <v>185254.71157806349</v>
      </c>
      <c r="V27" s="87">
        <v>28095</v>
      </c>
      <c r="W27" s="87">
        <f>186544.834033985+27277.5492968063</f>
        <v>213822.38333079132</v>
      </c>
      <c r="X27" s="87">
        <v>6714.159811081191</v>
      </c>
    </row>
    <row r="28" spans="2:24">
      <c r="B28" s="93" t="s">
        <v>181</v>
      </c>
      <c r="D28" t="s">
        <v>107</v>
      </c>
      <c r="F28" s="69">
        <f>SUM(G28:O28)</f>
        <v>0</v>
      </c>
      <c r="G28" s="87"/>
      <c r="H28" s="87"/>
      <c r="I28" s="98">
        <f t="shared" si="6"/>
        <v>0</v>
      </c>
      <c r="J28" s="98">
        <f t="shared" si="7"/>
        <v>0</v>
      </c>
      <c r="K28" s="98">
        <f t="shared" si="8"/>
        <v>0</v>
      </c>
      <c r="L28" s="87"/>
      <c r="M28" s="87"/>
      <c r="N28" s="87"/>
      <c r="O28" s="87"/>
      <c r="S28" s="87">
        <v>0</v>
      </c>
      <c r="T28" s="87">
        <v>0</v>
      </c>
      <c r="U28" s="87">
        <v>0</v>
      </c>
      <c r="V28" s="87">
        <v>0</v>
      </c>
      <c r="W28" s="87">
        <v>0</v>
      </c>
      <c r="X28" s="87">
        <v>0</v>
      </c>
    </row>
    <row r="29" spans="2:24">
      <c r="B29" s="94" t="s">
        <v>182</v>
      </c>
      <c r="D29" t="s">
        <v>107</v>
      </c>
      <c r="F29" s="69">
        <f>SUM(G29:O29)</f>
        <v>1299007.3816621115</v>
      </c>
      <c r="G29" s="87"/>
      <c r="H29" s="87"/>
      <c r="I29" s="98">
        <f t="shared" si="6"/>
        <v>2435.7033036740504</v>
      </c>
      <c r="J29" s="98">
        <f t="shared" si="7"/>
        <v>0</v>
      </c>
      <c r="K29" s="98">
        <f t="shared" si="8"/>
        <v>1259304.9600151968</v>
      </c>
      <c r="L29" s="87">
        <v>15970.6</v>
      </c>
      <c r="M29" s="87">
        <v>20387.42333756161</v>
      </c>
      <c r="N29" s="87">
        <v>908.69500567901002</v>
      </c>
      <c r="O29" s="87"/>
      <c r="S29" s="87">
        <v>-1914.0382251759147</v>
      </c>
      <c r="T29" s="87">
        <v>4349.7415288499651</v>
      </c>
      <c r="U29" s="87">
        <v>0</v>
      </c>
      <c r="V29" s="87">
        <v>0</v>
      </c>
      <c r="W29" s="87">
        <v>1259404.052433837</v>
      </c>
      <c r="X29" s="87">
        <v>-99.092418640057076</v>
      </c>
    </row>
    <row r="30" spans="2:24">
      <c r="B30" s="23"/>
      <c r="F30" s="64"/>
      <c r="G30" s="63"/>
      <c r="H30" s="63"/>
      <c r="I30" s="63"/>
      <c r="J30" s="63"/>
      <c r="K30" s="63"/>
      <c r="L30" s="63"/>
      <c r="M30" s="63"/>
      <c r="N30" s="63"/>
      <c r="O30" s="63"/>
      <c r="S30" s="258"/>
      <c r="T30" s="258"/>
      <c r="U30" s="258"/>
      <c r="V30" s="258"/>
      <c r="W30" s="258"/>
      <c r="X30" s="258"/>
    </row>
    <row r="31" spans="2:24">
      <c r="F31" s="64"/>
      <c r="G31" s="63"/>
      <c r="H31" s="63"/>
      <c r="I31" s="63"/>
      <c r="J31" s="63"/>
      <c r="K31" s="63"/>
      <c r="L31" s="63"/>
      <c r="M31" s="63"/>
      <c r="N31" s="63"/>
      <c r="O31" s="63"/>
      <c r="S31" s="258"/>
      <c r="T31" s="258"/>
      <c r="U31" s="258"/>
      <c r="V31" s="258"/>
      <c r="W31" s="258"/>
      <c r="X31" s="258"/>
    </row>
    <row r="32" spans="2:24">
      <c r="B32" s="22" t="s">
        <v>221</v>
      </c>
      <c r="F32" s="64"/>
      <c r="G32" s="63"/>
      <c r="H32" s="63"/>
      <c r="I32" s="63"/>
      <c r="J32" s="63"/>
      <c r="K32" s="63"/>
      <c r="L32" s="63"/>
      <c r="M32" s="63"/>
      <c r="N32" s="63"/>
      <c r="O32" s="63"/>
      <c r="S32" s="258"/>
      <c r="T32" s="258"/>
      <c r="U32" s="258"/>
      <c r="V32" s="258"/>
      <c r="W32" s="258"/>
      <c r="X32" s="258"/>
    </row>
    <row r="33" spans="2:24">
      <c r="B33" s="23"/>
      <c r="F33" s="64"/>
      <c r="G33" s="63"/>
      <c r="H33" s="63"/>
      <c r="I33" s="63"/>
      <c r="J33" s="63"/>
      <c r="K33" s="63"/>
      <c r="L33" s="63"/>
      <c r="M33" s="63"/>
      <c r="N33" s="63"/>
      <c r="O33" s="63"/>
      <c r="S33" s="258"/>
      <c r="T33" s="258"/>
      <c r="U33" s="258"/>
      <c r="V33" s="258"/>
      <c r="W33" s="258"/>
      <c r="X33" s="258"/>
    </row>
    <row r="34" spans="2:24">
      <c r="B34" s="22" t="s">
        <v>121</v>
      </c>
      <c r="F34" s="64"/>
      <c r="G34" s="63"/>
      <c r="H34" s="63"/>
      <c r="I34" s="63"/>
      <c r="J34" s="63"/>
      <c r="K34" s="63"/>
      <c r="L34" s="63"/>
      <c r="M34" s="63"/>
      <c r="N34" s="63"/>
      <c r="O34" s="63"/>
      <c r="S34" s="258"/>
      <c r="T34" s="258"/>
      <c r="U34" s="258"/>
      <c r="V34" s="258"/>
      <c r="W34" s="258"/>
      <c r="X34" s="258"/>
    </row>
    <row r="35" spans="2:24">
      <c r="B35" s="23" t="s">
        <v>216</v>
      </c>
      <c r="D35" t="s">
        <v>107</v>
      </c>
      <c r="F35" s="69">
        <f>SUM(G35:O35)</f>
        <v>0</v>
      </c>
      <c r="G35" s="87"/>
      <c r="H35" s="87"/>
      <c r="I35" s="98">
        <f t="shared" ref="I35:I36" si="9">S35+T35</f>
        <v>0</v>
      </c>
      <c r="J35" s="98">
        <f t="shared" ref="J35:J36" si="10">U35+V35</f>
        <v>0</v>
      </c>
      <c r="K35" s="98">
        <f t="shared" ref="K35:K36" si="11">W35+X35</f>
        <v>0</v>
      </c>
      <c r="L35" s="87"/>
      <c r="M35" s="87"/>
      <c r="N35" s="87"/>
      <c r="O35" s="87"/>
      <c r="S35" s="87">
        <v>0</v>
      </c>
      <c r="T35" s="87">
        <v>0</v>
      </c>
      <c r="U35" s="87">
        <v>0</v>
      </c>
      <c r="V35" s="87">
        <v>0</v>
      </c>
      <c r="W35" s="87">
        <v>0</v>
      </c>
      <c r="X35" s="87">
        <v>0</v>
      </c>
    </row>
    <row r="36" spans="2:24">
      <c r="B36" s="23" t="s">
        <v>217</v>
      </c>
      <c r="D36" t="s">
        <v>107</v>
      </c>
      <c r="F36" s="69">
        <f>SUM(G36:O36)</f>
        <v>0</v>
      </c>
      <c r="G36" s="87"/>
      <c r="H36" s="87"/>
      <c r="I36" s="98">
        <f t="shared" si="9"/>
        <v>0</v>
      </c>
      <c r="J36" s="98">
        <f t="shared" si="10"/>
        <v>0</v>
      </c>
      <c r="K36" s="98">
        <f t="shared" si="11"/>
        <v>0</v>
      </c>
      <c r="L36" s="87"/>
      <c r="M36" s="87"/>
      <c r="N36" s="87"/>
      <c r="O36" s="87"/>
      <c r="S36" s="87">
        <v>0</v>
      </c>
      <c r="T36" s="87">
        <v>0</v>
      </c>
      <c r="U36" s="87">
        <v>0</v>
      </c>
      <c r="V36" s="87">
        <v>0</v>
      </c>
      <c r="W36" s="87">
        <v>0</v>
      </c>
      <c r="X36" s="87">
        <v>0</v>
      </c>
    </row>
    <row r="37" spans="2:24">
      <c r="B37" s="23"/>
      <c r="F37" s="64"/>
      <c r="G37" s="63"/>
      <c r="H37" s="63"/>
      <c r="I37" s="63"/>
      <c r="J37" s="63"/>
      <c r="K37" s="63"/>
      <c r="L37" s="63"/>
      <c r="M37" s="63"/>
      <c r="N37" s="63"/>
      <c r="O37" s="63"/>
      <c r="S37" s="258"/>
      <c r="T37" s="258"/>
      <c r="U37" s="258"/>
      <c r="V37" s="258"/>
      <c r="W37" s="258"/>
      <c r="X37" s="258"/>
    </row>
    <row r="38" spans="2:24">
      <c r="B38" s="22" t="s">
        <v>122</v>
      </c>
      <c r="F38" s="64"/>
      <c r="G38" s="63"/>
      <c r="H38" s="63"/>
      <c r="I38" s="63"/>
      <c r="J38" s="63"/>
      <c r="K38" s="63"/>
      <c r="L38" s="63"/>
      <c r="M38" s="63"/>
      <c r="N38" s="63"/>
      <c r="O38" s="63"/>
      <c r="S38" s="258"/>
      <c r="T38" s="258"/>
      <c r="U38" s="258"/>
      <c r="V38" s="258"/>
      <c r="W38" s="258"/>
      <c r="X38" s="258"/>
    </row>
    <row r="39" spans="2:24">
      <c r="B39" s="23" t="s">
        <v>123</v>
      </c>
      <c r="D39" t="s">
        <v>107</v>
      </c>
      <c r="F39" s="69">
        <f>SUM(G39:O39)</f>
        <v>4246801.9677862944</v>
      </c>
      <c r="G39" s="87">
        <v>25000</v>
      </c>
      <c r="H39" s="87">
        <v>25609.911331572031</v>
      </c>
      <c r="I39" s="98">
        <f t="shared" ref="I39:I40" si="12">S39+T39</f>
        <v>121596.02615865385</v>
      </c>
      <c r="J39" s="98">
        <f t="shared" ref="J39:J40" si="13">U39+V39</f>
        <v>1131027.4106232594</v>
      </c>
      <c r="K39" s="98">
        <f t="shared" ref="K39:K40" si="14">W39+X39</f>
        <v>2324826.8553250022</v>
      </c>
      <c r="L39" s="87">
        <v>64948.85</v>
      </c>
      <c r="M39" s="87">
        <v>349089.40612864442</v>
      </c>
      <c r="N39" s="87">
        <v>204703.5082191627</v>
      </c>
      <c r="O39" s="87"/>
      <c r="S39" s="87">
        <v>33052.018529645138</v>
      </c>
      <c r="T39" s="87">
        <v>88544.007629008716</v>
      </c>
      <c r="U39" s="87">
        <v>1113009.3789868399</v>
      </c>
      <c r="V39" s="87">
        <v>18018.03163641943</v>
      </c>
      <c r="W39" s="87">
        <v>2296852.3599481899</v>
      </c>
      <c r="X39" s="87">
        <v>27974.495376812527</v>
      </c>
    </row>
    <row r="40" spans="2:24">
      <c r="B40" s="23" t="s">
        <v>124</v>
      </c>
      <c r="D40" t="s">
        <v>107</v>
      </c>
      <c r="F40" s="69">
        <f>SUM(G40:O40)</f>
        <v>178844.61331561801</v>
      </c>
      <c r="G40" s="87"/>
      <c r="H40" s="87"/>
      <c r="I40" s="98">
        <f t="shared" si="12"/>
        <v>0</v>
      </c>
      <c r="J40" s="98">
        <f t="shared" si="13"/>
        <v>0</v>
      </c>
      <c r="K40" s="98">
        <f t="shared" si="14"/>
        <v>0</v>
      </c>
      <c r="L40" s="87">
        <v>3444.64</v>
      </c>
      <c r="M40" s="249">
        <f>183399.973315618+'Aanpassing gegevens (sep.2014)'!H107</f>
        <v>175399.973315618</v>
      </c>
      <c r="N40" s="87"/>
      <c r="O40" s="87"/>
      <c r="S40" s="87">
        <v>0</v>
      </c>
      <c r="T40" s="87">
        <v>0</v>
      </c>
      <c r="U40" s="87">
        <v>0</v>
      </c>
      <c r="V40" s="87">
        <v>0</v>
      </c>
      <c r="W40" s="87">
        <v>0</v>
      </c>
      <c r="X40" s="87">
        <v>0</v>
      </c>
    </row>
    <row r="41" spans="2:24">
      <c r="B41" s="23"/>
      <c r="F41" s="64"/>
      <c r="G41" s="63"/>
      <c r="H41" s="63"/>
      <c r="I41" s="63"/>
      <c r="J41" s="63"/>
      <c r="K41" s="63"/>
      <c r="L41" s="63"/>
      <c r="M41" s="63"/>
      <c r="N41" s="63"/>
      <c r="O41" s="63"/>
      <c r="S41" s="258"/>
      <c r="T41" s="258"/>
      <c r="U41" s="258"/>
      <c r="V41" s="258"/>
      <c r="W41" s="258"/>
      <c r="X41" s="258"/>
    </row>
    <row r="42" spans="2:24">
      <c r="B42" s="22" t="s">
        <v>125</v>
      </c>
      <c r="F42" s="64"/>
      <c r="G42" s="63"/>
      <c r="H42" s="63"/>
      <c r="I42" s="63"/>
      <c r="J42" s="63"/>
      <c r="K42" s="63"/>
      <c r="L42" s="63"/>
      <c r="M42" s="63"/>
      <c r="N42" s="63"/>
      <c r="O42" s="63"/>
      <c r="S42" s="258"/>
      <c r="T42" s="258"/>
      <c r="U42" s="258"/>
      <c r="V42" s="258"/>
      <c r="W42" s="258"/>
      <c r="X42" s="258"/>
    </row>
    <row r="43" spans="2:24">
      <c r="B43" s="23" t="s">
        <v>126</v>
      </c>
      <c r="D43" t="s">
        <v>107</v>
      </c>
      <c r="F43" s="69">
        <f>SUM(G43:O43)</f>
        <v>0</v>
      </c>
      <c r="G43" s="87"/>
      <c r="H43" s="87"/>
      <c r="I43" s="98">
        <f t="shared" ref="I43:I44" si="15">S43+T43</f>
        <v>0</v>
      </c>
      <c r="J43" s="98">
        <f t="shared" ref="J43:J44" si="16">U43+V43</f>
        <v>0</v>
      </c>
      <c r="K43" s="98">
        <f t="shared" ref="K43:K44" si="17">W43+X43</f>
        <v>0</v>
      </c>
      <c r="L43" s="87"/>
      <c r="M43" s="87"/>
      <c r="N43" s="87"/>
      <c r="O43" s="87"/>
      <c r="S43" s="87">
        <v>0</v>
      </c>
      <c r="T43" s="87">
        <v>0</v>
      </c>
      <c r="U43" s="87">
        <v>0</v>
      </c>
      <c r="V43" s="87">
        <v>0</v>
      </c>
      <c r="W43" s="87">
        <v>0</v>
      </c>
      <c r="X43" s="87">
        <v>0</v>
      </c>
    </row>
    <row r="44" spans="2:24">
      <c r="B44" s="23" t="s">
        <v>127</v>
      </c>
      <c r="D44" t="s">
        <v>107</v>
      </c>
      <c r="F44" s="69">
        <f>SUM(G44:O44)</f>
        <v>0</v>
      </c>
      <c r="G44" s="87"/>
      <c r="H44" s="87"/>
      <c r="I44" s="98">
        <f t="shared" si="15"/>
        <v>0</v>
      </c>
      <c r="J44" s="98">
        <f t="shared" si="16"/>
        <v>0</v>
      </c>
      <c r="K44" s="98">
        <f t="shared" si="17"/>
        <v>0</v>
      </c>
      <c r="L44" s="87"/>
      <c r="M44" s="87"/>
      <c r="N44" s="87"/>
      <c r="O44" s="87"/>
      <c r="S44" s="87">
        <v>0</v>
      </c>
      <c r="T44" s="87">
        <v>0</v>
      </c>
      <c r="U44" s="87">
        <v>0</v>
      </c>
      <c r="V44" s="87">
        <v>0</v>
      </c>
      <c r="W44" s="87">
        <v>0</v>
      </c>
      <c r="X44" s="87">
        <v>0</v>
      </c>
    </row>
    <row r="45" spans="2:24">
      <c r="B45" s="23"/>
      <c r="F45" s="64"/>
      <c r="G45" s="63"/>
      <c r="H45" s="63"/>
      <c r="I45" s="63"/>
      <c r="J45" s="63"/>
      <c r="K45" s="63"/>
      <c r="L45" s="63"/>
      <c r="M45" s="63"/>
      <c r="N45" s="63"/>
      <c r="O45" s="63"/>
      <c r="S45" s="258"/>
      <c r="T45" s="258"/>
      <c r="U45" s="258"/>
      <c r="V45" s="258"/>
      <c r="W45" s="258"/>
      <c r="X45" s="258"/>
    </row>
    <row r="46" spans="2:24">
      <c r="B46" s="22" t="s">
        <v>128</v>
      </c>
      <c r="F46" s="64"/>
      <c r="G46" s="63"/>
      <c r="H46" s="63"/>
      <c r="I46" s="63"/>
      <c r="J46" s="63"/>
      <c r="K46" s="63"/>
      <c r="L46" s="63"/>
      <c r="M46" s="63"/>
      <c r="N46" s="63"/>
      <c r="O46" s="63"/>
      <c r="S46" s="258"/>
      <c r="T46" s="258"/>
      <c r="U46" s="258"/>
      <c r="V46" s="258"/>
      <c r="W46" s="258"/>
      <c r="X46" s="258"/>
    </row>
    <row r="47" spans="2:24">
      <c r="B47" s="93" t="s">
        <v>180</v>
      </c>
      <c r="D47" t="s">
        <v>107</v>
      </c>
      <c r="F47" s="69">
        <f>SUM(G47:O47)</f>
        <v>0</v>
      </c>
      <c r="G47" s="87"/>
      <c r="H47" s="87"/>
      <c r="I47" s="98">
        <f t="shared" ref="I47:I49" si="18">S47+T47</f>
        <v>0</v>
      </c>
      <c r="J47" s="98">
        <f t="shared" ref="J47:J49" si="19">U47+V47</f>
        <v>0</v>
      </c>
      <c r="K47" s="98">
        <f t="shared" ref="K47:K49" si="20">W47+X47</f>
        <v>0</v>
      </c>
      <c r="L47" s="87"/>
      <c r="M47" s="87"/>
      <c r="N47" s="87"/>
      <c r="O47" s="87"/>
      <c r="S47" s="87">
        <v>0</v>
      </c>
      <c r="T47" s="87">
        <v>0</v>
      </c>
      <c r="U47" s="87">
        <v>0</v>
      </c>
      <c r="V47" s="87">
        <v>0</v>
      </c>
      <c r="W47" s="87">
        <v>0</v>
      </c>
      <c r="X47" s="87">
        <v>0</v>
      </c>
    </row>
    <row r="48" spans="2:24">
      <c r="B48" s="93" t="s">
        <v>181</v>
      </c>
      <c r="D48" t="s">
        <v>107</v>
      </c>
      <c r="F48" s="69">
        <f>SUM(G48:O48)</f>
        <v>146315.99483141754</v>
      </c>
      <c r="G48" s="87">
        <v>3000</v>
      </c>
      <c r="H48" s="87">
        <v>575.25491100000022</v>
      </c>
      <c r="I48" s="98">
        <f t="shared" si="18"/>
        <v>4152.5559762278872</v>
      </c>
      <c r="J48" s="98">
        <f t="shared" si="19"/>
        <v>28635.746153304081</v>
      </c>
      <c r="K48" s="98">
        <f t="shared" si="20"/>
        <v>26540.297919721699</v>
      </c>
      <c r="L48" s="87">
        <v>1406.42</v>
      </c>
      <c r="M48" s="87">
        <f>327.029871206828+69112.2110431241</f>
        <v>69439.240914330934</v>
      </c>
      <c r="N48" s="87">
        <v>12566.478956832934</v>
      </c>
      <c r="O48" s="87"/>
      <c r="S48" s="87">
        <v>1768.3101312413489</v>
      </c>
      <c r="T48" s="87">
        <v>2384.2458449865385</v>
      </c>
      <c r="U48" s="87">
        <v>27299.400738602999</v>
      </c>
      <c r="V48" s="87">
        <v>1336.3454147010832</v>
      </c>
      <c r="W48" s="87">
        <f>2032.11070404381+23850.237368387</f>
        <v>25882.34807243081</v>
      </c>
      <c r="X48" s="87">
        <v>657.94984729088958</v>
      </c>
    </row>
    <row r="49" spans="2:24">
      <c r="B49" s="94" t="s">
        <v>182</v>
      </c>
      <c r="D49" t="s">
        <v>107</v>
      </c>
      <c r="F49" s="69">
        <f>SUM(G49:O49)</f>
        <v>112971.11040329741</v>
      </c>
      <c r="G49" s="87"/>
      <c r="H49" s="87"/>
      <c r="I49" s="98">
        <f t="shared" si="18"/>
        <v>476.7687546252273</v>
      </c>
      <c r="J49" s="98">
        <f t="shared" si="19"/>
        <v>0</v>
      </c>
      <c r="K49" s="98">
        <f t="shared" si="20"/>
        <v>93848.304336886169</v>
      </c>
      <c r="L49" s="87">
        <v>1179.96</v>
      </c>
      <c r="M49" s="87">
        <v>96.470599445322819</v>
      </c>
      <c r="N49" s="87">
        <v>17369.606712340676</v>
      </c>
      <c r="O49" s="87"/>
      <c r="S49" s="87">
        <v>-108.42625607552691</v>
      </c>
      <c r="T49" s="87">
        <v>585.19501070075421</v>
      </c>
      <c r="U49" s="87">
        <v>0</v>
      </c>
      <c r="V49" s="87">
        <v>0</v>
      </c>
      <c r="W49" s="87">
        <v>93822.521510999039</v>
      </c>
      <c r="X49" s="87">
        <v>25.782825887135004</v>
      </c>
    </row>
    <row r="50" spans="2:24">
      <c r="F50" s="64"/>
      <c r="G50" s="63"/>
      <c r="H50" s="63"/>
      <c r="I50" s="63"/>
      <c r="J50" s="63"/>
      <c r="K50" s="63"/>
      <c r="L50" s="63"/>
      <c r="M50" s="63"/>
      <c r="N50" s="63"/>
      <c r="O50" s="63"/>
      <c r="S50" s="258"/>
      <c r="T50" s="258"/>
      <c r="U50" s="258"/>
      <c r="V50" s="258"/>
      <c r="W50" s="258"/>
      <c r="X50" s="258"/>
    </row>
    <row r="51" spans="2:24">
      <c r="F51" s="64"/>
      <c r="G51" s="63"/>
      <c r="H51" s="63"/>
      <c r="I51" s="63"/>
      <c r="J51" s="63"/>
      <c r="K51" s="63"/>
      <c r="L51" s="63"/>
      <c r="M51" s="63"/>
      <c r="N51" s="63"/>
      <c r="O51" s="63"/>
      <c r="S51" s="258"/>
      <c r="T51" s="258"/>
      <c r="U51" s="258"/>
      <c r="V51" s="258"/>
      <c r="W51" s="258"/>
      <c r="X51" s="258"/>
    </row>
    <row r="52" spans="2:24">
      <c r="B52" s="22" t="s">
        <v>222</v>
      </c>
      <c r="F52" s="64"/>
      <c r="G52" s="63"/>
      <c r="H52" s="63"/>
      <c r="I52" s="63"/>
      <c r="J52" s="63"/>
      <c r="K52" s="63"/>
      <c r="L52" s="63"/>
      <c r="M52" s="63"/>
      <c r="N52" s="63"/>
      <c r="O52" s="63"/>
      <c r="S52" s="258"/>
      <c r="T52" s="258"/>
      <c r="U52" s="258"/>
      <c r="V52" s="258"/>
      <c r="W52" s="258"/>
      <c r="X52" s="258"/>
    </row>
    <row r="53" spans="2:24">
      <c r="B53" s="23"/>
      <c r="F53" s="64"/>
      <c r="G53" s="63"/>
      <c r="H53" s="63"/>
      <c r="I53" s="63"/>
      <c r="J53" s="63"/>
      <c r="K53" s="63"/>
      <c r="L53" s="63"/>
      <c r="M53" s="63"/>
      <c r="N53" s="63"/>
      <c r="O53" s="63"/>
      <c r="S53" s="258"/>
      <c r="T53" s="258"/>
      <c r="U53" s="258"/>
      <c r="V53" s="258"/>
      <c r="W53" s="258"/>
      <c r="X53" s="258"/>
    </row>
    <row r="54" spans="2:24">
      <c r="B54" s="22" t="s">
        <v>121</v>
      </c>
      <c r="F54" s="64"/>
      <c r="G54" s="63"/>
      <c r="H54" s="63"/>
      <c r="I54" s="63"/>
      <c r="J54" s="63"/>
      <c r="K54" s="63"/>
      <c r="L54" s="63"/>
      <c r="M54" s="63"/>
      <c r="N54" s="63"/>
      <c r="O54" s="63"/>
      <c r="S54" s="258"/>
      <c r="T54" s="258"/>
      <c r="U54" s="258"/>
      <c r="V54" s="258"/>
      <c r="W54" s="258"/>
      <c r="X54" s="258"/>
    </row>
    <row r="55" spans="2:24">
      <c r="B55" s="23" t="s">
        <v>216</v>
      </c>
      <c r="D55" t="s">
        <v>107</v>
      </c>
      <c r="F55" s="69">
        <f>SUM(G55:O55)</f>
        <v>0</v>
      </c>
      <c r="G55" s="98">
        <f>G15+G35</f>
        <v>0</v>
      </c>
      <c r="H55" s="98">
        <f t="shared" ref="H55:O55" si="21">H15+H35</f>
        <v>0</v>
      </c>
      <c r="I55" s="98">
        <f t="shared" si="21"/>
        <v>0</v>
      </c>
      <c r="J55" s="98">
        <f t="shared" si="21"/>
        <v>0</v>
      </c>
      <c r="K55" s="98">
        <f t="shared" si="21"/>
        <v>0</v>
      </c>
      <c r="L55" s="98">
        <f t="shared" si="21"/>
        <v>0</v>
      </c>
      <c r="M55" s="98">
        <f t="shared" si="21"/>
        <v>0</v>
      </c>
      <c r="N55" s="98">
        <f t="shared" si="21"/>
        <v>0</v>
      </c>
      <c r="O55" s="98">
        <f t="shared" si="21"/>
        <v>0</v>
      </c>
      <c r="S55" s="29"/>
      <c r="T55" s="29"/>
      <c r="U55" s="29"/>
      <c r="V55" s="29"/>
      <c r="W55" s="29"/>
      <c r="X55" s="29"/>
    </row>
    <row r="56" spans="2:24">
      <c r="B56" s="23" t="s">
        <v>217</v>
      </c>
      <c r="D56" t="s">
        <v>107</v>
      </c>
      <c r="F56" s="69">
        <f>SUM(G56:O56)</f>
        <v>0</v>
      </c>
      <c r="G56" s="98">
        <f>G16+G36</f>
        <v>0</v>
      </c>
      <c r="H56" s="98">
        <f t="shared" ref="H56:O56" si="22">H16+H36</f>
        <v>0</v>
      </c>
      <c r="I56" s="98">
        <f t="shared" si="22"/>
        <v>0</v>
      </c>
      <c r="J56" s="98">
        <f t="shared" si="22"/>
        <v>0</v>
      </c>
      <c r="K56" s="98">
        <f t="shared" si="22"/>
        <v>0</v>
      </c>
      <c r="L56" s="98">
        <f t="shared" si="22"/>
        <v>0</v>
      </c>
      <c r="M56" s="98">
        <f t="shared" si="22"/>
        <v>0</v>
      </c>
      <c r="N56" s="98">
        <f t="shared" si="22"/>
        <v>0</v>
      </c>
      <c r="O56" s="98">
        <f t="shared" si="22"/>
        <v>0</v>
      </c>
      <c r="S56" s="29"/>
      <c r="T56" s="29"/>
      <c r="U56" s="29"/>
      <c r="V56" s="29"/>
      <c r="W56" s="29"/>
      <c r="X56" s="29"/>
    </row>
    <row r="57" spans="2:24">
      <c r="B57" s="23"/>
      <c r="F57" s="64"/>
      <c r="G57" s="63"/>
      <c r="H57" s="63"/>
      <c r="I57" s="63"/>
      <c r="J57" s="63"/>
      <c r="K57" s="63"/>
      <c r="L57" s="63"/>
      <c r="M57" s="63"/>
      <c r="N57" s="63"/>
      <c r="O57" s="63"/>
      <c r="S57" s="259"/>
      <c r="T57" s="259"/>
      <c r="U57" s="259"/>
      <c r="V57" s="259"/>
      <c r="W57" s="259"/>
      <c r="X57" s="259"/>
    </row>
    <row r="58" spans="2:24">
      <c r="B58" s="22" t="s">
        <v>122</v>
      </c>
      <c r="F58" s="64"/>
      <c r="G58" s="63"/>
      <c r="H58" s="63"/>
      <c r="I58" s="63"/>
      <c r="J58" s="63"/>
      <c r="K58" s="63"/>
      <c r="L58" s="63"/>
      <c r="M58" s="63"/>
      <c r="N58" s="63"/>
      <c r="O58" s="63"/>
      <c r="S58" s="259"/>
      <c r="T58" s="259"/>
      <c r="U58" s="259"/>
      <c r="V58" s="259"/>
      <c r="W58" s="259"/>
      <c r="X58" s="259"/>
    </row>
    <row r="59" spans="2:24">
      <c r="B59" s="23" t="s">
        <v>123</v>
      </c>
      <c r="D59" t="s">
        <v>107</v>
      </c>
      <c r="F59" s="69">
        <f>SUM(G59:O59)</f>
        <v>66228789.498475216</v>
      </c>
      <c r="G59" s="98">
        <f>G19+G39</f>
        <v>1553000</v>
      </c>
      <c r="H59" s="98">
        <f t="shared" ref="H59:O60" si="23">H19+H39</f>
        <v>1025742.336324536</v>
      </c>
      <c r="I59" s="98">
        <f t="shared" si="23"/>
        <v>2546713.5503268191</v>
      </c>
      <c r="J59" s="98">
        <f t="shared" si="23"/>
        <v>15831507.00139389</v>
      </c>
      <c r="K59" s="98">
        <f t="shared" si="23"/>
        <v>34391758.51526951</v>
      </c>
      <c r="L59" s="98">
        <f t="shared" si="23"/>
        <v>944023.91</v>
      </c>
      <c r="M59" s="98">
        <f t="shared" si="23"/>
        <v>9107636.3849563673</v>
      </c>
      <c r="N59" s="98">
        <f t="shared" si="23"/>
        <v>828407.80020410172</v>
      </c>
      <c r="O59" s="98">
        <f t="shared" si="23"/>
        <v>0</v>
      </c>
      <c r="S59" s="29"/>
      <c r="T59" s="29"/>
      <c r="U59" s="29"/>
      <c r="V59" s="29"/>
      <c r="W59" s="29"/>
      <c r="X59" s="29"/>
    </row>
    <row r="60" spans="2:24">
      <c r="B60" s="23" t="s">
        <v>124</v>
      </c>
      <c r="D60" t="s">
        <v>107</v>
      </c>
      <c r="F60" s="69">
        <f>SUM(G60:O60)</f>
        <v>6532471.0025044177</v>
      </c>
      <c r="G60" s="98">
        <f>G20+G40</f>
        <v>0</v>
      </c>
      <c r="H60" s="98">
        <f t="shared" si="23"/>
        <v>0</v>
      </c>
      <c r="I60" s="98">
        <f t="shared" si="23"/>
        <v>0</v>
      </c>
      <c r="J60" s="98">
        <f t="shared" si="23"/>
        <v>0</v>
      </c>
      <c r="K60" s="98">
        <f t="shared" si="23"/>
        <v>0</v>
      </c>
      <c r="L60" s="98">
        <f t="shared" si="23"/>
        <v>50067.51</v>
      </c>
      <c r="M60" s="98">
        <f t="shared" si="23"/>
        <v>6482403.4925044179</v>
      </c>
      <c r="N60" s="98">
        <f t="shared" si="23"/>
        <v>0</v>
      </c>
      <c r="O60" s="98">
        <f t="shared" si="23"/>
        <v>0</v>
      </c>
      <c r="S60" s="29"/>
      <c r="T60" s="29"/>
      <c r="U60" s="29"/>
      <c r="V60" s="29"/>
      <c r="W60" s="29"/>
      <c r="X60" s="29"/>
    </row>
    <row r="61" spans="2:24">
      <c r="B61" s="23"/>
      <c r="F61" s="64"/>
      <c r="G61" s="63"/>
      <c r="H61" s="63"/>
      <c r="I61" s="63"/>
      <c r="J61" s="63"/>
      <c r="K61" s="63"/>
      <c r="L61" s="63"/>
      <c r="M61" s="63"/>
      <c r="N61" s="63"/>
      <c r="O61" s="63"/>
      <c r="S61" s="259"/>
      <c r="T61" s="259"/>
      <c r="U61" s="259"/>
      <c r="V61" s="259"/>
      <c r="W61" s="259"/>
      <c r="X61" s="259"/>
    </row>
    <row r="62" spans="2:24">
      <c r="B62" s="22" t="s">
        <v>125</v>
      </c>
      <c r="F62" s="64"/>
      <c r="G62" s="63"/>
      <c r="H62" s="63"/>
      <c r="I62" s="63"/>
      <c r="J62" s="63"/>
      <c r="K62" s="63"/>
      <c r="L62" s="63"/>
      <c r="M62" s="63"/>
      <c r="N62" s="63"/>
      <c r="O62" s="63"/>
      <c r="S62" s="259"/>
      <c r="T62" s="259"/>
      <c r="U62" s="259"/>
      <c r="V62" s="259"/>
      <c r="W62" s="259"/>
      <c r="X62" s="259"/>
    </row>
    <row r="63" spans="2:24">
      <c r="B63" s="23" t="s">
        <v>126</v>
      </c>
      <c r="D63" t="s">
        <v>107</v>
      </c>
      <c r="F63" s="69">
        <f>SUM(G63:O63)</f>
        <v>0</v>
      </c>
      <c r="G63" s="98">
        <f>G23+G43</f>
        <v>0</v>
      </c>
      <c r="H63" s="98">
        <f t="shared" ref="H63:O64" si="24">H23+H43</f>
        <v>0</v>
      </c>
      <c r="I63" s="98">
        <f t="shared" si="24"/>
        <v>0</v>
      </c>
      <c r="J63" s="98">
        <f t="shared" si="24"/>
        <v>0</v>
      </c>
      <c r="K63" s="98">
        <f t="shared" si="24"/>
        <v>0</v>
      </c>
      <c r="L63" s="98">
        <f t="shared" si="24"/>
        <v>0</v>
      </c>
      <c r="M63" s="98">
        <f t="shared" si="24"/>
        <v>0</v>
      </c>
      <c r="N63" s="98">
        <f t="shared" si="24"/>
        <v>0</v>
      </c>
      <c r="O63" s="98">
        <f t="shared" si="24"/>
        <v>0</v>
      </c>
      <c r="S63" s="29"/>
      <c r="T63" s="29"/>
      <c r="U63" s="29"/>
      <c r="V63" s="29"/>
      <c r="W63" s="29"/>
      <c r="X63" s="29"/>
    </row>
    <row r="64" spans="2:24">
      <c r="B64" s="23" t="s">
        <v>127</v>
      </c>
      <c r="D64" t="s">
        <v>107</v>
      </c>
      <c r="F64" s="69">
        <f>SUM(G64:O64)</f>
        <v>6000</v>
      </c>
      <c r="G64" s="98">
        <f>G24+G44</f>
        <v>6000</v>
      </c>
      <c r="H64" s="98">
        <f t="shared" si="24"/>
        <v>0</v>
      </c>
      <c r="I64" s="98">
        <f t="shared" si="24"/>
        <v>0</v>
      </c>
      <c r="J64" s="98">
        <f t="shared" si="24"/>
        <v>0</v>
      </c>
      <c r="K64" s="98">
        <f t="shared" si="24"/>
        <v>0</v>
      </c>
      <c r="L64" s="98">
        <f t="shared" si="24"/>
        <v>0</v>
      </c>
      <c r="M64" s="98">
        <f t="shared" si="24"/>
        <v>0</v>
      </c>
      <c r="N64" s="98">
        <f t="shared" si="24"/>
        <v>0</v>
      </c>
      <c r="O64" s="98">
        <f t="shared" si="24"/>
        <v>0</v>
      </c>
      <c r="S64" s="29"/>
      <c r="T64" s="29"/>
      <c r="U64" s="29"/>
      <c r="V64" s="29"/>
      <c r="W64" s="29"/>
      <c r="X64" s="29"/>
    </row>
    <row r="65" spans="2:24">
      <c r="B65" s="23"/>
      <c r="F65" s="64"/>
      <c r="G65" s="63"/>
      <c r="H65" s="63"/>
      <c r="I65" s="63"/>
      <c r="J65" s="63"/>
      <c r="K65" s="63"/>
      <c r="L65" s="63"/>
      <c r="M65" s="63"/>
      <c r="N65" s="63"/>
      <c r="O65" s="63"/>
      <c r="S65" s="259"/>
      <c r="T65" s="259"/>
      <c r="U65" s="259"/>
      <c r="V65" s="259"/>
      <c r="W65" s="259"/>
      <c r="X65" s="259"/>
    </row>
    <row r="66" spans="2:24">
      <c r="B66" s="22" t="s">
        <v>128</v>
      </c>
      <c r="F66" s="64"/>
      <c r="G66" s="63"/>
      <c r="H66" s="63"/>
      <c r="I66" s="63"/>
      <c r="J66" s="63"/>
      <c r="K66" s="63"/>
      <c r="L66" s="63"/>
      <c r="M66" s="63"/>
      <c r="N66" s="63"/>
      <c r="O66" s="63"/>
      <c r="S66" s="259"/>
      <c r="T66" s="259"/>
      <c r="U66" s="259"/>
      <c r="V66" s="259"/>
      <c r="W66" s="259"/>
      <c r="X66" s="259"/>
    </row>
    <row r="67" spans="2:24">
      <c r="B67" s="93" t="s">
        <v>180</v>
      </c>
      <c r="D67" t="s">
        <v>107</v>
      </c>
      <c r="F67" s="69">
        <f>SUM(G67:O67)</f>
        <v>901299.89307408675</v>
      </c>
      <c r="G67" s="98">
        <f>G27+G47</f>
        <v>26000</v>
      </c>
      <c r="H67" s="98">
        <f t="shared" ref="H67:O69" si="25">H27+H47</f>
        <v>22458.734700000001</v>
      </c>
      <c r="I67" s="98">
        <f t="shared" si="25"/>
        <v>51862.014201924241</v>
      </c>
      <c r="J67" s="98">
        <f t="shared" si="25"/>
        <v>213349.71157806349</v>
      </c>
      <c r="K67" s="98">
        <f t="shared" si="25"/>
        <v>220536.54314187251</v>
      </c>
      <c r="L67" s="98">
        <f t="shared" si="25"/>
        <v>14875.46</v>
      </c>
      <c r="M67" s="98">
        <f t="shared" si="25"/>
        <v>351560.01118961675</v>
      </c>
      <c r="N67" s="98">
        <f t="shared" si="25"/>
        <v>657.41826260991138</v>
      </c>
      <c r="O67" s="98">
        <f t="shared" si="25"/>
        <v>0</v>
      </c>
      <c r="S67" s="29"/>
      <c r="T67" s="29"/>
      <c r="U67" s="29"/>
      <c r="V67" s="29"/>
      <c r="W67" s="29"/>
      <c r="X67" s="29"/>
    </row>
    <row r="68" spans="2:24">
      <c r="B68" s="93" t="s">
        <v>181</v>
      </c>
      <c r="D68" t="s">
        <v>107</v>
      </c>
      <c r="F68" s="69">
        <f>SUM(G68:O68)</f>
        <v>146315.99483141754</v>
      </c>
      <c r="G68" s="98">
        <f>G28+G48</f>
        <v>3000</v>
      </c>
      <c r="H68" s="98">
        <f t="shared" si="25"/>
        <v>575.25491100000022</v>
      </c>
      <c r="I68" s="98">
        <f t="shared" si="25"/>
        <v>4152.5559762278872</v>
      </c>
      <c r="J68" s="98">
        <f t="shared" si="25"/>
        <v>28635.746153304081</v>
      </c>
      <c r="K68" s="98">
        <f t="shared" si="25"/>
        <v>26540.297919721699</v>
      </c>
      <c r="L68" s="98">
        <f t="shared" si="25"/>
        <v>1406.42</v>
      </c>
      <c r="M68" s="98">
        <f t="shared" si="25"/>
        <v>69439.240914330934</v>
      </c>
      <c r="N68" s="98">
        <f t="shared" si="25"/>
        <v>12566.478956832934</v>
      </c>
      <c r="O68" s="98">
        <f t="shared" si="25"/>
        <v>0</v>
      </c>
      <c r="S68" s="29"/>
      <c r="T68" s="29"/>
      <c r="U68" s="29"/>
      <c r="V68" s="29"/>
      <c r="W68" s="29"/>
      <c r="X68" s="29"/>
    </row>
    <row r="69" spans="2:24">
      <c r="B69" s="94" t="s">
        <v>182</v>
      </c>
      <c r="D69" t="s">
        <v>107</v>
      </c>
      <c r="F69" s="69">
        <f>SUM(G69:O69)</f>
        <v>1411978.4920654087</v>
      </c>
      <c r="G69" s="98">
        <f>G29+G49</f>
        <v>0</v>
      </c>
      <c r="H69" s="98">
        <f t="shared" si="25"/>
        <v>0</v>
      </c>
      <c r="I69" s="98">
        <f t="shared" si="25"/>
        <v>2912.4720582992777</v>
      </c>
      <c r="J69" s="98">
        <f t="shared" si="25"/>
        <v>0</v>
      </c>
      <c r="K69" s="98">
        <f t="shared" si="25"/>
        <v>1353153.264352083</v>
      </c>
      <c r="L69" s="98">
        <f t="shared" si="25"/>
        <v>17150.560000000001</v>
      </c>
      <c r="M69" s="98">
        <f t="shared" si="25"/>
        <v>20483.893937006931</v>
      </c>
      <c r="N69" s="98">
        <f t="shared" si="25"/>
        <v>18278.301718019684</v>
      </c>
      <c r="O69" s="98">
        <f t="shared" si="25"/>
        <v>0</v>
      </c>
      <c r="S69" s="29"/>
      <c r="T69" s="29"/>
      <c r="U69" s="29"/>
      <c r="V69" s="29"/>
      <c r="W69" s="29"/>
      <c r="X69" s="29"/>
    </row>
    <row r="70" spans="2:24">
      <c r="F70" s="64"/>
      <c r="G70" s="63"/>
      <c r="H70" s="63"/>
      <c r="I70" s="63"/>
      <c r="J70" s="63"/>
      <c r="K70" s="63"/>
      <c r="L70" s="63"/>
      <c r="M70" s="63"/>
      <c r="N70" s="63"/>
      <c r="O70" s="63"/>
      <c r="S70" s="259"/>
      <c r="T70" s="259"/>
      <c r="U70" s="259"/>
      <c r="V70" s="259"/>
      <c r="W70" s="259"/>
      <c r="X70" s="259"/>
    </row>
    <row r="71" spans="2:24">
      <c r="B71" s="79" t="s">
        <v>267</v>
      </c>
      <c r="D71" t="s">
        <v>107</v>
      </c>
      <c r="F71" s="69">
        <f>SUM(G71:O71)</f>
        <v>75226854.880950555</v>
      </c>
      <c r="G71" s="69">
        <f>SUM(G55:G56,G59:G60,G63:G64,G67:G69)</f>
        <v>1588000</v>
      </c>
      <c r="H71" s="69">
        <f t="shared" ref="H71:O71" si="26">SUM(H55:H56,H59:H60,H63:H64,H67:H69)</f>
        <v>1048776.3259355361</v>
      </c>
      <c r="I71" s="69">
        <f t="shared" si="26"/>
        <v>2605640.5925632706</v>
      </c>
      <c r="J71" s="69">
        <f t="shared" si="26"/>
        <v>16073492.459125258</v>
      </c>
      <c r="K71" s="69">
        <f t="shared" si="26"/>
        <v>35991988.620683186</v>
      </c>
      <c r="L71" s="69">
        <f t="shared" si="26"/>
        <v>1027523.8600000001</v>
      </c>
      <c r="M71" s="69">
        <f t="shared" si="26"/>
        <v>16031523.023501741</v>
      </c>
      <c r="N71" s="69">
        <f t="shared" si="26"/>
        <v>859909.99914156413</v>
      </c>
      <c r="O71" s="69">
        <f t="shared" si="26"/>
        <v>0</v>
      </c>
      <c r="S71" s="68"/>
      <c r="T71" s="68"/>
      <c r="U71" s="68"/>
      <c r="V71" s="68"/>
      <c r="W71" s="68"/>
      <c r="X71" s="68"/>
    </row>
    <row r="72" spans="2:24">
      <c r="F72" s="62"/>
      <c r="G72" s="42"/>
      <c r="H72" s="42"/>
      <c r="I72" s="42"/>
      <c r="J72" s="42"/>
      <c r="K72" s="42"/>
      <c r="L72" s="42"/>
      <c r="M72" s="42"/>
      <c r="N72" s="42"/>
      <c r="O72" s="258"/>
      <c r="S72" s="258"/>
      <c r="T72" s="258"/>
      <c r="U72" s="258"/>
      <c r="V72" s="258"/>
      <c r="W72" s="258"/>
      <c r="X72" s="258"/>
    </row>
    <row r="73" spans="2:24">
      <c r="F73" s="62"/>
      <c r="G73" s="42"/>
      <c r="H73" s="42"/>
      <c r="I73" s="42"/>
      <c r="J73" s="42"/>
      <c r="K73" s="42"/>
      <c r="L73" s="42"/>
      <c r="M73" s="42"/>
      <c r="N73" s="42"/>
      <c r="O73" s="258"/>
      <c r="S73" s="258"/>
      <c r="T73" s="258"/>
      <c r="U73" s="258"/>
      <c r="V73" s="258"/>
      <c r="W73" s="258"/>
      <c r="X73" s="258"/>
    </row>
    <row r="74" spans="2:24" s="2" customFormat="1">
      <c r="B74" s="2" t="s">
        <v>272</v>
      </c>
      <c r="F74" s="49"/>
    </row>
    <row r="75" spans="2:24">
      <c r="G75" s="258"/>
      <c r="H75" s="258"/>
      <c r="I75" s="258"/>
      <c r="J75" s="258"/>
      <c r="K75" s="258"/>
      <c r="L75" s="258"/>
      <c r="M75" s="258"/>
      <c r="N75" s="258"/>
      <c r="O75" s="258"/>
      <c r="S75" s="258"/>
      <c r="T75" s="258"/>
      <c r="U75" s="258"/>
      <c r="V75" s="258"/>
      <c r="W75" s="258"/>
      <c r="X75" s="258"/>
    </row>
    <row r="76" spans="2:24">
      <c r="B76" s="22" t="s">
        <v>220</v>
      </c>
      <c r="G76" s="258"/>
      <c r="H76" s="258"/>
      <c r="I76" s="258"/>
      <c r="J76" s="258"/>
      <c r="K76" s="258"/>
      <c r="L76" s="258"/>
      <c r="M76" s="258"/>
      <c r="N76" s="258"/>
      <c r="O76" s="258"/>
      <c r="S76" s="258"/>
      <c r="T76" s="258"/>
      <c r="U76" s="258"/>
      <c r="V76" s="258"/>
      <c r="W76" s="258"/>
      <c r="X76" s="258"/>
    </row>
    <row r="77" spans="2:24">
      <c r="B77" s="23"/>
      <c r="G77" s="258"/>
      <c r="H77" s="258"/>
      <c r="I77" s="258"/>
      <c r="J77" s="258"/>
      <c r="K77" s="258"/>
      <c r="L77" s="258"/>
      <c r="M77" s="258"/>
      <c r="N77" s="258"/>
      <c r="O77" s="258"/>
      <c r="S77" s="258"/>
      <c r="T77" s="258"/>
      <c r="U77" s="258"/>
      <c r="V77" s="258"/>
      <c r="W77" s="258"/>
      <c r="X77" s="258"/>
    </row>
    <row r="78" spans="2:24">
      <c r="B78" s="22" t="s">
        <v>121</v>
      </c>
      <c r="F78" s="64"/>
      <c r="G78" s="63"/>
      <c r="H78" s="63"/>
      <c r="I78" s="63"/>
      <c r="J78" s="63"/>
      <c r="K78" s="63"/>
      <c r="L78" s="63"/>
      <c r="M78" s="63"/>
      <c r="N78" s="63"/>
      <c r="O78" s="63"/>
      <c r="S78" s="258"/>
      <c r="T78" s="258"/>
      <c r="U78" s="258"/>
      <c r="V78" s="258"/>
      <c r="W78" s="258"/>
      <c r="X78" s="258"/>
    </row>
    <row r="79" spans="2:24">
      <c r="B79" s="23" t="s">
        <v>216</v>
      </c>
      <c r="D79" t="s">
        <v>108</v>
      </c>
      <c r="F79" s="69">
        <f>SUM(G79:O79)</f>
        <v>0</v>
      </c>
      <c r="G79" s="87"/>
      <c r="H79" s="87"/>
      <c r="I79" s="98">
        <f>S79+T79</f>
        <v>0</v>
      </c>
      <c r="J79" s="98">
        <f>U79+V79</f>
        <v>0</v>
      </c>
      <c r="K79" s="98">
        <f>W79+X79</f>
        <v>0</v>
      </c>
      <c r="L79" s="87"/>
      <c r="M79" s="87"/>
      <c r="N79" s="87"/>
      <c r="O79" s="87"/>
      <c r="S79" s="87">
        <v>0</v>
      </c>
      <c r="T79" s="87">
        <v>0</v>
      </c>
      <c r="U79" s="87">
        <v>0</v>
      </c>
      <c r="V79" s="87">
        <v>0</v>
      </c>
      <c r="W79" s="87">
        <v>0</v>
      </c>
      <c r="X79" s="87">
        <v>0</v>
      </c>
    </row>
    <row r="80" spans="2:24">
      <c r="B80" s="23" t="s">
        <v>217</v>
      </c>
      <c r="D80" t="s">
        <v>108</v>
      </c>
      <c r="F80" s="69">
        <f>SUM(G80:O80)</f>
        <v>0</v>
      </c>
      <c r="G80" s="87"/>
      <c r="H80" s="87"/>
      <c r="I80" s="98">
        <f>S80+T80</f>
        <v>0</v>
      </c>
      <c r="J80" s="98">
        <f>U80+V80</f>
        <v>0</v>
      </c>
      <c r="K80" s="98">
        <f>W80+X80</f>
        <v>0</v>
      </c>
      <c r="L80" s="87"/>
      <c r="M80" s="87"/>
      <c r="N80" s="87"/>
      <c r="O80" s="87"/>
      <c r="S80" s="87">
        <v>0</v>
      </c>
      <c r="T80" s="87">
        <v>0</v>
      </c>
      <c r="U80" s="87">
        <v>0</v>
      </c>
      <c r="V80" s="87">
        <v>0</v>
      </c>
      <c r="W80" s="87">
        <v>0</v>
      </c>
      <c r="X80" s="87">
        <v>0</v>
      </c>
    </row>
    <row r="81" spans="2:24">
      <c r="B81" s="23"/>
      <c r="F81" s="64"/>
      <c r="G81" s="63"/>
      <c r="H81" s="63"/>
      <c r="I81" s="63"/>
      <c r="J81" s="63"/>
      <c r="K81" s="63"/>
      <c r="L81" s="63"/>
      <c r="M81" s="63"/>
      <c r="N81" s="63"/>
      <c r="O81" s="63"/>
      <c r="S81" s="258"/>
      <c r="T81" s="258"/>
      <c r="U81" s="258"/>
      <c r="V81" s="258"/>
      <c r="W81" s="258"/>
      <c r="X81" s="258"/>
    </row>
    <row r="82" spans="2:24">
      <c r="B82" s="22" t="s">
        <v>122</v>
      </c>
      <c r="G82" s="258"/>
      <c r="H82" s="258"/>
      <c r="I82" s="258"/>
      <c r="J82" s="258"/>
      <c r="K82" s="258"/>
      <c r="L82" s="258"/>
      <c r="M82" s="258"/>
      <c r="N82" s="258"/>
      <c r="O82" s="258"/>
      <c r="S82" s="258"/>
      <c r="T82" s="258"/>
      <c r="U82" s="258"/>
      <c r="V82" s="258"/>
      <c r="W82" s="258"/>
      <c r="X82" s="258"/>
    </row>
    <row r="83" spans="2:24">
      <c r="B83" s="23" t="s">
        <v>123</v>
      </c>
      <c r="D83" t="s">
        <v>108</v>
      </c>
      <c r="F83" s="69">
        <f>SUM(G83:O83)</f>
        <v>72155057.461830065</v>
      </c>
      <c r="G83" s="87">
        <v>1521000</v>
      </c>
      <c r="H83" s="87">
        <v>1308059.5379686179</v>
      </c>
      <c r="I83" s="98">
        <f t="shared" ref="I83:I84" si="27">S83+T83</f>
        <v>5300575.1027820986</v>
      </c>
      <c r="J83" s="98">
        <f t="shared" ref="J83:J84" si="28">U83+V83</f>
        <v>14184784.392421886</v>
      </c>
      <c r="K83" s="98">
        <f t="shared" ref="K83:K84" si="29">W83+X83</f>
        <v>35627881.340894967</v>
      </c>
      <c r="L83" s="87">
        <v>850135.07</v>
      </c>
      <c r="M83" s="87">
        <v>12989115.076919844</v>
      </c>
      <c r="N83" s="87">
        <v>373506.94084263803</v>
      </c>
      <c r="O83" s="87"/>
      <c r="S83" s="87">
        <v>2185916.7876920314</v>
      </c>
      <c r="T83" s="87">
        <v>3114658.3150900677</v>
      </c>
      <c r="U83" s="87">
        <v>13037698.199999999</v>
      </c>
      <c r="V83" s="87">
        <v>1147086.1924218868</v>
      </c>
      <c r="W83" s="87">
        <v>34806197.492666528</v>
      </c>
      <c r="X83" s="87">
        <v>821683.84822843806</v>
      </c>
    </row>
    <row r="84" spans="2:24">
      <c r="B84" s="23" t="s">
        <v>124</v>
      </c>
      <c r="D84" t="s">
        <v>108</v>
      </c>
      <c r="F84" s="69">
        <f>SUM(G84:O84)</f>
        <v>5466410.1251532072</v>
      </c>
      <c r="G84" s="87"/>
      <c r="H84" s="87"/>
      <c r="I84" s="98">
        <f t="shared" si="27"/>
        <v>0</v>
      </c>
      <c r="J84" s="98">
        <f t="shared" si="28"/>
        <v>0</v>
      </c>
      <c r="K84" s="98">
        <f t="shared" si="29"/>
        <v>0</v>
      </c>
      <c r="L84" s="87">
        <v>17197.150000000001</v>
      </c>
      <c r="M84" s="87">
        <v>5449212.9751532068</v>
      </c>
      <c r="N84" s="87"/>
      <c r="O84" s="87"/>
      <c r="S84" s="87">
        <v>0</v>
      </c>
      <c r="T84" s="87">
        <v>0</v>
      </c>
      <c r="U84" s="87">
        <v>0</v>
      </c>
      <c r="V84" s="87">
        <v>0</v>
      </c>
      <c r="W84" s="87">
        <v>0</v>
      </c>
      <c r="X84" s="87">
        <v>0</v>
      </c>
    </row>
    <row r="85" spans="2:24">
      <c r="B85" s="23"/>
      <c r="F85" s="64"/>
      <c r="G85" s="63"/>
      <c r="H85" s="63"/>
      <c r="I85" s="63"/>
      <c r="J85" s="63"/>
      <c r="K85" s="63"/>
      <c r="L85" s="63"/>
      <c r="M85" s="63"/>
      <c r="N85" s="63"/>
      <c r="O85" s="63"/>
      <c r="S85" s="258"/>
      <c r="T85" s="258"/>
      <c r="U85" s="258"/>
      <c r="V85" s="258"/>
      <c r="W85" s="258"/>
      <c r="X85" s="258"/>
    </row>
    <row r="86" spans="2:24">
      <c r="B86" s="22" t="s">
        <v>125</v>
      </c>
      <c r="F86" s="64"/>
      <c r="G86" s="63"/>
      <c r="H86" s="63"/>
      <c r="I86" s="63"/>
      <c r="J86" s="63"/>
      <c r="K86" s="63"/>
      <c r="L86" s="63"/>
      <c r="M86" s="63"/>
      <c r="N86" s="63"/>
      <c r="O86" s="63"/>
      <c r="S86" s="258"/>
      <c r="T86" s="258"/>
      <c r="U86" s="258"/>
      <c r="V86" s="258"/>
      <c r="W86" s="258"/>
      <c r="X86" s="258"/>
    </row>
    <row r="87" spans="2:24">
      <c r="B87" s="23" t="s">
        <v>126</v>
      </c>
      <c r="D87" t="s">
        <v>108</v>
      </c>
      <c r="F87" s="69">
        <f>SUM(G87:O87)</f>
        <v>0</v>
      </c>
      <c r="G87" s="87"/>
      <c r="H87" s="87"/>
      <c r="I87" s="98">
        <f t="shared" ref="I87:I88" si="30">S87+T87</f>
        <v>0</v>
      </c>
      <c r="J87" s="98">
        <f t="shared" ref="J87:J88" si="31">U87+V87</f>
        <v>0</v>
      </c>
      <c r="K87" s="98">
        <f t="shared" ref="K87:K88" si="32">W87+X87</f>
        <v>0</v>
      </c>
      <c r="L87" s="87"/>
      <c r="M87" s="87"/>
      <c r="N87" s="87"/>
      <c r="O87" s="87"/>
      <c r="S87" s="87">
        <v>0</v>
      </c>
      <c r="T87" s="87">
        <v>0</v>
      </c>
      <c r="U87" s="87">
        <v>0</v>
      </c>
      <c r="V87" s="87">
        <v>0</v>
      </c>
      <c r="W87" s="87">
        <v>0</v>
      </c>
      <c r="X87" s="87">
        <v>0</v>
      </c>
    </row>
    <row r="88" spans="2:24">
      <c r="B88" s="23" t="s">
        <v>127</v>
      </c>
      <c r="D88" t="s">
        <v>108</v>
      </c>
      <c r="F88" s="69">
        <f>SUM(G88:O88)</f>
        <v>0</v>
      </c>
      <c r="G88" s="87"/>
      <c r="H88" s="87"/>
      <c r="I88" s="98">
        <f t="shared" si="30"/>
        <v>0</v>
      </c>
      <c r="J88" s="98">
        <f t="shared" si="31"/>
        <v>0</v>
      </c>
      <c r="K88" s="98">
        <f t="shared" si="32"/>
        <v>0</v>
      </c>
      <c r="L88" s="87"/>
      <c r="M88" s="87"/>
      <c r="N88" s="87"/>
      <c r="O88" s="87"/>
      <c r="S88" s="87">
        <v>0</v>
      </c>
      <c r="T88" s="87">
        <v>0</v>
      </c>
      <c r="U88" s="87">
        <v>0</v>
      </c>
      <c r="V88" s="87">
        <v>0</v>
      </c>
      <c r="W88" s="87">
        <v>0</v>
      </c>
      <c r="X88" s="87">
        <v>0</v>
      </c>
    </row>
    <row r="89" spans="2:24">
      <c r="B89" s="23"/>
      <c r="F89" s="64"/>
      <c r="G89" s="63"/>
      <c r="H89" s="63"/>
      <c r="I89" s="63"/>
      <c r="J89" s="63"/>
      <c r="K89" s="63"/>
      <c r="L89" s="63"/>
      <c r="M89" s="63"/>
      <c r="N89" s="63"/>
      <c r="O89" s="63"/>
      <c r="S89" s="258"/>
      <c r="T89" s="258"/>
      <c r="U89" s="258"/>
      <c r="V89" s="258"/>
      <c r="W89" s="258"/>
      <c r="X89" s="258"/>
    </row>
    <row r="90" spans="2:24">
      <c r="B90" s="22" t="s">
        <v>128</v>
      </c>
      <c r="F90" s="64"/>
      <c r="G90" s="63"/>
      <c r="H90" s="63"/>
      <c r="I90" s="63"/>
      <c r="J90" s="63"/>
      <c r="K90" s="63"/>
      <c r="L90" s="63"/>
      <c r="M90" s="63"/>
      <c r="N90" s="63"/>
      <c r="O90" s="63"/>
      <c r="S90" s="258"/>
      <c r="T90" s="258"/>
      <c r="U90" s="258"/>
      <c r="V90" s="258"/>
      <c r="W90" s="258"/>
      <c r="X90" s="258"/>
    </row>
    <row r="91" spans="2:24">
      <c r="B91" s="93" t="s">
        <v>180</v>
      </c>
      <c r="D91" t="s">
        <v>108</v>
      </c>
      <c r="F91" s="69">
        <f>SUM(G91:O91)</f>
        <v>815406.80330350378</v>
      </c>
      <c r="G91" s="87">
        <v>17000</v>
      </c>
      <c r="H91" s="87">
        <v>22655.414549999998</v>
      </c>
      <c r="I91" s="98">
        <f t="shared" ref="I91:I93" si="33">S91+T91</f>
        <v>53190.981643655774</v>
      </c>
      <c r="J91" s="98">
        <f t="shared" ref="J91:J93" si="34">U91+V91</f>
        <v>221030.34628937035</v>
      </c>
      <c r="K91" s="98">
        <f t="shared" ref="K91:K93" si="35">W91+X91</f>
        <v>251804.95935440497</v>
      </c>
      <c r="L91" s="87">
        <v>15371.73</v>
      </c>
      <c r="M91" s="87">
        <f>232325.485045014+1099.33356646522</f>
        <v>233424.81861147922</v>
      </c>
      <c r="N91" s="87">
        <v>928.55285459348249</v>
      </c>
      <c r="O91" s="87"/>
      <c r="S91" s="87">
        <v>29685.549216229196</v>
      </c>
      <c r="T91" s="87">
        <v>23505.432427426578</v>
      </c>
      <c r="U91" s="87">
        <v>187055.34628937035</v>
      </c>
      <c r="V91" s="87">
        <v>33975</v>
      </c>
      <c r="W91" s="87">
        <f>217712.010403564+27298.207496015</f>
        <v>245010.217899579</v>
      </c>
      <c r="X91" s="87">
        <v>6794.7414548259685</v>
      </c>
    </row>
    <row r="92" spans="2:24">
      <c r="B92" s="93" t="s">
        <v>181</v>
      </c>
      <c r="D92" t="s">
        <v>108</v>
      </c>
      <c r="F92" s="69">
        <f>SUM(G92:O92)</f>
        <v>0</v>
      </c>
      <c r="G92" s="87"/>
      <c r="H92" s="87"/>
      <c r="I92" s="98">
        <f t="shared" si="33"/>
        <v>0</v>
      </c>
      <c r="J92" s="98">
        <f t="shared" si="34"/>
        <v>0</v>
      </c>
      <c r="K92" s="98">
        <f t="shared" si="35"/>
        <v>0</v>
      </c>
      <c r="L92" s="87"/>
      <c r="M92" s="87"/>
      <c r="N92" s="87"/>
      <c r="O92" s="87"/>
      <c r="S92" s="87">
        <v>0</v>
      </c>
      <c r="T92" s="87">
        <v>0</v>
      </c>
      <c r="U92" s="87">
        <v>0</v>
      </c>
      <c r="V92" s="87">
        <v>0</v>
      </c>
      <c r="W92" s="87">
        <v>0</v>
      </c>
      <c r="X92" s="87">
        <v>0</v>
      </c>
    </row>
    <row r="93" spans="2:24">
      <c r="B93" s="94" t="s">
        <v>182</v>
      </c>
      <c r="D93" t="s">
        <v>108</v>
      </c>
      <c r="F93" s="69">
        <f>SUM(G93:O93)</f>
        <v>1131342.9484492382</v>
      </c>
      <c r="G93" s="87"/>
      <c r="H93" s="87"/>
      <c r="I93" s="98">
        <f t="shared" si="33"/>
        <v>97285.285131138138</v>
      </c>
      <c r="J93" s="98">
        <f t="shared" si="34"/>
        <v>0</v>
      </c>
      <c r="K93" s="98">
        <f t="shared" si="35"/>
        <v>979831.32777859946</v>
      </c>
      <c r="L93" s="87">
        <v>28463.759999999998</v>
      </c>
      <c r="M93" s="87">
        <v>25180.825111018952</v>
      </c>
      <c r="N93" s="87">
        <v>581.75042848173609</v>
      </c>
      <c r="O93" s="87"/>
      <c r="S93" s="87">
        <v>60154.245002427786</v>
      </c>
      <c r="T93" s="87">
        <v>37131.040128710345</v>
      </c>
      <c r="U93" s="87">
        <v>0</v>
      </c>
      <c r="V93" s="87">
        <v>0</v>
      </c>
      <c r="W93" s="87">
        <v>974376.38654727244</v>
      </c>
      <c r="X93" s="87">
        <v>5454.9412313269968</v>
      </c>
    </row>
    <row r="94" spans="2:24">
      <c r="B94" s="23"/>
      <c r="F94" s="64"/>
      <c r="G94" s="63"/>
      <c r="H94" s="63"/>
      <c r="I94" s="63"/>
      <c r="J94" s="63"/>
      <c r="K94" s="63"/>
      <c r="L94" s="63"/>
      <c r="M94" s="63"/>
      <c r="N94" s="63"/>
      <c r="O94" s="63"/>
      <c r="S94" s="258"/>
      <c r="T94" s="258"/>
      <c r="U94" s="258"/>
      <c r="V94" s="258"/>
      <c r="W94" s="258"/>
      <c r="X94" s="258"/>
    </row>
    <row r="95" spans="2:24">
      <c r="F95" s="64"/>
      <c r="G95" s="63"/>
      <c r="H95" s="63"/>
      <c r="I95" s="63"/>
      <c r="J95" s="63"/>
      <c r="K95" s="63"/>
      <c r="L95" s="63"/>
      <c r="M95" s="63"/>
      <c r="N95" s="63"/>
      <c r="O95" s="63"/>
      <c r="S95" s="258"/>
      <c r="T95" s="258"/>
      <c r="U95" s="258"/>
      <c r="V95" s="258"/>
      <c r="W95" s="258"/>
      <c r="X95" s="258"/>
    </row>
    <row r="96" spans="2:24">
      <c r="B96" s="22" t="s">
        <v>221</v>
      </c>
      <c r="F96" s="64"/>
      <c r="G96" s="63"/>
      <c r="H96" s="63"/>
      <c r="I96" s="63"/>
      <c r="J96" s="63"/>
      <c r="K96" s="63"/>
      <c r="L96" s="63"/>
      <c r="M96" s="63"/>
      <c r="N96" s="63"/>
      <c r="O96" s="63"/>
      <c r="S96" s="258"/>
      <c r="T96" s="258"/>
      <c r="U96" s="258"/>
      <c r="V96" s="258"/>
      <c r="W96" s="258"/>
      <c r="X96" s="258"/>
    </row>
    <row r="97" spans="2:24">
      <c r="B97" s="23"/>
      <c r="F97" s="64"/>
      <c r="G97" s="63"/>
      <c r="H97" s="63"/>
      <c r="I97" s="63"/>
      <c r="J97" s="63"/>
      <c r="K97" s="63"/>
      <c r="L97" s="63"/>
      <c r="M97" s="63"/>
      <c r="N97" s="63"/>
      <c r="O97" s="63"/>
      <c r="S97" s="258"/>
      <c r="T97" s="258"/>
      <c r="U97" s="258"/>
      <c r="V97" s="258"/>
      <c r="W97" s="258"/>
      <c r="X97" s="258"/>
    </row>
    <row r="98" spans="2:24">
      <c r="B98" s="22" t="s">
        <v>121</v>
      </c>
      <c r="F98" s="64"/>
      <c r="G98" s="63"/>
      <c r="H98" s="63"/>
      <c r="I98" s="63"/>
      <c r="J98" s="63"/>
      <c r="K98" s="63"/>
      <c r="L98" s="63"/>
      <c r="M98" s="63"/>
      <c r="N98" s="63"/>
      <c r="O98" s="63"/>
      <c r="S98" s="258"/>
      <c r="T98" s="258"/>
      <c r="U98" s="258"/>
      <c r="V98" s="258"/>
      <c r="W98" s="258"/>
      <c r="X98" s="258"/>
    </row>
    <row r="99" spans="2:24">
      <c r="B99" s="23" t="s">
        <v>216</v>
      </c>
      <c r="D99" t="s">
        <v>108</v>
      </c>
      <c r="F99" s="69">
        <f>SUM(G99:O99)</f>
        <v>0</v>
      </c>
      <c r="G99" s="87"/>
      <c r="H99" s="87"/>
      <c r="I99" s="98">
        <f t="shared" ref="I99:I100" si="36">S99+T99</f>
        <v>0</v>
      </c>
      <c r="J99" s="98">
        <f t="shared" ref="J99:J100" si="37">U99+V99</f>
        <v>0</v>
      </c>
      <c r="K99" s="98">
        <f t="shared" ref="K99:K100" si="38">W99+X99</f>
        <v>0</v>
      </c>
      <c r="L99" s="87"/>
      <c r="M99" s="87"/>
      <c r="N99" s="87"/>
      <c r="O99" s="87"/>
      <c r="S99" s="87">
        <v>0</v>
      </c>
      <c r="T99" s="87">
        <v>0</v>
      </c>
      <c r="U99" s="87">
        <v>0</v>
      </c>
      <c r="V99" s="87">
        <v>0</v>
      </c>
      <c r="W99" s="87">
        <v>0</v>
      </c>
      <c r="X99" s="87">
        <v>0</v>
      </c>
    </row>
    <row r="100" spans="2:24">
      <c r="B100" s="23" t="s">
        <v>217</v>
      </c>
      <c r="D100" t="s">
        <v>108</v>
      </c>
      <c r="F100" s="69">
        <f>SUM(G100:O100)</f>
        <v>0</v>
      </c>
      <c r="G100" s="87"/>
      <c r="H100" s="87"/>
      <c r="I100" s="98">
        <f t="shared" si="36"/>
        <v>0</v>
      </c>
      <c r="J100" s="98">
        <f t="shared" si="37"/>
        <v>0</v>
      </c>
      <c r="K100" s="98">
        <f t="shared" si="38"/>
        <v>0</v>
      </c>
      <c r="L100" s="87"/>
      <c r="M100" s="87"/>
      <c r="N100" s="87"/>
      <c r="O100" s="87"/>
      <c r="S100" s="87">
        <v>0</v>
      </c>
      <c r="T100" s="87">
        <v>0</v>
      </c>
      <c r="U100" s="87">
        <v>0</v>
      </c>
      <c r="V100" s="87">
        <v>0</v>
      </c>
      <c r="W100" s="87">
        <v>0</v>
      </c>
      <c r="X100" s="87">
        <v>0</v>
      </c>
    </row>
    <row r="101" spans="2:24">
      <c r="B101" s="23"/>
      <c r="F101" s="64"/>
      <c r="G101" s="63"/>
      <c r="H101" s="63"/>
      <c r="I101" s="63"/>
      <c r="J101" s="63"/>
      <c r="K101" s="63"/>
      <c r="L101" s="63"/>
      <c r="M101" s="63"/>
      <c r="N101" s="63"/>
      <c r="O101" s="63"/>
      <c r="S101" s="258"/>
      <c r="T101" s="258"/>
      <c r="U101" s="258"/>
      <c r="V101" s="258"/>
      <c r="W101" s="258"/>
      <c r="X101" s="258"/>
    </row>
    <row r="102" spans="2:24">
      <c r="B102" s="22" t="s">
        <v>122</v>
      </c>
      <c r="F102" s="64"/>
      <c r="G102" s="63"/>
      <c r="H102" s="63"/>
      <c r="I102" s="63"/>
      <c r="J102" s="63"/>
      <c r="K102" s="63"/>
      <c r="L102" s="63"/>
      <c r="M102" s="63"/>
      <c r="N102" s="63"/>
      <c r="O102" s="63"/>
      <c r="S102" s="258"/>
      <c r="T102" s="258"/>
      <c r="U102" s="258"/>
      <c r="V102" s="258"/>
      <c r="W102" s="258"/>
      <c r="X102" s="258"/>
    </row>
    <row r="103" spans="2:24">
      <c r="B103" s="23" t="s">
        <v>123</v>
      </c>
      <c r="D103" t="s">
        <v>108</v>
      </c>
      <c r="F103" s="69">
        <f>SUM(G103:O103)</f>
        <v>4119046.3762434018</v>
      </c>
      <c r="G103" s="87">
        <v>4000</v>
      </c>
      <c r="H103" s="87">
        <v>156476.42734878257</v>
      </c>
      <c r="I103" s="98">
        <f t="shared" ref="I103:I104" si="39">S103+T103</f>
        <v>297329.96632795117</v>
      </c>
      <c r="J103" s="98">
        <f t="shared" ref="J103:J104" si="40">U103+V103</f>
        <v>917153.32099892013</v>
      </c>
      <c r="K103" s="98">
        <f t="shared" ref="K103:K104" si="41">W103+X103</f>
        <v>2355004.9510679524</v>
      </c>
      <c r="L103" s="87">
        <v>75937.990000000005</v>
      </c>
      <c r="M103" s="87">
        <v>187133.17446198501</v>
      </c>
      <c r="N103" s="87">
        <v>126010.54603781051</v>
      </c>
      <c r="O103" s="87"/>
      <c r="S103" s="87">
        <v>51167.408365316282</v>
      </c>
      <c r="T103" s="87">
        <v>246162.55796263489</v>
      </c>
      <c r="U103" s="87">
        <v>900569.80917982501</v>
      </c>
      <c r="V103" s="87">
        <v>16583.511819095082</v>
      </c>
      <c r="W103" s="87">
        <v>2288284.8091282868</v>
      </c>
      <c r="X103" s="87">
        <v>66720.141939665729</v>
      </c>
    </row>
    <row r="104" spans="2:24">
      <c r="B104" s="23" t="s">
        <v>124</v>
      </c>
      <c r="D104" t="s">
        <v>108</v>
      </c>
      <c r="F104" s="69">
        <f>SUM(G104:O104)</f>
        <v>65811.530636350901</v>
      </c>
      <c r="G104" s="87"/>
      <c r="H104" s="87"/>
      <c r="I104" s="98">
        <f t="shared" si="39"/>
        <v>0</v>
      </c>
      <c r="J104" s="98">
        <f t="shared" si="40"/>
        <v>0</v>
      </c>
      <c r="K104" s="98">
        <f t="shared" si="41"/>
        <v>0</v>
      </c>
      <c r="L104" s="87">
        <v>1536.13</v>
      </c>
      <c r="M104" s="87">
        <v>64275.400636350903</v>
      </c>
      <c r="N104" s="87"/>
      <c r="O104" s="87"/>
      <c r="S104" s="87">
        <v>0</v>
      </c>
      <c r="T104" s="87">
        <v>0</v>
      </c>
      <c r="U104" s="87">
        <v>0</v>
      </c>
      <c r="V104" s="87">
        <v>0</v>
      </c>
      <c r="W104" s="87">
        <v>0</v>
      </c>
      <c r="X104" s="87">
        <v>0</v>
      </c>
    </row>
    <row r="105" spans="2:24">
      <c r="B105" s="23"/>
      <c r="F105" s="64"/>
      <c r="G105" s="63"/>
      <c r="H105" s="63"/>
      <c r="I105" s="63"/>
      <c r="J105" s="63"/>
      <c r="K105" s="63"/>
      <c r="L105" s="63"/>
      <c r="M105" s="63"/>
      <c r="N105" s="63"/>
      <c r="O105" s="63"/>
      <c r="S105" s="258"/>
      <c r="T105" s="258"/>
      <c r="U105" s="258"/>
      <c r="V105" s="258"/>
      <c r="W105" s="258"/>
      <c r="X105" s="258"/>
    </row>
    <row r="106" spans="2:24">
      <c r="B106" s="22" t="s">
        <v>125</v>
      </c>
      <c r="F106" s="64"/>
      <c r="G106" s="63"/>
      <c r="H106" s="63"/>
      <c r="I106" s="63"/>
      <c r="J106" s="63"/>
      <c r="K106" s="63"/>
      <c r="L106" s="63"/>
      <c r="M106" s="63"/>
      <c r="N106" s="63"/>
      <c r="O106" s="63"/>
      <c r="S106" s="258"/>
      <c r="T106" s="258"/>
      <c r="U106" s="258"/>
      <c r="V106" s="258"/>
      <c r="W106" s="258"/>
      <c r="X106" s="258"/>
    </row>
    <row r="107" spans="2:24">
      <c r="B107" s="23" t="s">
        <v>126</v>
      </c>
      <c r="D107" t="s">
        <v>108</v>
      </c>
      <c r="F107" s="69">
        <f>SUM(G107:O107)</f>
        <v>0</v>
      </c>
      <c r="G107" s="87"/>
      <c r="H107" s="87"/>
      <c r="I107" s="98">
        <f t="shared" ref="I107:I108" si="42">S107+T107</f>
        <v>0</v>
      </c>
      <c r="J107" s="98">
        <f t="shared" ref="J107:J108" si="43">U107+V107</f>
        <v>0</v>
      </c>
      <c r="K107" s="98">
        <f t="shared" ref="K107:K108" si="44">W107+X107</f>
        <v>0</v>
      </c>
      <c r="L107" s="87"/>
      <c r="M107" s="87"/>
      <c r="N107" s="87"/>
      <c r="O107" s="87"/>
      <c r="S107" s="87">
        <v>0</v>
      </c>
      <c r="T107" s="87">
        <v>0</v>
      </c>
      <c r="U107" s="87">
        <v>0</v>
      </c>
      <c r="V107" s="87">
        <v>0</v>
      </c>
      <c r="W107" s="87">
        <v>0</v>
      </c>
      <c r="X107" s="87">
        <v>0</v>
      </c>
    </row>
    <row r="108" spans="2:24">
      <c r="B108" s="23" t="s">
        <v>127</v>
      </c>
      <c r="D108" t="s">
        <v>108</v>
      </c>
      <c r="F108" s="69">
        <f>SUM(G108:O108)</f>
        <v>1000</v>
      </c>
      <c r="G108" s="87">
        <v>1000</v>
      </c>
      <c r="H108" s="87"/>
      <c r="I108" s="98">
        <f t="shared" si="42"/>
        <v>0</v>
      </c>
      <c r="J108" s="98">
        <f t="shared" si="43"/>
        <v>0</v>
      </c>
      <c r="K108" s="98">
        <f t="shared" si="44"/>
        <v>0</v>
      </c>
      <c r="L108" s="87"/>
      <c r="M108" s="87"/>
      <c r="N108" s="87"/>
      <c r="O108" s="87"/>
      <c r="S108" s="87">
        <v>0</v>
      </c>
      <c r="T108" s="87">
        <v>0</v>
      </c>
      <c r="U108" s="87">
        <v>0</v>
      </c>
      <c r="V108" s="87">
        <v>0</v>
      </c>
      <c r="W108" s="87">
        <v>0</v>
      </c>
      <c r="X108" s="87">
        <v>0</v>
      </c>
    </row>
    <row r="109" spans="2:24">
      <c r="B109" s="23"/>
      <c r="F109" s="64"/>
      <c r="G109" s="63"/>
      <c r="H109" s="63"/>
      <c r="I109" s="63"/>
      <c r="J109" s="63"/>
      <c r="K109" s="63"/>
      <c r="L109" s="63"/>
      <c r="M109" s="63"/>
      <c r="N109" s="63"/>
      <c r="O109" s="63"/>
      <c r="S109" s="258"/>
      <c r="T109" s="258"/>
      <c r="U109" s="258"/>
      <c r="V109" s="258"/>
      <c r="W109" s="258"/>
      <c r="X109" s="258"/>
    </row>
    <row r="110" spans="2:24">
      <c r="B110" s="22" t="s">
        <v>128</v>
      </c>
      <c r="F110" s="64"/>
      <c r="G110" s="63"/>
      <c r="H110" s="63"/>
      <c r="I110" s="63"/>
      <c r="J110" s="63"/>
      <c r="K110" s="63"/>
      <c r="L110" s="63"/>
      <c r="M110" s="63"/>
      <c r="N110" s="63"/>
      <c r="O110" s="63"/>
      <c r="S110" s="258"/>
      <c r="T110" s="258"/>
      <c r="U110" s="258"/>
      <c r="V110" s="258"/>
      <c r="W110" s="258"/>
      <c r="X110" s="258"/>
    </row>
    <row r="111" spans="2:24">
      <c r="B111" s="93" t="s">
        <v>180</v>
      </c>
      <c r="D111" t="s">
        <v>108</v>
      </c>
      <c r="F111" s="69">
        <f>SUM(G111:O111)</f>
        <v>0</v>
      </c>
      <c r="G111" s="87"/>
      <c r="H111" s="87"/>
      <c r="I111" s="98">
        <f t="shared" ref="I111:I113" si="45">S111+T111</f>
        <v>0</v>
      </c>
      <c r="J111" s="98">
        <f t="shared" ref="J111:J113" si="46">U111+V111</f>
        <v>0</v>
      </c>
      <c r="K111" s="98">
        <f t="shared" ref="K111:K113" si="47">W111+X111</f>
        <v>0</v>
      </c>
      <c r="L111" s="87"/>
      <c r="M111" s="87"/>
      <c r="N111" s="87"/>
      <c r="O111" s="87"/>
      <c r="S111" s="87">
        <v>0</v>
      </c>
      <c r="T111" s="87">
        <v>0</v>
      </c>
      <c r="U111" s="87">
        <v>0</v>
      </c>
      <c r="V111" s="87">
        <v>0</v>
      </c>
      <c r="W111" s="87">
        <v>0</v>
      </c>
      <c r="X111" s="87">
        <v>0</v>
      </c>
    </row>
    <row r="112" spans="2:24">
      <c r="B112" s="93" t="s">
        <v>181</v>
      </c>
      <c r="D112" t="s">
        <v>108</v>
      </c>
      <c r="F112" s="69">
        <f>SUM(G112:O112)</f>
        <v>111225.73609393049</v>
      </c>
      <c r="G112" s="87">
        <v>1000</v>
      </c>
      <c r="H112" s="87">
        <v>591.01673399999981</v>
      </c>
      <c r="I112" s="98">
        <f t="shared" si="45"/>
        <v>4691.5693290800409</v>
      </c>
      <c r="J112" s="98">
        <f t="shared" si="46"/>
        <v>28492.428904095472</v>
      </c>
      <c r="K112" s="98">
        <f t="shared" si="47"/>
        <v>17347.665807246187</v>
      </c>
      <c r="L112" s="87">
        <v>1429.02</v>
      </c>
      <c r="M112" s="87">
        <f>48794.5911628239+230.889572518686</f>
        <v>49025.480735342586</v>
      </c>
      <c r="N112" s="87">
        <v>8648.5545841662133</v>
      </c>
      <c r="O112" s="87"/>
      <c r="S112" s="87">
        <v>1418.0761739330699</v>
      </c>
      <c r="T112" s="87">
        <v>3273.4931551469713</v>
      </c>
      <c r="U112" s="87">
        <v>27512.258197031661</v>
      </c>
      <c r="V112" s="87">
        <v>980.17070706381128</v>
      </c>
      <c r="W112" s="87">
        <f>1861.00755378424+14394.6763642752</f>
        <v>16255.68391805944</v>
      </c>
      <c r="X112" s="87">
        <v>1091.9818891867458</v>
      </c>
    </row>
    <row r="113" spans="2:24">
      <c r="B113" s="94" t="s">
        <v>182</v>
      </c>
      <c r="D113" t="s">
        <v>108</v>
      </c>
      <c r="F113" s="69">
        <f>SUM(G113:O113)</f>
        <v>74307.960544851885</v>
      </c>
      <c r="G113" s="87"/>
      <c r="H113" s="87"/>
      <c r="I113" s="98">
        <f t="shared" si="45"/>
        <v>4283.5281740044629</v>
      </c>
      <c r="J113" s="98">
        <f t="shared" si="46"/>
        <v>0</v>
      </c>
      <c r="K113" s="98">
        <f t="shared" si="47"/>
        <v>61944.338204853098</v>
      </c>
      <c r="L113" s="87">
        <v>2542.5100000000002</v>
      </c>
      <c r="M113" s="87">
        <v>119.15234469636394</v>
      </c>
      <c r="N113" s="87">
        <v>5418.4318212979542</v>
      </c>
      <c r="O113" s="87"/>
      <c r="S113" s="87">
        <v>1348.9296102990022</v>
      </c>
      <c r="T113" s="87">
        <v>2934.5985637054609</v>
      </c>
      <c r="U113" s="87">
        <v>0</v>
      </c>
      <c r="V113" s="87">
        <v>0</v>
      </c>
      <c r="W113" s="87">
        <v>61501.400870729565</v>
      </c>
      <c r="X113" s="87">
        <v>442.93733412353549</v>
      </c>
    </row>
    <row r="114" spans="2:24">
      <c r="F114" s="64"/>
      <c r="G114" s="63"/>
      <c r="H114" s="63"/>
      <c r="I114" s="63"/>
      <c r="J114" s="63"/>
      <c r="K114" s="63"/>
      <c r="L114" s="63"/>
      <c r="M114" s="63"/>
      <c r="N114" s="63"/>
      <c r="O114" s="63"/>
      <c r="S114" s="258"/>
      <c r="T114" s="258"/>
      <c r="U114" s="258"/>
      <c r="V114" s="258"/>
      <c r="W114" s="258"/>
      <c r="X114" s="258"/>
    </row>
    <row r="115" spans="2:24">
      <c r="F115" s="64"/>
      <c r="G115" s="63"/>
      <c r="H115" s="63"/>
      <c r="I115" s="63"/>
      <c r="J115" s="63"/>
      <c r="K115" s="63"/>
      <c r="L115" s="63"/>
      <c r="M115" s="63"/>
      <c r="N115" s="63"/>
      <c r="O115" s="63"/>
      <c r="S115" s="258"/>
      <c r="T115" s="258"/>
      <c r="U115" s="258"/>
      <c r="V115" s="258"/>
      <c r="W115" s="258"/>
      <c r="X115" s="258"/>
    </row>
    <row r="116" spans="2:24">
      <c r="B116" s="22" t="s">
        <v>222</v>
      </c>
      <c r="F116" s="64"/>
      <c r="G116" s="63"/>
      <c r="H116" s="63"/>
      <c r="I116" s="63"/>
      <c r="J116" s="63"/>
      <c r="K116" s="63"/>
      <c r="L116" s="63"/>
      <c r="M116" s="63"/>
      <c r="N116" s="63"/>
      <c r="O116" s="63"/>
      <c r="S116" s="258"/>
      <c r="T116" s="258"/>
      <c r="U116" s="258"/>
      <c r="V116" s="258"/>
      <c r="W116" s="258"/>
      <c r="X116" s="258"/>
    </row>
    <row r="117" spans="2:24">
      <c r="B117" s="23"/>
      <c r="F117" s="64"/>
      <c r="G117" s="63"/>
      <c r="H117" s="63"/>
      <c r="I117" s="63"/>
      <c r="J117" s="63"/>
      <c r="K117" s="63"/>
      <c r="L117" s="63"/>
      <c r="M117" s="63"/>
      <c r="N117" s="63"/>
      <c r="O117" s="63"/>
      <c r="S117" s="258"/>
      <c r="T117" s="258"/>
      <c r="U117" s="258"/>
      <c r="V117" s="258"/>
      <c r="W117" s="258"/>
      <c r="X117" s="258"/>
    </row>
    <row r="118" spans="2:24">
      <c r="B118" s="22" t="s">
        <v>121</v>
      </c>
      <c r="F118" s="64"/>
      <c r="G118" s="63"/>
      <c r="H118" s="63"/>
      <c r="I118" s="63"/>
      <c r="J118" s="63"/>
      <c r="K118" s="63"/>
      <c r="L118" s="63"/>
      <c r="M118" s="63"/>
      <c r="N118" s="63"/>
      <c r="O118" s="63"/>
      <c r="S118" s="258"/>
      <c r="T118" s="258"/>
      <c r="U118" s="258"/>
      <c r="V118" s="258"/>
      <c r="W118" s="258"/>
      <c r="X118" s="258"/>
    </row>
    <row r="119" spans="2:24">
      <c r="B119" s="23" t="s">
        <v>216</v>
      </c>
      <c r="D119" t="s">
        <v>108</v>
      </c>
      <c r="F119" s="69">
        <f>SUM(G119:O119)</f>
        <v>0</v>
      </c>
      <c r="G119" s="98">
        <f>G79+G99</f>
        <v>0</v>
      </c>
      <c r="H119" s="98">
        <f t="shared" ref="H119:O119" si="48">H79+H99</f>
        <v>0</v>
      </c>
      <c r="I119" s="98">
        <f t="shared" si="48"/>
        <v>0</v>
      </c>
      <c r="J119" s="98">
        <f t="shared" si="48"/>
        <v>0</v>
      </c>
      <c r="K119" s="98">
        <f t="shared" si="48"/>
        <v>0</v>
      </c>
      <c r="L119" s="98">
        <f t="shared" si="48"/>
        <v>0</v>
      </c>
      <c r="M119" s="98">
        <f t="shared" si="48"/>
        <v>0</v>
      </c>
      <c r="N119" s="98">
        <f t="shared" si="48"/>
        <v>0</v>
      </c>
      <c r="O119" s="98">
        <f t="shared" si="48"/>
        <v>0</v>
      </c>
      <c r="S119" s="29"/>
      <c r="T119" s="29"/>
      <c r="U119" s="29"/>
      <c r="V119" s="29"/>
      <c r="W119" s="29"/>
      <c r="X119" s="29"/>
    </row>
    <row r="120" spans="2:24">
      <c r="B120" s="23" t="s">
        <v>217</v>
      </c>
      <c r="D120" t="s">
        <v>108</v>
      </c>
      <c r="F120" s="69">
        <f>SUM(G120:O120)</f>
        <v>0</v>
      </c>
      <c r="G120" s="98">
        <f>G80+G100</f>
        <v>0</v>
      </c>
      <c r="H120" s="98">
        <f t="shared" ref="H120:O120" si="49">H80+H100</f>
        <v>0</v>
      </c>
      <c r="I120" s="98">
        <f t="shared" si="49"/>
        <v>0</v>
      </c>
      <c r="J120" s="98">
        <f t="shared" si="49"/>
        <v>0</v>
      </c>
      <c r="K120" s="98">
        <f t="shared" si="49"/>
        <v>0</v>
      </c>
      <c r="L120" s="98">
        <f t="shared" si="49"/>
        <v>0</v>
      </c>
      <c r="M120" s="98">
        <f t="shared" si="49"/>
        <v>0</v>
      </c>
      <c r="N120" s="98">
        <f t="shared" si="49"/>
        <v>0</v>
      </c>
      <c r="O120" s="98">
        <f t="shared" si="49"/>
        <v>0</v>
      </c>
      <c r="S120" s="29"/>
      <c r="T120" s="29"/>
      <c r="U120" s="29"/>
      <c r="V120" s="29"/>
      <c r="W120" s="29"/>
      <c r="X120" s="29"/>
    </row>
    <row r="121" spans="2:24">
      <c r="B121" s="23"/>
      <c r="F121" s="64"/>
      <c r="G121" s="63"/>
      <c r="H121" s="63"/>
      <c r="I121" s="63"/>
      <c r="J121" s="63"/>
      <c r="K121" s="63"/>
      <c r="L121" s="63"/>
      <c r="M121" s="63"/>
      <c r="N121" s="63"/>
      <c r="O121" s="63"/>
      <c r="S121" s="259"/>
      <c r="T121" s="259"/>
      <c r="U121" s="259"/>
      <c r="V121" s="259"/>
      <c r="W121" s="259"/>
      <c r="X121" s="259"/>
    </row>
    <row r="122" spans="2:24">
      <c r="B122" s="22" t="s">
        <v>122</v>
      </c>
      <c r="F122" s="64"/>
      <c r="G122" s="63"/>
      <c r="H122" s="63"/>
      <c r="I122" s="63"/>
      <c r="J122" s="63"/>
      <c r="K122" s="63"/>
      <c r="L122" s="63"/>
      <c r="M122" s="63"/>
      <c r="N122" s="63"/>
      <c r="O122" s="63"/>
      <c r="S122" s="259"/>
      <c r="T122" s="259"/>
      <c r="U122" s="259"/>
      <c r="V122" s="259"/>
      <c r="W122" s="259"/>
      <c r="X122" s="259"/>
    </row>
    <row r="123" spans="2:24">
      <c r="B123" s="23" t="s">
        <v>123</v>
      </c>
      <c r="D123" t="s">
        <v>108</v>
      </c>
      <c r="F123" s="69">
        <f>SUM(G123:O123)</f>
        <v>76274103.838073462</v>
      </c>
      <c r="G123" s="98">
        <f>G83+G103</f>
        <v>1525000</v>
      </c>
      <c r="H123" s="98">
        <f t="shared" ref="H123:O123" si="50">H83+H103</f>
        <v>1464535.9653174004</v>
      </c>
      <c r="I123" s="98">
        <f t="shared" si="50"/>
        <v>5597905.0691100499</v>
      </c>
      <c r="J123" s="98">
        <f t="shared" si="50"/>
        <v>15101937.713420806</v>
      </c>
      <c r="K123" s="98">
        <f t="shared" si="50"/>
        <v>37982886.291962922</v>
      </c>
      <c r="L123" s="98">
        <f t="shared" si="50"/>
        <v>926073.05999999994</v>
      </c>
      <c r="M123" s="98">
        <f t="shared" si="50"/>
        <v>13176248.251381829</v>
      </c>
      <c r="N123" s="98">
        <f t="shared" si="50"/>
        <v>499517.48688044853</v>
      </c>
      <c r="O123" s="98">
        <f t="shared" si="50"/>
        <v>0</v>
      </c>
      <c r="S123" s="29"/>
      <c r="T123" s="29"/>
      <c r="U123" s="29"/>
      <c r="V123" s="29"/>
      <c r="W123" s="29"/>
      <c r="X123" s="29"/>
    </row>
    <row r="124" spans="2:24">
      <c r="B124" s="23" t="s">
        <v>124</v>
      </c>
      <c r="D124" t="s">
        <v>108</v>
      </c>
      <c r="F124" s="69">
        <f>SUM(G124:O124)</f>
        <v>5532221.6557895578</v>
      </c>
      <c r="G124" s="98">
        <f>G84+G104</f>
        <v>0</v>
      </c>
      <c r="H124" s="98">
        <f t="shared" ref="H124:O124" si="51">H84+H104</f>
        <v>0</v>
      </c>
      <c r="I124" s="98">
        <f t="shared" si="51"/>
        <v>0</v>
      </c>
      <c r="J124" s="98">
        <f t="shared" si="51"/>
        <v>0</v>
      </c>
      <c r="K124" s="98">
        <f t="shared" si="51"/>
        <v>0</v>
      </c>
      <c r="L124" s="98">
        <f t="shared" si="51"/>
        <v>18733.280000000002</v>
      </c>
      <c r="M124" s="98">
        <f t="shared" si="51"/>
        <v>5513488.3757895576</v>
      </c>
      <c r="N124" s="98">
        <f t="shared" si="51"/>
        <v>0</v>
      </c>
      <c r="O124" s="98">
        <f t="shared" si="51"/>
        <v>0</v>
      </c>
      <c r="S124" s="29"/>
      <c r="T124" s="29"/>
      <c r="U124" s="29"/>
      <c r="V124" s="29"/>
      <c r="W124" s="29"/>
      <c r="X124" s="29"/>
    </row>
    <row r="125" spans="2:24">
      <c r="B125" s="23"/>
      <c r="F125" s="64"/>
      <c r="G125" s="63"/>
      <c r="H125" s="63"/>
      <c r="I125" s="63"/>
      <c r="J125" s="63"/>
      <c r="K125" s="63"/>
      <c r="L125" s="63"/>
      <c r="M125" s="63"/>
      <c r="N125" s="63"/>
      <c r="O125" s="63"/>
      <c r="S125" s="259"/>
      <c r="T125" s="259"/>
      <c r="U125" s="259"/>
      <c r="V125" s="259"/>
      <c r="W125" s="259"/>
      <c r="X125" s="259"/>
    </row>
    <row r="126" spans="2:24">
      <c r="B126" s="22" t="s">
        <v>125</v>
      </c>
      <c r="F126" s="64"/>
      <c r="G126" s="63"/>
      <c r="H126" s="63"/>
      <c r="I126" s="63"/>
      <c r="J126" s="63"/>
      <c r="K126" s="63"/>
      <c r="L126" s="63"/>
      <c r="M126" s="63"/>
      <c r="N126" s="63"/>
      <c r="O126" s="63"/>
      <c r="S126" s="259"/>
      <c r="T126" s="259"/>
      <c r="U126" s="259"/>
      <c r="V126" s="259"/>
      <c r="W126" s="259"/>
      <c r="X126" s="259"/>
    </row>
    <row r="127" spans="2:24">
      <c r="B127" s="23" t="s">
        <v>126</v>
      </c>
      <c r="D127" t="s">
        <v>108</v>
      </c>
      <c r="F127" s="69">
        <f>SUM(G127:O127)</f>
        <v>0</v>
      </c>
      <c r="G127" s="98">
        <f>G87+G107</f>
        <v>0</v>
      </c>
      <c r="H127" s="98">
        <f t="shared" ref="H127:O127" si="52">H87+H107</f>
        <v>0</v>
      </c>
      <c r="I127" s="98">
        <f t="shared" si="52"/>
        <v>0</v>
      </c>
      <c r="J127" s="98">
        <f t="shared" si="52"/>
        <v>0</v>
      </c>
      <c r="K127" s="98">
        <f t="shared" si="52"/>
        <v>0</v>
      </c>
      <c r="L127" s="98">
        <f t="shared" si="52"/>
        <v>0</v>
      </c>
      <c r="M127" s="98">
        <f t="shared" si="52"/>
        <v>0</v>
      </c>
      <c r="N127" s="98">
        <f t="shared" si="52"/>
        <v>0</v>
      </c>
      <c r="O127" s="98">
        <f t="shared" si="52"/>
        <v>0</v>
      </c>
      <c r="S127" s="29"/>
      <c r="T127" s="29"/>
      <c r="U127" s="29"/>
      <c r="V127" s="29"/>
      <c r="W127" s="29"/>
      <c r="X127" s="29"/>
    </row>
    <row r="128" spans="2:24">
      <c r="B128" s="23" t="s">
        <v>127</v>
      </c>
      <c r="D128" t="s">
        <v>108</v>
      </c>
      <c r="F128" s="69">
        <f>SUM(G128:O128)</f>
        <v>1000</v>
      </c>
      <c r="G128" s="98">
        <f>G88+G108</f>
        <v>1000</v>
      </c>
      <c r="H128" s="98">
        <f t="shared" ref="H128:O128" si="53">H88+H108</f>
        <v>0</v>
      </c>
      <c r="I128" s="98">
        <f t="shared" si="53"/>
        <v>0</v>
      </c>
      <c r="J128" s="98">
        <f t="shared" si="53"/>
        <v>0</v>
      </c>
      <c r="K128" s="98">
        <f t="shared" si="53"/>
        <v>0</v>
      </c>
      <c r="L128" s="98">
        <f t="shared" si="53"/>
        <v>0</v>
      </c>
      <c r="M128" s="98">
        <f t="shared" si="53"/>
        <v>0</v>
      </c>
      <c r="N128" s="98">
        <f t="shared" si="53"/>
        <v>0</v>
      </c>
      <c r="O128" s="98">
        <f t="shared" si="53"/>
        <v>0</v>
      </c>
      <c r="S128" s="29"/>
      <c r="T128" s="29"/>
      <c r="U128" s="29"/>
      <c r="V128" s="29"/>
      <c r="W128" s="29"/>
      <c r="X128" s="29"/>
    </row>
    <row r="129" spans="2:24">
      <c r="B129" s="23"/>
      <c r="F129" s="64"/>
      <c r="G129" s="63"/>
      <c r="H129" s="63"/>
      <c r="I129" s="63"/>
      <c r="J129" s="63"/>
      <c r="K129" s="63"/>
      <c r="L129" s="63"/>
      <c r="M129" s="63"/>
      <c r="N129" s="63"/>
      <c r="O129" s="63"/>
      <c r="S129" s="259"/>
      <c r="T129" s="259"/>
      <c r="U129" s="259"/>
      <c r="V129" s="259"/>
      <c r="W129" s="259"/>
      <c r="X129" s="259"/>
    </row>
    <row r="130" spans="2:24">
      <c r="B130" s="22" t="s">
        <v>128</v>
      </c>
      <c r="F130" s="64"/>
      <c r="G130" s="63"/>
      <c r="H130" s="63"/>
      <c r="I130" s="63"/>
      <c r="J130" s="63"/>
      <c r="K130" s="63"/>
      <c r="L130" s="63"/>
      <c r="M130" s="63"/>
      <c r="N130" s="63"/>
      <c r="O130" s="63"/>
      <c r="S130" s="259"/>
      <c r="T130" s="259"/>
      <c r="U130" s="259"/>
      <c r="V130" s="259"/>
      <c r="W130" s="259"/>
      <c r="X130" s="259"/>
    </row>
    <row r="131" spans="2:24">
      <c r="B131" s="93" t="s">
        <v>180</v>
      </c>
      <c r="D131" t="s">
        <v>108</v>
      </c>
      <c r="F131" s="69">
        <f>SUM(G131:O131)</f>
        <v>815406.80330350378</v>
      </c>
      <c r="G131" s="98">
        <f>G91+G111</f>
        <v>17000</v>
      </c>
      <c r="H131" s="98">
        <f t="shared" ref="H131:O131" si="54">H91+H111</f>
        <v>22655.414549999998</v>
      </c>
      <c r="I131" s="98">
        <f t="shared" si="54"/>
        <v>53190.981643655774</v>
      </c>
      <c r="J131" s="98">
        <f t="shared" si="54"/>
        <v>221030.34628937035</v>
      </c>
      <c r="K131" s="98">
        <f t="shared" si="54"/>
        <v>251804.95935440497</v>
      </c>
      <c r="L131" s="98">
        <f t="shared" si="54"/>
        <v>15371.73</v>
      </c>
      <c r="M131" s="98">
        <f t="shared" si="54"/>
        <v>233424.81861147922</v>
      </c>
      <c r="N131" s="98">
        <f t="shared" si="54"/>
        <v>928.55285459348249</v>
      </c>
      <c r="O131" s="98">
        <f t="shared" si="54"/>
        <v>0</v>
      </c>
      <c r="S131" s="29"/>
      <c r="T131" s="29"/>
      <c r="U131" s="29"/>
      <c r="V131" s="29"/>
      <c r="W131" s="29"/>
      <c r="X131" s="29"/>
    </row>
    <row r="132" spans="2:24">
      <c r="B132" s="93" t="s">
        <v>181</v>
      </c>
      <c r="D132" t="s">
        <v>108</v>
      </c>
      <c r="F132" s="69">
        <f>SUM(G132:O132)</f>
        <v>111225.73609393049</v>
      </c>
      <c r="G132" s="98">
        <f>G92+G112</f>
        <v>1000</v>
      </c>
      <c r="H132" s="98">
        <f t="shared" ref="H132:O132" si="55">H92+H112</f>
        <v>591.01673399999981</v>
      </c>
      <c r="I132" s="98">
        <f t="shared" si="55"/>
        <v>4691.5693290800409</v>
      </c>
      <c r="J132" s="98">
        <f t="shared" si="55"/>
        <v>28492.428904095472</v>
      </c>
      <c r="K132" s="98">
        <f t="shared" si="55"/>
        <v>17347.665807246187</v>
      </c>
      <c r="L132" s="98">
        <f t="shared" si="55"/>
        <v>1429.02</v>
      </c>
      <c r="M132" s="98">
        <f t="shared" si="55"/>
        <v>49025.480735342586</v>
      </c>
      <c r="N132" s="98">
        <f t="shared" si="55"/>
        <v>8648.5545841662133</v>
      </c>
      <c r="O132" s="98">
        <f t="shared" si="55"/>
        <v>0</v>
      </c>
      <c r="S132" s="29"/>
      <c r="T132" s="29"/>
      <c r="U132" s="29"/>
      <c r="V132" s="29"/>
      <c r="W132" s="29"/>
      <c r="X132" s="29"/>
    </row>
    <row r="133" spans="2:24">
      <c r="B133" s="94" t="s">
        <v>182</v>
      </c>
      <c r="D133" t="s">
        <v>108</v>
      </c>
      <c r="F133" s="69">
        <f>SUM(G133:O133)</f>
        <v>1205650.9089940903</v>
      </c>
      <c r="G133" s="98">
        <f>G93+G113</f>
        <v>0</v>
      </c>
      <c r="H133" s="98">
        <f t="shared" ref="H133:O133" si="56">H93+H113</f>
        <v>0</v>
      </c>
      <c r="I133" s="98">
        <f t="shared" si="56"/>
        <v>101568.8133051426</v>
      </c>
      <c r="J133" s="98">
        <f t="shared" si="56"/>
        <v>0</v>
      </c>
      <c r="K133" s="98">
        <f t="shared" si="56"/>
        <v>1041775.6659834526</v>
      </c>
      <c r="L133" s="98">
        <f t="shared" si="56"/>
        <v>31006.269999999997</v>
      </c>
      <c r="M133" s="98">
        <f t="shared" si="56"/>
        <v>25299.977455715318</v>
      </c>
      <c r="N133" s="98">
        <f t="shared" si="56"/>
        <v>6000.1822497796902</v>
      </c>
      <c r="O133" s="98">
        <f t="shared" si="56"/>
        <v>0</v>
      </c>
      <c r="S133" s="29"/>
      <c r="T133" s="29"/>
      <c r="U133" s="29"/>
      <c r="V133" s="29"/>
      <c r="W133" s="29"/>
      <c r="X133" s="29"/>
    </row>
    <row r="134" spans="2:24">
      <c r="F134" s="64"/>
      <c r="G134" s="63"/>
      <c r="H134" s="63"/>
      <c r="I134" s="63"/>
      <c r="J134" s="63"/>
      <c r="K134" s="63"/>
      <c r="L134" s="63"/>
      <c r="M134" s="63"/>
      <c r="N134" s="63"/>
      <c r="O134" s="63"/>
      <c r="S134" s="259"/>
      <c r="T134" s="259"/>
      <c r="U134" s="259"/>
      <c r="V134" s="259"/>
      <c r="W134" s="259"/>
      <c r="X134" s="259"/>
    </row>
    <row r="135" spans="2:24">
      <c r="B135" s="79" t="s">
        <v>267</v>
      </c>
      <c r="D135" t="s">
        <v>108</v>
      </c>
      <c r="F135" s="69">
        <f>SUM(G135:O135)</f>
        <v>83939608.942254543</v>
      </c>
      <c r="G135" s="69">
        <f>SUM(G119:G120,G123:G124,G127:G128,G131:G133)</f>
        <v>1544000</v>
      </c>
      <c r="H135" s="69">
        <f t="shared" ref="H135:O135" si="57">SUM(H119:H120,H123:H124,H127:H128,H131:H133)</f>
        <v>1487782.3966014006</v>
      </c>
      <c r="I135" s="69">
        <f t="shared" si="57"/>
        <v>5757356.4333879277</v>
      </c>
      <c r="J135" s="69">
        <f t="shared" si="57"/>
        <v>15351460.488614272</v>
      </c>
      <c r="K135" s="69">
        <f t="shared" si="57"/>
        <v>39293814.58310803</v>
      </c>
      <c r="L135" s="69">
        <f t="shared" si="57"/>
        <v>992613.36</v>
      </c>
      <c r="M135" s="69">
        <f t="shared" si="57"/>
        <v>18997486.903973926</v>
      </c>
      <c r="N135" s="69">
        <f t="shared" si="57"/>
        <v>515094.77656898793</v>
      </c>
      <c r="O135" s="69">
        <f t="shared" si="57"/>
        <v>0</v>
      </c>
      <c r="S135" s="68"/>
      <c r="T135" s="68"/>
      <c r="U135" s="68"/>
      <c r="V135" s="68"/>
      <c r="W135" s="68"/>
      <c r="X135" s="68"/>
    </row>
    <row r="136" spans="2:24">
      <c r="F136" s="62"/>
      <c r="G136" s="42"/>
      <c r="H136" s="42"/>
      <c r="I136" s="42"/>
      <c r="J136" s="42"/>
      <c r="K136" s="42"/>
      <c r="L136" s="42"/>
      <c r="M136" s="42"/>
      <c r="N136" s="42"/>
      <c r="O136" s="258"/>
      <c r="S136" s="258"/>
      <c r="T136" s="258"/>
      <c r="U136" s="258"/>
      <c r="V136" s="258"/>
      <c r="W136" s="258"/>
      <c r="X136" s="258"/>
    </row>
    <row r="137" spans="2:24">
      <c r="F137" s="62"/>
      <c r="G137" s="42"/>
      <c r="H137" s="42"/>
      <c r="I137" s="42"/>
      <c r="J137" s="42"/>
      <c r="K137" s="42"/>
      <c r="L137" s="42"/>
      <c r="M137" s="42"/>
      <c r="N137" s="42"/>
      <c r="O137" s="258"/>
      <c r="S137" s="258"/>
      <c r="T137" s="258"/>
      <c r="U137" s="258"/>
      <c r="V137" s="258"/>
      <c r="W137" s="258"/>
      <c r="X137" s="258"/>
    </row>
    <row r="138" spans="2:24" s="2" customFormat="1">
      <c r="B138" s="2" t="s">
        <v>273</v>
      </c>
      <c r="F138" s="49"/>
    </row>
    <row r="139" spans="2:24">
      <c r="G139" s="258"/>
      <c r="H139" s="258"/>
      <c r="I139" s="258"/>
      <c r="J139" s="258"/>
      <c r="K139" s="258"/>
      <c r="L139" s="258"/>
      <c r="M139" s="258"/>
      <c r="N139" s="258"/>
      <c r="O139" s="258"/>
      <c r="S139" s="258"/>
      <c r="T139" s="258"/>
      <c r="U139" s="258"/>
      <c r="V139" s="258"/>
      <c r="W139" s="258"/>
      <c r="X139" s="258"/>
    </row>
    <row r="140" spans="2:24">
      <c r="B140" s="22" t="s">
        <v>220</v>
      </c>
      <c r="G140" s="258"/>
      <c r="H140" s="258"/>
      <c r="I140" s="258"/>
      <c r="J140" s="258"/>
      <c r="K140" s="258"/>
      <c r="L140" s="258"/>
      <c r="M140" s="258"/>
      <c r="N140" s="258"/>
      <c r="O140" s="258"/>
      <c r="S140" s="258"/>
      <c r="T140" s="258"/>
      <c r="U140" s="258"/>
      <c r="V140" s="258"/>
      <c r="W140" s="258"/>
      <c r="X140" s="258"/>
    </row>
    <row r="141" spans="2:24">
      <c r="B141" s="23"/>
      <c r="G141" s="258"/>
      <c r="H141" s="258"/>
      <c r="I141" s="258"/>
      <c r="J141" s="258"/>
      <c r="K141" s="258"/>
      <c r="L141" s="258"/>
      <c r="M141" s="258"/>
      <c r="N141" s="258"/>
      <c r="O141" s="258"/>
      <c r="S141" s="258"/>
      <c r="T141" s="258"/>
      <c r="U141" s="258"/>
      <c r="V141" s="258"/>
      <c r="W141" s="258"/>
      <c r="X141" s="258"/>
    </row>
    <row r="142" spans="2:24">
      <c r="B142" s="22" t="s">
        <v>121</v>
      </c>
      <c r="F142" s="64"/>
      <c r="G142" s="63"/>
      <c r="H142" s="63"/>
      <c r="I142" s="63"/>
      <c r="J142" s="63"/>
      <c r="K142" s="63"/>
      <c r="L142" s="63"/>
      <c r="M142" s="63"/>
      <c r="N142" s="63"/>
      <c r="O142" s="63"/>
      <c r="S142" s="258"/>
      <c r="T142" s="258"/>
      <c r="U142" s="258"/>
      <c r="V142" s="258"/>
      <c r="W142" s="258"/>
      <c r="X142" s="258"/>
    </row>
    <row r="143" spans="2:24">
      <c r="B143" s="23" t="s">
        <v>216</v>
      </c>
      <c r="D143" t="s">
        <v>109</v>
      </c>
      <c r="F143" s="69">
        <f>SUM(G143:O143)</f>
        <v>0</v>
      </c>
      <c r="G143" s="87"/>
      <c r="H143" s="87"/>
      <c r="I143" s="87">
        <v>0</v>
      </c>
      <c r="J143" s="98">
        <f>U143+V143</f>
        <v>0</v>
      </c>
      <c r="K143" s="87">
        <v>0</v>
      </c>
      <c r="L143" s="87"/>
      <c r="M143" s="87"/>
      <c r="N143" s="87"/>
      <c r="O143" s="87"/>
      <c r="S143" s="258"/>
      <c r="T143" s="258"/>
      <c r="U143" s="87">
        <v>0</v>
      </c>
      <c r="V143" s="87">
        <v>0</v>
      </c>
      <c r="W143" s="258"/>
      <c r="X143" s="258"/>
    </row>
    <row r="144" spans="2:24">
      <c r="B144" s="23" t="s">
        <v>217</v>
      </c>
      <c r="D144" t="s">
        <v>109</v>
      </c>
      <c r="F144" s="69">
        <f>SUM(G144:O144)</f>
        <v>0</v>
      </c>
      <c r="G144" s="87"/>
      <c r="H144" s="87"/>
      <c r="I144" s="87">
        <v>0</v>
      </c>
      <c r="J144" s="98">
        <f>U144+V144</f>
        <v>0</v>
      </c>
      <c r="K144" s="87">
        <v>0</v>
      </c>
      <c r="L144" s="87"/>
      <c r="M144" s="87"/>
      <c r="N144" s="87"/>
      <c r="O144" s="87"/>
      <c r="S144" s="258"/>
      <c r="T144" s="258"/>
      <c r="U144" s="87">
        <v>0</v>
      </c>
      <c r="V144" s="87">
        <v>0</v>
      </c>
      <c r="W144" s="258"/>
      <c r="X144" s="258"/>
    </row>
    <row r="145" spans="2:24">
      <c r="B145" s="23"/>
      <c r="F145" s="64"/>
      <c r="G145" s="63"/>
      <c r="H145" s="63"/>
      <c r="I145" s="63"/>
      <c r="J145" s="63"/>
      <c r="K145" s="63"/>
      <c r="L145" s="63"/>
      <c r="M145" s="63"/>
      <c r="N145" s="63"/>
      <c r="O145" s="63"/>
      <c r="S145" s="258"/>
      <c r="T145" s="258"/>
      <c r="U145" s="258"/>
      <c r="V145" s="258"/>
      <c r="W145" s="258"/>
      <c r="X145" s="258"/>
    </row>
    <row r="146" spans="2:24">
      <c r="B146" s="22" t="s">
        <v>122</v>
      </c>
      <c r="G146" s="258"/>
      <c r="H146" s="258"/>
      <c r="I146" s="258"/>
      <c r="J146" s="258"/>
      <c r="K146" s="258"/>
      <c r="L146" s="258"/>
      <c r="M146" s="258"/>
      <c r="N146" s="258"/>
      <c r="O146" s="258"/>
      <c r="S146" s="258"/>
      <c r="T146" s="258"/>
      <c r="U146" s="29"/>
      <c r="V146" s="29"/>
      <c r="W146" s="258"/>
      <c r="X146" s="258"/>
    </row>
    <row r="147" spans="2:24">
      <c r="B147" s="23" t="s">
        <v>123</v>
      </c>
      <c r="D147" t="s">
        <v>109</v>
      </c>
      <c r="F147" s="69">
        <f>SUM(G147:O147)</f>
        <v>80275520.204814598</v>
      </c>
      <c r="G147" s="87">
        <v>1278138</v>
      </c>
      <c r="H147" s="87">
        <v>1394709.7205531399</v>
      </c>
      <c r="I147" s="87">
        <v>6157478.2201104211</v>
      </c>
      <c r="J147" s="98">
        <f>U147+V147</f>
        <v>13455850</v>
      </c>
      <c r="K147" s="87">
        <v>39108868.750915363</v>
      </c>
      <c r="L147" s="87">
        <v>1233322.6499999999</v>
      </c>
      <c r="M147" s="87">
        <v>17223537.72431618</v>
      </c>
      <c r="N147" s="87">
        <v>423615.13891949016</v>
      </c>
      <c r="O147" s="87"/>
      <c r="S147" s="258"/>
      <c r="T147" s="258"/>
      <c r="U147" s="87">
        <v>12494378</v>
      </c>
      <c r="V147" s="87">
        <v>961472</v>
      </c>
      <c r="W147" s="258"/>
      <c r="X147" s="258"/>
    </row>
    <row r="148" spans="2:24">
      <c r="B148" s="23" t="s">
        <v>124</v>
      </c>
      <c r="D148" t="s">
        <v>109</v>
      </c>
      <c r="F148" s="69">
        <f>SUM(G148:O148)</f>
        <v>2568786.5030955891</v>
      </c>
      <c r="G148" s="87"/>
      <c r="H148" s="87"/>
      <c r="I148" s="87">
        <v>0</v>
      </c>
      <c r="J148" s="98">
        <f>U148+V148</f>
        <v>0</v>
      </c>
      <c r="K148" s="87">
        <v>0</v>
      </c>
      <c r="L148" s="87">
        <v>68418.81</v>
      </c>
      <c r="M148" s="87">
        <v>2500367.6930955891</v>
      </c>
      <c r="N148" s="87"/>
      <c r="O148" s="87"/>
      <c r="S148" s="258"/>
      <c r="T148" s="258"/>
      <c r="U148" s="87">
        <v>0</v>
      </c>
      <c r="V148" s="87">
        <v>0</v>
      </c>
      <c r="W148" s="258"/>
      <c r="X148" s="258"/>
    </row>
    <row r="149" spans="2:24">
      <c r="B149" s="23"/>
      <c r="F149" s="64"/>
      <c r="G149" s="63"/>
      <c r="H149" s="63"/>
      <c r="I149" s="63"/>
      <c r="J149" s="63"/>
      <c r="K149" s="63"/>
      <c r="L149" s="63"/>
      <c r="M149" s="63"/>
      <c r="N149" s="63"/>
      <c r="O149" s="63"/>
      <c r="S149" s="258"/>
      <c r="T149" s="258"/>
      <c r="U149" s="258"/>
      <c r="V149" s="258"/>
      <c r="W149" s="258"/>
      <c r="X149" s="258"/>
    </row>
    <row r="150" spans="2:24">
      <c r="B150" s="22" t="s">
        <v>125</v>
      </c>
      <c r="F150" s="64"/>
      <c r="G150" s="63"/>
      <c r="H150" s="63"/>
      <c r="I150" s="63"/>
      <c r="J150" s="63"/>
      <c r="K150" s="63"/>
      <c r="L150" s="63"/>
      <c r="M150" s="63"/>
      <c r="N150" s="63"/>
      <c r="O150" s="63"/>
      <c r="S150" s="258"/>
      <c r="T150" s="258"/>
      <c r="U150" s="258"/>
      <c r="V150" s="258"/>
      <c r="W150" s="258"/>
      <c r="X150" s="258"/>
    </row>
    <row r="151" spans="2:24">
      <c r="B151" s="23" t="s">
        <v>126</v>
      </c>
      <c r="D151" t="s">
        <v>109</v>
      </c>
      <c r="F151" s="69">
        <f>SUM(G151:O151)</f>
        <v>0</v>
      </c>
      <c r="G151" s="87"/>
      <c r="H151" s="87"/>
      <c r="I151" s="87">
        <v>0</v>
      </c>
      <c r="J151" s="98">
        <f>U151+V151</f>
        <v>0</v>
      </c>
      <c r="K151" s="87">
        <v>0</v>
      </c>
      <c r="L151" s="87"/>
      <c r="M151" s="87"/>
      <c r="N151" s="87"/>
      <c r="O151" s="87"/>
      <c r="S151" s="258"/>
      <c r="T151" s="258"/>
      <c r="U151" s="87">
        <v>0</v>
      </c>
      <c r="V151" s="87">
        <v>0</v>
      </c>
      <c r="W151" s="258"/>
      <c r="X151" s="258"/>
    </row>
    <row r="152" spans="2:24">
      <c r="B152" s="23" t="s">
        <v>127</v>
      </c>
      <c r="D152" t="s">
        <v>109</v>
      </c>
      <c r="F152" s="69">
        <f>SUM(G152:O152)</f>
        <v>0</v>
      </c>
      <c r="G152" s="87"/>
      <c r="H152" s="87"/>
      <c r="I152" s="87">
        <v>0</v>
      </c>
      <c r="J152" s="98">
        <f>U152+V152</f>
        <v>0</v>
      </c>
      <c r="K152" s="87">
        <v>0</v>
      </c>
      <c r="L152" s="87"/>
      <c r="M152" s="87"/>
      <c r="N152" s="87"/>
      <c r="O152" s="87"/>
      <c r="S152" s="258"/>
      <c r="T152" s="258"/>
      <c r="U152" s="87">
        <v>0</v>
      </c>
      <c r="V152" s="87">
        <v>0</v>
      </c>
      <c r="W152" s="258"/>
      <c r="X152" s="258"/>
    </row>
    <row r="153" spans="2:24">
      <c r="B153" s="23"/>
      <c r="F153" s="64"/>
      <c r="G153" s="63"/>
      <c r="H153" s="63"/>
      <c r="I153" s="63"/>
      <c r="J153" s="63"/>
      <c r="K153" s="63"/>
      <c r="L153" s="63"/>
      <c r="M153" s="63"/>
      <c r="N153" s="63"/>
      <c r="O153" s="63"/>
      <c r="S153" s="258"/>
      <c r="T153" s="258"/>
      <c r="U153" s="258"/>
      <c r="V153" s="258"/>
      <c r="W153" s="258"/>
      <c r="X153" s="258"/>
    </row>
    <row r="154" spans="2:24">
      <c r="B154" s="22" t="s">
        <v>128</v>
      </c>
      <c r="F154" s="64"/>
      <c r="G154" s="63"/>
      <c r="H154" s="63"/>
      <c r="I154" s="63"/>
      <c r="J154" s="63"/>
      <c r="K154" s="63"/>
      <c r="L154" s="63"/>
      <c r="M154" s="63"/>
      <c r="N154" s="63"/>
      <c r="O154" s="63"/>
      <c r="S154" s="258"/>
      <c r="T154" s="258"/>
      <c r="U154" s="258"/>
      <c r="V154" s="258"/>
      <c r="W154" s="258"/>
      <c r="X154" s="258"/>
    </row>
    <row r="155" spans="2:24">
      <c r="B155" s="93" t="s">
        <v>180</v>
      </c>
      <c r="D155" t="s">
        <v>109</v>
      </c>
      <c r="F155" s="69">
        <f>SUM(G155:O155)</f>
        <v>829807.50395847682</v>
      </c>
      <c r="G155" s="87">
        <f>15480.68+375.21405</f>
        <v>15855.894050000001</v>
      </c>
      <c r="H155" s="87">
        <v>20925.481250000001</v>
      </c>
      <c r="I155" s="87">
        <v>45454.015332335395</v>
      </c>
      <c r="J155" s="98">
        <f>U155+V155</f>
        <v>218913.94590930088</v>
      </c>
      <c r="K155" s="87">
        <f>198422.199501365+27338.6222877482</f>
        <v>225760.82178911319</v>
      </c>
      <c r="L155" s="87">
        <v>13654.11</v>
      </c>
      <c r="M155" s="87">
        <f>242326.584805252+46219.4357488887</f>
        <v>288546.02055414068</v>
      </c>
      <c r="N155" s="87">
        <v>697.21507358662541</v>
      </c>
      <c r="O155" s="87"/>
      <c r="S155" s="258"/>
      <c r="T155" s="258"/>
      <c r="U155" s="87">
        <v>194557.82374644029</v>
      </c>
      <c r="V155" s="87">
        <v>24356.122162860582</v>
      </c>
      <c r="W155" s="258"/>
      <c r="X155" s="258"/>
    </row>
    <row r="156" spans="2:24">
      <c r="B156" s="93" t="s">
        <v>181</v>
      </c>
      <c r="D156" t="s">
        <v>109</v>
      </c>
      <c r="F156" s="69">
        <f>SUM(G156:O156)</f>
        <v>0</v>
      </c>
      <c r="G156" s="87"/>
      <c r="H156" s="87"/>
      <c r="I156" s="87">
        <v>0</v>
      </c>
      <c r="J156" s="98">
        <f>U156+V156</f>
        <v>0</v>
      </c>
      <c r="K156" s="87">
        <v>0</v>
      </c>
      <c r="L156" s="87"/>
      <c r="M156" s="87"/>
      <c r="N156" s="87"/>
      <c r="O156" s="87"/>
      <c r="S156" s="258"/>
      <c r="T156" s="258"/>
      <c r="U156" s="87">
        <v>0</v>
      </c>
      <c r="V156" s="87">
        <v>0</v>
      </c>
      <c r="W156" s="258"/>
      <c r="X156" s="258"/>
    </row>
    <row r="157" spans="2:24">
      <c r="B157" s="94" t="s">
        <v>182</v>
      </c>
      <c r="D157" t="s">
        <v>109</v>
      </c>
      <c r="F157" s="69">
        <f>SUM(G157:O157)</f>
        <v>1188234.5786566907</v>
      </c>
      <c r="G157" s="87"/>
      <c r="H157" s="87"/>
      <c r="I157" s="87">
        <v>41392.40689366946</v>
      </c>
      <c r="J157" s="98">
        <f>U157+V157</f>
        <v>0</v>
      </c>
      <c r="K157" s="87">
        <v>1102123.7723874713</v>
      </c>
      <c r="L157" s="87">
        <v>21845.5</v>
      </c>
      <c r="M157" s="87">
        <v>22753.159689991302</v>
      </c>
      <c r="N157" s="87">
        <v>119.73968555874879</v>
      </c>
      <c r="O157" s="87"/>
      <c r="S157" s="258"/>
      <c r="T157" s="258"/>
      <c r="U157" s="87">
        <v>0</v>
      </c>
      <c r="V157" s="87">
        <v>0</v>
      </c>
      <c r="W157" s="258"/>
      <c r="X157" s="258"/>
    </row>
    <row r="158" spans="2:24">
      <c r="B158" s="23"/>
      <c r="F158" s="64"/>
      <c r="G158" s="63"/>
      <c r="H158" s="63"/>
      <c r="I158" s="63"/>
      <c r="J158" s="63"/>
      <c r="K158" s="63"/>
      <c r="L158" s="63"/>
      <c r="M158" s="63"/>
      <c r="N158" s="63"/>
      <c r="O158" s="63"/>
      <c r="S158" s="258"/>
      <c r="T158" s="258"/>
      <c r="U158" s="258"/>
      <c r="V158" s="258"/>
      <c r="W158" s="258"/>
      <c r="X158" s="258"/>
    </row>
    <row r="159" spans="2:24">
      <c r="F159" s="64"/>
      <c r="G159" s="63"/>
      <c r="H159" s="63"/>
      <c r="I159" s="63"/>
      <c r="J159" s="63"/>
      <c r="K159" s="63"/>
      <c r="L159" s="63"/>
      <c r="M159" s="63"/>
      <c r="N159" s="63"/>
      <c r="O159" s="63"/>
      <c r="S159" s="258"/>
      <c r="T159" s="258"/>
      <c r="U159" s="258"/>
      <c r="V159" s="258"/>
      <c r="W159" s="258"/>
      <c r="X159" s="258"/>
    </row>
    <row r="160" spans="2:24">
      <c r="B160" s="22" t="s">
        <v>221</v>
      </c>
      <c r="F160" s="64"/>
      <c r="G160" s="63"/>
      <c r="H160" s="63"/>
      <c r="I160" s="63"/>
      <c r="J160" s="63"/>
      <c r="K160" s="63"/>
      <c r="L160" s="63"/>
      <c r="M160" s="63"/>
      <c r="N160" s="63"/>
      <c r="O160" s="63"/>
      <c r="S160" s="258"/>
      <c r="T160" s="258"/>
      <c r="U160" s="258"/>
      <c r="V160" s="258"/>
      <c r="W160" s="258"/>
      <c r="X160" s="258"/>
    </row>
    <row r="161" spans="2:24">
      <c r="B161" s="23"/>
      <c r="F161" s="64"/>
      <c r="G161" s="63"/>
      <c r="H161" s="63"/>
      <c r="I161" s="63"/>
      <c r="J161" s="63"/>
      <c r="K161" s="63"/>
      <c r="L161" s="63"/>
      <c r="M161" s="63"/>
      <c r="N161" s="63"/>
      <c r="O161" s="63"/>
      <c r="S161" s="258"/>
      <c r="T161" s="258"/>
      <c r="U161" s="258"/>
      <c r="V161" s="258"/>
      <c r="W161" s="258"/>
      <c r="X161" s="258"/>
    </row>
    <row r="162" spans="2:24">
      <c r="B162" s="22" t="s">
        <v>121</v>
      </c>
      <c r="F162" s="64"/>
      <c r="G162" s="63"/>
      <c r="H162" s="63"/>
      <c r="I162" s="63"/>
      <c r="J162" s="63"/>
      <c r="K162" s="63"/>
      <c r="L162" s="63"/>
      <c r="M162" s="63"/>
      <c r="N162" s="63"/>
      <c r="O162" s="63"/>
      <c r="S162" s="258"/>
      <c r="T162" s="258"/>
      <c r="U162" s="258"/>
      <c r="V162" s="258"/>
      <c r="W162" s="258"/>
      <c r="X162" s="258"/>
    </row>
    <row r="163" spans="2:24">
      <c r="B163" s="23" t="s">
        <v>216</v>
      </c>
      <c r="D163" t="s">
        <v>109</v>
      </c>
      <c r="F163" s="69">
        <f>SUM(G163:O163)</f>
        <v>0</v>
      </c>
      <c r="G163" s="87"/>
      <c r="H163" s="87"/>
      <c r="I163" s="87">
        <v>0</v>
      </c>
      <c r="J163" s="98">
        <f>U163+V163</f>
        <v>0</v>
      </c>
      <c r="K163" s="87">
        <v>0</v>
      </c>
      <c r="L163" s="87"/>
      <c r="M163" s="87"/>
      <c r="N163" s="87"/>
      <c r="O163" s="87"/>
      <c r="S163" s="258"/>
      <c r="T163" s="258"/>
      <c r="U163" s="87">
        <v>0</v>
      </c>
      <c r="V163" s="87">
        <v>0</v>
      </c>
      <c r="W163" s="258"/>
      <c r="X163" s="258"/>
    </row>
    <row r="164" spans="2:24">
      <c r="B164" s="23" t="s">
        <v>217</v>
      </c>
      <c r="D164" t="s">
        <v>109</v>
      </c>
      <c r="F164" s="69">
        <f>SUM(G164:O164)</f>
        <v>0</v>
      </c>
      <c r="G164" s="87"/>
      <c r="H164" s="87"/>
      <c r="I164" s="87">
        <v>0</v>
      </c>
      <c r="J164" s="98">
        <f>U164+V164</f>
        <v>0</v>
      </c>
      <c r="K164" s="87">
        <v>0</v>
      </c>
      <c r="L164" s="87"/>
      <c r="M164" s="87"/>
      <c r="N164" s="87"/>
      <c r="O164" s="87"/>
      <c r="S164" s="258"/>
      <c r="T164" s="258"/>
      <c r="U164" s="87">
        <v>0</v>
      </c>
      <c r="V164" s="87">
        <v>0</v>
      </c>
      <c r="W164" s="258"/>
      <c r="X164" s="258"/>
    </row>
    <row r="165" spans="2:24">
      <c r="B165" s="23"/>
      <c r="F165" s="64"/>
      <c r="G165" s="63"/>
      <c r="H165" s="63"/>
      <c r="I165" s="63"/>
      <c r="J165" s="63"/>
      <c r="K165" s="63"/>
      <c r="L165" s="63"/>
      <c r="M165" s="63"/>
      <c r="N165" s="63"/>
      <c r="O165" s="63"/>
      <c r="S165" s="258"/>
      <c r="T165" s="258"/>
      <c r="U165" s="258"/>
      <c r="V165" s="258"/>
      <c r="W165" s="258"/>
      <c r="X165" s="258"/>
    </row>
    <row r="166" spans="2:24">
      <c r="B166" s="22" t="s">
        <v>122</v>
      </c>
      <c r="F166" s="64"/>
      <c r="G166" s="63"/>
      <c r="H166" s="63"/>
      <c r="I166" s="63"/>
      <c r="J166" s="63"/>
      <c r="K166" s="63"/>
      <c r="L166" s="63"/>
      <c r="M166" s="63"/>
      <c r="N166" s="63"/>
      <c r="O166" s="63"/>
      <c r="S166" s="258"/>
      <c r="T166" s="258"/>
      <c r="U166" s="258"/>
      <c r="V166" s="258"/>
      <c r="W166" s="258"/>
      <c r="X166" s="258"/>
    </row>
    <row r="167" spans="2:24">
      <c r="B167" s="23" t="s">
        <v>123</v>
      </c>
      <c r="D167" t="s">
        <v>109</v>
      </c>
      <c r="F167" s="69">
        <f>SUM(G167:O167)</f>
        <v>3119400.1093205651</v>
      </c>
      <c r="G167" s="87">
        <v>1748</v>
      </c>
      <c r="H167" s="87">
        <v>148175.08421471322</v>
      </c>
      <c r="I167" s="87">
        <v>248372.24509115441</v>
      </c>
      <c r="J167" s="98">
        <f>U167+V167</f>
        <v>618011.86331496562</v>
      </c>
      <c r="K167" s="87">
        <v>1955896.070102266</v>
      </c>
      <c r="L167" s="87">
        <v>14653.49</v>
      </c>
      <c r="M167" s="87">
        <v>35328.165062548833</v>
      </c>
      <c r="N167" s="249">
        <f>134342.601367347*(27.86%/38.5%)</f>
        <v>97215.19153491655</v>
      </c>
      <c r="O167" s="87"/>
      <c r="S167" s="258"/>
      <c r="T167" s="258"/>
      <c r="U167" s="87">
        <v>597569.46865701408</v>
      </c>
      <c r="V167" s="87">
        <v>20442.394657951587</v>
      </c>
      <c r="W167" s="258"/>
      <c r="X167" s="258"/>
    </row>
    <row r="168" spans="2:24">
      <c r="B168" s="23" t="s">
        <v>124</v>
      </c>
      <c r="D168" t="s">
        <v>109</v>
      </c>
      <c r="F168" s="69">
        <f>SUM(G168:O168)</f>
        <v>15691.632863086536</v>
      </c>
      <c r="G168" s="87"/>
      <c r="H168" s="87"/>
      <c r="I168" s="87">
        <v>0</v>
      </c>
      <c r="J168" s="98">
        <f>U168+V168</f>
        <v>0</v>
      </c>
      <c r="K168" s="87"/>
      <c r="L168" s="87">
        <v>889.65</v>
      </c>
      <c r="M168" s="87">
        <v>14801.982863086536</v>
      </c>
      <c r="N168" s="87"/>
      <c r="O168" s="87"/>
      <c r="S168" s="258"/>
      <c r="T168" s="258"/>
      <c r="U168" s="87">
        <v>0</v>
      </c>
      <c r="V168" s="87">
        <v>0</v>
      </c>
      <c r="W168" s="258"/>
      <c r="X168" s="258"/>
    </row>
    <row r="169" spans="2:24">
      <c r="B169" s="23"/>
      <c r="F169" s="64"/>
      <c r="G169" s="63"/>
      <c r="H169" s="63"/>
      <c r="I169" s="63"/>
      <c r="J169" s="63"/>
      <c r="K169" s="63"/>
      <c r="L169" s="63"/>
      <c r="M169" s="63"/>
      <c r="N169" s="63"/>
      <c r="O169" s="63"/>
      <c r="S169" s="258"/>
      <c r="T169" s="258"/>
      <c r="U169" s="258"/>
      <c r="V169" s="258"/>
      <c r="W169" s="258"/>
      <c r="X169" s="258"/>
    </row>
    <row r="170" spans="2:24">
      <c r="B170" s="22" t="s">
        <v>125</v>
      </c>
      <c r="F170" s="64"/>
      <c r="G170" s="63"/>
      <c r="H170" s="63"/>
      <c r="I170" s="63"/>
      <c r="J170" s="63"/>
      <c r="K170" s="63"/>
      <c r="L170" s="63"/>
      <c r="M170" s="63"/>
      <c r="N170" s="63"/>
      <c r="O170" s="63"/>
      <c r="S170" s="258"/>
      <c r="T170" s="258"/>
      <c r="U170" s="258"/>
      <c r="V170" s="258"/>
      <c r="W170" s="258"/>
      <c r="X170" s="258"/>
    </row>
    <row r="171" spans="2:24">
      <c r="B171" s="23" t="s">
        <v>126</v>
      </c>
      <c r="D171" t="s">
        <v>109</v>
      </c>
      <c r="F171" s="69">
        <f>SUM(G171:O171)</f>
        <v>0</v>
      </c>
      <c r="G171" s="87"/>
      <c r="H171" s="87"/>
      <c r="I171" s="87">
        <v>0</v>
      </c>
      <c r="J171" s="98">
        <f>U171+V171</f>
        <v>0</v>
      </c>
      <c r="K171" s="87">
        <v>0</v>
      </c>
      <c r="L171" s="87"/>
      <c r="M171" s="87"/>
      <c r="N171" s="87"/>
      <c r="O171" s="87"/>
      <c r="S171" s="258"/>
      <c r="T171" s="258"/>
      <c r="U171" s="87">
        <v>0</v>
      </c>
      <c r="V171" s="87">
        <v>0</v>
      </c>
      <c r="W171" s="258"/>
      <c r="X171" s="258"/>
    </row>
    <row r="172" spans="2:24">
      <c r="B172" s="23" t="s">
        <v>127</v>
      </c>
      <c r="D172" t="s">
        <v>109</v>
      </c>
      <c r="F172" s="69">
        <f>SUM(G172:O172)</f>
        <v>0</v>
      </c>
      <c r="G172" s="87"/>
      <c r="H172" s="87"/>
      <c r="I172" s="87">
        <v>0</v>
      </c>
      <c r="J172" s="98">
        <f>U172+V172</f>
        <v>0</v>
      </c>
      <c r="K172" s="87">
        <v>0</v>
      </c>
      <c r="L172" s="87"/>
      <c r="M172" s="87"/>
      <c r="N172" s="87"/>
      <c r="O172" s="87"/>
      <c r="S172" s="258"/>
      <c r="T172" s="258"/>
      <c r="U172" s="87">
        <v>0</v>
      </c>
      <c r="V172" s="87">
        <v>0</v>
      </c>
      <c r="W172" s="258"/>
      <c r="X172" s="258"/>
    </row>
    <row r="173" spans="2:24">
      <c r="B173" s="23"/>
      <c r="F173" s="64"/>
      <c r="G173" s="63"/>
      <c r="H173" s="63"/>
      <c r="I173" s="63"/>
      <c r="J173" s="63"/>
      <c r="K173" s="63"/>
      <c r="L173" s="63"/>
      <c r="M173" s="63"/>
      <c r="N173" s="63"/>
      <c r="O173" s="63"/>
      <c r="S173" s="258"/>
      <c r="T173" s="258"/>
      <c r="U173" s="258"/>
      <c r="V173" s="258"/>
      <c r="W173" s="258"/>
      <c r="X173" s="258"/>
    </row>
    <row r="174" spans="2:24">
      <c r="B174" s="22" t="s">
        <v>128</v>
      </c>
      <c r="F174" s="64"/>
      <c r="G174" s="63"/>
      <c r="H174" s="63"/>
      <c r="I174" s="63"/>
      <c r="J174" s="63"/>
      <c r="K174" s="63"/>
      <c r="L174" s="63"/>
      <c r="M174" s="63"/>
      <c r="N174" s="63"/>
      <c r="O174" s="63"/>
      <c r="S174" s="258"/>
      <c r="T174" s="258"/>
      <c r="U174" s="29"/>
      <c r="V174" s="29"/>
      <c r="W174" s="258"/>
      <c r="X174" s="258"/>
    </row>
    <row r="175" spans="2:24">
      <c r="B175" s="93" t="s">
        <v>180</v>
      </c>
      <c r="D175" t="s">
        <v>109</v>
      </c>
      <c r="F175" s="69">
        <f>SUM(G175:O175)</f>
        <v>0</v>
      </c>
      <c r="G175" s="87">
        <v>0</v>
      </c>
      <c r="H175" s="87"/>
      <c r="I175" s="87">
        <v>0</v>
      </c>
      <c r="J175" s="98">
        <f>U175+V175</f>
        <v>0</v>
      </c>
      <c r="K175" s="87">
        <v>0</v>
      </c>
      <c r="L175" s="87"/>
      <c r="M175" s="87"/>
      <c r="N175" s="87"/>
      <c r="O175" s="87"/>
      <c r="S175" s="258"/>
      <c r="T175" s="258"/>
      <c r="U175" s="87">
        <v>0</v>
      </c>
      <c r="V175" s="87">
        <v>0</v>
      </c>
      <c r="W175" s="258"/>
      <c r="X175" s="258"/>
    </row>
    <row r="176" spans="2:24">
      <c r="B176" s="93" t="s">
        <v>181</v>
      </c>
      <c r="D176" t="s">
        <v>109</v>
      </c>
      <c r="F176" s="69">
        <f>SUM(G176:O176)</f>
        <v>36810.200326907958</v>
      </c>
      <c r="G176" s="87">
        <v>704.12</v>
      </c>
      <c r="H176" s="87">
        <v>572.9328999999999</v>
      </c>
      <c r="I176" s="87">
        <v>3848.1440452017519</v>
      </c>
      <c r="J176" s="98">
        <f>U176+V176</f>
        <v>7634.7209024325821</v>
      </c>
      <c r="K176" s="87">
        <f>1415.80577339698+9921.27236558987</f>
        <v>11337.07813898685</v>
      </c>
      <c r="L176" s="87">
        <v>226.96</v>
      </c>
      <c r="M176" s="87">
        <f>1146.65745202976+218.704276597082</f>
        <v>1365.361728626842</v>
      </c>
      <c r="N176" s="87">
        <v>11120.88261165993</v>
      </c>
      <c r="O176" s="87"/>
      <c r="S176" s="258"/>
      <c r="T176" s="258"/>
      <c r="U176" s="87">
        <v>6758.2533204053307</v>
      </c>
      <c r="V176" s="87">
        <v>876.46758202725096</v>
      </c>
      <c r="W176" s="258"/>
      <c r="X176" s="258"/>
    </row>
    <row r="177" spans="2:24">
      <c r="B177" s="94" t="s">
        <v>182</v>
      </c>
      <c r="D177" t="s">
        <v>109</v>
      </c>
      <c r="F177" s="69">
        <f>SUM(G177:O177)</f>
        <v>60938.44633956661</v>
      </c>
      <c r="G177" s="87"/>
      <c r="H177" s="87"/>
      <c r="I177" s="87">
        <v>1518.2340478046619</v>
      </c>
      <c r="J177" s="98">
        <f>U177+V177</f>
        <v>0</v>
      </c>
      <c r="K177" s="87">
        <v>57118.587457377565</v>
      </c>
      <c r="L177" s="87">
        <v>284.06</v>
      </c>
      <c r="M177" s="87">
        <v>107.66495197676832</v>
      </c>
      <c r="N177" s="87">
        <v>1909.8998824076216</v>
      </c>
      <c r="O177" s="87"/>
      <c r="S177" s="258"/>
      <c r="T177" s="258"/>
      <c r="U177" s="87">
        <v>0</v>
      </c>
      <c r="V177" s="87">
        <v>0</v>
      </c>
      <c r="W177" s="258"/>
      <c r="X177" s="258"/>
    </row>
    <row r="178" spans="2:24">
      <c r="F178" s="64"/>
      <c r="G178" s="63"/>
      <c r="H178" s="63"/>
      <c r="I178" s="63"/>
      <c r="J178" s="63"/>
      <c r="K178" s="63"/>
      <c r="L178" s="63"/>
      <c r="M178" s="63"/>
      <c r="N178" s="63"/>
      <c r="O178" s="63"/>
    </row>
    <row r="179" spans="2:24">
      <c r="F179" s="64"/>
      <c r="G179" s="63"/>
      <c r="H179" s="63"/>
      <c r="I179" s="63"/>
      <c r="J179" s="63"/>
      <c r="K179" s="63"/>
      <c r="L179" s="63"/>
      <c r="M179" s="63"/>
      <c r="N179" s="63"/>
      <c r="O179" s="63"/>
    </row>
    <row r="180" spans="2:24">
      <c r="B180" s="22" t="s">
        <v>222</v>
      </c>
      <c r="F180" s="64"/>
      <c r="G180" s="63"/>
      <c r="H180" s="63"/>
      <c r="I180" s="63"/>
      <c r="J180" s="63"/>
      <c r="K180" s="63"/>
      <c r="L180" s="63"/>
      <c r="M180" s="63"/>
      <c r="N180" s="63"/>
      <c r="O180" s="63"/>
    </row>
    <row r="181" spans="2:24">
      <c r="B181" s="23"/>
      <c r="F181" s="64"/>
      <c r="G181" s="63"/>
      <c r="H181" s="63"/>
      <c r="I181" s="63"/>
      <c r="J181" s="63"/>
      <c r="K181" s="63"/>
      <c r="L181" s="63"/>
      <c r="M181" s="63"/>
      <c r="N181" s="63"/>
      <c r="O181" s="63"/>
    </row>
    <row r="182" spans="2:24">
      <c r="B182" s="22" t="s">
        <v>121</v>
      </c>
      <c r="F182" s="64"/>
      <c r="G182" s="63"/>
      <c r="H182" s="63"/>
      <c r="I182" s="63"/>
      <c r="J182" s="63"/>
      <c r="K182" s="63"/>
      <c r="L182" s="63"/>
      <c r="M182" s="63"/>
      <c r="N182" s="63"/>
      <c r="O182" s="63"/>
      <c r="U182" s="28"/>
      <c r="V182" s="28"/>
    </row>
    <row r="183" spans="2:24">
      <c r="B183" s="23" t="s">
        <v>216</v>
      </c>
      <c r="D183" t="s">
        <v>109</v>
      </c>
      <c r="F183" s="69">
        <f>SUM(G183:O183)</f>
        <v>0</v>
      </c>
      <c r="G183" s="98">
        <f>G143+G163</f>
        <v>0</v>
      </c>
      <c r="H183" s="98">
        <f t="shared" ref="H183:O183" si="58">H143+H163</f>
        <v>0</v>
      </c>
      <c r="I183" s="98">
        <f t="shared" si="58"/>
        <v>0</v>
      </c>
      <c r="J183" s="98">
        <f t="shared" si="58"/>
        <v>0</v>
      </c>
      <c r="K183" s="98">
        <f t="shared" si="58"/>
        <v>0</v>
      </c>
      <c r="L183" s="98">
        <f t="shared" si="58"/>
        <v>0</v>
      </c>
      <c r="M183" s="98">
        <f t="shared" si="58"/>
        <v>0</v>
      </c>
      <c r="N183" s="98">
        <f t="shared" si="58"/>
        <v>0</v>
      </c>
      <c r="O183" s="98">
        <f t="shared" si="58"/>
        <v>0</v>
      </c>
      <c r="U183" s="29"/>
      <c r="V183" s="29"/>
    </row>
    <row r="184" spans="2:24">
      <c r="B184" s="23" t="s">
        <v>217</v>
      </c>
      <c r="D184" t="s">
        <v>109</v>
      </c>
      <c r="F184" s="69">
        <f>SUM(G184:O184)</f>
        <v>0</v>
      </c>
      <c r="G184" s="98">
        <f>G144+G164</f>
        <v>0</v>
      </c>
      <c r="H184" s="98">
        <f t="shared" ref="H184:O184" si="59">H144+H164</f>
        <v>0</v>
      </c>
      <c r="I184" s="98">
        <f t="shared" si="59"/>
        <v>0</v>
      </c>
      <c r="J184" s="98">
        <f t="shared" si="59"/>
        <v>0</v>
      </c>
      <c r="K184" s="98">
        <f t="shared" si="59"/>
        <v>0</v>
      </c>
      <c r="L184" s="98">
        <f t="shared" si="59"/>
        <v>0</v>
      </c>
      <c r="M184" s="98">
        <f t="shared" si="59"/>
        <v>0</v>
      </c>
      <c r="N184" s="98">
        <f t="shared" si="59"/>
        <v>0</v>
      </c>
      <c r="O184" s="98">
        <f t="shared" si="59"/>
        <v>0</v>
      </c>
      <c r="U184" s="29"/>
      <c r="V184" s="29"/>
    </row>
    <row r="185" spans="2:24">
      <c r="B185" s="23"/>
      <c r="F185" s="64"/>
      <c r="G185" s="63"/>
      <c r="H185" s="63"/>
      <c r="I185" s="63"/>
      <c r="J185" s="63"/>
      <c r="K185" s="63"/>
      <c r="L185" s="63"/>
      <c r="M185" s="63"/>
      <c r="N185" s="63"/>
      <c r="O185" s="63"/>
      <c r="U185" s="28"/>
      <c r="V185" s="28"/>
    </row>
    <row r="186" spans="2:24">
      <c r="B186" s="22" t="s">
        <v>122</v>
      </c>
      <c r="F186" s="64"/>
      <c r="G186" s="63"/>
      <c r="H186" s="63"/>
      <c r="I186" s="63"/>
      <c r="J186" s="63"/>
      <c r="K186" s="63"/>
      <c r="L186" s="63"/>
      <c r="M186" s="63"/>
      <c r="N186" s="63"/>
      <c r="O186" s="63"/>
      <c r="U186" s="28"/>
      <c r="V186" s="28"/>
    </row>
    <row r="187" spans="2:24">
      <c r="B187" s="23" t="s">
        <v>123</v>
      </c>
      <c r="D187" t="s">
        <v>109</v>
      </c>
      <c r="F187" s="69">
        <f>SUM(G187:O187)</f>
        <v>83394920.314135164</v>
      </c>
      <c r="G187" s="98">
        <f>G147+G167</f>
        <v>1279886</v>
      </c>
      <c r="H187" s="98">
        <f t="shared" ref="H187:O187" si="60">H147+H167</f>
        <v>1542884.8047678531</v>
      </c>
      <c r="I187" s="98">
        <f t="shared" si="60"/>
        <v>6405850.4652015753</v>
      </c>
      <c r="J187" s="98">
        <f t="shared" si="60"/>
        <v>14073861.863314966</v>
      </c>
      <c r="K187" s="98">
        <f t="shared" si="60"/>
        <v>41064764.82101763</v>
      </c>
      <c r="L187" s="98">
        <f t="shared" si="60"/>
        <v>1247976.1399999999</v>
      </c>
      <c r="M187" s="98">
        <f t="shared" si="60"/>
        <v>17258865.88937873</v>
      </c>
      <c r="N187" s="98">
        <f t="shared" si="60"/>
        <v>520830.33045440668</v>
      </c>
      <c r="O187" s="98">
        <f t="shared" si="60"/>
        <v>0</v>
      </c>
      <c r="U187" s="29"/>
      <c r="V187" s="29"/>
    </row>
    <row r="188" spans="2:24">
      <c r="B188" s="23" t="s">
        <v>124</v>
      </c>
      <c r="D188" t="s">
        <v>109</v>
      </c>
      <c r="F188" s="69">
        <f>SUM(G188:O188)</f>
        <v>2584478.1359586758</v>
      </c>
      <c r="G188" s="98">
        <f>G148+G168</f>
        <v>0</v>
      </c>
      <c r="H188" s="98">
        <f t="shared" ref="H188:O188" si="61">H148+H168</f>
        <v>0</v>
      </c>
      <c r="I188" s="98">
        <f t="shared" si="61"/>
        <v>0</v>
      </c>
      <c r="J188" s="98">
        <f t="shared" si="61"/>
        <v>0</v>
      </c>
      <c r="K188" s="98">
        <f t="shared" si="61"/>
        <v>0</v>
      </c>
      <c r="L188" s="98">
        <f t="shared" si="61"/>
        <v>69308.459999999992</v>
      </c>
      <c r="M188" s="98">
        <f t="shared" si="61"/>
        <v>2515169.6759586758</v>
      </c>
      <c r="N188" s="98">
        <f t="shared" si="61"/>
        <v>0</v>
      </c>
      <c r="O188" s="98">
        <f t="shared" si="61"/>
        <v>0</v>
      </c>
      <c r="U188" s="29"/>
      <c r="V188" s="29"/>
    </row>
    <row r="189" spans="2:24">
      <c r="B189" s="23"/>
      <c r="F189" s="64"/>
      <c r="G189" s="63"/>
      <c r="H189" s="63"/>
      <c r="I189" s="63"/>
      <c r="J189" s="63"/>
      <c r="K189" s="63"/>
      <c r="L189" s="63"/>
      <c r="M189" s="63"/>
      <c r="N189" s="63"/>
      <c r="O189" s="63"/>
      <c r="U189" s="28"/>
      <c r="V189" s="28"/>
    </row>
    <row r="190" spans="2:24">
      <c r="B190" s="22" t="s">
        <v>125</v>
      </c>
      <c r="F190" s="64"/>
      <c r="G190" s="63"/>
      <c r="H190" s="63"/>
      <c r="I190" s="63"/>
      <c r="J190" s="63"/>
      <c r="K190" s="63"/>
      <c r="L190" s="63"/>
      <c r="M190" s="63"/>
      <c r="N190" s="63"/>
      <c r="O190" s="63"/>
      <c r="U190" s="28"/>
      <c r="V190" s="28"/>
    </row>
    <row r="191" spans="2:24">
      <c r="B191" s="23" t="s">
        <v>126</v>
      </c>
      <c r="D191" t="s">
        <v>109</v>
      </c>
      <c r="F191" s="69">
        <f>SUM(G191:O191)</f>
        <v>0</v>
      </c>
      <c r="G191" s="98">
        <f>G151+G171</f>
        <v>0</v>
      </c>
      <c r="H191" s="98">
        <f t="shared" ref="H191:O191" si="62">H151+H171</f>
        <v>0</v>
      </c>
      <c r="I191" s="98">
        <f t="shared" si="62"/>
        <v>0</v>
      </c>
      <c r="J191" s="98">
        <f t="shared" si="62"/>
        <v>0</v>
      </c>
      <c r="K191" s="98">
        <f t="shared" si="62"/>
        <v>0</v>
      </c>
      <c r="L191" s="98">
        <f t="shared" si="62"/>
        <v>0</v>
      </c>
      <c r="M191" s="98">
        <f t="shared" si="62"/>
        <v>0</v>
      </c>
      <c r="N191" s="98">
        <f t="shared" si="62"/>
        <v>0</v>
      </c>
      <c r="O191" s="98">
        <f t="shared" si="62"/>
        <v>0</v>
      </c>
      <c r="U191" s="29"/>
      <c r="V191" s="29"/>
    </row>
    <row r="192" spans="2:24">
      <c r="B192" s="23" t="s">
        <v>127</v>
      </c>
      <c r="D192" t="s">
        <v>109</v>
      </c>
      <c r="F192" s="69">
        <f>SUM(G192:O192)</f>
        <v>0</v>
      </c>
      <c r="G192" s="98">
        <f>G152+G172</f>
        <v>0</v>
      </c>
      <c r="H192" s="98">
        <f t="shared" ref="H192:O192" si="63">H152+H172</f>
        <v>0</v>
      </c>
      <c r="I192" s="98">
        <f t="shared" si="63"/>
        <v>0</v>
      </c>
      <c r="J192" s="98">
        <f t="shared" si="63"/>
        <v>0</v>
      </c>
      <c r="K192" s="98">
        <f t="shared" si="63"/>
        <v>0</v>
      </c>
      <c r="L192" s="98">
        <f t="shared" si="63"/>
        <v>0</v>
      </c>
      <c r="M192" s="98">
        <f t="shared" si="63"/>
        <v>0</v>
      </c>
      <c r="N192" s="98">
        <f t="shared" si="63"/>
        <v>0</v>
      </c>
      <c r="O192" s="98">
        <f t="shared" si="63"/>
        <v>0</v>
      </c>
      <c r="U192" s="29"/>
      <c r="V192" s="29"/>
    </row>
    <row r="193" spans="2:22">
      <c r="B193" s="23"/>
      <c r="F193" s="64"/>
      <c r="G193" s="63"/>
      <c r="H193" s="63"/>
      <c r="I193" s="63"/>
      <c r="J193" s="63"/>
      <c r="K193" s="63"/>
      <c r="L193" s="63"/>
      <c r="M193" s="63"/>
      <c r="N193" s="63"/>
      <c r="O193" s="63"/>
      <c r="U193" s="28"/>
      <c r="V193" s="28"/>
    </row>
    <row r="194" spans="2:22">
      <c r="B194" s="22" t="s">
        <v>128</v>
      </c>
      <c r="F194" s="64"/>
      <c r="G194" s="63"/>
      <c r="H194" s="63"/>
      <c r="I194" s="63"/>
      <c r="J194" s="63"/>
      <c r="K194" s="63"/>
      <c r="L194" s="63"/>
      <c r="M194" s="63"/>
      <c r="N194" s="63"/>
      <c r="O194" s="63"/>
      <c r="U194" s="28"/>
      <c r="V194" s="28"/>
    </row>
    <row r="195" spans="2:22">
      <c r="B195" s="93" t="s">
        <v>180</v>
      </c>
      <c r="D195" t="s">
        <v>109</v>
      </c>
      <c r="F195" s="69">
        <f>SUM(G195:O195)</f>
        <v>829807.50395847682</v>
      </c>
      <c r="G195" s="98">
        <f>G155+G175</f>
        <v>15855.894050000001</v>
      </c>
      <c r="H195" s="98">
        <f t="shared" ref="H195:O195" si="64">H155+H175</f>
        <v>20925.481250000001</v>
      </c>
      <c r="I195" s="98">
        <f t="shared" si="64"/>
        <v>45454.015332335395</v>
      </c>
      <c r="J195" s="98">
        <f t="shared" si="64"/>
        <v>218913.94590930088</v>
      </c>
      <c r="K195" s="98">
        <f t="shared" si="64"/>
        <v>225760.82178911319</v>
      </c>
      <c r="L195" s="98">
        <f t="shared" si="64"/>
        <v>13654.11</v>
      </c>
      <c r="M195" s="98">
        <f t="shared" si="64"/>
        <v>288546.02055414068</v>
      </c>
      <c r="N195" s="98">
        <f t="shared" si="64"/>
        <v>697.21507358662541</v>
      </c>
      <c r="O195" s="98">
        <f t="shared" si="64"/>
        <v>0</v>
      </c>
      <c r="U195" s="29"/>
      <c r="V195" s="29"/>
    </row>
    <row r="196" spans="2:22">
      <c r="B196" s="93" t="s">
        <v>181</v>
      </c>
      <c r="D196" t="s">
        <v>109</v>
      </c>
      <c r="F196" s="69">
        <f>SUM(G196:O196)</f>
        <v>36810.200326907958</v>
      </c>
      <c r="G196" s="98">
        <f>G156+G176</f>
        <v>704.12</v>
      </c>
      <c r="H196" s="98">
        <f t="shared" ref="H196:O196" si="65">H156+H176</f>
        <v>572.9328999999999</v>
      </c>
      <c r="I196" s="98">
        <f t="shared" si="65"/>
        <v>3848.1440452017519</v>
      </c>
      <c r="J196" s="98">
        <f t="shared" si="65"/>
        <v>7634.7209024325821</v>
      </c>
      <c r="K196" s="98">
        <f t="shared" si="65"/>
        <v>11337.07813898685</v>
      </c>
      <c r="L196" s="98">
        <f t="shared" si="65"/>
        <v>226.96</v>
      </c>
      <c r="M196" s="98">
        <f t="shared" si="65"/>
        <v>1365.361728626842</v>
      </c>
      <c r="N196" s="98">
        <f t="shared" si="65"/>
        <v>11120.88261165993</v>
      </c>
      <c r="O196" s="98">
        <f t="shared" si="65"/>
        <v>0</v>
      </c>
      <c r="U196" s="29"/>
      <c r="V196" s="29"/>
    </row>
    <row r="197" spans="2:22">
      <c r="B197" s="94" t="s">
        <v>182</v>
      </c>
      <c r="D197" t="s">
        <v>109</v>
      </c>
      <c r="F197" s="69">
        <f>SUM(G197:O197)</f>
        <v>1249173.0249962574</v>
      </c>
      <c r="G197" s="98">
        <f>G157+G177</f>
        <v>0</v>
      </c>
      <c r="H197" s="98">
        <f t="shared" ref="H197:O197" si="66">H157+H177</f>
        <v>0</v>
      </c>
      <c r="I197" s="98">
        <f t="shared" si="66"/>
        <v>42910.640941474121</v>
      </c>
      <c r="J197" s="98">
        <f t="shared" si="66"/>
        <v>0</v>
      </c>
      <c r="K197" s="98">
        <f t="shared" si="66"/>
        <v>1159242.3598448487</v>
      </c>
      <c r="L197" s="98">
        <f t="shared" si="66"/>
        <v>22129.56</v>
      </c>
      <c r="M197" s="98">
        <f t="shared" si="66"/>
        <v>22860.824641968069</v>
      </c>
      <c r="N197" s="98">
        <f t="shared" si="66"/>
        <v>2029.6395679663704</v>
      </c>
      <c r="O197" s="98">
        <f t="shared" si="66"/>
        <v>0</v>
      </c>
      <c r="U197" s="29"/>
      <c r="V197" s="29"/>
    </row>
    <row r="198" spans="2:22">
      <c r="F198" s="64"/>
      <c r="G198" s="63"/>
      <c r="H198" s="63"/>
      <c r="I198" s="63"/>
      <c r="J198" s="63"/>
      <c r="K198" s="63"/>
      <c r="L198" s="63"/>
      <c r="M198" s="63"/>
      <c r="N198" s="63"/>
      <c r="O198" s="63"/>
      <c r="U198" s="28"/>
      <c r="V198" s="28"/>
    </row>
    <row r="199" spans="2:22">
      <c r="B199" s="79" t="s">
        <v>267</v>
      </c>
      <c r="D199" t="s">
        <v>109</v>
      </c>
      <c r="F199" s="69">
        <f>SUM(G199:O199)</f>
        <v>88095189.17937547</v>
      </c>
      <c r="G199" s="69">
        <f>SUM(G183:G184,G187:G188,G191:G192,G195:G197)</f>
        <v>1296446.0140500001</v>
      </c>
      <c r="H199" s="69">
        <f t="shared" ref="H199:O199" si="67">SUM(H183:H184,H187:H188,H191:H192,H195:H197)</f>
        <v>1564383.218917853</v>
      </c>
      <c r="I199" s="69">
        <f t="shared" si="67"/>
        <v>6498063.2655205876</v>
      </c>
      <c r="J199" s="69">
        <f t="shared" si="67"/>
        <v>14300410.530126698</v>
      </c>
      <c r="K199" s="69">
        <f t="shared" si="67"/>
        <v>42461105.080790579</v>
      </c>
      <c r="L199" s="69">
        <f t="shared" si="67"/>
        <v>1353295.23</v>
      </c>
      <c r="M199" s="69">
        <f t="shared" si="67"/>
        <v>20086807.772262141</v>
      </c>
      <c r="N199" s="69">
        <f t="shared" si="67"/>
        <v>534678.06770761951</v>
      </c>
      <c r="O199" s="69">
        <f t="shared" si="67"/>
        <v>0</v>
      </c>
      <c r="U199" s="68"/>
      <c r="V199" s="68"/>
    </row>
    <row r="200" spans="2:22">
      <c r="F200" s="62"/>
      <c r="G200" s="42"/>
      <c r="H200" s="42"/>
      <c r="I200" s="42"/>
      <c r="J200" s="42"/>
      <c r="K200" s="42"/>
      <c r="L200" s="42"/>
      <c r="M200" s="42"/>
      <c r="N200" s="42"/>
      <c r="O200" s="258"/>
    </row>
    <row r="201" spans="2:22">
      <c r="F201" s="62"/>
      <c r="G201" s="42"/>
      <c r="H201" s="42"/>
      <c r="I201" s="42"/>
      <c r="J201" s="42"/>
      <c r="K201" s="42"/>
      <c r="L201" s="42"/>
      <c r="M201" s="42"/>
      <c r="N201" s="42"/>
      <c r="O201" s="258"/>
    </row>
    <row r="202" spans="2:22" s="2" customFormat="1">
      <c r="B202" s="2" t="s">
        <v>274</v>
      </c>
      <c r="F202" s="49"/>
    </row>
    <row r="203" spans="2:22">
      <c r="G203" s="258"/>
      <c r="H203" s="258"/>
      <c r="I203" s="258"/>
      <c r="J203" s="258"/>
      <c r="K203" s="258"/>
      <c r="L203" s="258"/>
      <c r="M203" s="258"/>
      <c r="N203" s="258"/>
      <c r="O203" s="258"/>
    </row>
    <row r="204" spans="2:22">
      <c r="B204" s="22" t="s">
        <v>220</v>
      </c>
      <c r="G204" s="258"/>
      <c r="H204" s="258"/>
      <c r="I204" s="258"/>
      <c r="J204" s="258"/>
      <c r="K204" s="258"/>
      <c r="L204" s="258"/>
      <c r="M204" s="258"/>
      <c r="N204" s="258"/>
      <c r="O204" s="258"/>
    </row>
    <row r="205" spans="2:22">
      <c r="B205" s="23"/>
      <c r="G205" s="258"/>
      <c r="H205" s="258"/>
      <c r="I205" s="258"/>
      <c r="J205" s="258"/>
      <c r="K205" s="258"/>
      <c r="L205" s="258"/>
      <c r="M205" s="258"/>
      <c r="N205" s="258"/>
      <c r="O205" s="258"/>
    </row>
    <row r="206" spans="2:22">
      <c r="B206" s="22" t="s">
        <v>121</v>
      </c>
      <c r="F206" s="64"/>
      <c r="G206" s="63"/>
      <c r="H206" s="63"/>
      <c r="I206" s="63"/>
      <c r="J206" s="63"/>
      <c r="K206" s="63"/>
      <c r="L206" s="63"/>
      <c r="M206" s="63"/>
      <c r="N206" s="63"/>
      <c r="O206" s="63"/>
    </row>
    <row r="207" spans="2:22">
      <c r="B207" s="23" t="s">
        <v>216</v>
      </c>
      <c r="D207" t="s">
        <v>110</v>
      </c>
      <c r="F207" s="69">
        <f>SUM(G207:O207)</f>
        <v>0</v>
      </c>
      <c r="G207" s="87">
        <v>0</v>
      </c>
      <c r="H207" s="87">
        <v>0</v>
      </c>
      <c r="I207" s="87">
        <v>0</v>
      </c>
      <c r="J207" s="87">
        <v>0</v>
      </c>
      <c r="K207" s="87">
        <v>0</v>
      </c>
      <c r="L207" s="87">
        <v>0</v>
      </c>
      <c r="M207" s="87">
        <v>0</v>
      </c>
      <c r="N207" s="87">
        <v>0</v>
      </c>
      <c r="O207" s="87">
        <v>0</v>
      </c>
    </row>
    <row r="208" spans="2:22">
      <c r="B208" s="23" t="s">
        <v>217</v>
      </c>
      <c r="D208" t="s">
        <v>110</v>
      </c>
      <c r="F208" s="69">
        <f>SUM(G208:O208)</f>
        <v>0</v>
      </c>
      <c r="G208" s="87">
        <v>0</v>
      </c>
      <c r="H208" s="87">
        <v>0</v>
      </c>
      <c r="I208" s="87">
        <v>0</v>
      </c>
      <c r="J208" s="87">
        <v>0</v>
      </c>
      <c r="K208" s="87">
        <v>0</v>
      </c>
      <c r="L208" s="87">
        <v>0</v>
      </c>
      <c r="M208" s="87">
        <v>0</v>
      </c>
      <c r="N208" s="87">
        <v>0</v>
      </c>
      <c r="O208" s="87">
        <v>0</v>
      </c>
    </row>
    <row r="209" spans="2:15">
      <c r="B209" s="23"/>
      <c r="F209" s="64"/>
      <c r="G209" s="63"/>
      <c r="H209" s="63"/>
      <c r="I209" s="63"/>
      <c r="J209" s="63"/>
      <c r="K209" s="63"/>
      <c r="L209" s="63"/>
      <c r="M209" s="63"/>
      <c r="N209" s="63"/>
      <c r="O209" s="63"/>
    </row>
    <row r="210" spans="2:15">
      <c r="B210" s="22" t="s">
        <v>122</v>
      </c>
      <c r="G210" s="258"/>
      <c r="H210" s="258"/>
      <c r="I210" s="258"/>
      <c r="J210" s="258"/>
      <c r="K210" s="258"/>
      <c r="L210" s="258"/>
      <c r="M210" s="258"/>
      <c r="N210" s="258"/>
      <c r="O210" s="258"/>
    </row>
    <row r="211" spans="2:15">
      <c r="B211" s="23" t="s">
        <v>123</v>
      </c>
      <c r="D211" t="s">
        <v>110</v>
      </c>
      <c r="F211" s="69">
        <f>SUM(G211:O211)</f>
        <v>99938039.06793426</v>
      </c>
      <c r="G211" s="87">
        <v>1703844</v>
      </c>
      <c r="H211" s="87">
        <v>1610405.457172337</v>
      </c>
      <c r="I211" s="87">
        <v>9515692.2957872078</v>
      </c>
      <c r="J211" s="87">
        <v>12952130.271609489</v>
      </c>
      <c r="K211" s="87">
        <v>47562776.055634104</v>
      </c>
      <c r="L211" s="87">
        <v>1384069.69</v>
      </c>
      <c r="M211" s="87">
        <v>24827800.576212637</v>
      </c>
      <c r="N211" s="87">
        <v>381320.72151846811</v>
      </c>
      <c r="O211" s="87">
        <v>0</v>
      </c>
    </row>
    <row r="212" spans="2:15">
      <c r="B212" s="23" t="s">
        <v>124</v>
      </c>
      <c r="D212" t="s">
        <v>110</v>
      </c>
      <c r="F212" s="69">
        <f>SUM(G212:O212)</f>
        <v>2180904.6725780233</v>
      </c>
      <c r="G212" s="87">
        <v>0</v>
      </c>
      <c r="H212" s="87">
        <v>0</v>
      </c>
      <c r="I212" s="87">
        <v>0</v>
      </c>
      <c r="J212" s="87">
        <v>0</v>
      </c>
      <c r="K212" s="87">
        <v>0</v>
      </c>
      <c r="L212" s="87">
        <v>87167.06</v>
      </c>
      <c r="M212" s="87">
        <v>2093737.6125780235</v>
      </c>
      <c r="N212" s="87">
        <v>0</v>
      </c>
      <c r="O212" s="87">
        <v>0</v>
      </c>
    </row>
    <row r="213" spans="2:15">
      <c r="B213" s="23"/>
      <c r="F213" s="64"/>
      <c r="G213" s="63"/>
      <c r="H213" s="63"/>
      <c r="I213" s="63"/>
      <c r="J213" s="63"/>
      <c r="K213" s="63"/>
      <c r="L213" s="63"/>
      <c r="M213" s="63"/>
      <c r="N213" s="63"/>
      <c r="O213" s="63"/>
    </row>
    <row r="214" spans="2:15">
      <c r="B214" s="22" t="s">
        <v>125</v>
      </c>
      <c r="F214" s="64"/>
      <c r="G214" s="63"/>
      <c r="H214" s="63"/>
      <c r="I214" s="63"/>
      <c r="J214" s="63"/>
      <c r="K214" s="63"/>
      <c r="L214" s="63"/>
      <c r="M214" s="63"/>
      <c r="N214" s="63"/>
      <c r="O214" s="63"/>
    </row>
    <row r="215" spans="2:15">
      <c r="B215" s="23" t="s">
        <v>126</v>
      </c>
      <c r="D215" t="s">
        <v>110</v>
      </c>
      <c r="F215" s="69">
        <f>SUM(G215:O215)</f>
        <v>0</v>
      </c>
      <c r="G215" s="87">
        <v>0</v>
      </c>
      <c r="H215" s="87">
        <v>0</v>
      </c>
      <c r="I215" s="87">
        <v>0</v>
      </c>
      <c r="J215" s="87">
        <v>0</v>
      </c>
      <c r="K215" s="87">
        <v>0</v>
      </c>
      <c r="L215" s="87">
        <v>0</v>
      </c>
      <c r="M215" s="87">
        <v>0</v>
      </c>
      <c r="N215" s="87">
        <v>0</v>
      </c>
      <c r="O215" s="87">
        <v>0</v>
      </c>
    </row>
    <row r="216" spans="2:15">
      <c r="B216" s="23" t="s">
        <v>127</v>
      </c>
      <c r="D216" t="s">
        <v>110</v>
      </c>
      <c r="F216" s="69">
        <f>SUM(G216:O216)</f>
        <v>194</v>
      </c>
      <c r="G216" s="87">
        <v>194</v>
      </c>
      <c r="H216" s="87">
        <v>0</v>
      </c>
      <c r="I216" s="87">
        <v>0</v>
      </c>
      <c r="J216" s="87">
        <v>0</v>
      </c>
      <c r="K216" s="87">
        <v>0</v>
      </c>
      <c r="L216" s="87">
        <v>0</v>
      </c>
      <c r="M216" s="87">
        <v>0</v>
      </c>
      <c r="N216" s="87">
        <v>0</v>
      </c>
      <c r="O216" s="87">
        <v>0</v>
      </c>
    </row>
    <row r="217" spans="2:15">
      <c r="B217" s="23"/>
      <c r="F217" s="64"/>
      <c r="G217" s="63"/>
      <c r="H217" s="63"/>
      <c r="I217" s="63"/>
      <c r="J217" s="63"/>
      <c r="K217" s="63"/>
      <c r="L217" s="63"/>
      <c r="M217" s="63"/>
      <c r="N217" s="63"/>
      <c r="O217" s="63"/>
    </row>
    <row r="218" spans="2:15">
      <c r="B218" s="22" t="s">
        <v>128</v>
      </c>
      <c r="F218" s="64"/>
      <c r="G218" s="63"/>
      <c r="H218" s="63"/>
      <c r="I218" s="63"/>
      <c r="J218" s="63"/>
      <c r="K218" s="63"/>
      <c r="L218" s="63"/>
      <c r="M218" s="63"/>
      <c r="N218" s="63"/>
      <c r="O218" s="63"/>
    </row>
    <row r="219" spans="2:15">
      <c r="B219" s="93" t="s">
        <v>180</v>
      </c>
      <c r="D219" t="s">
        <v>110</v>
      </c>
      <c r="F219" s="69">
        <f>SUM(G219:O219)</f>
        <v>796143.63836750435</v>
      </c>
      <c r="G219" s="87">
        <v>16730</v>
      </c>
      <c r="H219" s="87">
        <v>18813.352150000002</v>
      </c>
      <c r="I219" s="87">
        <v>40204.765246183924</v>
      </c>
      <c r="J219" s="87">
        <v>191761.3083905112</v>
      </c>
      <c r="K219" s="87">
        <v>215124.01285221669</v>
      </c>
      <c r="L219" s="87">
        <v>12070.43</v>
      </c>
      <c r="M219" s="87">
        <f>251425.706205925+47982.3046668523</f>
        <v>299408.01087277732</v>
      </c>
      <c r="N219" s="87">
        <v>2031.7588558152511</v>
      </c>
      <c r="O219" s="87">
        <v>0</v>
      </c>
    </row>
    <row r="220" spans="2:15">
      <c r="B220" s="93" t="s">
        <v>181</v>
      </c>
      <c r="D220" t="s">
        <v>110</v>
      </c>
      <c r="F220" s="69">
        <f>SUM(G220:O220)</f>
        <v>0</v>
      </c>
      <c r="G220" s="87">
        <v>0</v>
      </c>
      <c r="H220" s="87">
        <v>0</v>
      </c>
      <c r="I220" s="87">
        <v>0</v>
      </c>
      <c r="J220" s="87">
        <v>0</v>
      </c>
      <c r="K220" s="87">
        <v>0</v>
      </c>
      <c r="L220" s="87">
        <v>0</v>
      </c>
      <c r="M220" s="87">
        <v>0</v>
      </c>
      <c r="N220" s="87">
        <v>0</v>
      </c>
      <c r="O220" s="87">
        <v>0</v>
      </c>
    </row>
    <row r="221" spans="2:15">
      <c r="B221" s="94" t="s">
        <v>182</v>
      </c>
      <c r="D221" t="s">
        <v>110</v>
      </c>
      <c r="F221" s="69">
        <f>SUM(G221:O221)</f>
        <v>2327668.933813808</v>
      </c>
      <c r="G221" s="87">
        <v>0</v>
      </c>
      <c r="H221" s="87">
        <v>0</v>
      </c>
      <c r="I221" s="454">
        <f>'Aanpassing gegevens (aug. 2016)'!J38</f>
        <v>101439.55368501839</v>
      </c>
      <c r="J221" s="87">
        <v>0</v>
      </c>
      <c r="K221" s="87">
        <v>2171517.9216033192</v>
      </c>
      <c r="L221" s="87">
        <v>26828.14</v>
      </c>
      <c r="M221" s="87">
        <v>26966.959642203488</v>
      </c>
      <c r="N221" s="87">
        <v>916.35888326677048</v>
      </c>
      <c r="O221" s="87">
        <v>0</v>
      </c>
    </row>
    <row r="222" spans="2:15">
      <c r="B222" s="23"/>
      <c r="F222" s="64"/>
      <c r="G222" s="63"/>
      <c r="H222" s="63"/>
      <c r="I222" s="63"/>
      <c r="J222" s="63"/>
      <c r="K222" s="63"/>
      <c r="L222" s="63"/>
      <c r="M222" s="63"/>
      <c r="N222" s="63"/>
      <c r="O222" s="63"/>
    </row>
    <row r="223" spans="2:15">
      <c r="F223" s="64"/>
      <c r="G223" s="63"/>
      <c r="H223" s="63"/>
      <c r="I223" s="63"/>
      <c r="J223" s="63"/>
      <c r="K223" s="63"/>
      <c r="L223" s="63"/>
      <c r="M223" s="63"/>
      <c r="N223" s="63"/>
      <c r="O223" s="63"/>
    </row>
    <row r="224" spans="2:15">
      <c r="B224" s="22" t="s">
        <v>221</v>
      </c>
      <c r="F224" s="64"/>
      <c r="G224" s="63"/>
      <c r="H224" s="63"/>
      <c r="I224" s="63"/>
      <c r="J224" s="63"/>
      <c r="K224" s="63"/>
      <c r="L224" s="63"/>
      <c r="M224" s="63"/>
      <c r="N224" s="63"/>
      <c r="O224" s="63"/>
    </row>
    <row r="225" spans="2:15">
      <c r="B225" s="23"/>
      <c r="F225" s="64"/>
      <c r="G225" s="63"/>
      <c r="H225" s="63"/>
      <c r="I225" s="63"/>
      <c r="J225" s="63"/>
      <c r="K225" s="63"/>
      <c r="L225" s="63"/>
      <c r="M225" s="63"/>
      <c r="N225" s="63"/>
      <c r="O225" s="63"/>
    </row>
    <row r="226" spans="2:15">
      <c r="B226" s="22" t="s">
        <v>121</v>
      </c>
      <c r="F226" s="64"/>
      <c r="G226" s="63"/>
      <c r="H226" s="63"/>
      <c r="I226" s="63"/>
      <c r="J226" s="63"/>
      <c r="K226" s="63"/>
      <c r="L226" s="63"/>
      <c r="M226" s="63"/>
      <c r="N226" s="63"/>
      <c r="O226" s="63"/>
    </row>
    <row r="227" spans="2:15">
      <c r="B227" s="23" t="s">
        <v>216</v>
      </c>
      <c r="D227" t="s">
        <v>110</v>
      </c>
      <c r="F227" s="69">
        <f>SUM(G227:O227)</f>
        <v>0</v>
      </c>
      <c r="G227" s="87">
        <v>0</v>
      </c>
      <c r="H227" s="87">
        <v>0</v>
      </c>
      <c r="I227" s="87">
        <v>0</v>
      </c>
      <c r="J227" s="87">
        <v>0</v>
      </c>
      <c r="K227" s="87">
        <v>0</v>
      </c>
      <c r="L227" s="87">
        <v>0</v>
      </c>
      <c r="M227" s="87">
        <v>0</v>
      </c>
      <c r="N227" s="87">
        <v>0</v>
      </c>
      <c r="O227" s="87">
        <v>0</v>
      </c>
    </row>
    <row r="228" spans="2:15">
      <c r="B228" s="23" t="s">
        <v>217</v>
      </c>
      <c r="D228" t="s">
        <v>110</v>
      </c>
      <c r="F228" s="69">
        <f>SUM(G228:O228)</f>
        <v>0</v>
      </c>
      <c r="G228" s="87">
        <v>0</v>
      </c>
      <c r="H228" s="87">
        <v>0</v>
      </c>
      <c r="I228" s="87">
        <v>0</v>
      </c>
      <c r="J228" s="87">
        <v>0</v>
      </c>
      <c r="K228" s="87">
        <v>0</v>
      </c>
      <c r="L228" s="87">
        <v>0</v>
      </c>
      <c r="M228" s="87">
        <v>0</v>
      </c>
      <c r="N228" s="87">
        <v>0</v>
      </c>
      <c r="O228" s="87">
        <v>0</v>
      </c>
    </row>
    <row r="229" spans="2:15">
      <c r="B229" s="23"/>
      <c r="F229" s="64"/>
      <c r="G229" s="63"/>
      <c r="H229" s="63"/>
      <c r="I229" s="63"/>
      <c r="J229" s="63"/>
      <c r="K229" s="63"/>
      <c r="L229" s="63"/>
      <c r="M229" s="63"/>
      <c r="N229" s="63"/>
      <c r="O229" s="63"/>
    </row>
    <row r="230" spans="2:15">
      <c r="B230" s="22" t="s">
        <v>122</v>
      </c>
      <c r="F230" s="64"/>
      <c r="G230" s="63"/>
      <c r="H230" s="63"/>
      <c r="I230" s="63"/>
      <c r="J230" s="63"/>
      <c r="K230" s="63"/>
      <c r="L230" s="63"/>
      <c r="M230" s="63"/>
      <c r="N230" s="63"/>
      <c r="O230" s="63"/>
    </row>
    <row r="231" spans="2:15">
      <c r="B231" s="23" t="s">
        <v>123</v>
      </c>
      <c r="D231" t="s">
        <v>110</v>
      </c>
      <c r="F231" s="69">
        <f>SUM(G231:O231)</f>
        <v>3811300.2520889626</v>
      </c>
      <c r="G231" s="87">
        <v>4205</v>
      </c>
      <c r="H231" s="87">
        <v>162359.43709519479</v>
      </c>
      <c r="I231" s="87">
        <v>140306.99059312794</v>
      </c>
      <c r="J231" s="87">
        <v>235162.75565767469</v>
      </c>
      <c r="K231" s="87">
        <v>3058217.1051803268</v>
      </c>
      <c r="L231" s="87">
        <v>7368.25</v>
      </c>
      <c r="M231" s="87">
        <v>117481.8791388589</v>
      </c>
      <c r="N231" s="249">
        <f>119118.992294167*(27.86%/38.5%)</f>
        <v>86198.83442377903</v>
      </c>
      <c r="O231" s="87">
        <v>0</v>
      </c>
    </row>
    <row r="232" spans="2:15">
      <c r="B232" s="23" t="s">
        <v>124</v>
      </c>
      <c r="D232" t="s">
        <v>110</v>
      </c>
      <c r="F232" s="69">
        <f>SUM(G232:O232)</f>
        <v>22700.479927233388</v>
      </c>
      <c r="G232" s="87">
        <v>0</v>
      </c>
      <c r="H232" s="87">
        <v>0</v>
      </c>
      <c r="I232" s="87">
        <v>0</v>
      </c>
      <c r="J232" s="87">
        <v>0</v>
      </c>
      <c r="K232" s="87">
        <v>0</v>
      </c>
      <c r="L232" s="87">
        <v>259.73</v>
      </c>
      <c r="M232" s="87">
        <v>22440.749927233388</v>
      </c>
      <c r="N232" s="87">
        <v>0</v>
      </c>
      <c r="O232" s="87">
        <v>0</v>
      </c>
    </row>
    <row r="233" spans="2:15">
      <c r="B233" s="23"/>
      <c r="F233" s="64"/>
      <c r="G233" s="63"/>
      <c r="H233" s="63"/>
      <c r="I233" s="63"/>
      <c r="J233" s="63"/>
      <c r="K233" s="63"/>
      <c r="L233" s="63"/>
      <c r="M233" s="63"/>
      <c r="N233" s="63"/>
      <c r="O233" s="63"/>
    </row>
    <row r="234" spans="2:15">
      <c r="B234" s="22" t="s">
        <v>125</v>
      </c>
      <c r="F234" s="64"/>
      <c r="G234" s="63"/>
      <c r="H234" s="63"/>
      <c r="I234" s="63"/>
      <c r="J234" s="63"/>
      <c r="K234" s="63"/>
      <c r="L234" s="63"/>
      <c r="M234" s="63"/>
      <c r="N234" s="63"/>
      <c r="O234" s="63"/>
    </row>
    <row r="235" spans="2:15">
      <c r="B235" s="23" t="s">
        <v>126</v>
      </c>
      <c r="D235" t="s">
        <v>110</v>
      </c>
      <c r="F235" s="69">
        <f>SUM(G235:O235)</f>
        <v>0</v>
      </c>
      <c r="G235" s="87">
        <v>0</v>
      </c>
      <c r="H235" s="87">
        <v>0</v>
      </c>
      <c r="I235" s="87">
        <v>0</v>
      </c>
      <c r="J235" s="87">
        <v>0</v>
      </c>
      <c r="K235" s="87">
        <v>0</v>
      </c>
      <c r="L235" s="87">
        <v>0</v>
      </c>
      <c r="M235" s="87">
        <v>0</v>
      </c>
      <c r="N235" s="87">
        <v>0</v>
      </c>
      <c r="O235" s="87">
        <v>0</v>
      </c>
    </row>
    <row r="236" spans="2:15">
      <c r="B236" s="23" t="s">
        <v>127</v>
      </c>
      <c r="D236" t="s">
        <v>110</v>
      </c>
      <c r="F236" s="69">
        <f>SUM(G236:O236)</f>
        <v>0</v>
      </c>
      <c r="G236" s="87">
        <v>0</v>
      </c>
      <c r="H236" s="87">
        <v>0</v>
      </c>
      <c r="I236" s="87">
        <v>0</v>
      </c>
      <c r="J236" s="87">
        <v>0</v>
      </c>
      <c r="K236" s="87">
        <v>0</v>
      </c>
      <c r="L236" s="87">
        <v>0</v>
      </c>
      <c r="M236" s="87">
        <v>0</v>
      </c>
      <c r="N236" s="87">
        <v>0</v>
      </c>
      <c r="O236" s="87">
        <v>0</v>
      </c>
    </row>
    <row r="237" spans="2:15">
      <c r="B237" s="23"/>
      <c r="F237" s="64"/>
      <c r="G237" s="63"/>
      <c r="H237" s="63"/>
      <c r="I237" s="63"/>
      <c r="J237" s="63"/>
      <c r="K237" s="63"/>
      <c r="L237" s="63"/>
      <c r="M237" s="63"/>
      <c r="N237" s="63"/>
      <c r="O237" s="63"/>
    </row>
    <row r="238" spans="2:15">
      <c r="B238" s="22" t="s">
        <v>128</v>
      </c>
      <c r="F238" s="64"/>
      <c r="G238" s="63"/>
      <c r="H238" s="63"/>
      <c r="I238" s="63"/>
      <c r="J238" s="63"/>
      <c r="K238" s="63"/>
      <c r="L238" s="63"/>
      <c r="M238" s="63"/>
      <c r="N238" s="63"/>
      <c r="O238" s="63"/>
    </row>
    <row r="239" spans="2:15">
      <c r="B239" s="93" t="s">
        <v>180</v>
      </c>
      <c r="D239" t="s">
        <v>110</v>
      </c>
      <c r="F239" s="69">
        <f>SUM(G239:O239)</f>
        <v>0</v>
      </c>
      <c r="G239" s="87">
        <v>0</v>
      </c>
      <c r="H239" s="87">
        <v>0</v>
      </c>
      <c r="I239" s="87">
        <v>0</v>
      </c>
      <c r="J239" s="87">
        <v>0</v>
      </c>
      <c r="K239" s="87">
        <v>0</v>
      </c>
      <c r="L239" s="87">
        <v>0</v>
      </c>
      <c r="M239" s="87">
        <v>0</v>
      </c>
      <c r="N239" s="87">
        <v>0</v>
      </c>
      <c r="O239" s="87">
        <v>0</v>
      </c>
    </row>
    <row r="240" spans="2:15">
      <c r="B240" s="93" t="s">
        <v>181</v>
      </c>
      <c r="D240" t="s">
        <v>110</v>
      </c>
      <c r="F240" s="69">
        <f>SUM(G240:O240)</f>
        <v>27638.227327475321</v>
      </c>
      <c r="G240" s="87">
        <f>277+258</f>
        <v>535</v>
      </c>
      <c r="H240" s="87">
        <v>450.34780288135573</v>
      </c>
      <c r="I240" s="87">
        <v>3795.3401424110125</v>
      </c>
      <c r="J240" s="87">
        <v>2983.3733144976486</v>
      </c>
      <c r="K240" s="87">
        <v>10130.21169778329</v>
      </c>
      <c r="L240" s="87">
        <v>199.37</v>
      </c>
      <c r="M240" s="87">
        <f>227.045939908019+1189.7132949097</f>
        <v>1416.7592348177188</v>
      </c>
      <c r="N240" s="87">
        <v>8127.8251350842957</v>
      </c>
      <c r="O240" s="87">
        <v>0</v>
      </c>
    </row>
    <row r="241" spans="2:15">
      <c r="B241" s="94" t="s">
        <v>182</v>
      </c>
      <c r="D241" t="s">
        <v>110</v>
      </c>
      <c r="F241" s="69">
        <f>SUM(G241:O241)</f>
        <v>146101.35506013638</v>
      </c>
      <c r="G241" s="87">
        <v>0</v>
      </c>
      <c r="H241" s="87">
        <v>0</v>
      </c>
      <c r="I241" s="87">
        <v>1504.5529273103098</v>
      </c>
      <c r="J241" s="87">
        <v>0</v>
      </c>
      <c r="K241" s="87">
        <v>140723.46632805243</v>
      </c>
      <c r="L241" s="87">
        <v>79.94</v>
      </c>
      <c r="M241" s="87">
        <v>127.6040978218264</v>
      </c>
      <c r="N241" s="87">
        <v>3665.7917069518039</v>
      </c>
      <c r="O241" s="87">
        <v>0</v>
      </c>
    </row>
    <row r="242" spans="2:15">
      <c r="F242" s="64"/>
      <c r="G242" s="63"/>
      <c r="H242" s="63"/>
      <c r="I242" s="63"/>
      <c r="J242" s="63"/>
      <c r="K242" s="63"/>
      <c r="L242" s="63"/>
      <c r="M242" s="63"/>
      <c r="N242" s="63"/>
      <c r="O242" s="63"/>
    </row>
    <row r="243" spans="2:15">
      <c r="F243" s="64"/>
      <c r="G243" s="63"/>
      <c r="H243" s="63"/>
      <c r="I243" s="63"/>
      <c r="J243" s="63"/>
      <c r="K243" s="63"/>
      <c r="L243" s="63"/>
      <c r="M243" s="63"/>
      <c r="N243" s="63"/>
      <c r="O243" s="63"/>
    </row>
    <row r="244" spans="2:15">
      <c r="B244" s="22" t="s">
        <v>222</v>
      </c>
      <c r="F244" s="64"/>
      <c r="G244" s="63"/>
      <c r="H244" s="63"/>
      <c r="I244" s="63"/>
      <c r="J244" s="63"/>
      <c r="K244" s="63"/>
      <c r="L244" s="63"/>
      <c r="M244" s="63"/>
      <c r="N244" s="63"/>
      <c r="O244" s="63"/>
    </row>
    <row r="245" spans="2:15">
      <c r="B245" s="23"/>
      <c r="F245" s="64"/>
      <c r="G245" s="63"/>
      <c r="H245" s="63"/>
      <c r="I245" s="63"/>
      <c r="J245" s="63"/>
      <c r="K245" s="63"/>
      <c r="L245" s="63"/>
      <c r="M245" s="63"/>
      <c r="N245" s="63"/>
      <c r="O245" s="63"/>
    </row>
    <row r="246" spans="2:15">
      <c r="B246" s="22" t="s">
        <v>121</v>
      </c>
      <c r="F246" s="64"/>
      <c r="G246" s="63"/>
      <c r="H246" s="63"/>
      <c r="I246" s="63"/>
      <c r="J246" s="63"/>
      <c r="K246" s="63"/>
      <c r="L246" s="63"/>
      <c r="M246" s="63"/>
      <c r="N246" s="63"/>
      <c r="O246" s="63"/>
    </row>
    <row r="247" spans="2:15">
      <c r="B247" s="23" t="s">
        <v>216</v>
      </c>
      <c r="D247" t="s">
        <v>110</v>
      </c>
      <c r="F247" s="69">
        <f>SUM(G247:O247)</f>
        <v>0</v>
      </c>
      <c r="G247" s="98">
        <f>G207+G227</f>
        <v>0</v>
      </c>
      <c r="H247" s="98">
        <f t="shared" ref="H247:O247" si="68">H207+H227</f>
        <v>0</v>
      </c>
      <c r="I247" s="98">
        <f t="shared" si="68"/>
        <v>0</v>
      </c>
      <c r="J247" s="98">
        <f t="shared" si="68"/>
        <v>0</v>
      </c>
      <c r="K247" s="98">
        <f t="shared" si="68"/>
        <v>0</v>
      </c>
      <c r="L247" s="98">
        <f t="shared" si="68"/>
        <v>0</v>
      </c>
      <c r="M247" s="98">
        <f t="shared" si="68"/>
        <v>0</v>
      </c>
      <c r="N247" s="98">
        <f t="shared" si="68"/>
        <v>0</v>
      </c>
      <c r="O247" s="98">
        <f t="shared" si="68"/>
        <v>0</v>
      </c>
    </row>
    <row r="248" spans="2:15">
      <c r="B248" s="23" t="s">
        <v>217</v>
      </c>
      <c r="D248" t="s">
        <v>110</v>
      </c>
      <c r="F248" s="69">
        <f>SUM(G248:O248)</f>
        <v>0</v>
      </c>
      <c r="G248" s="98">
        <f>G208+G228</f>
        <v>0</v>
      </c>
      <c r="H248" s="98">
        <f t="shared" ref="H248:O248" si="69">H208+H228</f>
        <v>0</v>
      </c>
      <c r="I248" s="98">
        <f t="shared" si="69"/>
        <v>0</v>
      </c>
      <c r="J248" s="98">
        <f t="shared" si="69"/>
        <v>0</v>
      </c>
      <c r="K248" s="98">
        <f t="shared" si="69"/>
        <v>0</v>
      </c>
      <c r="L248" s="98">
        <f t="shared" si="69"/>
        <v>0</v>
      </c>
      <c r="M248" s="98">
        <f t="shared" si="69"/>
        <v>0</v>
      </c>
      <c r="N248" s="98">
        <f t="shared" si="69"/>
        <v>0</v>
      </c>
      <c r="O248" s="98">
        <f t="shared" si="69"/>
        <v>0</v>
      </c>
    </row>
    <row r="249" spans="2:15">
      <c r="B249" s="23"/>
      <c r="F249" s="64"/>
      <c r="G249" s="63"/>
      <c r="H249" s="63"/>
      <c r="I249" s="63"/>
      <c r="J249" s="63"/>
      <c r="K249" s="63"/>
      <c r="L249" s="63"/>
      <c r="M249" s="63"/>
      <c r="N249" s="63"/>
      <c r="O249" s="63"/>
    </row>
    <row r="250" spans="2:15">
      <c r="B250" s="22" t="s">
        <v>122</v>
      </c>
      <c r="F250" s="64"/>
      <c r="G250" s="63"/>
      <c r="H250" s="63"/>
      <c r="I250" s="63"/>
      <c r="J250" s="63"/>
      <c r="K250" s="63"/>
      <c r="L250" s="63"/>
      <c r="M250" s="63"/>
      <c r="N250" s="63"/>
      <c r="O250" s="63"/>
    </row>
    <row r="251" spans="2:15">
      <c r="B251" s="23" t="s">
        <v>123</v>
      </c>
      <c r="D251" t="s">
        <v>110</v>
      </c>
      <c r="F251" s="69">
        <f>SUM(G251:O251)</f>
        <v>103749339.32002322</v>
      </c>
      <c r="G251" s="98">
        <f>G211+G231</f>
        <v>1708049</v>
      </c>
      <c r="H251" s="98">
        <f t="shared" ref="H251:O251" si="70">H211+H231</f>
        <v>1772764.8942675318</v>
      </c>
      <c r="I251" s="98">
        <f t="shared" si="70"/>
        <v>9655999.2863803357</v>
      </c>
      <c r="J251" s="98">
        <f t="shared" si="70"/>
        <v>13187293.027267164</v>
      </c>
      <c r="K251" s="98">
        <f t="shared" si="70"/>
        <v>50620993.160814434</v>
      </c>
      <c r="L251" s="98">
        <f t="shared" si="70"/>
        <v>1391437.94</v>
      </c>
      <c r="M251" s="98">
        <f t="shared" si="70"/>
        <v>24945282.455351494</v>
      </c>
      <c r="N251" s="98">
        <f t="shared" si="70"/>
        <v>467519.55594224716</v>
      </c>
      <c r="O251" s="98">
        <f t="shared" si="70"/>
        <v>0</v>
      </c>
    </row>
    <row r="252" spans="2:15">
      <c r="B252" s="23" t="s">
        <v>124</v>
      </c>
      <c r="D252" t="s">
        <v>110</v>
      </c>
      <c r="F252" s="69">
        <f>SUM(G252:O252)</f>
        <v>2203605.1525052567</v>
      </c>
      <c r="G252" s="98">
        <f>G212+G232</f>
        <v>0</v>
      </c>
      <c r="H252" s="98">
        <f t="shared" ref="H252:O252" si="71">H212+H232</f>
        <v>0</v>
      </c>
      <c r="I252" s="98">
        <f t="shared" si="71"/>
        <v>0</v>
      </c>
      <c r="J252" s="98">
        <f t="shared" si="71"/>
        <v>0</v>
      </c>
      <c r="K252" s="98">
        <f t="shared" si="71"/>
        <v>0</v>
      </c>
      <c r="L252" s="98">
        <f t="shared" si="71"/>
        <v>87426.79</v>
      </c>
      <c r="M252" s="98">
        <f t="shared" si="71"/>
        <v>2116178.3625052567</v>
      </c>
      <c r="N252" s="98">
        <f t="shared" si="71"/>
        <v>0</v>
      </c>
      <c r="O252" s="98">
        <f t="shared" si="71"/>
        <v>0</v>
      </c>
    </row>
    <row r="253" spans="2:15">
      <c r="B253" s="23"/>
      <c r="F253" s="64"/>
      <c r="G253" s="63"/>
      <c r="H253" s="63"/>
      <c r="I253" s="63"/>
      <c r="J253" s="63"/>
      <c r="K253" s="63"/>
      <c r="L253" s="63"/>
      <c r="M253" s="63"/>
      <c r="N253" s="63"/>
      <c r="O253" s="63"/>
    </row>
    <row r="254" spans="2:15">
      <c r="B254" s="22" t="s">
        <v>125</v>
      </c>
      <c r="F254" s="64"/>
      <c r="G254" s="63"/>
      <c r="H254" s="63"/>
      <c r="I254" s="63"/>
      <c r="J254" s="63"/>
      <c r="K254" s="63"/>
      <c r="L254" s="63"/>
      <c r="M254" s="63"/>
      <c r="N254" s="63"/>
      <c r="O254" s="63"/>
    </row>
    <row r="255" spans="2:15">
      <c r="B255" s="23" t="s">
        <v>126</v>
      </c>
      <c r="D255" t="s">
        <v>110</v>
      </c>
      <c r="F255" s="69">
        <f>SUM(G255:O255)</f>
        <v>0</v>
      </c>
      <c r="G255" s="98">
        <f>G215+G235</f>
        <v>0</v>
      </c>
      <c r="H255" s="98">
        <f t="shared" ref="H255:O255" si="72">H215+H235</f>
        <v>0</v>
      </c>
      <c r="I255" s="98">
        <f t="shared" si="72"/>
        <v>0</v>
      </c>
      <c r="J255" s="98">
        <f t="shared" si="72"/>
        <v>0</v>
      </c>
      <c r="K255" s="98">
        <f t="shared" si="72"/>
        <v>0</v>
      </c>
      <c r="L255" s="98">
        <f t="shared" si="72"/>
        <v>0</v>
      </c>
      <c r="M255" s="98">
        <f t="shared" si="72"/>
        <v>0</v>
      </c>
      <c r="N255" s="98">
        <f t="shared" si="72"/>
        <v>0</v>
      </c>
      <c r="O255" s="98">
        <f t="shared" si="72"/>
        <v>0</v>
      </c>
    </row>
    <row r="256" spans="2:15">
      <c r="B256" s="23" t="s">
        <v>127</v>
      </c>
      <c r="D256" t="s">
        <v>110</v>
      </c>
      <c r="F256" s="69">
        <f>SUM(G256:O256)</f>
        <v>194</v>
      </c>
      <c r="G256" s="98">
        <f>G216+G236</f>
        <v>194</v>
      </c>
      <c r="H256" s="98">
        <f t="shared" ref="H256:O256" si="73">H216+H236</f>
        <v>0</v>
      </c>
      <c r="I256" s="98">
        <f t="shared" si="73"/>
        <v>0</v>
      </c>
      <c r="J256" s="98">
        <f t="shared" si="73"/>
        <v>0</v>
      </c>
      <c r="K256" s="98">
        <f t="shared" si="73"/>
        <v>0</v>
      </c>
      <c r="L256" s="98">
        <f t="shared" si="73"/>
        <v>0</v>
      </c>
      <c r="M256" s="98">
        <f t="shared" si="73"/>
        <v>0</v>
      </c>
      <c r="N256" s="98">
        <f t="shared" si="73"/>
        <v>0</v>
      </c>
      <c r="O256" s="98">
        <f t="shared" si="73"/>
        <v>0</v>
      </c>
    </row>
    <row r="257" spans="2:15">
      <c r="B257" s="23"/>
      <c r="F257" s="64"/>
      <c r="G257" s="63"/>
      <c r="H257" s="63"/>
      <c r="I257" s="63"/>
      <c r="J257" s="63"/>
      <c r="K257" s="63"/>
      <c r="L257" s="63"/>
      <c r="M257" s="63"/>
      <c r="N257" s="63"/>
      <c r="O257" s="63"/>
    </row>
    <row r="258" spans="2:15">
      <c r="B258" s="22" t="s">
        <v>128</v>
      </c>
      <c r="F258" s="64"/>
      <c r="G258" s="63"/>
      <c r="H258" s="63"/>
      <c r="I258" s="63"/>
      <c r="J258" s="63"/>
      <c r="K258" s="63"/>
      <c r="L258" s="63"/>
      <c r="M258" s="63"/>
      <c r="N258" s="63"/>
      <c r="O258" s="63"/>
    </row>
    <row r="259" spans="2:15">
      <c r="B259" s="93" t="s">
        <v>180</v>
      </c>
      <c r="D259" t="s">
        <v>110</v>
      </c>
      <c r="F259" s="69">
        <f>SUM(G259:O259)</f>
        <v>796143.63836750435</v>
      </c>
      <c r="G259" s="98">
        <f>G219+G239</f>
        <v>16730</v>
      </c>
      <c r="H259" s="98">
        <f t="shared" ref="H259:O259" si="74">H219+H239</f>
        <v>18813.352150000002</v>
      </c>
      <c r="I259" s="98">
        <f t="shared" si="74"/>
        <v>40204.765246183924</v>
      </c>
      <c r="J259" s="98">
        <f t="shared" si="74"/>
        <v>191761.3083905112</v>
      </c>
      <c r="K259" s="98">
        <f t="shared" si="74"/>
        <v>215124.01285221669</v>
      </c>
      <c r="L259" s="98">
        <f t="shared" si="74"/>
        <v>12070.43</v>
      </c>
      <c r="M259" s="98">
        <f t="shared" si="74"/>
        <v>299408.01087277732</v>
      </c>
      <c r="N259" s="98">
        <f t="shared" si="74"/>
        <v>2031.7588558152511</v>
      </c>
      <c r="O259" s="98">
        <f t="shared" si="74"/>
        <v>0</v>
      </c>
    </row>
    <row r="260" spans="2:15">
      <c r="B260" s="93" t="s">
        <v>181</v>
      </c>
      <c r="D260" t="s">
        <v>110</v>
      </c>
      <c r="F260" s="69">
        <f>SUM(G260:O260)</f>
        <v>27638.227327475321</v>
      </c>
      <c r="G260" s="98">
        <f>G220+G240</f>
        <v>535</v>
      </c>
      <c r="H260" s="98">
        <f t="shared" ref="H260:O260" si="75">H220+H240</f>
        <v>450.34780288135573</v>
      </c>
      <c r="I260" s="98">
        <f t="shared" si="75"/>
        <v>3795.3401424110125</v>
      </c>
      <c r="J260" s="98">
        <f t="shared" si="75"/>
        <v>2983.3733144976486</v>
      </c>
      <c r="K260" s="98">
        <f t="shared" si="75"/>
        <v>10130.21169778329</v>
      </c>
      <c r="L260" s="98">
        <f t="shared" si="75"/>
        <v>199.37</v>
      </c>
      <c r="M260" s="98">
        <f t="shared" si="75"/>
        <v>1416.7592348177188</v>
      </c>
      <c r="N260" s="98">
        <f t="shared" si="75"/>
        <v>8127.8251350842957</v>
      </c>
      <c r="O260" s="98">
        <f t="shared" si="75"/>
        <v>0</v>
      </c>
    </row>
    <row r="261" spans="2:15">
      <c r="B261" s="94" t="s">
        <v>182</v>
      </c>
      <c r="D261" t="s">
        <v>110</v>
      </c>
      <c r="F261" s="69">
        <f>SUM(G261:O261)</f>
        <v>2473770.2888739444</v>
      </c>
      <c r="G261" s="98">
        <f>G221+G241</f>
        <v>0</v>
      </c>
      <c r="H261" s="98">
        <f t="shared" ref="H261:O261" si="76">H221+H241</f>
        <v>0</v>
      </c>
      <c r="I261" s="98">
        <f t="shared" si="76"/>
        <v>102944.1066123287</v>
      </c>
      <c r="J261" s="98">
        <f t="shared" si="76"/>
        <v>0</v>
      </c>
      <c r="K261" s="98">
        <f t="shared" si="76"/>
        <v>2312241.3879313716</v>
      </c>
      <c r="L261" s="98">
        <f t="shared" si="76"/>
        <v>26908.079999999998</v>
      </c>
      <c r="M261" s="98">
        <f t="shared" si="76"/>
        <v>27094.563740025314</v>
      </c>
      <c r="N261" s="98">
        <f t="shared" si="76"/>
        <v>4582.1505902185745</v>
      </c>
      <c r="O261" s="98">
        <f t="shared" si="76"/>
        <v>0</v>
      </c>
    </row>
    <row r="262" spans="2:15">
      <c r="F262" s="64"/>
      <c r="G262" s="63"/>
      <c r="H262" s="63"/>
      <c r="I262" s="63"/>
      <c r="J262" s="63"/>
      <c r="K262" s="63"/>
      <c r="L262" s="63"/>
      <c r="M262" s="63"/>
      <c r="N262" s="63"/>
      <c r="O262" s="63"/>
    </row>
    <row r="263" spans="2:15">
      <c r="B263" s="79" t="s">
        <v>267</v>
      </c>
      <c r="D263" t="s">
        <v>110</v>
      </c>
      <c r="F263" s="69">
        <f>SUM(G263:O263)</f>
        <v>109250690.62709737</v>
      </c>
      <c r="G263" s="69">
        <f>SUM(G247:G248,G251:G252,G255:G256,G259:G261)</f>
        <v>1725508</v>
      </c>
      <c r="H263" s="69">
        <f t="shared" ref="H263:O263" si="77">SUM(H247:H248,H251:H252,H255:H256,H259:H261)</f>
        <v>1792028.5942204131</v>
      </c>
      <c r="I263" s="69">
        <f t="shared" si="77"/>
        <v>9802943.4983812589</v>
      </c>
      <c r="J263" s="69">
        <f t="shared" si="77"/>
        <v>13382037.708972173</v>
      </c>
      <c r="K263" s="69">
        <f t="shared" si="77"/>
        <v>53158488.773295797</v>
      </c>
      <c r="L263" s="69">
        <f t="shared" si="77"/>
        <v>1518042.61</v>
      </c>
      <c r="M263" s="69">
        <f t="shared" si="77"/>
        <v>27389380.151704375</v>
      </c>
      <c r="N263" s="69">
        <f t="shared" si="77"/>
        <v>482261.29052336526</v>
      </c>
      <c r="O263" s="69">
        <f t="shared" si="77"/>
        <v>0</v>
      </c>
    </row>
    <row r="264" spans="2:15">
      <c r="F264" s="62"/>
      <c r="G264" s="42"/>
      <c r="H264" s="42"/>
      <c r="I264" s="42"/>
      <c r="J264" s="42"/>
      <c r="K264" s="42"/>
      <c r="L264" s="42"/>
      <c r="M264" s="42"/>
      <c r="N264" s="42"/>
      <c r="O264" s="258"/>
    </row>
    <row r="265" spans="2:15">
      <c r="F265" s="62"/>
      <c r="G265" s="42"/>
      <c r="H265" s="42"/>
      <c r="I265" s="42"/>
      <c r="J265" s="42"/>
      <c r="K265" s="42"/>
      <c r="L265" s="42"/>
      <c r="M265" s="42"/>
      <c r="N265" s="42"/>
      <c r="O265" s="258"/>
    </row>
    <row r="266" spans="2:15" s="2" customFormat="1">
      <c r="B266" s="2" t="s">
        <v>275</v>
      </c>
      <c r="F266" s="49"/>
    </row>
    <row r="267" spans="2:15">
      <c r="G267" s="258"/>
      <c r="H267" s="258"/>
      <c r="I267" s="258"/>
      <c r="J267" s="258"/>
      <c r="K267" s="258"/>
      <c r="L267" s="258"/>
      <c r="M267" s="258"/>
      <c r="N267" s="258"/>
      <c r="O267" s="258"/>
    </row>
    <row r="268" spans="2:15">
      <c r="B268" s="22" t="s">
        <v>276</v>
      </c>
      <c r="F268" s="64"/>
      <c r="G268" s="63"/>
      <c r="H268" s="63"/>
      <c r="I268" s="63"/>
      <c r="J268" s="63"/>
      <c r="K268" s="63"/>
      <c r="L268" s="63"/>
      <c r="M268" s="63"/>
      <c r="N268" s="63"/>
      <c r="O268" s="63"/>
    </row>
    <row r="269" spans="2:15">
      <c r="B269" s="23"/>
      <c r="F269" s="64"/>
      <c r="G269" s="63"/>
      <c r="H269" s="63"/>
      <c r="I269" s="63"/>
      <c r="J269" s="63"/>
      <c r="K269" s="63"/>
      <c r="L269" s="63"/>
      <c r="M269" s="63"/>
      <c r="N269" s="63"/>
      <c r="O269" s="63"/>
    </row>
    <row r="270" spans="2:15">
      <c r="B270" s="22" t="s">
        <v>121</v>
      </c>
      <c r="F270" s="64"/>
      <c r="G270" s="63"/>
      <c r="H270" s="63"/>
      <c r="I270" s="63"/>
      <c r="J270" s="63"/>
      <c r="K270" s="63"/>
      <c r="L270" s="63"/>
      <c r="M270" s="63"/>
      <c r="N270" s="63"/>
      <c r="O270" s="63"/>
    </row>
    <row r="271" spans="2:15">
      <c r="B271" s="23" t="s">
        <v>216</v>
      </c>
      <c r="D271" t="s">
        <v>107</v>
      </c>
      <c r="F271" s="69">
        <f>SUM(G271:O271)</f>
        <v>0</v>
      </c>
      <c r="G271" s="29"/>
      <c r="H271" s="87"/>
      <c r="I271" s="29"/>
      <c r="J271" s="87"/>
      <c r="K271" s="29"/>
      <c r="L271" s="29"/>
      <c r="M271" s="29"/>
      <c r="N271" s="29"/>
      <c r="O271" s="87"/>
    </row>
    <row r="272" spans="2:15">
      <c r="B272" s="23" t="s">
        <v>217</v>
      </c>
      <c r="D272" t="s">
        <v>107</v>
      </c>
      <c r="F272" s="69">
        <f>SUM(G272:O272)</f>
        <v>0</v>
      </c>
      <c r="G272" s="29"/>
      <c r="H272" s="87"/>
      <c r="I272" s="29"/>
      <c r="J272" s="87"/>
      <c r="K272" s="29"/>
      <c r="L272" s="29"/>
      <c r="M272" s="29"/>
      <c r="N272" s="29"/>
      <c r="O272" s="87"/>
    </row>
    <row r="273" spans="2:15">
      <c r="B273" s="23"/>
      <c r="F273" s="64"/>
      <c r="G273" s="29"/>
      <c r="H273" s="63"/>
      <c r="I273" s="29"/>
      <c r="J273" s="63"/>
      <c r="K273" s="29"/>
      <c r="L273" s="29"/>
      <c r="M273" s="29"/>
      <c r="N273" s="29"/>
      <c r="O273" s="63"/>
    </row>
    <row r="274" spans="2:15">
      <c r="B274" s="22" t="s">
        <v>122</v>
      </c>
      <c r="F274" s="64"/>
      <c r="G274" s="29"/>
      <c r="H274" s="63"/>
      <c r="I274" s="29"/>
      <c r="J274" s="63"/>
      <c r="K274" s="29"/>
      <c r="L274" s="29"/>
      <c r="M274" s="29"/>
      <c r="N274" s="29"/>
      <c r="O274" s="63"/>
    </row>
    <row r="275" spans="2:15">
      <c r="B275" s="23" t="s">
        <v>123</v>
      </c>
      <c r="D275" t="s">
        <v>107</v>
      </c>
      <c r="F275" s="69">
        <f>SUM(G275:O275)</f>
        <v>46374.793859529345</v>
      </c>
      <c r="G275" s="29"/>
      <c r="H275" s="87">
        <v>46374.793859529345</v>
      </c>
      <c r="I275" s="29"/>
      <c r="J275" s="87"/>
      <c r="K275" s="29"/>
      <c r="L275" s="29"/>
      <c r="M275" s="29"/>
      <c r="N275" s="29"/>
      <c r="O275" s="87"/>
    </row>
    <row r="276" spans="2:15">
      <c r="B276" s="23" t="s">
        <v>124</v>
      </c>
      <c r="D276" t="s">
        <v>107</v>
      </c>
      <c r="F276" s="69">
        <f>SUM(G276:O276)</f>
        <v>0</v>
      </c>
      <c r="G276" s="29"/>
      <c r="H276" s="87"/>
      <c r="I276" s="29"/>
      <c r="J276" s="87"/>
      <c r="K276" s="29"/>
      <c r="L276" s="29"/>
      <c r="M276" s="29"/>
      <c r="N276" s="29"/>
      <c r="O276" s="87"/>
    </row>
    <row r="277" spans="2:15">
      <c r="B277" s="23"/>
      <c r="F277" s="64"/>
      <c r="G277" s="29"/>
      <c r="H277" s="63"/>
      <c r="I277" s="29"/>
      <c r="J277" s="63"/>
      <c r="K277" s="29"/>
      <c r="L277" s="29"/>
      <c r="M277" s="29"/>
      <c r="N277" s="29"/>
      <c r="O277" s="63"/>
    </row>
    <row r="278" spans="2:15">
      <c r="B278" s="22" t="s">
        <v>125</v>
      </c>
      <c r="F278" s="64"/>
      <c r="G278" s="29"/>
      <c r="H278" s="63"/>
      <c r="I278" s="29"/>
      <c r="J278" s="63"/>
      <c r="K278" s="29"/>
      <c r="L278" s="29"/>
      <c r="M278" s="29"/>
      <c r="N278" s="29"/>
      <c r="O278" s="63"/>
    </row>
    <row r="279" spans="2:15">
      <c r="B279" s="23" t="s">
        <v>126</v>
      </c>
      <c r="D279" t="s">
        <v>107</v>
      </c>
      <c r="F279" s="69">
        <f>SUM(G279:O279)</f>
        <v>0</v>
      </c>
      <c r="G279" s="29"/>
      <c r="H279" s="87"/>
      <c r="I279" s="29"/>
      <c r="J279" s="87"/>
      <c r="K279" s="29"/>
      <c r="L279" s="29"/>
      <c r="M279" s="29"/>
      <c r="N279" s="29"/>
      <c r="O279" s="87"/>
    </row>
    <row r="280" spans="2:15">
      <c r="B280" s="23" t="s">
        <v>127</v>
      </c>
      <c r="D280" t="s">
        <v>107</v>
      </c>
      <c r="F280" s="69">
        <f>SUM(G280:O280)</f>
        <v>0</v>
      </c>
      <c r="G280" s="29"/>
      <c r="H280" s="87"/>
      <c r="I280" s="29"/>
      <c r="J280" s="87"/>
      <c r="K280" s="29"/>
      <c r="L280" s="29"/>
      <c r="M280" s="29"/>
      <c r="N280" s="29"/>
      <c r="O280" s="87"/>
    </row>
    <row r="281" spans="2:15">
      <c r="B281" s="23"/>
      <c r="F281" s="64"/>
      <c r="G281" s="29"/>
      <c r="H281" s="63"/>
      <c r="I281" s="29"/>
      <c r="J281" s="63"/>
      <c r="K281" s="29"/>
      <c r="L281" s="29"/>
      <c r="M281" s="29"/>
      <c r="N281" s="29"/>
      <c r="O281" s="63"/>
    </row>
    <row r="282" spans="2:15">
      <c r="B282" s="22" t="s">
        <v>128</v>
      </c>
      <c r="F282" s="64"/>
      <c r="G282" s="29"/>
      <c r="H282" s="63"/>
      <c r="I282" s="29"/>
      <c r="J282" s="63"/>
      <c r="K282" s="29"/>
      <c r="L282" s="29"/>
      <c r="M282" s="29"/>
      <c r="N282" s="29"/>
      <c r="O282" s="63"/>
    </row>
    <row r="283" spans="2:15">
      <c r="B283" s="93" t="s">
        <v>180</v>
      </c>
      <c r="D283" t="s">
        <v>107</v>
      </c>
      <c r="F283" s="69">
        <f>SUM(G283:O283)</f>
        <v>0</v>
      </c>
      <c r="G283" s="29"/>
      <c r="H283" s="87"/>
      <c r="I283" s="29"/>
      <c r="J283" s="87"/>
      <c r="K283" s="29"/>
      <c r="L283" s="29"/>
      <c r="M283" s="29"/>
      <c r="N283" s="29"/>
      <c r="O283" s="87"/>
    </row>
    <row r="284" spans="2:15">
      <c r="B284" s="93" t="s">
        <v>181</v>
      </c>
      <c r="D284" t="s">
        <v>107</v>
      </c>
      <c r="F284" s="69">
        <f>SUM(G284:O284)</f>
        <v>239.20500449999994</v>
      </c>
      <c r="G284" s="29"/>
      <c r="H284" s="87">
        <v>239.20500449999994</v>
      </c>
      <c r="I284" s="29"/>
      <c r="J284" s="87"/>
      <c r="K284" s="29"/>
      <c r="L284" s="29"/>
      <c r="M284" s="29"/>
      <c r="N284" s="29"/>
      <c r="O284" s="87"/>
    </row>
    <row r="285" spans="2:15">
      <c r="B285" s="94" t="s">
        <v>182</v>
      </c>
      <c r="D285" t="s">
        <v>107</v>
      </c>
      <c r="F285" s="69">
        <f>SUM(G285:O285)</f>
        <v>0</v>
      </c>
      <c r="G285" s="29"/>
      <c r="H285" s="87"/>
      <c r="I285" s="29"/>
      <c r="J285" s="87"/>
      <c r="K285" s="29"/>
      <c r="L285" s="29"/>
      <c r="M285" s="29"/>
      <c r="N285" s="29"/>
      <c r="O285" s="87"/>
    </row>
    <row r="286" spans="2:15">
      <c r="F286" s="64"/>
      <c r="G286" s="29"/>
      <c r="H286" s="63"/>
      <c r="I286" s="29"/>
      <c r="J286" s="63"/>
      <c r="K286" s="29"/>
      <c r="L286" s="29"/>
      <c r="M286" s="29"/>
      <c r="N286" s="29"/>
      <c r="O286" s="63"/>
    </row>
    <row r="287" spans="2:15">
      <c r="B287" s="79" t="s">
        <v>277</v>
      </c>
      <c r="D287" t="s">
        <v>107</v>
      </c>
      <c r="F287" s="69">
        <f>SUM(G287:O287)</f>
        <v>46613.998864029345</v>
      </c>
      <c r="G287" s="68"/>
      <c r="H287" s="69">
        <f t="shared" ref="H287" si="78">SUM(H271:H272,H275:H276,H279:H280,H283:H285)</f>
        <v>46613.998864029345</v>
      </c>
      <c r="I287" s="68"/>
      <c r="J287" s="69">
        <f t="shared" ref="J287:O287" si="79">SUM(J271:J272,J275:J276,J279:J280,J283:J285)</f>
        <v>0</v>
      </c>
      <c r="K287" s="68"/>
      <c r="L287" s="68"/>
      <c r="M287" s="68"/>
      <c r="N287" s="68"/>
      <c r="O287" s="69">
        <f t="shared" si="79"/>
        <v>0</v>
      </c>
    </row>
    <row r="288" spans="2:15">
      <c r="G288" s="258"/>
      <c r="H288" s="258"/>
      <c r="I288" s="258"/>
      <c r="J288" s="258"/>
      <c r="K288" s="258"/>
      <c r="L288" s="258"/>
      <c r="M288" s="258"/>
      <c r="N288" s="258"/>
      <c r="O288" s="258"/>
    </row>
    <row r="289" spans="2:15">
      <c r="G289" s="258"/>
      <c r="H289" s="258"/>
      <c r="I289" s="258"/>
      <c r="J289" s="258"/>
      <c r="K289" s="258"/>
      <c r="L289" s="258"/>
      <c r="M289" s="258"/>
      <c r="N289" s="258"/>
      <c r="O289" s="258"/>
    </row>
    <row r="290" spans="2:15" s="2" customFormat="1">
      <c r="B290" s="2" t="s">
        <v>278</v>
      </c>
      <c r="F290" s="49"/>
    </row>
    <row r="291" spans="2:15">
      <c r="G291" s="258"/>
      <c r="H291" s="258"/>
      <c r="I291" s="258"/>
      <c r="J291" s="258"/>
      <c r="K291" s="258"/>
      <c r="L291" s="258"/>
      <c r="M291" s="258"/>
      <c r="N291" s="258"/>
      <c r="O291" s="258"/>
    </row>
    <row r="292" spans="2:15">
      <c r="B292" s="22" t="s">
        <v>276</v>
      </c>
      <c r="F292" s="64"/>
      <c r="G292" s="63"/>
      <c r="H292" s="63"/>
      <c r="I292" s="63"/>
      <c r="J292" s="63"/>
      <c r="K292" s="63"/>
      <c r="L292" s="63"/>
      <c r="M292" s="63"/>
      <c r="N292" s="63"/>
      <c r="O292" s="63"/>
    </row>
    <row r="293" spans="2:15">
      <c r="B293" s="23"/>
      <c r="F293" s="64"/>
      <c r="G293" s="63"/>
      <c r="H293" s="63"/>
      <c r="I293" s="63"/>
      <c r="J293" s="63"/>
      <c r="K293" s="63"/>
      <c r="L293" s="63"/>
      <c r="M293" s="63"/>
      <c r="N293" s="63"/>
      <c r="O293" s="63"/>
    </row>
    <row r="294" spans="2:15">
      <c r="B294" s="22" t="s">
        <v>121</v>
      </c>
      <c r="F294" s="64"/>
      <c r="G294" s="63"/>
      <c r="H294" s="63"/>
      <c r="I294" s="63"/>
      <c r="J294" s="63"/>
      <c r="K294" s="63"/>
      <c r="L294" s="63"/>
      <c r="M294" s="63"/>
      <c r="N294" s="63"/>
      <c r="O294" s="63"/>
    </row>
    <row r="295" spans="2:15">
      <c r="B295" s="23" t="s">
        <v>216</v>
      </c>
      <c r="D295" t="s">
        <v>108</v>
      </c>
      <c r="F295" s="69">
        <f>SUM(G295:O295)</f>
        <v>0</v>
      </c>
      <c r="G295" s="29"/>
      <c r="H295" s="87"/>
      <c r="I295" s="29"/>
      <c r="J295" s="87"/>
      <c r="K295" s="29"/>
      <c r="L295" s="29"/>
      <c r="M295" s="29"/>
      <c r="N295" s="29"/>
      <c r="O295" s="87"/>
    </row>
    <row r="296" spans="2:15">
      <c r="B296" s="23" t="s">
        <v>217</v>
      </c>
      <c r="D296" t="s">
        <v>108</v>
      </c>
      <c r="F296" s="69">
        <f>SUM(G296:O296)</f>
        <v>0</v>
      </c>
      <c r="G296" s="29"/>
      <c r="H296" s="87"/>
      <c r="I296" s="29"/>
      <c r="J296" s="87"/>
      <c r="K296" s="29"/>
      <c r="L296" s="29"/>
      <c r="M296" s="29"/>
      <c r="N296" s="29"/>
      <c r="O296" s="87"/>
    </row>
    <row r="297" spans="2:15">
      <c r="B297" s="23"/>
      <c r="F297" s="64"/>
      <c r="G297" s="29"/>
      <c r="H297" s="63"/>
      <c r="I297" s="29"/>
      <c r="J297" s="63"/>
      <c r="K297" s="29"/>
      <c r="L297" s="29"/>
      <c r="M297" s="29"/>
      <c r="N297" s="29"/>
      <c r="O297" s="63"/>
    </row>
    <row r="298" spans="2:15">
      <c r="B298" s="22" t="s">
        <v>122</v>
      </c>
      <c r="F298" s="64"/>
      <c r="G298" s="29"/>
      <c r="H298" s="63"/>
      <c r="I298" s="29"/>
      <c r="J298" s="63"/>
      <c r="K298" s="29"/>
      <c r="L298" s="29"/>
      <c r="M298" s="29"/>
      <c r="N298" s="29"/>
      <c r="O298" s="63"/>
    </row>
    <row r="299" spans="2:15">
      <c r="B299" s="23" t="s">
        <v>123</v>
      </c>
      <c r="D299" t="s">
        <v>108</v>
      </c>
      <c r="F299" s="69">
        <f>SUM(G299:O299)</f>
        <v>40009.536507725556</v>
      </c>
      <c r="G299" s="29"/>
      <c r="H299" s="87">
        <v>40009.536507725556</v>
      </c>
      <c r="I299" s="29"/>
      <c r="J299" s="87"/>
      <c r="K299" s="29"/>
      <c r="L299" s="29"/>
      <c r="M299" s="29"/>
      <c r="N299" s="29"/>
      <c r="O299" s="87"/>
    </row>
    <row r="300" spans="2:15">
      <c r="B300" s="23" t="s">
        <v>124</v>
      </c>
      <c r="D300" t="s">
        <v>108</v>
      </c>
      <c r="F300" s="69">
        <f>SUM(G300:O300)</f>
        <v>0</v>
      </c>
      <c r="G300" s="29"/>
      <c r="H300" s="87"/>
      <c r="I300" s="29"/>
      <c r="J300" s="87"/>
      <c r="K300" s="29"/>
      <c r="L300" s="29"/>
      <c r="M300" s="29"/>
      <c r="N300" s="29"/>
      <c r="O300" s="87"/>
    </row>
    <row r="301" spans="2:15">
      <c r="B301" s="23"/>
      <c r="F301" s="64"/>
      <c r="G301" s="29"/>
      <c r="H301" s="63"/>
      <c r="I301" s="29"/>
      <c r="J301" s="63"/>
      <c r="K301" s="29"/>
      <c r="L301" s="29"/>
      <c r="M301" s="29"/>
      <c r="N301" s="29"/>
      <c r="O301" s="63"/>
    </row>
    <row r="302" spans="2:15">
      <c r="B302" s="22" t="s">
        <v>125</v>
      </c>
      <c r="F302" s="64"/>
      <c r="G302" s="29"/>
      <c r="H302" s="63"/>
      <c r="I302" s="29"/>
      <c r="J302" s="63"/>
      <c r="K302" s="29"/>
      <c r="L302" s="29"/>
      <c r="M302" s="29"/>
      <c r="N302" s="29"/>
      <c r="O302" s="63"/>
    </row>
    <row r="303" spans="2:15">
      <c r="B303" s="23" t="s">
        <v>126</v>
      </c>
      <c r="D303" t="s">
        <v>108</v>
      </c>
      <c r="F303" s="69">
        <f>SUM(G303:O303)</f>
        <v>0</v>
      </c>
      <c r="G303" s="29"/>
      <c r="H303" s="87"/>
      <c r="I303" s="29"/>
      <c r="J303" s="87"/>
      <c r="K303" s="29"/>
      <c r="L303" s="29"/>
      <c r="M303" s="29"/>
      <c r="N303" s="29"/>
      <c r="O303" s="87"/>
    </row>
    <row r="304" spans="2:15">
      <c r="B304" s="23" t="s">
        <v>127</v>
      </c>
      <c r="D304" t="s">
        <v>108</v>
      </c>
      <c r="F304" s="69">
        <f>SUM(G304:O304)</f>
        <v>0</v>
      </c>
      <c r="G304" s="29"/>
      <c r="H304" s="87"/>
      <c r="I304" s="29"/>
      <c r="J304" s="87"/>
      <c r="K304" s="29"/>
      <c r="L304" s="29"/>
      <c r="M304" s="29"/>
      <c r="N304" s="29"/>
      <c r="O304" s="87"/>
    </row>
    <row r="305" spans="2:15">
      <c r="B305" s="23"/>
      <c r="F305" s="64"/>
      <c r="G305" s="29"/>
      <c r="H305" s="63"/>
      <c r="I305" s="29"/>
      <c r="J305" s="63"/>
      <c r="K305" s="29"/>
      <c r="L305" s="29"/>
      <c r="M305" s="29"/>
      <c r="N305" s="29"/>
      <c r="O305" s="63"/>
    </row>
    <row r="306" spans="2:15">
      <c r="B306" s="22" t="s">
        <v>128</v>
      </c>
      <c r="F306" s="64"/>
      <c r="G306" s="29"/>
      <c r="H306" s="63"/>
      <c r="I306" s="29"/>
      <c r="J306" s="63"/>
      <c r="K306" s="29"/>
      <c r="L306" s="29"/>
      <c r="M306" s="29"/>
      <c r="N306" s="29"/>
      <c r="O306" s="63"/>
    </row>
    <row r="307" spans="2:15">
      <c r="B307" s="93" t="s">
        <v>180</v>
      </c>
      <c r="D307" t="s">
        <v>108</v>
      </c>
      <c r="F307" s="69">
        <f>SUM(G307:O307)</f>
        <v>0</v>
      </c>
      <c r="G307" s="29"/>
      <c r="H307" s="87"/>
      <c r="I307" s="29"/>
      <c r="J307" s="87"/>
      <c r="K307" s="29"/>
      <c r="L307" s="29"/>
      <c r="M307" s="29"/>
      <c r="N307" s="29"/>
      <c r="O307" s="87"/>
    </row>
    <row r="308" spans="2:15">
      <c r="B308" s="93" t="s">
        <v>181</v>
      </c>
      <c r="D308" t="s">
        <v>108</v>
      </c>
      <c r="F308" s="69">
        <f>SUM(G308:O308)</f>
        <v>273.73800299999999</v>
      </c>
      <c r="G308" s="29"/>
      <c r="H308" s="87">
        <v>273.73800299999999</v>
      </c>
      <c r="I308" s="29"/>
      <c r="J308" s="87"/>
      <c r="K308" s="29"/>
      <c r="L308" s="29"/>
      <c r="M308" s="29"/>
      <c r="N308" s="29"/>
      <c r="O308" s="87"/>
    </row>
    <row r="309" spans="2:15">
      <c r="B309" s="94" t="s">
        <v>182</v>
      </c>
      <c r="D309" t="s">
        <v>108</v>
      </c>
      <c r="F309" s="69">
        <f>SUM(G309:O309)</f>
        <v>0</v>
      </c>
      <c r="G309" s="29"/>
      <c r="H309" s="87"/>
      <c r="I309" s="29"/>
      <c r="J309" s="87"/>
      <c r="K309" s="29"/>
      <c r="L309" s="29"/>
      <c r="M309" s="29"/>
      <c r="N309" s="29"/>
      <c r="O309" s="87"/>
    </row>
    <row r="310" spans="2:15">
      <c r="F310" s="64"/>
      <c r="G310" s="29"/>
      <c r="H310" s="63"/>
      <c r="I310" s="29"/>
      <c r="J310" s="63"/>
      <c r="K310" s="29"/>
      <c r="L310" s="29"/>
      <c r="M310" s="29"/>
      <c r="N310" s="29"/>
      <c r="O310" s="63"/>
    </row>
    <row r="311" spans="2:15">
      <c r="B311" s="79" t="s">
        <v>277</v>
      </c>
      <c r="D311" t="s">
        <v>108</v>
      </c>
      <c r="F311" s="69">
        <f>SUM(G311:O311)</f>
        <v>40283.274510725554</v>
      </c>
      <c r="G311" s="68"/>
      <c r="H311" s="69">
        <f t="shared" ref="H311" si="80">SUM(H295:H296,H299:H300,H303:H304,H307:H309)</f>
        <v>40283.274510725554</v>
      </c>
      <c r="I311" s="68"/>
      <c r="J311" s="69">
        <f t="shared" ref="J311" si="81">SUM(J295:J296,J299:J300,J303:J304,J307:J309)</f>
        <v>0</v>
      </c>
      <c r="K311" s="68"/>
      <c r="L311" s="68"/>
      <c r="M311" s="68"/>
      <c r="N311" s="68"/>
      <c r="O311" s="69">
        <f t="shared" ref="O311" si="82">SUM(O295:O296,O299:O300,O303:O304,O307:O309)</f>
        <v>0</v>
      </c>
    </row>
    <row r="312" spans="2:15">
      <c r="G312" s="258"/>
      <c r="H312" s="258"/>
      <c r="I312" s="258"/>
      <c r="J312" s="258"/>
      <c r="K312" s="258"/>
      <c r="L312" s="258"/>
      <c r="M312" s="258"/>
      <c r="N312" s="258"/>
      <c r="O312" s="258"/>
    </row>
    <row r="313" spans="2:15">
      <c r="G313" s="258"/>
      <c r="H313" s="258"/>
      <c r="I313" s="258"/>
      <c r="J313" s="258"/>
      <c r="K313" s="258"/>
      <c r="L313" s="258"/>
      <c r="M313" s="258"/>
      <c r="N313" s="258"/>
      <c r="O313" s="258"/>
    </row>
    <row r="314" spans="2:15" s="2" customFormat="1">
      <c r="B314" s="2" t="s">
        <v>279</v>
      </c>
      <c r="F314" s="49"/>
    </row>
    <row r="315" spans="2:15">
      <c r="G315" s="258"/>
      <c r="H315" s="258"/>
      <c r="I315" s="258"/>
      <c r="J315" s="258"/>
      <c r="K315" s="258"/>
      <c r="L315" s="258"/>
      <c r="M315" s="258"/>
      <c r="N315" s="258"/>
      <c r="O315" s="258"/>
    </row>
    <row r="316" spans="2:15">
      <c r="B316" s="22" t="s">
        <v>276</v>
      </c>
      <c r="F316" s="64"/>
      <c r="G316" s="63"/>
      <c r="H316" s="63"/>
      <c r="I316" s="63"/>
      <c r="J316" s="63"/>
      <c r="K316" s="63"/>
      <c r="L316" s="63"/>
      <c r="M316" s="63"/>
      <c r="N316" s="63"/>
      <c r="O316" s="63"/>
    </row>
    <row r="317" spans="2:15">
      <c r="B317" s="23"/>
      <c r="F317" s="64"/>
      <c r="G317" s="63"/>
      <c r="H317" s="63"/>
      <c r="I317" s="63"/>
      <c r="J317" s="63"/>
      <c r="K317" s="63"/>
      <c r="L317" s="63"/>
      <c r="M317" s="63"/>
      <c r="N317" s="63"/>
      <c r="O317" s="63"/>
    </row>
    <row r="318" spans="2:15">
      <c r="B318" s="22" t="s">
        <v>121</v>
      </c>
      <c r="F318" s="64"/>
      <c r="G318" s="63"/>
      <c r="H318" s="63"/>
      <c r="I318" s="63"/>
      <c r="J318" s="63"/>
      <c r="K318" s="63"/>
      <c r="L318" s="63"/>
      <c r="M318" s="63"/>
      <c r="N318" s="63"/>
      <c r="O318" s="63"/>
    </row>
    <row r="319" spans="2:15">
      <c r="B319" s="23" t="s">
        <v>216</v>
      </c>
      <c r="D319" t="s">
        <v>109</v>
      </c>
      <c r="F319" s="69">
        <f>SUM(G319:O319)</f>
        <v>0</v>
      </c>
      <c r="G319" s="29"/>
      <c r="H319" s="87"/>
      <c r="I319" s="29"/>
      <c r="J319" s="87">
        <v>0</v>
      </c>
      <c r="K319" s="29"/>
      <c r="L319" s="29"/>
      <c r="M319" s="29"/>
      <c r="N319" s="29"/>
      <c r="O319" s="87"/>
    </row>
    <row r="320" spans="2:15">
      <c r="B320" s="23" t="s">
        <v>217</v>
      </c>
      <c r="D320" t="s">
        <v>109</v>
      </c>
      <c r="F320" s="69">
        <f>SUM(G320:O320)</f>
        <v>0</v>
      </c>
      <c r="G320" s="29"/>
      <c r="H320" s="87"/>
      <c r="I320" s="29"/>
      <c r="J320" s="87">
        <v>0</v>
      </c>
      <c r="K320" s="29"/>
      <c r="L320" s="29"/>
      <c r="M320" s="29"/>
      <c r="N320" s="29"/>
      <c r="O320" s="87"/>
    </row>
    <row r="321" spans="2:15">
      <c r="B321" s="23"/>
      <c r="F321" s="64"/>
      <c r="G321" s="29"/>
      <c r="H321" s="63"/>
      <c r="I321" s="29"/>
      <c r="J321" s="63"/>
      <c r="K321" s="29"/>
      <c r="L321" s="29"/>
      <c r="M321" s="29"/>
      <c r="N321" s="29"/>
      <c r="O321" s="63"/>
    </row>
    <row r="322" spans="2:15">
      <c r="B322" s="22" t="s">
        <v>122</v>
      </c>
      <c r="F322" s="64"/>
      <c r="G322" s="29"/>
      <c r="H322" s="63"/>
      <c r="I322" s="29"/>
      <c r="J322" s="63"/>
      <c r="K322" s="29"/>
      <c r="L322" s="29"/>
      <c r="M322" s="29"/>
      <c r="N322" s="29"/>
      <c r="O322" s="63"/>
    </row>
    <row r="323" spans="2:15">
      <c r="B323" s="23" t="s">
        <v>123</v>
      </c>
      <c r="D323" t="s">
        <v>109</v>
      </c>
      <c r="F323" s="69">
        <f>SUM(G323:O323)</f>
        <v>35432.689311744783</v>
      </c>
      <c r="G323" s="29"/>
      <c r="H323" s="87">
        <v>35432.689311744783</v>
      </c>
      <c r="I323" s="29"/>
      <c r="J323" s="87">
        <v>0</v>
      </c>
      <c r="K323" s="29"/>
      <c r="L323" s="29"/>
      <c r="M323" s="29"/>
      <c r="N323" s="29"/>
      <c r="O323" s="87"/>
    </row>
    <row r="324" spans="2:15">
      <c r="B324" s="23" t="s">
        <v>124</v>
      </c>
      <c r="D324" t="s">
        <v>109</v>
      </c>
      <c r="F324" s="69">
        <f>SUM(G324:O324)</f>
        <v>0</v>
      </c>
      <c r="G324" s="29"/>
      <c r="H324" s="87"/>
      <c r="I324" s="29"/>
      <c r="J324" s="87">
        <v>0</v>
      </c>
      <c r="K324" s="29"/>
      <c r="L324" s="29"/>
      <c r="M324" s="29"/>
      <c r="N324" s="29"/>
      <c r="O324" s="87"/>
    </row>
    <row r="325" spans="2:15">
      <c r="B325" s="23"/>
      <c r="F325" s="64"/>
      <c r="G325" s="29"/>
      <c r="H325" s="63"/>
      <c r="I325" s="29"/>
      <c r="J325" s="63"/>
      <c r="K325" s="29"/>
      <c r="L325" s="29"/>
      <c r="M325" s="29"/>
      <c r="N325" s="29"/>
      <c r="O325" s="63"/>
    </row>
    <row r="326" spans="2:15">
      <c r="B326" s="22" t="s">
        <v>125</v>
      </c>
      <c r="F326" s="64"/>
      <c r="G326" s="29"/>
      <c r="H326" s="63"/>
      <c r="I326" s="29"/>
      <c r="J326" s="63"/>
      <c r="K326" s="29"/>
      <c r="L326" s="29"/>
      <c r="M326" s="29"/>
      <c r="N326" s="29"/>
      <c r="O326" s="63"/>
    </row>
    <row r="327" spans="2:15">
      <c r="B327" s="23" t="s">
        <v>126</v>
      </c>
      <c r="D327" t="s">
        <v>109</v>
      </c>
      <c r="F327" s="69">
        <f>SUM(G327:O327)</f>
        <v>0</v>
      </c>
      <c r="G327" s="29"/>
      <c r="H327" s="87"/>
      <c r="I327" s="29"/>
      <c r="J327" s="87">
        <v>0</v>
      </c>
      <c r="K327" s="29"/>
      <c r="L327" s="29"/>
      <c r="M327" s="29"/>
      <c r="N327" s="29"/>
      <c r="O327" s="87"/>
    </row>
    <row r="328" spans="2:15">
      <c r="B328" s="23" t="s">
        <v>127</v>
      </c>
      <c r="D328" t="s">
        <v>109</v>
      </c>
      <c r="F328" s="69">
        <f>SUM(G328:O328)</f>
        <v>0</v>
      </c>
      <c r="G328" s="29"/>
      <c r="H328" s="87"/>
      <c r="I328" s="29"/>
      <c r="J328" s="87">
        <v>0</v>
      </c>
      <c r="K328" s="29"/>
      <c r="L328" s="29"/>
      <c r="M328" s="29"/>
      <c r="N328" s="29"/>
      <c r="O328" s="87"/>
    </row>
    <row r="329" spans="2:15">
      <c r="B329" s="23"/>
      <c r="F329" s="64"/>
      <c r="G329" s="29"/>
      <c r="H329" s="63"/>
      <c r="I329" s="29"/>
      <c r="J329" s="63"/>
      <c r="K329" s="29"/>
      <c r="L329" s="29"/>
      <c r="M329" s="29"/>
      <c r="N329" s="29"/>
      <c r="O329" s="63"/>
    </row>
    <row r="330" spans="2:15">
      <c r="B330" s="22" t="s">
        <v>128</v>
      </c>
      <c r="F330" s="64"/>
      <c r="G330" s="29"/>
      <c r="H330" s="63"/>
      <c r="I330" s="29"/>
      <c r="J330" s="63"/>
      <c r="K330" s="29"/>
      <c r="L330" s="29"/>
      <c r="M330" s="29"/>
      <c r="N330" s="29"/>
      <c r="O330" s="63"/>
    </row>
    <row r="331" spans="2:15">
      <c r="B331" s="93" t="s">
        <v>180</v>
      </c>
      <c r="D331" t="s">
        <v>109</v>
      </c>
      <c r="F331" s="69">
        <f>SUM(G331:O331)</f>
        <v>0</v>
      </c>
      <c r="G331" s="29"/>
      <c r="H331" s="87"/>
      <c r="I331" s="29"/>
      <c r="J331" s="87">
        <v>0</v>
      </c>
      <c r="K331" s="29"/>
      <c r="L331" s="29"/>
      <c r="M331" s="29"/>
      <c r="N331" s="29"/>
      <c r="O331" s="87"/>
    </row>
    <row r="332" spans="2:15">
      <c r="B332" s="93" t="s">
        <v>181</v>
      </c>
      <c r="D332" t="s">
        <v>109</v>
      </c>
      <c r="F332" s="69">
        <f>SUM(G332:O332)</f>
        <v>83.152800000000013</v>
      </c>
      <c r="G332" s="29"/>
      <c r="H332" s="87">
        <v>68.152800000000013</v>
      </c>
      <c r="I332" s="29"/>
      <c r="J332" s="87">
        <v>15</v>
      </c>
      <c r="K332" s="29"/>
      <c r="L332" s="29"/>
      <c r="M332" s="29"/>
      <c r="N332" s="29"/>
      <c r="O332" s="87"/>
    </row>
    <row r="333" spans="2:15">
      <c r="B333" s="94" t="s">
        <v>182</v>
      </c>
      <c r="D333" t="s">
        <v>109</v>
      </c>
      <c r="F333" s="69">
        <f>SUM(G333:O333)</f>
        <v>0</v>
      </c>
      <c r="G333" s="29"/>
      <c r="H333" s="87"/>
      <c r="I333" s="29"/>
      <c r="J333" s="87">
        <v>0</v>
      </c>
      <c r="K333" s="29"/>
      <c r="L333" s="29"/>
      <c r="M333" s="29"/>
      <c r="N333" s="29"/>
      <c r="O333" s="87"/>
    </row>
    <row r="334" spans="2:15">
      <c r="F334" s="64"/>
      <c r="G334" s="29"/>
      <c r="H334" s="63"/>
      <c r="I334" s="29"/>
      <c r="J334" s="63"/>
      <c r="K334" s="29"/>
      <c r="L334" s="29"/>
      <c r="M334" s="29"/>
      <c r="N334" s="29"/>
      <c r="O334" s="63"/>
    </row>
    <row r="335" spans="2:15">
      <c r="B335" s="79" t="s">
        <v>277</v>
      </c>
      <c r="D335" t="s">
        <v>109</v>
      </c>
      <c r="F335" s="69">
        <f>SUM(G335:O335)</f>
        <v>35515.842111744787</v>
      </c>
      <c r="G335" s="68"/>
      <c r="H335" s="69">
        <f t="shared" ref="H335" si="83">SUM(H319:H320,H323:H324,H327:H328,H331:H333)</f>
        <v>35500.842111744787</v>
      </c>
      <c r="I335" s="68"/>
      <c r="J335" s="69">
        <f t="shared" ref="J335" si="84">SUM(J319:J320,J323:J324,J327:J328,J331:J333)</f>
        <v>15</v>
      </c>
      <c r="K335" s="68"/>
      <c r="L335" s="68"/>
      <c r="M335" s="68"/>
      <c r="N335" s="68"/>
      <c r="O335" s="69">
        <f t="shared" ref="O335" si="85">SUM(O319:O320,O323:O324,O327:O328,O331:O333)</f>
        <v>0</v>
      </c>
    </row>
    <row r="336" spans="2:15">
      <c r="G336" s="258"/>
      <c r="H336" s="258"/>
      <c r="I336" s="258"/>
      <c r="J336" s="258"/>
      <c r="K336" s="258"/>
      <c r="L336" s="258"/>
      <c r="M336" s="258"/>
      <c r="N336" s="258"/>
      <c r="O336" s="258"/>
    </row>
    <row r="337" spans="2:15">
      <c r="G337" s="258"/>
      <c r="H337" s="258"/>
      <c r="I337" s="258"/>
      <c r="J337" s="258"/>
      <c r="K337" s="258"/>
      <c r="L337" s="258"/>
      <c r="M337" s="258"/>
      <c r="N337" s="258"/>
      <c r="O337" s="258"/>
    </row>
    <row r="338" spans="2:15" s="2" customFormat="1">
      <c r="B338" s="2" t="s">
        <v>270</v>
      </c>
      <c r="F338" s="49"/>
    </row>
    <row r="339" spans="2:15">
      <c r="G339" s="258"/>
      <c r="H339" s="258"/>
      <c r="I339" s="258"/>
      <c r="J339" s="258"/>
      <c r="K339" s="258"/>
      <c r="L339" s="258"/>
      <c r="M339" s="258"/>
      <c r="N339" s="258"/>
      <c r="O339" s="258"/>
    </row>
    <row r="340" spans="2:15">
      <c r="B340" s="22" t="s">
        <v>276</v>
      </c>
      <c r="F340" s="64"/>
      <c r="G340" s="63"/>
      <c r="H340" s="63"/>
      <c r="I340" s="63"/>
      <c r="J340" s="63"/>
      <c r="K340" s="63"/>
      <c r="L340" s="63"/>
      <c r="M340" s="63"/>
      <c r="N340" s="63"/>
      <c r="O340" s="63"/>
    </row>
    <row r="341" spans="2:15">
      <c r="B341" s="23"/>
      <c r="F341" s="64"/>
      <c r="G341" s="63"/>
      <c r="H341" s="63"/>
      <c r="I341" s="63"/>
      <c r="J341" s="63"/>
      <c r="K341" s="63"/>
      <c r="L341" s="63"/>
      <c r="M341" s="63"/>
      <c r="N341" s="63"/>
      <c r="O341" s="63"/>
    </row>
    <row r="342" spans="2:15">
      <c r="B342" s="22" t="s">
        <v>121</v>
      </c>
      <c r="F342" s="64"/>
      <c r="G342" s="63"/>
      <c r="H342" s="63"/>
      <c r="I342" s="63"/>
      <c r="J342" s="63"/>
      <c r="K342" s="63"/>
      <c r="L342" s="63"/>
      <c r="M342" s="63"/>
      <c r="N342" s="63"/>
      <c r="O342" s="63"/>
    </row>
    <row r="343" spans="2:15">
      <c r="B343" s="23" t="s">
        <v>216</v>
      </c>
      <c r="D343" t="s">
        <v>110</v>
      </c>
      <c r="F343" s="69">
        <f>SUM(G343:O343)</f>
        <v>0</v>
      </c>
      <c r="G343" s="29"/>
      <c r="H343" s="87">
        <v>0</v>
      </c>
      <c r="I343" s="29"/>
      <c r="J343" s="87">
        <v>0</v>
      </c>
      <c r="K343" s="29"/>
      <c r="L343" s="29"/>
      <c r="M343" s="29"/>
      <c r="N343" s="29"/>
      <c r="O343" s="87">
        <v>0</v>
      </c>
    </row>
    <row r="344" spans="2:15">
      <c r="B344" s="23" t="s">
        <v>217</v>
      </c>
      <c r="D344" t="s">
        <v>110</v>
      </c>
      <c r="F344" s="69">
        <f>SUM(G344:O344)</f>
        <v>0</v>
      </c>
      <c r="G344" s="29"/>
      <c r="H344" s="87">
        <v>0</v>
      </c>
      <c r="I344" s="29"/>
      <c r="J344" s="87">
        <v>0</v>
      </c>
      <c r="K344" s="29"/>
      <c r="L344" s="29"/>
      <c r="M344" s="29"/>
      <c r="N344" s="29"/>
      <c r="O344" s="87">
        <v>0</v>
      </c>
    </row>
    <row r="345" spans="2:15">
      <c r="B345" s="23"/>
      <c r="F345" s="64"/>
      <c r="G345" s="29"/>
      <c r="H345" s="63"/>
      <c r="I345" s="29"/>
      <c r="J345" s="63"/>
      <c r="K345" s="29"/>
      <c r="L345" s="29"/>
      <c r="M345" s="29"/>
      <c r="N345" s="29"/>
      <c r="O345" s="63"/>
    </row>
    <row r="346" spans="2:15">
      <c r="B346" s="22" t="s">
        <v>122</v>
      </c>
      <c r="F346" s="64"/>
      <c r="G346" s="29"/>
      <c r="H346" s="63"/>
      <c r="I346" s="29"/>
      <c r="J346" s="63"/>
      <c r="K346" s="29"/>
      <c r="L346" s="29"/>
      <c r="M346" s="29"/>
      <c r="N346" s="29"/>
      <c r="O346" s="63"/>
    </row>
    <row r="347" spans="2:15">
      <c r="B347" s="23" t="s">
        <v>123</v>
      </c>
      <c r="D347" t="s">
        <v>110</v>
      </c>
      <c r="F347" s="69">
        <f>SUM(G347:O347)</f>
        <v>5998.7932793679483</v>
      </c>
      <c r="G347" s="29"/>
      <c r="H347" s="87">
        <v>5998.7932793679483</v>
      </c>
      <c r="I347" s="29"/>
      <c r="J347" s="87">
        <v>0</v>
      </c>
      <c r="K347" s="29"/>
      <c r="L347" s="29"/>
      <c r="M347" s="29"/>
      <c r="N347" s="29"/>
      <c r="O347" s="87">
        <v>0</v>
      </c>
    </row>
    <row r="348" spans="2:15">
      <c r="B348" s="23" t="s">
        <v>124</v>
      </c>
      <c r="D348" t="s">
        <v>110</v>
      </c>
      <c r="F348" s="69">
        <f>SUM(G348:O348)</f>
        <v>0</v>
      </c>
      <c r="G348" s="29"/>
      <c r="H348" s="87">
        <v>0</v>
      </c>
      <c r="I348" s="29"/>
      <c r="J348" s="87">
        <v>0</v>
      </c>
      <c r="K348" s="29"/>
      <c r="L348" s="29"/>
      <c r="M348" s="29"/>
      <c r="N348" s="29"/>
      <c r="O348" s="87">
        <v>0</v>
      </c>
    </row>
    <row r="349" spans="2:15">
      <c r="B349" s="23"/>
      <c r="F349" s="64"/>
      <c r="G349" s="29"/>
      <c r="H349" s="63"/>
      <c r="I349" s="29"/>
      <c r="J349" s="63"/>
      <c r="K349" s="29"/>
      <c r="L349" s="29"/>
      <c r="M349" s="29"/>
      <c r="N349" s="29"/>
      <c r="O349" s="63"/>
    </row>
    <row r="350" spans="2:15">
      <c r="B350" s="22" t="s">
        <v>125</v>
      </c>
      <c r="F350" s="64"/>
      <c r="G350" s="29"/>
      <c r="H350" s="63"/>
      <c r="I350" s="29"/>
      <c r="J350" s="63"/>
      <c r="K350" s="29"/>
      <c r="L350" s="29"/>
      <c r="M350" s="29"/>
      <c r="N350" s="29"/>
      <c r="O350" s="63"/>
    </row>
    <row r="351" spans="2:15">
      <c r="B351" s="23" t="s">
        <v>126</v>
      </c>
      <c r="D351" t="s">
        <v>110</v>
      </c>
      <c r="F351" s="69">
        <f>SUM(G351:O351)</f>
        <v>0</v>
      </c>
      <c r="G351" s="29"/>
      <c r="H351" s="87">
        <v>0</v>
      </c>
      <c r="I351" s="29"/>
      <c r="J351" s="87">
        <v>0</v>
      </c>
      <c r="K351" s="29"/>
      <c r="L351" s="29"/>
      <c r="M351" s="29"/>
      <c r="N351" s="29"/>
      <c r="O351" s="87">
        <v>0</v>
      </c>
    </row>
    <row r="352" spans="2:15">
      <c r="B352" s="23" t="s">
        <v>127</v>
      </c>
      <c r="D352" t="s">
        <v>110</v>
      </c>
      <c r="F352" s="69">
        <f>SUM(G352:O352)</f>
        <v>0</v>
      </c>
      <c r="G352" s="29"/>
      <c r="H352" s="87">
        <v>0</v>
      </c>
      <c r="I352" s="29"/>
      <c r="J352" s="87">
        <v>0</v>
      </c>
      <c r="K352" s="29"/>
      <c r="L352" s="29"/>
      <c r="M352" s="29"/>
      <c r="N352" s="29"/>
      <c r="O352" s="87">
        <v>0</v>
      </c>
    </row>
    <row r="353" spans="2:15">
      <c r="B353" s="23"/>
      <c r="F353" s="64"/>
      <c r="G353" s="29"/>
      <c r="H353" s="63"/>
      <c r="I353" s="29"/>
      <c r="J353" s="63"/>
      <c r="K353" s="29"/>
      <c r="L353" s="29"/>
      <c r="M353" s="29"/>
      <c r="N353" s="29"/>
      <c r="O353" s="63"/>
    </row>
    <row r="354" spans="2:15">
      <c r="B354" s="22" t="s">
        <v>128</v>
      </c>
      <c r="F354" s="64"/>
      <c r="G354" s="29"/>
      <c r="H354" s="63"/>
      <c r="I354" s="29"/>
      <c r="J354" s="63"/>
      <c r="K354" s="29"/>
      <c r="L354" s="29"/>
      <c r="M354" s="29"/>
      <c r="N354" s="29"/>
      <c r="O354" s="63"/>
    </row>
    <row r="355" spans="2:15">
      <c r="B355" s="93" t="s">
        <v>180</v>
      </c>
      <c r="D355" t="s">
        <v>110</v>
      </c>
      <c r="F355" s="69">
        <f>SUM(G355:O355)</f>
        <v>0</v>
      </c>
      <c r="G355" s="29"/>
      <c r="H355" s="87">
        <v>0</v>
      </c>
      <c r="I355" s="29"/>
      <c r="J355" s="87">
        <v>0</v>
      </c>
      <c r="K355" s="29"/>
      <c r="L355" s="29"/>
      <c r="M355" s="29"/>
      <c r="N355" s="29"/>
      <c r="O355" s="87">
        <v>0</v>
      </c>
    </row>
    <row r="356" spans="2:15">
      <c r="B356" s="93" t="s">
        <v>181</v>
      </c>
      <c r="D356" t="s">
        <v>110</v>
      </c>
      <c r="F356" s="69">
        <f>SUM(G356:O356)</f>
        <v>72.579599999999999</v>
      </c>
      <c r="G356" s="29"/>
      <c r="H356" s="87">
        <v>58.029600000000002</v>
      </c>
      <c r="I356" s="29"/>
      <c r="J356" s="87">
        <v>14.55</v>
      </c>
      <c r="K356" s="29"/>
      <c r="L356" s="29"/>
      <c r="M356" s="29"/>
      <c r="N356" s="29"/>
      <c r="O356" s="87">
        <v>0</v>
      </c>
    </row>
    <row r="357" spans="2:15">
      <c r="B357" s="94" t="s">
        <v>182</v>
      </c>
      <c r="D357" t="s">
        <v>110</v>
      </c>
      <c r="F357" s="69">
        <f>SUM(G357:O357)</f>
        <v>0</v>
      </c>
      <c r="G357" s="29"/>
      <c r="H357" s="87">
        <v>0</v>
      </c>
      <c r="I357" s="29"/>
      <c r="J357" s="87">
        <v>0</v>
      </c>
      <c r="K357" s="29"/>
      <c r="L357" s="29"/>
      <c r="M357" s="29"/>
      <c r="N357" s="29"/>
      <c r="O357" s="87">
        <v>0</v>
      </c>
    </row>
    <row r="358" spans="2:15">
      <c r="F358" s="64"/>
      <c r="G358" s="29"/>
      <c r="H358" s="63"/>
      <c r="I358" s="29"/>
      <c r="J358" s="63"/>
      <c r="K358" s="29"/>
      <c r="L358" s="29"/>
      <c r="M358" s="29"/>
      <c r="N358" s="29"/>
      <c r="O358" s="63"/>
    </row>
    <row r="359" spans="2:15">
      <c r="B359" s="79" t="s">
        <v>277</v>
      </c>
      <c r="D359" t="s">
        <v>110</v>
      </c>
      <c r="F359" s="69">
        <f>SUM(G359:O359)</f>
        <v>6071.3728793679484</v>
      </c>
      <c r="G359" s="68"/>
      <c r="H359" s="69">
        <f t="shared" ref="H359" si="86">SUM(H343:H344,H347:H348,H351:H352,H355:H357)</f>
        <v>6056.8228793679482</v>
      </c>
      <c r="I359" s="68"/>
      <c r="J359" s="69">
        <f t="shared" ref="J359" si="87">SUM(J343:J344,J347:J348,J351:J352,J355:J357)</f>
        <v>14.55</v>
      </c>
      <c r="K359" s="68"/>
      <c r="L359" s="68"/>
      <c r="M359" s="68"/>
      <c r="N359" s="68"/>
      <c r="O359" s="69">
        <f t="shared" ref="O359" si="88">SUM(O343:O344,O347:O348,O351:O352,O355:O357)</f>
        <v>0</v>
      </c>
    </row>
  </sheetData>
  <pageMargins left="0.75" right="0.75" top="1" bottom="1" header="0.5" footer="0.5"/>
  <pageSetup paperSize="9"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BE721"/>
    <pageSetUpPr fitToPage="1"/>
  </sheetPr>
  <dimension ref="B1:X259"/>
  <sheetViews>
    <sheetView showGridLines="0" zoomScale="85" zoomScaleNormal="85" workbookViewId="0">
      <pane xSplit="4" ySplit="7" topLeftCell="E8" activePane="bottomRight" state="frozen"/>
      <selection activeCell="L8" sqref="L8"/>
      <selection pane="topRight" activeCell="L8" sqref="L8"/>
      <selection pane="bottomLeft" activeCell="L8" sqref="L8"/>
      <selection pane="bottomRight" activeCell="E8" sqref="E8"/>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7" customWidth="1"/>
    <col min="7" max="14" width="14.85546875" customWidth="1"/>
    <col min="15" max="15" width="15" customWidth="1"/>
    <col min="16" max="16" width="8.42578125" customWidth="1"/>
    <col min="17" max="17" width="22.140625" customWidth="1"/>
    <col min="19" max="24" width="15" customWidth="1"/>
  </cols>
  <sheetData>
    <row r="1" spans="2:24" ht="12" customHeight="1"/>
    <row r="2" spans="2:24" s="1" customFormat="1" ht="18">
      <c r="B2" s="1" t="s">
        <v>544</v>
      </c>
      <c r="F2" s="48" t="s">
        <v>105</v>
      </c>
      <c r="G2" s="5" t="s">
        <v>96</v>
      </c>
      <c r="H2" s="5" t="s">
        <v>97</v>
      </c>
      <c r="I2" s="5" t="s">
        <v>98</v>
      </c>
      <c r="J2" s="5" t="s">
        <v>99</v>
      </c>
      <c r="K2" s="5" t="s">
        <v>100</v>
      </c>
      <c r="L2" s="5" t="s">
        <v>101</v>
      </c>
      <c r="M2" s="5" t="s">
        <v>102</v>
      </c>
      <c r="N2" s="5" t="s">
        <v>103</v>
      </c>
      <c r="O2" s="5" t="s">
        <v>197</v>
      </c>
      <c r="Q2" s="5" t="s">
        <v>567</v>
      </c>
      <c r="S2" s="5" t="s">
        <v>653</v>
      </c>
      <c r="T2" s="5" t="s">
        <v>654</v>
      </c>
      <c r="U2" s="5" t="s">
        <v>655</v>
      </c>
      <c r="V2" s="5" t="s">
        <v>656</v>
      </c>
      <c r="W2" s="5" t="s">
        <v>657</v>
      </c>
      <c r="X2" s="5" t="s">
        <v>658</v>
      </c>
    </row>
    <row r="4" spans="2:24">
      <c r="B4" s="78" t="s">
        <v>564</v>
      </c>
    </row>
    <row r="5" spans="2:24">
      <c r="B5" s="28" t="s">
        <v>3</v>
      </c>
    </row>
    <row r="6" spans="2:24">
      <c r="B6" s="78" t="s">
        <v>994</v>
      </c>
    </row>
    <row r="7" spans="2:24">
      <c r="B7" s="28"/>
    </row>
    <row r="8" spans="2:24">
      <c r="B8" s="28"/>
      <c r="F8" s="4"/>
    </row>
    <row r="10" spans="2:24" s="2" customFormat="1">
      <c r="B10" s="2" t="s">
        <v>4</v>
      </c>
      <c r="F10" s="49"/>
    </row>
    <row r="12" spans="2:24">
      <c r="B12" s="3"/>
    </row>
    <row r="13" spans="2:24">
      <c r="B13" s="3" t="s">
        <v>5</v>
      </c>
    </row>
    <row r="14" spans="2:24">
      <c r="B14" s="220" t="s">
        <v>669</v>
      </c>
      <c r="D14" t="s">
        <v>107</v>
      </c>
      <c r="F14" s="80">
        <f t="shared" ref="F14:F21" si="0">SUM(G14:O14)</f>
        <v>10534126.366795003</v>
      </c>
      <c r="G14" s="41">
        <v>0</v>
      </c>
      <c r="H14" s="41">
        <v>0</v>
      </c>
      <c r="I14" s="81">
        <f>S14+T14</f>
        <v>0</v>
      </c>
      <c r="J14" s="81">
        <f>U14+V14</f>
        <v>5438833.9583936045</v>
      </c>
      <c r="K14" s="81">
        <f>W14+X14</f>
        <v>1835698.0600000003</v>
      </c>
      <c r="L14" s="41">
        <v>41601</v>
      </c>
      <c r="M14" s="41">
        <v>2524238.6384013994</v>
      </c>
      <c r="N14" s="41">
        <v>693754.70999999857</v>
      </c>
      <c r="O14" s="41">
        <v>0</v>
      </c>
      <c r="S14" s="41">
        <v>0</v>
      </c>
      <c r="T14" s="41">
        <v>0</v>
      </c>
      <c r="U14" s="41">
        <v>5133000</v>
      </c>
      <c r="V14" s="41">
        <v>305833.95839360461</v>
      </c>
      <c r="W14" s="41">
        <v>1835698.0600000003</v>
      </c>
      <c r="X14" s="41">
        <v>0</v>
      </c>
    </row>
    <row r="15" spans="2:24">
      <c r="B15" s="220" t="s">
        <v>7</v>
      </c>
      <c r="D15" t="s">
        <v>107</v>
      </c>
      <c r="F15" s="80">
        <f t="shared" si="0"/>
        <v>1309014.1874924549</v>
      </c>
      <c r="G15" s="41">
        <v>178178.18000000058</v>
      </c>
      <c r="H15" s="41">
        <v>0</v>
      </c>
      <c r="I15" s="81">
        <f t="shared" ref="I15:I21" si="1">S15+T15</f>
        <v>98049.117533324141</v>
      </c>
      <c r="J15" s="81">
        <f t="shared" ref="J15:J21" si="2">U15+V15</f>
        <v>425410.21354770084</v>
      </c>
      <c r="K15" s="81">
        <f t="shared" ref="K15:K21" si="3">W15+X15</f>
        <v>23970.096411429593</v>
      </c>
      <c r="L15" s="41">
        <v>53486</v>
      </c>
      <c r="M15" s="41">
        <v>529920.57999999996</v>
      </c>
      <c r="N15" s="41">
        <v>0</v>
      </c>
      <c r="O15" s="41">
        <v>0</v>
      </c>
      <c r="S15" s="41">
        <v>0</v>
      </c>
      <c r="T15" s="41">
        <v>98049.117533324141</v>
      </c>
      <c r="U15" s="41">
        <v>323000</v>
      </c>
      <c r="V15" s="41">
        <v>102410.21354770083</v>
      </c>
      <c r="W15" s="41">
        <v>0</v>
      </c>
      <c r="X15" s="41">
        <v>23970.096411429593</v>
      </c>
    </row>
    <row r="16" spans="2:24">
      <c r="B16" t="s">
        <v>670</v>
      </c>
      <c r="D16" t="s">
        <v>107</v>
      </c>
      <c r="F16" s="80">
        <f t="shared" si="0"/>
        <v>0</v>
      </c>
      <c r="G16" s="41">
        <v>0</v>
      </c>
      <c r="H16" s="41">
        <v>0</v>
      </c>
      <c r="I16" s="81">
        <f t="shared" si="1"/>
        <v>0</v>
      </c>
      <c r="J16" s="81">
        <f t="shared" si="2"/>
        <v>0</v>
      </c>
      <c r="K16" s="81">
        <f t="shared" si="3"/>
        <v>0</v>
      </c>
      <c r="L16" s="41">
        <v>0</v>
      </c>
      <c r="M16" s="41">
        <v>0</v>
      </c>
      <c r="N16" s="41">
        <v>0</v>
      </c>
      <c r="O16" s="41">
        <v>0</v>
      </c>
      <c r="S16" s="41">
        <v>0</v>
      </c>
      <c r="T16" s="41">
        <v>0</v>
      </c>
      <c r="U16" s="41">
        <v>0</v>
      </c>
      <c r="V16" s="41">
        <v>0</v>
      </c>
      <c r="W16" s="41">
        <v>0</v>
      </c>
      <c r="X16" s="41">
        <v>0</v>
      </c>
    </row>
    <row r="17" spans="2:24">
      <c r="B17" t="s">
        <v>9</v>
      </c>
      <c r="D17" t="s">
        <v>107</v>
      </c>
      <c r="F17" s="80">
        <f t="shared" si="0"/>
        <v>210158.54119542023</v>
      </c>
      <c r="G17" s="41">
        <v>0</v>
      </c>
      <c r="H17" s="41">
        <v>0</v>
      </c>
      <c r="I17" s="81">
        <f t="shared" si="1"/>
        <v>210158.54119542023</v>
      </c>
      <c r="J17" s="81">
        <f t="shared" si="2"/>
        <v>0</v>
      </c>
      <c r="K17" s="81">
        <f t="shared" si="3"/>
        <v>0</v>
      </c>
      <c r="L17" s="41">
        <v>0</v>
      </c>
      <c r="M17" s="41">
        <v>0</v>
      </c>
      <c r="N17" s="41">
        <v>0</v>
      </c>
      <c r="O17" s="41">
        <v>0</v>
      </c>
      <c r="S17" s="41">
        <v>210158.54119542023</v>
      </c>
      <c r="T17" s="41">
        <v>0</v>
      </c>
      <c r="U17" s="41">
        <v>0</v>
      </c>
      <c r="V17" s="41">
        <v>0</v>
      </c>
      <c r="W17" s="41">
        <v>0</v>
      </c>
      <c r="X17" s="41">
        <v>0</v>
      </c>
    </row>
    <row r="18" spans="2:24">
      <c r="B18" t="s">
        <v>10</v>
      </c>
      <c r="D18" t="s">
        <v>107</v>
      </c>
      <c r="F18" s="80">
        <f t="shared" si="0"/>
        <v>0</v>
      </c>
      <c r="G18" s="41">
        <v>0</v>
      </c>
      <c r="H18" s="41">
        <v>0</v>
      </c>
      <c r="I18" s="81">
        <f t="shared" si="1"/>
        <v>0</v>
      </c>
      <c r="J18" s="81">
        <f t="shared" si="2"/>
        <v>0</v>
      </c>
      <c r="K18" s="81">
        <f t="shared" si="3"/>
        <v>0</v>
      </c>
      <c r="L18" s="41">
        <v>0</v>
      </c>
      <c r="M18" s="41">
        <v>0</v>
      </c>
      <c r="N18" s="41">
        <v>0</v>
      </c>
      <c r="O18" s="41">
        <v>0</v>
      </c>
      <c r="S18" s="41">
        <v>0</v>
      </c>
      <c r="T18" s="41">
        <v>0</v>
      </c>
      <c r="U18" s="41">
        <v>0</v>
      </c>
      <c r="V18" s="41">
        <v>0</v>
      </c>
      <c r="W18" s="41">
        <v>0</v>
      </c>
      <c r="X18" s="41">
        <v>0</v>
      </c>
    </row>
    <row r="19" spans="2:24">
      <c r="B19" t="s">
        <v>11</v>
      </c>
      <c r="D19" t="s">
        <v>107</v>
      </c>
      <c r="F19" s="80">
        <f t="shared" si="0"/>
        <v>5890.7441292685289</v>
      </c>
      <c r="G19" s="41">
        <v>0</v>
      </c>
      <c r="H19" s="41">
        <v>0</v>
      </c>
      <c r="I19" s="81">
        <f t="shared" si="1"/>
        <v>0</v>
      </c>
      <c r="J19" s="81">
        <f t="shared" si="2"/>
        <v>0</v>
      </c>
      <c r="K19" s="81">
        <f t="shared" si="3"/>
        <v>5890.7441292685289</v>
      </c>
      <c r="L19" s="41">
        <v>0</v>
      </c>
      <c r="M19" s="41">
        <v>0</v>
      </c>
      <c r="N19" s="41">
        <v>0</v>
      </c>
      <c r="O19" s="41">
        <v>0</v>
      </c>
      <c r="S19" s="41">
        <v>0</v>
      </c>
      <c r="T19" s="41">
        <v>0</v>
      </c>
      <c r="U19" s="41">
        <v>0</v>
      </c>
      <c r="V19" s="41">
        <v>0</v>
      </c>
      <c r="W19" s="41">
        <v>5890.7441292685289</v>
      </c>
      <c r="X19" s="41">
        <v>0</v>
      </c>
    </row>
    <row r="20" spans="2:24">
      <c r="B20" t="s">
        <v>12</v>
      </c>
      <c r="D20" t="s">
        <v>107</v>
      </c>
      <c r="F20" s="80">
        <f t="shared" si="0"/>
        <v>0</v>
      </c>
      <c r="G20" s="41">
        <v>0</v>
      </c>
      <c r="H20" s="41">
        <v>0</v>
      </c>
      <c r="I20" s="81">
        <f t="shared" si="1"/>
        <v>0</v>
      </c>
      <c r="J20" s="81">
        <f t="shared" si="2"/>
        <v>0</v>
      </c>
      <c r="K20" s="81">
        <f t="shared" si="3"/>
        <v>0</v>
      </c>
      <c r="L20" s="41">
        <v>0</v>
      </c>
      <c r="M20" s="41">
        <v>0</v>
      </c>
      <c r="N20" s="41">
        <v>0</v>
      </c>
      <c r="O20" s="41">
        <v>0</v>
      </c>
      <c r="S20" s="41">
        <v>0</v>
      </c>
      <c r="T20" s="41">
        <v>0</v>
      </c>
      <c r="U20" s="41">
        <v>0</v>
      </c>
      <c r="V20" s="41">
        <v>0</v>
      </c>
      <c r="W20" s="41">
        <v>0</v>
      </c>
      <c r="X20" s="41">
        <v>0</v>
      </c>
    </row>
    <row r="21" spans="2:24">
      <c r="B21" t="s">
        <v>13</v>
      </c>
      <c r="D21" t="s">
        <v>107</v>
      </c>
      <c r="F21" s="80">
        <f t="shared" si="0"/>
        <v>0</v>
      </c>
      <c r="G21" s="41">
        <v>0</v>
      </c>
      <c r="H21" s="41">
        <v>0</v>
      </c>
      <c r="I21" s="81">
        <f t="shared" si="1"/>
        <v>0</v>
      </c>
      <c r="J21" s="81">
        <f t="shared" si="2"/>
        <v>0</v>
      </c>
      <c r="K21" s="81">
        <f t="shared" si="3"/>
        <v>0</v>
      </c>
      <c r="L21" s="41">
        <v>0</v>
      </c>
      <c r="M21" s="41">
        <v>0</v>
      </c>
      <c r="N21" s="41">
        <v>0</v>
      </c>
      <c r="O21" s="41">
        <v>0</v>
      </c>
      <c r="S21" s="41">
        <v>0</v>
      </c>
      <c r="T21" s="41">
        <v>0</v>
      </c>
      <c r="U21" s="41">
        <v>0</v>
      </c>
      <c r="V21" s="41">
        <v>0</v>
      </c>
      <c r="W21" s="41">
        <v>0</v>
      </c>
      <c r="X21" s="41">
        <v>0</v>
      </c>
    </row>
    <row r="22" spans="2:24">
      <c r="F22" s="67"/>
      <c r="G22" s="38"/>
      <c r="H22" s="38"/>
      <c r="I22" s="38"/>
      <c r="J22" s="38"/>
      <c r="K22" s="38"/>
      <c r="L22" s="38"/>
      <c r="M22" s="38"/>
      <c r="N22" s="38"/>
      <c r="O22" s="38"/>
    </row>
    <row r="23" spans="2:24">
      <c r="B23" t="s">
        <v>104</v>
      </c>
      <c r="D23" t="s">
        <v>107</v>
      </c>
      <c r="F23" s="81">
        <f t="shared" ref="F23:O23" si="4">SUM(F14:F21)</f>
        <v>12059189.839612147</v>
      </c>
      <c r="G23" s="81">
        <f t="shared" si="4"/>
        <v>178178.18000000058</v>
      </c>
      <c r="H23" s="81">
        <f t="shared" si="4"/>
        <v>0</v>
      </c>
      <c r="I23" s="81">
        <f t="shared" si="4"/>
        <v>308207.65872874437</v>
      </c>
      <c r="J23" s="81">
        <f t="shared" si="4"/>
        <v>5864244.1719413055</v>
      </c>
      <c r="K23" s="81">
        <f t="shared" si="4"/>
        <v>1865558.9005406983</v>
      </c>
      <c r="L23" s="81">
        <f t="shared" si="4"/>
        <v>95087</v>
      </c>
      <c r="M23" s="81">
        <f t="shared" si="4"/>
        <v>3054159.2184013994</v>
      </c>
      <c r="N23" s="81">
        <f t="shared" si="4"/>
        <v>693754.70999999857</v>
      </c>
      <c r="O23" s="81">
        <f t="shared" si="4"/>
        <v>0</v>
      </c>
    </row>
    <row r="26" spans="2:24">
      <c r="B26" s="3" t="s">
        <v>14</v>
      </c>
    </row>
    <row r="27" spans="2:24">
      <c r="B27" s="220" t="s">
        <v>669</v>
      </c>
      <c r="D27" t="s">
        <v>107</v>
      </c>
      <c r="F27" s="80">
        <f t="shared" ref="F27:F34" si="5">SUM(G27:O27)</f>
        <v>10520925.677767627</v>
      </c>
      <c r="G27" s="41">
        <v>0</v>
      </c>
      <c r="H27" s="41">
        <v>0</v>
      </c>
      <c r="I27" s="81">
        <f>S27+T27</f>
        <v>0</v>
      </c>
      <c r="J27" s="81">
        <f>U27+V27</f>
        <v>5438833.9583936045</v>
      </c>
      <c r="K27" s="81">
        <f>W27+X27</f>
        <v>1835698.0600000003</v>
      </c>
      <c r="L27" s="41">
        <v>41601</v>
      </c>
      <c r="M27" s="41">
        <v>2585645.19</v>
      </c>
      <c r="N27" s="41">
        <v>619147.46937402221</v>
      </c>
      <c r="O27" s="41">
        <v>0</v>
      </c>
      <c r="S27" s="41">
        <v>0</v>
      </c>
      <c r="T27" s="41">
        <v>0</v>
      </c>
      <c r="U27" s="41">
        <v>5133000</v>
      </c>
      <c r="V27" s="41">
        <v>305833.95839360461</v>
      </c>
      <c r="W27" s="41">
        <v>1835698.0600000003</v>
      </c>
      <c r="X27" s="41">
        <v>0</v>
      </c>
    </row>
    <row r="28" spans="2:24">
      <c r="B28" s="220" t="s">
        <v>7</v>
      </c>
      <c r="D28" t="s">
        <v>107</v>
      </c>
      <c r="F28" s="80">
        <f t="shared" si="5"/>
        <v>1252146.9537924544</v>
      </c>
      <c r="G28" s="41">
        <v>121310.94629999995</v>
      </c>
      <c r="H28" s="41">
        <v>0</v>
      </c>
      <c r="I28" s="81">
        <f t="shared" ref="I28:I34" si="6">S28+T28</f>
        <v>98049.117533324141</v>
      </c>
      <c r="J28" s="81">
        <f t="shared" ref="J28:J34" si="7">U28+V28</f>
        <v>425410.21354770084</v>
      </c>
      <c r="K28" s="81">
        <f t="shared" ref="K28:K34" si="8">W28+X28</f>
        <v>23970.096411429593</v>
      </c>
      <c r="L28" s="41">
        <v>53486</v>
      </c>
      <c r="M28" s="41">
        <v>529920.57999999996</v>
      </c>
      <c r="N28" s="41">
        <v>0</v>
      </c>
      <c r="O28" s="41">
        <v>0</v>
      </c>
      <c r="S28" s="41">
        <v>0</v>
      </c>
      <c r="T28" s="41">
        <v>98049.117533324141</v>
      </c>
      <c r="U28" s="41">
        <v>323000</v>
      </c>
      <c r="V28" s="41">
        <v>102410.21354770083</v>
      </c>
      <c r="W28" s="41">
        <v>0</v>
      </c>
      <c r="X28" s="41">
        <v>23970.096411429593</v>
      </c>
    </row>
    <row r="29" spans="2:24">
      <c r="B29" t="s">
        <v>670</v>
      </c>
      <c r="D29" t="s">
        <v>107</v>
      </c>
      <c r="F29" s="80">
        <f t="shared" si="5"/>
        <v>0</v>
      </c>
      <c r="G29" s="41">
        <v>0</v>
      </c>
      <c r="H29" s="41">
        <v>0</v>
      </c>
      <c r="I29" s="81">
        <f t="shared" si="6"/>
        <v>0</v>
      </c>
      <c r="J29" s="81">
        <f t="shared" si="7"/>
        <v>0</v>
      </c>
      <c r="K29" s="81">
        <f t="shared" si="8"/>
        <v>0</v>
      </c>
      <c r="L29" s="41">
        <v>0</v>
      </c>
      <c r="M29" s="41">
        <v>0</v>
      </c>
      <c r="N29" s="41">
        <v>0</v>
      </c>
      <c r="O29" s="41">
        <v>0</v>
      </c>
      <c r="S29" s="41">
        <v>0</v>
      </c>
      <c r="T29" s="41">
        <v>0</v>
      </c>
      <c r="U29" s="41">
        <v>0</v>
      </c>
      <c r="V29" s="41">
        <v>0</v>
      </c>
      <c r="W29" s="41">
        <v>0</v>
      </c>
      <c r="X29" s="41">
        <v>0</v>
      </c>
    </row>
    <row r="30" spans="2:24">
      <c r="B30" t="s">
        <v>9</v>
      </c>
      <c r="D30" t="s">
        <v>107</v>
      </c>
      <c r="F30" s="80">
        <f t="shared" si="5"/>
        <v>210158.54119542023</v>
      </c>
      <c r="G30" s="41">
        <v>0</v>
      </c>
      <c r="H30" s="41">
        <v>0</v>
      </c>
      <c r="I30" s="81">
        <f t="shared" si="6"/>
        <v>210158.54119542023</v>
      </c>
      <c r="J30" s="81">
        <f t="shared" si="7"/>
        <v>0</v>
      </c>
      <c r="K30" s="81">
        <f t="shared" si="8"/>
        <v>0</v>
      </c>
      <c r="L30" s="41">
        <v>0</v>
      </c>
      <c r="M30" s="41">
        <v>0</v>
      </c>
      <c r="N30" s="41">
        <v>0</v>
      </c>
      <c r="O30" s="41">
        <v>0</v>
      </c>
      <c r="S30" s="41">
        <v>210158.54119542023</v>
      </c>
      <c r="T30" s="41">
        <v>0</v>
      </c>
      <c r="U30" s="41">
        <v>0</v>
      </c>
      <c r="V30" s="41">
        <v>0</v>
      </c>
      <c r="W30" s="41">
        <v>0</v>
      </c>
      <c r="X30" s="41">
        <v>0</v>
      </c>
    </row>
    <row r="31" spans="2:24">
      <c r="B31" t="s">
        <v>10</v>
      </c>
      <c r="D31" t="s">
        <v>107</v>
      </c>
      <c r="F31" s="80">
        <f t="shared" si="5"/>
        <v>0</v>
      </c>
      <c r="G31" s="41">
        <v>0</v>
      </c>
      <c r="H31" s="41">
        <v>0</v>
      </c>
      <c r="I31" s="81">
        <f t="shared" si="6"/>
        <v>0</v>
      </c>
      <c r="J31" s="81">
        <f t="shared" si="7"/>
        <v>0</v>
      </c>
      <c r="K31" s="81">
        <f t="shared" si="8"/>
        <v>0</v>
      </c>
      <c r="L31" s="41">
        <v>0</v>
      </c>
      <c r="M31" s="41">
        <v>0</v>
      </c>
      <c r="N31" s="41">
        <v>0</v>
      </c>
      <c r="O31" s="41">
        <v>0</v>
      </c>
      <c r="S31" s="41">
        <v>0</v>
      </c>
      <c r="T31" s="41">
        <v>0</v>
      </c>
      <c r="U31" s="41">
        <v>0</v>
      </c>
      <c r="V31" s="41">
        <v>0</v>
      </c>
      <c r="W31" s="41">
        <v>0</v>
      </c>
      <c r="X31" s="41">
        <v>0</v>
      </c>
    </row>
    <row r="32" spans="2:24">
      <c r="B32" t="s">
        <v>11</v>
      </c>
      <c r="D32" t="s">
        <v>107</v>
      </c>
      <c r="F32" s="80">
        <f>SUM(G32:O32)</f>
        <v>5890.7441292685289</v>
      </c>
      <c r="G32" s="41">
        <v>0</v>
      </c>
      <c r="H32" s="41">
        <v>0</v>
      </c>
      <c r="I32" s="81">
        <f t="shared" si="6"/>
        <v>0</v>
      </c>
      <c r="J32" s="81">
        <f t="shared" si="7"/>
        <v>0</v>
      </c>
      <c r="K32" s="81">
        <f t="shared" si="8"/>
        <v>5890.7441292685289</v>
      </c>
      <c r="L32" s="41">
        <v>0</v>
      </c>
      <c r="M32" s="41">
        <v>0</v>
      </c>
      <c r="N32" s="41">
        <v>0</v>
      </c>
      <c r="O32" s="41">
        <v>0</v>
      </c>
      <c r="S32" s="41">
        <v>0</v>
      </c>
      <c r="T32" s="41">
        <v>0</v>
      </c>
      <c r="U32" s="41">
        <v>0</v>
      </c>
      <c r="V32" s="41">
        <v>0</v>
      </c>
      <c r="W32" s="41">
        <v>5890.7441292685289</v>
      </c>
      <c r="X32" s="41">
        <v>0</v>
      </c>
    </row>
    <row r="33" spans="2:24">
      <c r="B33" t="s">
        <v>12</v>
      </c>
      <c r="D33" t="s">
        <v>107</v>
      </c>
      <c r="F33" s="80">
        <f t="shared" si="5"/>
        <v>0</v>
      </c>
      <c r="G33" s="41">
        <v>0</v>
      </c>
      <c r="H33" s="41">
        <v>0</v>
      </c>
      <c r="I33" s="81">
        <f t="shared" si="6"/>
        <v>0</v>
      </c>
      <c r="J33" s="81">
        <f t="shared" si="7"/>
        <v>0</v>
      </c>
      <c r="K33" s="81">
        <f t="shared" si="8"/>
        <v>0</v>
      </c>
      <c r="L33" s="41">
        <v>0</v>
      </c>
      <c r="M33" s="41">
        <v>0</v>
      </c>
      <c r="N33" s="41">
        <v>0</v>
      </c>
      <c r="O33" s="41">
        <v>0</v>
      </c>
      <c r="S33" s="41">
        <v>0</v>
      </c>
      <c r="T33" s="41">
        <v>0</v>
      </c>
      <c r="U33" s="41">
        <v>0</v>
      </c>
      <c r="V33" s="41">
        <v>0</v>
      </c>
      <c r="W33" s="41">
        <v>0</v>
      </c>
      <c r="X33" s="41">
        <v>0</v>
      </c>
    </row>
    <row r="34" spans="2:24">
      <c r="B34" t="s">
        <v>13</v>
      </c>
      <c r="D34" t="s">
        <v>107</v>
      </c>
      <c r="F34" s="80">
        <f t="shared" si="5"/>
        <v>0</v>
      </c>
      <c r="G34" s="41">
        <v>0</v>
      </c>
      <c r="H34" s="41">
        <v>0</v>
      </c>
      <c r="I34" s="81">
        <f t="shared" si="6"/>
        <v>0</v>
      </c>
      <c r="J34" s="81">
        <f t="shared" si="7"/>
        <v>0</v>
      </c>
      <c r="K34" s="81">
        <f t="shared" si="8"/>
        <v>0</v>
      </c>
      <c r="L34" s="41">
        <v>0</v>
      </c>
      <c r="M34" s="41">
        <v>0</v>
      </c>
      <c r="N34" s="41">
        <v>0</v>
      </c>
      <c r="O34" s="41">
        <v>0</v>
      </c>
      <c r="S34" s="41">
        <v>0</v>
      </c>
      <c r="T34" s="41">
        <v>0</v>
      </c>
      <c r="U34" s="41">
        <v>0</v>
      </c>
      <c r="V34" s="41">
        <v>0</v>
      </c>
      <c r="W34" s="41">
        <v>0</v>
      </c>
      <c r="X34" s="41">
        <v>0</v>
      </c>
    </row>
    <row r="35" spans="2:24">
      <c r="F35" s="67"/>
      <c r="G35" s="38"/>
      <c r="H35" s="38"/>
      <c r="I35" s="38"/>
      <c r="J35" s="38"/>
      <c r="K35" s="38"/>
      <c r="L35" s="38"/>
      <c r="M35" s="38"/>
      <c r="N35" s="38"/>
      <c r="O35" s="38"/>
    </row>
    <row r="36" spans="2:24">
      <c r="B36" t="s">
        <v>104</v>
      </c>
      <c r="D36" t="s">
        <v>107</v>
      </c>
      <c r="F36" s="81">
        <f t="shared" ref="F36:O36" si="9">SUM(F27:F34)</f>
        <v>11989121.916884771</v>
      </c>
      <c r="G36" s="81">
        <f t="shared" si="9"/>
        <v>121310.94629999995</v>
      </c>
      <c r="H36" s="81">
        <f t="shared" si="9"/>
        <v>0</v>
      </c>
      <c r="I36" s="81">
        <f t="shared" si="9"/>
        <v>308207.65872874437</v>
      </c>
      <c r="J36" s="81">
        <f t="shared" si="9"/>
        <v>5864244.1719413055</v>
      </c>
      <c r="K36" s="81">
        <f t="shared" si="9"/>
        <v>1865558.9005406983</v>
      </c>
      <c r="L36" s="81">
        <f t="shared" si="9"/>
        <v>95087</v>
      </c>
      <c r="M36" s="81">
        <f t="shared" si="9"/>
        <v>3115565.77</v>
      </c>
      <c r="N36" s="81">
        <f t="shared" si="9"/>
        <v>619147.46937402221</v>
      </c>
      <c r="O36" s="81">
        <f t="shared" si="9"/>
        <v>0</v>
      </c>
    </row>
    <row r="40" spans="2:24">
      <c r="B40" s="3" t="s">
        <v>15</v>
      </c>
    </row>
    <row r="41" spans="2:24">
      <c r="B41" s="221" t="s">
        <v>671</v>
      </c>
      <c r="D41" t="s">
        <v>107</v>
      </c>
      <c r="F41" s="80">
        <f>SUM(G41:O41)</f>
        <v>646.56301499999995</v>
      </c>
      <c r="G41" s="41">
        <v>0</v>
      </c>
      <c r="H41" s="41">
        <v>0</v>
      </c>
      <c r="I41" s="81">
        <f t="shared" ref="I41:I49" si="10">S41+T41</f>
        <v>646.56301499999995</v>
      </c>
      <c r="J41" s="81">
        <f t="shared" ref="J41:J49" si="11">U41+V41</f>
        <v>0</v>
      </c>
      <c r="K41" s="81">
        <f t="shared" ref="K41:K49" si="12">W41+X41</f>
        <v>0</v>
      </c>
      <c r="L41" s="41">
        <v>0</v>
      </c>
      <c r="M41" s="41">
        <v>0</v>
      </c>
      <c r="N41" s="41">
        <v>0</v>
      </c>
      <c r="O41" s="41">
        <v>0</v>
      </c>
      <c r="S41" s="41">
        <v>646.56301499999995</v>
      </c>
      <c r="T41" s="41">
        <v>0</v>
      </c>
      <c r="U41" s="41">
        <v>0</v>
      </c>
      <c r="V41" s="41">
        <v>0</v>
      </c>
      <c r="W41" s="41">
        <v>0</v>
      </c>
      <c r="X41" s="41">
        <v>0</v>
      </c>
    </row>
    <row r="42" spans="2:24">
      <c r="B42" s="221" t="s">
        <v>17</v>
      </c>
      <c r="D42" t="s">
        <v>107</v>
      </c>
      <c r="F42" s="80">
        <f t="shared" ref="F42:F49" si="13">SUM(G42:O42)</f>
        <v>1880.2200000000003</v>
      </c>
      <c r="G42" s="41">
        <v>0</v>
      </c>
      <c r="H42" s="41">
        <v>0</v>
      </c>
      <c r="I42" s="81">
        <f t="shared" si="10"/>
        <v>1880.2200000000003</v>
      </c>
      <c r="J42" s="81">
        <f t="shared" si="11"/>
        <v>0</v>
      </c>
      <c r="K42" s="81">
        <f t="shared" si="12"/>
        <v>0</v>
      </c>
      <c r="L42" s="41">
        <v>0</v>
      </c>
      <c r="M42" s="41">
        <v>0</v>
      </c>
      <c r="N42" s="41">
        <v>0</v>
      </c>
      <c r="O42" s="41">
        <v>0</v>
      </c>
      <c r="S42" s="41">
        <v>1880.2200000000003</v>
      </c>
      <c r="T42" s="41">
        <v>0</v>
      </c>
      <c r="U42" s="41">
        <v>0</v>
      </c>
      <c r="V42" s="41">
        <v>0</v>
      </c>
      <c r="W42" s="41">
        <v>0</v>
      </c>
      <c r="X42" s="41">
        <v>0</v>
      </c>
    </row>
    <row r="43" spans="2:24">
      <c r="B43" s="220" t="s">
        <v>672</v>
      </c>
      <c r="D43" t="s">
        <v>107</v>
      </c>
      <c r="F43" s="80">
        <f t="shared" si="13"/>
        <v>942737.43651157792</v>
      </c>
      <c r="G43" s="41">
        <v>21706.638202415852</v>
      </c>
      <c r="H43" s="41">
        <v>0</v>
      </c>
      <c r="I43" s="81">
        <f t="shared" si="10"/>
        <v>0</v>
      </c>
      <c r="J43" s="81">
        <f t="shared" si="11"/>
        <v>0</v>
      </c>
      <c r="K43" s="81">
        <f t="shared" si="12"/>
        <v>621621.67500000005</v>
      </c>
      <c r="L43" s="41">
        <v>0</v>
      </c>
      <c r="M43" s="41">
        <v>298214.41537726775</v>
      </c>
      <c r="N43" s="41">
        <v>1194.7079318942581</v>
      </c>
      <c r="O43" s="41">
        <v>0</v>
      </c>
      <c r="S43" s="41">
        <v>0</v>
      </c>
      <c r="T43" s="41">
        <v>0</v>
      </c>
      <c r="U43" s="41">
        <v>0</v>
      </c>
      <c r="V43" s="41">
        <v>0</v>
      </c>
      <c r="W43" s="41">
        <v>621621.67500000005</v>
      </c>
      <c r="X43" s="41">
        <v>0</v>
      </c>
    </row>
    <row r="44" spans="2:24">
      <c r="B44" t="s">
        <v>673</v>
      </c>
      <c r="D44" t="s">
        <v>107</v>
      </c>
      <c r="F44" s="80">
        <f t="shared" si="13"/>
        <v>1215474.6295365132</v>
      </c>
      <c r="G44" s="41">
        <v>0</v>
      </c>
      <c r="H44" s="41">
        <v>663.5</v>
      </c>
      <c r="I44" s="81">
        <f t="shared" si="10"/>
        <v>0</v>
      </c>
      <c r="J44" s="81">
        <f t="shared" si="11"/>
        <v>4943.1227660686563</v>
      </c>
      <c r="K44" s="81">
        <f t="shared" si="12"/>
        <v>986761.74409053847</v>
      </c>
      <c r="L44" s="41">
        <v>7280</v>
      </c>
      <c r="M44" s="41">
        <v>215826.26267990615</v>
      </c>
      <c r="N44" s="41">
        <v>0</v>
      </c>
      <c r="O44" s="41">
        <v>0</v>
      </c>
      <c r="S44" s="41">
        <v>0</v>
      </c>
      <c r="T44" s="41">
        <v>0</v>
      </c>
      <c r="U44" s="41">
        <v>0</v>
      </c>
      <c r="V44" s="41">
        <v>4943.1227660686563</v>
      </c>
      <c r="W44" s="41">
        <v>986761.74409053847</v>
      </c>
      <c r="X44" s="41">
        <v>0</v>
      </c>
    </row>
    <row r="45" spans="2:24">
      <c r="B45" t="s">
        <v>9</v>
      </c>
      <c r="D45" t="s">
        <v>107</v>
      </c>
      <c r="F45" s="80">
        <f t="shared" si="13"/>
        <v>0</v>
      </c>
      <c r="G45" s="41">
        <v>0</v>
      </c>
      <c r="H45" s="41">
        <v>0</v>
      </c>
      <c r="I45" s="81">
        <f t="shared" si="10"/>
        <v>0</v>
      </c>
      <c r="J45" s="81">
        <f t="shared" si="11"/>
        <v>0</v>
      </c>
      <c r="K45" s="81">
        <f t="shared" si="12"/>
        <v>0</v>
      </c>
      <c r="L45" s="41">
        <v>0</v>
      </c>
      <c r="M45" s="41">
        <v>0</v>
      </c>
      <c r="N45" s="41">
        <v>0</v>
      </c>
      <c r="O45" s="41">
        <v>0</v>
      </c>
      <c r="S45" s="41">
        <v>0</v>
      </c>
      <c r="T45" s="41">
        <v>0</v>
      </c>
      <c r="U45" s="41">
        <v>0</v>
      </c>
      <c r="V45" s="41">
        <v>0</v>
      </c>
      <c r="W45" s="41">
        <v>0</v>
      </c>
      <c r="X45" s="41">
        <v>0</v>
      </c>
    </row>
    <row r="46" spans="2:24">
      <c r="B46" t="s">
        <v>10</v>
      </c>
      <c r="D46" t="s">
        <v>107</v>
      </c>
      <c r="F46" s="80">
        <f t="shared" si="13"/>
        <v>0</v>
      </c>
      <c r="G46" s="41">
        <v>0</v>
      </c>
      <c r="H46" s="41">
        <v>0</v>
      </c>
      <c r="I46" s="81">
        <f t="shared" si="10"/>
        <v>0</v>
      </c>
      <c r="J46" s="81">
        <f>U46+V46</f>
        <v>0</v>
      </c>
      <c r="K46" s="81">
        <f t="shared" si="12"/>
        <v>0</v>
      </c>
      <c r="L46" s="41">
        <v>0</v>
      </c>
      <c r="M46" s="41">
        <v>0</v>
      </c>
      <c r="N46" s="41">
        <v>0</v>
      </c>
      <c r="O46" s="41">
        <v>0</v>
      </c>
      <c r="S46" s="41">
        <v>0</v>
      </c>
      <c r="T46" s="41">
        <v>0</v>
      </c>
      <c r="U46" s="41">
        <v>0</v>
      </c>
      <c r="V46" s="41">
        <v>0</v>
      </c>
      <c r="W46" s="41">
        <v>0</v>
      </c>
      <c r="X46" s="41">
        <v>0</v>
      </c>
    </row>
    <row r="47" spans="2:24">
      <c r="B47" t="s">
        <v>11</v>
      </c>
      <c r="D47" t="s">
        <v>107</v>
      </c>
      <c r="F47" s="80">
        <f t="shared" si="13"/>
        <v>0</v>
      </c>
      <c r="G47" s="41">
        <v>0</v>
      </c>
      <c r="H47" s="41">
        <v>0</v>
      </c>
      <c r="I47" s="81">
        <f t="shared" si="10"/>
        <v>0</v>
      </c>
      <c r="J47" s="81">
        <f t="shared" si="11"/>
        <v>0</v>
      </c>
      <c r="K47" s="81">
        <f t="shared" si="12"/>
        <v>0</v>
      </c>
      <c r="L47" s="41">
        <v>0</v>
      </c>
      <c r="M47" s="41">
        <v>0</v>
      </c>
      <c r="N47" s="41">
        <v>0</v>
      </c>
      <c r="O47" s="41">
        <v>0</v>
      </c>
      <c r="S47" s="41">
        <v>0</v>
      </c>
      <c r="T47" s="41">
        <v>0</v>
      </c>
      <c r="U47" s="41">
        <v>0</v>
      </c>
      <c r="V47" s="41">
        <v>0</v>
      </c>
      <c r="W47" s="41">
        <v>0</v>
      </c>
      <c r="X47" s="41">
        <v>0</v>
      </c>
    </row>
    <row r="48" spans="2:24">
      <c r="B48" t="s">
        <v>12</v>
      </c>
      <c r="D48" t="s">
        <v>107</v>
      </c>
      <c r="F48" s="80">
        <f t="shared" si="13"/>
        <v>0</v>
      </c>
      <c r="G48" s="41">
        <v>0</v>
      </c>
      <c r="H48" s="41">
        <v>0</v>
      </c>
      <c r="I48" s="81">
        <f t="shared" si="10"/>
        <v>0</v>
      </c>
      <c r="J48" s="81">
        <f t="shared" si="11"/>
        <v>0</v>
      </c>
      <c r="K48" s="81">
        <f t="shared" si="12"/>
        <v>0</v>
      </c>
      <c r="L48" s="41">
        <v>0</v>
      </c>
      <c r="M48" s="41">
        <v>0</v>
      </c>
      <c r="N48" s="41">
        <v>0</v>
      </c>
      <c r="O48" s="41">
        <v>0</v>
      </c>
      <c r="S48" s="41">
        <v>0</v>
      </c>
      <c r="T48" s="41">
        <v>0</v>
      </c>
      <c r="U48" s="41">
        <v>0</v>
      </c>
      <c r="V48" s="41">
        <v>0</v>
      </c>
      <c r="W48" s="41">
        <v>0</v>
      </c>
      <c r="X48" s="41">
        <v>0</v>
      </c>
    </row>
    <row r="49" spans="2:24">
      <c r="B49" t="s">
        <v>13</v>
      </c>
      <c r="D49" t="s">
        <v>107</v>
      </c>
      <c r="F49" s="80">
        <f t="shared" si="13"/>
        <v>0</v>
      </c>
      <c r="G49" s="41">
        <v>0</v>
      </c>
      <c r="H49" s="41">
        <v>0</v>
      </c>
      <c r="I49" s="81">
        <f t="shared" si="10"/>
        <v>0</v>
      </c>
      <c r="J49" s="81">
        <f t="shared" si="11"/>
        <v>0</v>
      </c>
      <c r="K49" s="81">
        <f t="shared" si="12"/>
        <v>0</v>
      </c>
      <c r="L49" s="41">
        <v>0</v>
      </c>
      <c r="M49" s="41">
        <v>0</v>
      </c>
      <c r="N49" s="41">
        <v>0</v>
      </c>
      <c r="O49" s="41">
        <v>0</v>
      </c>
      <c r="S49" s="41">
        <v>0</v>
      </c>
      <c r="T49" s="41">
        <v>0</v>
      </c>
      <c r="U49" s="41">
        <v>0</v>
      </c>
      <c r="V49" s="41">
        <v>0</v>
      </c>
      <c r="W49" s="41">
        <v>0</v>
      </c>
      <c r="X49" s="41">
        <v>0</v>
      </c>
    </row>
    <row r="50" spans="2:24">
      <c r="F50" s="67"/>
      <c r="G50" s="38"/>
      <c r="H50" s="38"/>
      <c r="I50" s="38"/>
      <c r="J50" s="38"/>
      <c r="K50" s="38"/>
      <c r="L50" s="38"/>
      <c r="M50" s="38"/>
      <c r="N50" s="38"/>
      <c r="O50" s="38"/>
    </row>
    <row r="51" spans="2:24">
      <c r="B51" t="s">
        <v>104</v>
      </c>
      <c r="D51" t="s">
        <v>107</v>
      </c>
      <c r="F51" s="81">
        <f t="shared" ref="F51:O51" si="14">SUM(F41:F49)</f>
        <v>2160738.849063091</v>
      </c>
      <c r="G51" s="81">
        <f t="shared" si="14"/>
        <v>21706.638202415852</v>
      </c>
      <c r="H51" s="81">
        <f t="shared" si="14"/>
        <v>663.5</v>
      </c>
      <c r="I51" s="81">
        <f t="shared" si="14"/>
        <v>2526.783015</v>
      </c>
      <c r="J51" s="81">
        <f t="shared" si="14"/>
        <v>4943.1227660686563</v>
      </c>
      <c r="K51" s="81">
        <f t="shared" si="14"/>
        <v>1608383.4190905385</v>
      </c>
      <c r="L51" s="81">
        <f t="shared" si="14"/>
        <v>7280</v>
      </c>
      <c r="M51" s="81">
        <f t="shared" si="14"/>
        <v>514040.67805717391</v>
      </c>
      <c r="N51" s="81">
        <f t="shared" si="14"/>
        <v>1194.7079318942581</v>
      </c>
      <c r="O51" s="81">
        <f t="shared" si="14"/>
        <v>0</v>
      </c>
    </row>
    <row r="53" spans="2:24">
      <c r="C53" s="28"/>
    </row>
    <row r="54" spans="2:24">
      <c r="B54" s="3" t="s">
        <v>663</v>
      </c>
      <c r="C54" s="28"/>
    </row>
    <row r="55" spans="2:24">
      <c r="B55" s="51" t="s">
        <v>664</v>
      </c>
      <c r="C55" s="28"/>
      <c r="D55" t="s">
        <v>107</v>
      </c>
      <c r="F55" s="80">
        <f>SUM(G55:O55)</f>
        <v>48000</v>
      </c>
      <c r="G55" s="41"/>
      <c r="H55" s="41"/>
      <c r="I55" s="474">
        <f t="shared" ref="I55" si="15">S55+T55</f>
        <v>0</v>
      </c>
      <c r="J55" s="81">
        <f t="shared" ref="J55" si="16">U55+V55</f>
        <v>0</v>
      </c>
      <c r="K55" s="81">
        <f t="shared" ref="K55" si="17">W55+X55</f>
        <v>0</v>
      </c>
      <c r="L55" s="41"/>
      <c r="M55" s="41">
        <v>48000</v>
      </c>
      <c r="N55" s="41"/>
      <c r="O55" s="41"/>
      <c r="S55" s="473">
        <f>'Aanpassing gegevens (aug. 2016)'!J28</f>
        <v>0</v>
      </c>
      <c r="T55" s="41"/>
      <c r="U55" s="41"/>
      <c r="V55" s="41"/>
      <c r="W55" s="41"/>
      <c r="X55" s="41"/>
    </row>
    <row r="58" spans="2:24">
      <c r="B58" s="3" t="s">
        <v>31</v>
      </c>
    </row>
    <row r="59" spans="2:24">
      <c r="B59" t="s">
        <v>32</v>
      </c>
      <c r="D59" t="s">
        <v>107</v>
      </c>
      <c r="F59" s="80">
        <f>SUM(G59:O59)</f>
        <v>0</v>
      </c>
      <c r="G59" s="41"/>
      <c r="H59" s="41"/>
      <c r="I59" s="81">
        <f t="shared" ref="I59" si="18">S59+T59</f>
        <v>0</v>
      </c>
      <c r="J59" s="81">
        <f t="shared" ref="J59" si="19">U59+V59</f>
        <v>0</v>
      </c>
      <c r="K59" s="81">
        <f t="shared" ref="K59" si="20">W59+X59</f>
        <v>0</v>
      </c>
      <c r="L59" s="41"/>
      <c r="M59" s="41"/>
      <c r="N59" s="41"/>
      <c r="O59" s="41"/>
      <c r="S59" s="41"/>
      <c r="T59" s="41"/>
      <c r="U59" s="41"/>
      <c r="V59" s="41"/>
      <c r="W59" s="41"/>
      <c r="X59" s="41"/>
    </row>
    <row r="61" spans="2:24">
      <c r="B61" s="79"/>
    </row>
    <row r="62" spans="2:24" s="2" customFormat="1">
      <c r="B62" s="2" t="s">
        <v>18</v>
      </c>
      <c r="F62" s="49"/>
    </row>
    <row r="64" spans="2:24">
      <c r="B64" s="3"/>
    </row>
    <row r="65" spans="2:24">
      <c r="B65" s="3" t="s">
        <v>5</v>
      </c>
    </row>
    <row r="66" spans="2:24">
      <c r="B66" s="220" t="s">
        <v>669</v>
      </c>
      <c r="D66" t="s">
        <v>108</v>
      </c>
      <c r="F66" s="80">
        <f t="shared" ref="F66:F73" si="21">SUM(G66:O66)</f>
        <v>7728702.3653407814</v>
      </c>
      <c r="G66" s="41">
        <v>0</v>
      </c>
      <c r="H66" s="41">
        <v>0</v>
      </c>
      <c r="I66" s="81">
        <f t="shared" ref="I66:I73" si="22">S66+T66</f>
        <v>47059.558064601777</v>
      </c>
      <c r="J66" s="81">
        <f t="shared" ref="J66:J73" si="23">U66+V66</f>
        <v>3794955.29738467</v>
      </c>
      <c r="K66" s="81">
        <f t="shared" ref="K66:K73" si="24">W66+X66</f>
        <v>1685840.3231482201</v>
      </c>
      <c r="L66" s="41">
        <v>52463</v>
      </c>
      <c r="M66" s="41">
        <v>1864477.0867432894</v>
      </c>
      <c r="N66" s="41">
        <v>283907.09999999998</v>
      </c>
      <c r="O66" s="41">
        <v>0</v>
      </c>
      <c r="S66" s="41">
        <v>34157.431223745152</v>
      </c>
      <c r="T66" s="41">
        <v>12902.126840856627</v>
      </c>
      <c r="U66" s="41">
        <v>3559000</v>
      </c>
      <c r="V66" s="41">
        <v>235955.29738467021</v>
      </c>
      <c r="W66" s="41">
        <v>1681657.6899999995</v>
      </c>
      <c r="X66" s="41">
        <v>4182.6331482207088</v>
      </c>
    </row>
    <row r="67" spans="2:24">
      <c r="B67" s="220" t="s">
        <v>7</v>
      </c>
      <c r="D67" t="s">
        <v>108</v>
      </c>
      <c r="F67" s="80">
        <f t="shared" si="21"/>
        <v>1058391.4140421825</v>
      </c>
      <c r="G67" s="41">
        <v>84045.97</v>
      </c>
      <c r="H67" s="41">
        <v>0</v>
      </c>
      <c r="I67" s="81">
        <f t="shared" si="22"/>
        <v>253024.72546593472</v>
      </c>
      <c r="J67" s="81">
        <f t="shared" si="23"/>
        <v>128975.39228572641</v>
      </c>
      <c r="K67" s="81">
        <f t="shared" si="24"/>
        <v>76837.996290521362</v>
      </c>
      <c r="L67" s="41">
        <v>53048</v>
      </c>
      <c r="M67" s="41">
        <v>462459.33</v>
      </c>
      <c r="N67" s="41">
        <v>0</v>
      </c>
      <c r="O67" s="41">
        <v>0</v>
      </c>
      <c r="S67" s="41">
        <v>55656.705633886158</v>
      </c>
      <c r="T67" s="41">
        <v>197368.01983204857</v>
      </c>
      <c r="U67" s="41">
        <v>0</v>
      </c>
      <c r="V67" s="41">
        <v>128975.39228572641</v>
      </c>
      <c r="W67" s="41">
        <v>0</v>
      </c>
      <c r="X67" s="41">
        <v>76837.996290521362</v>
      </c>
    </row>
    <row r="68" spans="2:24">
      <c r="B68" t="s">
        <v>670</v>
      </c>
      <c r="D68" t="s">
        <v>108</v>
      </c>
      <c r="F68" s="80">
        <f t="shared" si="21"/>
        <v>0</v>
      </c>
      <c r="G68" s="41">
        <v>0</v>
      </c>
      <c r="H68" s="41">
        <v>0</v>
      </c>
      <c r="I68" s="81">
        <f t="shared" si="22"/>
        <v>0</v>
      </c>
      <c r="J68" s="81">
        <f t="shared" si="23"/>
        <v>0</v>
      </c>
      <c r="K68" s="81">
        <f t="shared" si="24"/>
        <v>0</v>
      </c>
      <c r="L68" s="41">
        <v>0</v>
      </c>
      <c r="M68" s="41">
        <v>0</v>
      </c>
      <c r="N68" s="41">
        <v>0</v>
      </c>
      <c r="O68" s="41">
        <v>0</v>
      </c>
      <c r="S68" s="41">
        <v>0</v>
      </c>
      <c r="T68" s="41">
        <v>0</v>
      </c>
      <c r="U68" s="41">
        <v>0</v>
      </c>
      <c r="V68" s="41">
        <v>0</v>
      </c>
      <c r="W68" s="41">
        <v>0</v>
      </c>
      <c r="X68" s="41">
        <v>0</v>
      </c>
    </row>
    <row r="69" spans="2:24">
      <c r="B69" t="s">
        <v>9</v>
      </c>
      <c r="D69" t="s">
        <v>108</v>
      </c>
      <c r="F69" s="80">
        <f t="shared" si="21"/>
        <v>-210748.59411417693</v>
      </c>
      <c r="G69" s="41">
        <v>0</v>
      </c>
      <c r="H69" s="41">
        <v>0</v>
      </c>
      <c r="I69" s="81">
        <f t="shared" si="22"/>
        <v>0</v>
      </c>
      <c r="J69" s="81">
        <f t="shared" si="23"/>
        <v>0</v>
      </c>
      <c r="K69" s="81">
        <f t="shared" si="24"/>
        <v>-210748.59411417693</v>
      </c>
      <c r="L69" s="41">
        <v>0</v>
      </c>
      <c r="M69" s="41">
        <v>0</v>
      </c>
      <c r="N69" s="41">
        <v>0</v>
      </c>
      <c r="O69" s="41">
        <v>0</v>
      </c>
      <c r="S69" s="41">
        <v>0</v>
      </c>
      <c r="T69" s="41">
        <v>0</v>
      </c>
      <c r="U69" s="41">
        <v>0</v>
      </c>
      <c r="V69" s="41">
        <v>0</v>
      </c>
      <c r="W69" s="41">
        <v>-210748.59411417693</v>
      </c>
      <c r="X69" s="41">
        <v>0</v>
      </c>
    </row>
    <row r="70" spans="2:24">
      <c r="B70" t="s">
        <v>10</v>
      </c>
      <c r="D70" t="s">
        <v>108</v>
      </c>
      <c r="F70" s="80">
        <f t="shared" si="21"/>
        <v>0</v>
      </c>
      <c r="G70" s="41">
        <v>0</v>
      </c>
      <c r="H70" s="41">
        <v>0</v>
      </c>
      <c r="I70" s="81">
        <f t="shared" si="22"/>
        <v>0</v>
      </c>
      <c r="J70" s="81">
        <f t="shared" si="23"/>
        <v>0</v>
      </c>
      <c r="K70" s="81">
        <f t="shared" si="24"/>
        <v>0</v>
      </c>
      <c r="L70" s="41">
        <v>0</v>
      </c>
      <c r="M70" s="41">
        <v>0</v>
      </c>
      <c r="N70" s="41">
        <v>0</v>
      </c>
      <c r="O70" s="41">
        <v>0</v>
      </c>
      <c r="S70" s="41">
        <v>0</v>
      </c>
      <c r="T70" s="41">
        <v>0</v>
      </c>
      <c r="U70" s="41">
        <v>0</v>
      </c>
      <c r="V70" s="41">
        <v>0</v>
      </c>
      <c r="W70" s="41">
        <v>0</v>
      </c>
      <c r="X70" s="41">
        <v>0</v>
      </c>
    </row>
    <row r="71" spans="2:24">
      <c r="B71" t="s">
        <v>11</v>
      </c>
      <c r="D71" t="s">
        <v>108</v>
      </c>
      <c r="F71" s="80">
        <f t="shared" si="21"/>
        <v>0</v>
      </c>
      <c r="G71" s="41">
        <v>0</v>
      </c>
      <c r="H71" s="41">
        <v>0</v>
      </c>
      <c r="I71" s="81">
        <f t="shared" si="22"/>
        <v>0</v>
      </c>
      <c r="J71" s="81">
        <f t="shared" si="23"/>
        <v>0</v>
      </c>
      <c r="K71" s="81">
        <f t="shared" si="24"/>
        <v>0</v>
      </c>
      <c r="L71" s="41">
        <v>0</v>
      </c>
      <c r="M71" s="41">
        <v>0</v>
      </c>
      <c r="N71" s="41">
        <v>0</v>
      </c>
      <c r="O71" s="41">
        <v>0</v>
      </c>
      <c r="S71" s="41">
        <v>0</v>
      </c>
      <c r="T71" s="41">
        <v>0</v>
      </c>
      <c r="U71" s="41">
        <v>0</v>
      </c>
      <c r="V71" s="41">
        <v>0</v>
      </c>
      <c r="W71" s="41">
        <v>0</v>
      </c>
      <c r="X71" s="41">
        <v>0</v>
      </c>
    </row>
    <row r="72" spans="2:24">
      <c r="B72" t="s">
        <v>12</v>
      </c>
      <c r="D72" t="s">
        <v>108</v>
      </c>
      <c r="F72" s="80">
        <f t="shared" si="21"/>
        <v>0</v>
      </c>
      <c r="G72" s="41">
        <v>0</v>
      </c>
      <c r="H72" s="41">
        <v>0</v>
      </c>
      <c r="I72" s="81">
        <f t="shared" si="22"/>
        <v>0</v>
      </c>
      <c r="J72" s="81">
        <f t="shared" si="23"/>
        <v>0</v>
      </c>
      <c r="K72" s="81">
        <f t="shared" si="24"/>
        <v>0</v>
      </c>
      <c r="L72" s="41">
        <v>0</v>
      </c>
      <c r="M72" s="41">
        <v>0</v>
      </c>
      <c r="N72" s="41">
        <v>0</v>
      </c>
      <c r="O72" s="41">
        <v>0</v>
      </c>
      <c r="S72" s="41">
        <v>0</v>
      </c>
      <c r="T72" s="41">
        <v>0</v>
      </c>
      <c r="U72" s="41">
        <v>0</v>
      </c>
      <c r="V72" s="41">
        <v>0</v>
      </c>
      <c r="W72" s="41">
        <v>0</v>
      </c>
      <c r="X72" s="41">
        <v>0</v>
      </c>
    </row>
    <row r="73" spans="2:24">
      <c r="B73" t="s">
        <v>13</v>
      </c>
      <c r="D73" t="s">
        <v>108</v>
      </c>
      <c r="F73" s="80">
        <f t="shared" si="21"/>
        <v>0</v>
      </c>
      <c r="G73" s="41">
        <v>0</v>
      </c>
      <c r="H73" s="41">
        <v>0</v>
      </c>
      <c r="I73" s="81">
        <f t="shared" si="22"/>
        <v>0</v>
      </c>
      <c r="J73" s="81">
        <f t="shared" si="23"/>
        <v>0</v>
      </c>
      <c r="K73" s="81">
        <f t="shared" si="24"/>
        <v>0</v>
      </c>
      <c r="L73" s="41">
        <v>0</v>
      </c>
      <c r="M73" s="41">
        <v>0</v>
      </c>
      <c r="N73" s="41">
        <v>0</v>
      </c>
      <c r="O73" s="41">
        <v>0</v>
      </c>
      <c r="S73" s="41">
        <v>0</v>
      </c>
      <c r="T73" s="41">
        <v>0</v>
      </c>
      <c r="U73" s="41">
        <v>0</v>
      </c>
      <c r="V73" s="41">
        <v>0</v>
      </c>
      <c r="W73" s="41">
        <v>0</v>
      </c>
      <c r="X73" s="41">
        <v>0</v>
      </c>
    </row>
    <row r="74" spans="2:24">
      <c r="F74" s="67"/>
      <c r="G74" s="38"/>
      <c r="H74" s="38"/>
      <c r="I74" s="38"/>
      <c r="J74" s="38"/>
      <c r="K74" s="38"/>
      <c r="L74" s="38"/>
      <c r="M74" s="38"/>
      <c r="N74" s="38"/>
      <c r="O74" s="38"/>
    </row>
    <row r="75" spans="2:24">
      <c r="B75" t="s">
        <v>104</v>
      </c>
      <c r="D75" t="s">
        <v>108</v>
      </c>
      <c r="F75" s="81">
        <f t="shared" ref="F75:O75" si="25">SUM(F66:F73)</f>
        <v>8576345.1852687877</v>
      </c>
      <c r="G75" s="81">
        <f t="shared" si="25"/>
        <v>84045.97</v>
      </c>
      <c r="H75" s="81">
        <f t="shared" si="25"/>
        <v>0</v>
      </c>
      <c r="I75" s="81">
        <f t="shared" si="25"/>
        <v>300084.28353053652</v>
      </c>
      <c r="J75" s="81">
        <f t="shared" si="25"/>
        <v>3923930.6896703965</v>
      </c>
      <c r="K75" s="81">
        <f t="shared" si="25"/>
        <v>1551929.7253245646</v>
      </c>
      <c r="L75" s="81">
        <f t="shared" si="25"/>
        <v>105511</v>
      </c>
      <c r="M75" s="81">
        <f t="shared" si="25"/>
        <v>2326936.4167432892</v>
      </c>
      <c r="N75" s="81">
        <f t="shared" si="25"/>
        <v>283907.09999999998</v>
      </c>
      <c r="O75" s="81">
        <f t="shared" si="25"/>
        <v>0</v>
      </c>
    </row>
    <row r="78" spans="2:24">
      <c r="B78" s="3" t="s">
        <v>14</v>
      </c>
    </row>
    <row r="79" spans="2:24">
      <c r="B79" s="220" t="s">
        <v>669</v>
      </c>
      <c r="D79" t="s">
        <v>108</v>
      </c>
      <c r="F79" s="80">
        <f t="shared" ref="F79:F86" si="26">SUM(G79:O79)</f>
        <v>8223323.5274865488</v>
      </c>
      <c r="G79" s="41">
        <v>0</v>
      </c>
      <c r="H79" s="41">
        <v>0</v>
      </c>
      <c r="I79" s="81">
        <f t="shared" ref="I79:I86" si="27">S79+T79</f>
        <v>47059.558064601777</v>
      </c>
      <c r="J79" s="81">
        <f t="shared" ref="J79:J86" si="28">U79+V79</f>
        <v>3794955.29738467</v>
      </c>
      <c r="K79" s="81">
        <f t="shared" ref="K79:K86" si="29">W79+X79</f>
        <v>1685840.3231482201</v>
      </c>
      <c r="L79" s="41">
        <v>52463</v>
      </c>
      <c r="M79" s="41">
        <v>2389629.9700000002</v>
      </c>
      <c r="N79" s="41">
        <v>253375.37888905697</v>
      </c>
      <c r="O79" s="41">
        <v>0</v>
      </c>
      <c r="S79" s="41">
        <v>34157.431223745152</v>
      </c>
      <c r="T79" s="41">
        <v>12902.126840856627</v>
      </c>
      <c r="U79" s="41">
        <v>3559000</v>
      </c>
      <c r="V79" s="41">
        <v>235955.29738467021</v>
      </c>
      <c r="W79" s="41">
        <v>1681657.6899999995</v>
      </c>
      <c r="X79" s="41">
        <v>4182.6331482207088</v>
      </c>
    </row>
    <row r="80" spans="2:24">
      <c r="B80" s="220" t="s">
        <v>7</v>
      </c>
      <c r="D80" t="s">
        <v>108</v>
      </c>
      <c r="F80" s="80">
        <f t="shared" si="26"/>
        <v>1085246.4440421825</v>
      </c>
      <c r="G80" s="41">
        <v>110901</v>
      </c>
      <c r="H80" s="41">
        <v>0</v>
      </c>
      <c r="I80" s="81">
        <f t="shared" si="27"/>
        <v>253024.72546593472</v>
      </c>
      <c r="J80" s="81">
        <f t="shared" si="28"/>
        <v>128975.39228572641</v>
      </c>
      <c r="K80" s="81">
        <f t="shared" si="29"/>
        <v>76837.996290521362</v>
      </c>
      <c r="L80" s="41">
        <v>53048</v>
      </c>
      <c r="M80" s="41">
        <v>462459.33</v>
      </c>
      <c r="N80" s="41">
        <v>0</v>
      </c>
      <c r="O80" s="41">
        <v>0</v>
      </c>
      <c r="S80" s="41">
        <v>55656.705633886158</v>
      </c>
      <c r="T80" s="41">
        <v>197368.01983204857</v>
      </c>
      <c r="U80" s="41">
        <v>0</v>
      </c>
      <c r="V80" s="41">
        <v>128975.39228572641</v>
      </c>
      <c r="W80" s="41">
        <v>0</v>
      </c>
      <c r="X80" s="41">
        <v>76837.996290521362</v>
      </c>
    </row>
    <row r="81" spans="2:24">
      <c r="B81" t="s">
        <v>670</v>
      </c>
      <c r="D81" t="s">
        <v>108</v>
      </c>
      <c r="F81" s="80">
        <f t="shared" si="26"/>
        <v>0</v>
      </c>
      <c r="G81" s="41">
        <v>0</v>
      </c>
      <c r="H81" s="41">
        <v>0</v>
      </c>
      <c r="I81" s="81">
        <f t="shared" si="27"/>
        <v>0</v>
      </c>
      <c r="J81" s="81">
        <f t="shared" si="28"/>
        <v>0</v>
      </c>
      <c r="K81" s="81">
        <f t="shared" si="29"/>
        <v>0</v>
      </c>
      <c r="L81" s="41">
        <v>0</v>
      </c>
      <c r="M81" s="41">
        <v>0</v>
      </c>
      <c r="N81" s="41">
        <v>0</v>
      </c>
      <c r="O81" s="41">
        <v>0</v>
      </c>
      <c r="S81" s="41">
        <v>0</v>
      </c>
      <c r="T81" s="41">
        <v>0</v>
      </c>
      <c r="U81" s="41">
        <v>0</v>
      </c>
      <c r="V81" s="41">
        <v>0</v>
      </c>
      <c r="W81" s="41">
        <v>0</v>
      </c>
      <c r="X81" s="41">
        <v>0</v>
      </c>
    </row>
    <row r="82" spans="2:24">
      <c r="B82" t="s">
        <v>9</v>
      </c>
      <c r="D82" t="s">
        <v>108</v>
      </c>
      <c r="F82" s="80">
        <f t="shared" si="26"/>
        <v>0</v>
      </c>
      <c r="G82" s="41">
        <v>0</v>
      </c>
      <c r="H82" s="41">
        <v>0</v>
      </c>
      <c r="I82" s="81">
        <f t="shared" si="27"/>
        <v>0</v>
      </c>
      <c r="J82" s="81">
        <f t="shared" si="28"/>
        <v>0</v>
      </c>
      <c r="K82" s="81">
        <f t="shared" si="29"/>
        <v>0</v>
      </c>
      <c r="L82" s="41">
        <v>0</v>
      </c>
      <c r="M82" s="41">
        <v>0</v>
      </c>
      <c r="N82" s="41">
        <v>0</v>
      </c>
      <c r="O82" s="41">
        <v>0</v>
      </c>
      <c r="S82" s="41">
        <v>0</v>
      </c>
      <c r="T82" s="41">
        <v>0</v>
      </c>
      <c r="U82" s="41">
        <v>0</v>
      </c>
      <c r="V82" s="41">
        <v>0</v>
      </c>
      <c r="W82" s="41">
        <v>0</v>
      </c>
      <c r="X82" s="41">
        <v>0</v>
      </c>
    </row>
    <row r="83" spans="2:24">
      <c r="B83" t="s">
        <v>10</v>
      </c>
      <c r="D83" t="s">
        <v>108</v>
      </c>
      <c r="F83" s="80">
        <f t="shared" si="26"/>
        <v>0</v>
      </c>
      <c r="G83" s="41">
        <v>0</v>
      </c>
      <c r="H83" s="41">
        <v>0</v>
      </c>
      <c r="I83" s="81">
        <f t="shared" si="27"/>
        <v>0</v>
      </c>
      <c r="J83" s="81">
        <f t="shared" si="28"/>
        <v>0</v>
      </c>
      <c r="K83" s="81">
        <f t="shared" si="29"/>
        <v>0</v>
      </c>
      <c r="L83" s="41">
        <v>0</v>
      </c>
      <c r="M83" s="41">
        <v>0</v>
      </c>
      <c r="N83" s="41">
        <v>0</v>
      </c>
      <c r="O83" s="41">
        <v>0</v>
      </c>
      <c r="S83" s="41">
        <v>0</v>
      </c>
      <c r="T83" s="41">
        <v>0</v>
      </c>
      <c r="U83" s="41">
        <v>0</v>
      </c>
      <c r="V83" s="41">
        <v>0</v>
      </c>
      <c r="W83" s="41">
        <v>0</v>
      </c>
      <c r="X83" s="41">
        <v>0</v>
      </c>
    </row>
    <row r="84" spans="2:24">
      <c r="B84" t="s">
        <v>11</v>
      </c>
      <c r="D84" t="s">
        <v>108</v>
      </c>
      <c r="F84" s="80">
        <f t="shared" si="26"/>
        <v>0</v>
      </c>
      <c r="G84" s="41">
        <v>0</v>
      </c>
      <c r="H84" s="41">
        <v>0</v>
      </c>
      <c r="I84" s="81">
        <f t="shared" si="27"/>
        <v>0</v>
      </c>
      <c r="J84" s="81">
        <f t="shared" si="28"/>
        <v>0</v>
      </c>
      <c r="K84" s="81">
        <f t="shared" si="29"/>
        <v>0</v>
      </c>
      <c r="L84" s="41">
        <v>0</v>
      </c>
      <c r="M84" s="41">
        <v>0</v>
      </c>
      <c r="N84" s="41">
        <v>0</v>
      </c>
      <c r="O84" s="41">
        <v>0</v>
      </c>
      <c r="S84" s="41">
        <v>0</v>
      </c>
      <c r="T84" s="41">
        <v>0</v>
      </c>
      <c r="U84" s="41">
        <v>0</v>
      </c>
      <c r="V84" s="41">
        <v>0</v>
      </c>
      <c r="W84" s="41">
        <v>0</v>
      </c>
      <c r="X84" s="41">
        <v>0</v>
      </c>
    </row>
    <row r="85" spans="2:24">
      <c r="B85" t="s">
        <v>12</v>
      </c>
      <c r="D85" t="s">
        <v>108</v>
      </c>
      <c r="F85" s="80">
        <f t="shared" si="26"/>
        <v>0</v>
      </c>
      <c r="G85" s="41">
        <v>0</v>
      </c>
      <c r="H85" s="41">
        <v>0</v>
      </c>
      <c r="I85" s="81">
        <f t="shared" si="27"/>
        <v>0</v>
      </c>
      <c r="J85" s="81">
        <f t="shared" si="28"/>
        <v>0</v>
      </c>
      <c r="K85" s="81">
        <f t="shared" si="29"/>
        <v>0</v>
      </c>
      <c r="L85" s="41">
        <v>0</v>
      </c>
      <c r="M85" s="41">
        <v>0</v>
      </c>
      <c r="N85" s="41">
        <v>0</v>
      </c>
      <c r="O85" s="41">
        <v>0</v>
      </c>
      <c r="S85" s="41">
        <v>0</v>
      </c>
      <c r="T85" s="41">
        <v>0</v>
      </c>
      <c r="U85" s="41">
        <v>0</v>
      </c>
      <c r="V85" s="41">
        <v>0</v>
      </c>
      <c r="W85" s="41">
        <v>0</v>
      </c>
      <c r="X85" s="41">
        <v>0</v>
      </c>
    </row>
    <row r="86" spans="2:24">
      <c r="B86" t="s">
        <v>13</v>
      </c>
      <c r="D86" t="s">
        <v>108</v>
      </c>
      <c r="F86" s="80">
        <f t="shared" si="26"/>
        <v>0</v>
      </c>
      <c r="G86" s="41">
        <v>0</v>
      </c>
      <c r="H86" s="41">
        <v>0</v>
      </c>
      <c r="I86" s="81">
        <f t="shared" si="27"/>
        <v>0</v>
      </c>
      <c r="J86" s="81">
        <f t="shared" si="28"/>
        <v>0</v>
      </c>
      <c r="K86" s="81">
        <f t="shared" si="29"/>
        <v>0</v>
      </c>
      <c r="L86" s="41">
        <v>0</v>
      </c>
      <c r="M86" s="41">
        <v>0</v>
      </c>
      <c r="N86" s="41">
        <v>0</v>
      </c>
      <c r="O86" s="41">
        <v>0</v>
      </c>
      <c r="S86" s="41">
        <v>0</v>
      </c>
      <c r="T86" s="41">
        <v>0</v>
      </c>
      <c r="U86" s="41">
        <v>0</v>
      </c>
      <c r="V86" s="41">
        <v>0</v>
      </c>
      <c r="W86" s="41">
        <v>0</v>
      </c>
      <c r="X86" s="41">
        <v>0</v>
      </c>
    </row>
    <row r="87" spans="2:24">
      <c r="F87" s="67"/>
      <c r="G87" s="38"/>
      <c r="H87" s="38"/>
      <c r="I87" s="38"/>
      <c r="J87" s="38"/>
      <c r="K87" s="38"/>
      <c r="L87" s="38"/>
      <c r="M87" s="38"/>
      <c r="N87" s="38"/>
      <c r="O87" s="38"/>
    </row>
    <row r="88" spans="2:24">
      <c r="B88" t="s">
        <v>104</v>
      </c>
      <c r="D88" t="s">
        <v>108</v>
      </c>
      <c r="F88" s="81">
        <f t="shared" ref="F88:O88" si="30">SUM(F79:F86)</f>
        <v>9308569.9715287313</v>
      </c>
      <c r="G88" s="81">
        <f t="shared" si="30"/>
        <v>110901</v>
      </c>
      <c r="H88" s="81">
        <f t="shared" si="30"/>
        <v>0</v>
      </c>
      <c r="I88" s="81">
        <f t="shared" si="30"/>
        <v>300084.28353053652</v>
      </c>
      <c r="J88" s="81">
        <f t="shared" si="30"/>
        <v>3923930.6896703965</v>
      </c>
      <c r="K88" s="81">
        <f t="shared" si="30"/>
        <v>1762678.3194387415</v>
      </c>
      <c r="L88" s="81">
        <f t="shared" si="30"/>
        <v>105511</v>
      </c>
      <c r="M88" s="81">
        <f t="shared" si="30"/>
        <v>2852089.3000000003</v>
      </c>
      <c r="N88" s="81">
        <f t="shared" si="30"/>
        <v>253375.37888905697</v>
      </c>
      <c r="O88" s="81">
        <f t="shared" si="30"/>
        <v>0</v>
      </c>
    </row>
    <row r="92" spans="2:24">
      <c r="B92" s="3" t="s">
        <v>15</v>
      </c>
    </row>
    <row r="93" spans="2:24">
      <c r="B93" s="221" t="s">
        <v>671</v>
      </c>
      <c r="D93" t="s">
        <v>108</v>
      </c>
      <c r="F93" s="80">
        <f>SUM(G93:O93)</f>
        <v>646.56301499999995</v>
      </c>
      <c r="G93" s="41">
        <v>0</v>
      </c>
      <c r="H93" s="41">
        <v>0</v>
      </c>
      <c r="I93" s="81">
        <f t="shared" ref="I93:I101" si="31">S93+T93</f>
        <v>646.56301499999995</v>
      </c>
      <c r="J93" s="81">
        <f t="shared" ref="J93:J101" si="32">U93+V93</f>
        <v>0</v>
      </c>
      <c r="K93" s="81">
        <f t="shared" ref="K93:K101" si="33">W93+X93</f>
        <v>0</v>
      </c>
      <c r="L93" s="41">
        <v>0</v>
      </c>
      <c r="M93" s="41">
        <v>0</v>
      </c>
      <c r="N93" s="41">
        <v>0</v>
      </c>
      <c r="O93" s="41">
        <v>0</v>
      </c>
      <c r="S93" s="41">
        <v>646.56301499999995</v>
      </c>
      <c r="T93" s="41">
        <v>0</v>
      </c>
      <c r="U93" s="41">
        <v>0</v>
      </c>
      <c r="V93" s="41">
        <v>0</v>
      </c>
      <c r="W93" s="41">
        <v>0</v>
      </c>
      <c r="X93" s="41">
        <v>0</v>
      </c>
    </row>
    <row r="94" spans="2:24">
      <c r="B94" s="221" t="s">
        <v>17</v>
      </c>
      <c r="D94" t="s">
        <v>108</v>
      </c>
      <c r="F94" s="80">
        <f t="shared" ref="F94:F101" si="34">SUM(G94:O94)</f>
        <v>2381.3987445657585</v>
      </c>
      <c r="G94" s="41">
        <v>0</v>
      </c>
      <c r="H94" s="41">
        <v>0</v>
      </c>
      <c r="I94" s="81">
        <f t="shared" si="31"/>
        <v>2381.3987445657585</v>
      </c>
      <c r="J94" s="81">
        <f t="shared" si="32"/>
        <v>0</v>
      </c>
      <c r="K94" s="81">
        <f t="shared" si="33"/>
        <v>0</v>
      </c>
      <c r="L94" s="41">
        <v>0</v>
      </c>
      <c r="M94" s="41">
        <v>0</v>
      </c>
      <c r="N94" s="41">
        <v>0</v>
      </c>
      <c r="O94" s="41">
        <v>0</v>
      </c>
      <c r="S94" s="41">
        <v>2381.3987445657585</v>
      </c>
      <c r="T94" s="41">
        <v>0</v>
      </c>
      <c r="U94" s="41">
        <v>0</v>
      </c>
      <c r="V94" s="41">
        <v>0</v>
      </c>
      <c r="W94" s="41">
        <v>0</v>
      </c>
      <c r="X94" s="41">
        <v>0</v>
      </c>
    </row>
    <row r="95" spans="2:24">
      <c r="B95" s="220" t="s">
        <v>672</v>
      </c>
      <c r="D95" t="s">
        <v>108</v>
      </c>
      <c r="F95" s="80">
        <f t="shared" si="34"/>
        <v>1397738.3382345834</v>
      </c>
      <c r="G95" s="41">
        <v>16237.099999999999</v>
      </c>
      <c r="H95" s="41">
        <v>0</v>
      </c>
      <c r="I95" s="81">
        <f t="shared" si="31"/>
        <v>92305.277491727058</v>
      </c>
      <c r="J95" s="81">
        <f t="shared" si="32"/>
        <v>0</v>
      </c>
      <c r="K95" s="81">
        <f t="shared" si="33"/>
        <v>647227.91434718866</v>
      </c>
      <c r="L95" s="41">
        <v>0</v>
      </c>
      <c r="M95" s="41">
        <v>640456.15011007211</v>
      </c>
      <c r="N95" s="41">
        <v>1511.896285595396</v>
      </c>
      <c r="O95" s="41">
        <v>0</v>
      </c>
      <c r="S95" s="41">
        <v>34983.557560650806</v>
      </c>
      <c r="T95" s="41">
        <v>57321.719931076244</v>
      </c>
      <c r="U95" s="41">
        <v>0</v>
      </c>
      <c r="V95" s="41">
        <v>0</v>
      </c>
      <c r="W95" s="41">
        <v>632242.13</v>
      </c>
      <c r="X95" s="41">
        <v>14985.784347188675</v>
      </c>
    </row>
    <row r="96" spans="2:24">
      <c r="B96" t="s">
        <v>673</v>
      </c>
      <c r="D96" t="s">
        <v>108</v>
      </c>
      <c r="F96" s="80">
        <f t="shared" si="34"/>
        <v>1732143.8381399217</v>
      </c>
      <c r="G96" s="41">
        <v>0</v>
      </c>
      <c r="H96" s="41">
        <v>-60.35</v>
      </c>
      <c r="I96" s="81">
        <f t="shared" si="31"/>
        <v>32378.284495672997</v>
      </c>
      <c r="J96" s="81">
        <f t="shared" si="32"/>
        <v>460.47566788273843</v>
      </c>
      <c r="K96" s="81">
        <f t="shared" si="33"/>
        <v>1322238.4590534929</v>
      </c>
      <c r="L96" s="41">
        <v>70287</v>
      </c>
      <c r="M96" s="41">
        <v>306839.96892287309</v>
      </c>
      <c r="N96" s="41">
        <v>0</v>
      </c>
      <c r="O96" s="41">
        <v>0</v>
      </c>
      <c r="S96" s="41">
        <v>16815.1558084147</v>
      </c>
      <c r="T96" s="41">
        <v>15563.128687258295</v>
      </c>
      <c r="U96" s="41">
        <v>0</v>
      </c>
      <c r="V96" s="41">
        <v>460.47566788273843</v>
      </c>
      <c r="W96" s="41">
        <v>1310194.1261804746</v>
      </c>
      <c r="X96" s="41">
        <v>12044.332873018138</v>
      </c>
    </row>
    <row r="97" spans="2:24">
      <c r="B97" t="s">
        <v>9</v>
      </c>
      <c r="D97" t="s">
        <v>108</v>
      </c>
      <c r="F97" s="80">
        <f t="shared" si="34"/>
        <v>2517.7600000000002</v>
      </c>
      <c r="G97" s="41">
        <v>0</v>
      </c>
      <c r="H97" s="41">
        <v>0</v>
      </c>
      <c r="I97" s="81">
        <f t="shared" si="31"/>
        <v>0</v>
      </c>
      <c r="J97" s="81">
        <f t="shared" si="32"/>
        <v>0</v>
      </c>
      <c r="K97" s="81">
        <f t="shared" si="33"/>
        <v>2517.7600000000002</v>
      </c>
      <c r="L97" s="41">
        <v>0</v>
      </c>
      <c r="M97" s="41">
        <v>0</v>
      </c>
      <c r="N97" s="41">
        <v>0</v>
      </c>
      <c r="O97" s="41">
        <v>0</v>
      </c>
      <c r="S97" s="41">
        <v>0</v>
      </c>
      <c r="T97" s="41">
        <v>0</v>
      </c>
      <c r="U97" s="41">
        <v>0</v>
      </c>
      <c r="V97" s="41">
        <v>0</v>
      </c>
      <c r="W97" s="41">
        <v>2517.7600000000002</v>
      </c>
      <c r="X97" s="41">
        <v>0</v>
      </c>
    </row>
    <row r="98" spans="2:24">
      <c r="B98" t="s">
        <v>10</v>
      </c>
      <c r="D98" t="s">
        <v>108</v>
      </c>
      <c r="F98" s="80">
        <f t="shared" si="34"/>
        <v>0</v>
      </c>
      <c r="G98" s="41">
        <v>0</v>
      </c>
      <c r="H98" s="41">
        <v>0</v>
      </c>
      <c r="I98" s="81">
        <f t="shared" si="31"/>
        <v>0</v>
      </c>
      <c r="J98" s="81">
        <f t="shared" si="32"/>
        <v>0</v>
      </c>
      <c r="K98" s="81">
        <f t="shared" si="33"/>
        <v>0</v>
      </c>
      <c r="L98" s="41">
        <v>0</v>
      </c>
      <c r="M98" s="41">
        <v>0</v>
      </c>
      <c r="N98" s="41">
        <v>0</v>
      </c>
      <c r="O98" s="41">
        <v>0</v>
      </c>
      <c r="S98" s="41">
        <v>0</v>
      </c>
      <c r="T98" s="41">
        <v>0</v>
      </c>
      <c r="U98" s="41">
        <v>0</v>
      </c>
      <c r="V98" s="41">
        <v>0</v>
      </c>
      <c r="W98" s="41">
        <v>0</v>
      </c>
      <c r="X98" s="41">
        <v>0</v>
      </c>
    </row>
    <row r="99" spans="2:24">
      <c r="B99" t="s">
        <v>11</v>
      </c>
      <c r="D99" t="s">
        <v>108</v>
      </c>
      <c r="F99" s="80">
        <f t="shared" si="34"/>
        <v>0</v>
      </c>
      <c r="G99" s="41">
        <v>0</v>
      </c>
      <c r="H99" s="41">
        <v>0</v>
      </c>
      <c r="I99" s="81">
        <f t="shared" si="31"/>
        <v>0</v>
      </c>
      <c r="J99" s="81">
        <f t="shared" si="32"/>
        <v>0</v>
      </c>
      <c r="K99" s="81">
        <f t="shared" si="33"/>
        <v>0</v>
      </c>
      <c r="L99" s="41">
        <v>0</v>
      </c>
      <c r="M99" s="41">
        <v>0</v>
      </c>
      <c r="N99" s="41">
        <v>0</v>
      </c>
      <c r="O99" s="41">
        <v>0</v>
      </c>
      <c r="S99" s="41">
        <v>0</v>
      </c>
      <c r="T99" s="41">
        <v>0</v>
      </c>
      <c r="U99" s="41">
        <v>0</v>
      </c>
      <c r="V99" s="41">
        <v>0</v>
      </c>
      <c r="W99" s="41">
        <v>0</v>
      </c>
      <c r="X99" s="41">
        <v>0</v>
      </c>
    </row>
    <row r="100" spans="2:24">
      <c r="B100" t="s">
        <v>12</v>
      </c>
      <c r="D100" t="s">
        <v>108</v>
      </c>
      <c r="F100" s="80">
        <f t="shared" si="34"/>
        <v>0</v>
      </c>
      <c r="G100" s="41">
        <v>0</v>
      </c>
      <c r="H100" s="41">
        <v>0</v>
      </c>
      <c r="I100" s="81">
        <f t="shared" si="31"/>
        <v>0</v>
      </c>
      <c r="J100" s="81">
        <f t="shared" si="32"/>
        <v>0</v>
      </c>
      <c r="K100" s="81">
        <f t="shared" si="33"/>
        <v>0</v>
      </c>
      <c r="L100" s="41">
        <v>0</v>
      </c>
      <c r="M100" s="41">
        <v>0</v>
      </c>
      <c r="N100" s="41">
        <v>0</v>
      </c>
      <c r="O100" s="41">
        <v>0</v>
      </c>
      <c r="S100" s="41">
        <v>0</v>
      </c>
      <c r="T100" s="41">
        <v>0</v>
      </c>
      <c r="U100" s="41">
        <v>0</v>
      </c>
      <c r="V100" s="41">
        <v>0</v>
      </c>
      <c r="W100" s="41">
        <v>0</v>
      </c>
      <c r="X100" s="41">
        <v>0</v>
      </c>
    </row>
    <row r="101" spans="2:24">
      <c r="B101" t="s">
        <v>13</v>
      </c>
      <c r="D101" t="s">
        <v>108</v>
      </c>
      <c r="F101" s="80">
        <f t="shared" si="34"/>
        <v>0</v>
      </c>
      <c r="G101" s="41">
        <v>0</v>
      </c>
      <c r="H101" s="41">
        <v>0</v>
      </c>
      <c r="I101" s="81">
        <f t="shared" si="31"/>
        <v>0</v>
      </c>
      <c r="J101" s="81">
        <f t="shared" si="32"/>
        <v>0</v>
      </c>
      <c r="K101" s="81">
        <f t="shared" si="33"/>
        <v>0</v>
      </c>
      <c r="L101" s="41">
        <v>0</v>
      </c>
      <c r="M101" s="41">
        <v>0</v>
      </c>
      <c r="N101" s="41">
        <v>0</v>
      </c>
      <c r="O101" s="41">
        <v>0</v>
      </c>
      <c r="S101" s="41">
        <v>0</v>
      </c>
      <c r="T101" s="41">
        <v>0</v>
      </c>
      <c r="U101" s="41">
        <v>0</v>
      </c>
      <c r="V101" s="41">
        <v>0</v>
      </c>
      <c r="W101" s="41">
        <v>0</v>
      </c>
      <c r="X101" s="41">
        <v>0</v>
      </c>
    </row>
    <row r="102" spans="2:24">
      <c r="F102" s="67"/>
      <c r="G102" s="38"/>
      <c r="H102" s="38"/>
      <c r="I102" s="38"/>
      <c r="J102" s="38"/>
      <c r="K102" s="38"/>
      <c r="L102" s="38"/>
      <c r="M102" s="38"/>
      <c r="N102" s="38"/>
      <c r="O102" s="38"/>
    </row>
    <row r="103" spans="2:24">
      <c r="B103" t="s">
        <v>104</v>
      </c>
      <c r="D103" t="s">
        <v>108</v>
      </c>
      <c r="F103" s="81">
        <f>SUM(F93:F101)</f>
        <v>3135427.8981340704</v>
      </c>
      <c r="G103" s="81">
        <f t="shared" ref="G103:O103" si="35">SUM(G93:G101)</f>
        <v>16237.099999999999</v>
      </c>
      <c r="H103" s="81">
        <f t="shared" si="35"/>
        <v>-60.35</v>
      </c>
      <c r="I103" s="81">
        <f t="shared" si="35"/>
        <v>127711.52374696582</v>
      </c>
      <c r="J103" s="81">
        <f t="shared" si="35"/>
        <v>460.47566788273843</v>
      </c>
      <c r="K103" s="81">
        <f t="shared" si="35"/>
        <v>1971984.1334006817</v>
      </c>
      <c r="L103" s="81">
        <f t="shared" si="35"/>
        <v>70287</v>
      </c>
      <c r="M103" s="81">
        <f t="shared" si="35"/>
        <v>947296.11903294525</v>
      </c>
      <c r="N103" s="81">
        <f t="shared" si="35"/>
        <v>1511.896285595396</v>
      </c>
      <c r="O103" s="81">
        <f t="shared" si="35"/>
        <v>0</v>
      </c>
    </row>
    <row r="105" spans="2:24">
      <c r="C105" s="28"/>
    </row>
    <row r="106" spans="2:24">
      <c r="B106" s="3" t="s">
        <v>663</v>
      </c>
      <c r="C106" s="28"/>
    </row>
    <row r="107" spans="2:24">
      <c r="B107" s="51" t="s">
        <v>664</v>
      </c>
      <c r="C107" s="28"/>
      <c r="D107" t="s">
        <v>108</v>
      </c>
      <c r="F107" s="80">
        <f>SUM(G107:O107)</f>
        <v>44000</v>
      </c>
      <c r="G107" s="41"/>
      <c r="H107" s="41"/>
      <c r="I107" s="474">
        <f t="shared" ref="I107" si="36">S107+T107</f>
        <v>0</v>
      </c>
      <c r="J107" s="81">
        <f t="shared" ref="J107" si="37">U107+V107</f>
        <v>0</v>
      </c>
      <c r="K107" s="81">
        <f t="shared" ref="K107" si="38">W107+X107</f>
        <v>0</v>
      </c>
      <c r="L107" s="41"/>
      <c r="M107" s="41">
        <v>44000</v>
      </c>
      <c r="N107" s="41"/>
      <c r="O107" s="41"/>
      <c r="S107" s="473">
        <f>'Aanpassing gegevens (aug. 2016)'!J29</f>
        <v>0</v>
      </c>
      <c r="T107" s="41"/>
      <c r="U107" s="41"/>
      <c r="V107" s="41"/>
      <c r="W107" s="41"/>
      <c r="X107" s="41"/>
    </row>
    <row r="110" spans="2:24">
      <c r="B110" s="3" t="s">
        <v>31</v>
      </c>
    </row>
    <row r="111" spans="2:24">
      <c r="B111" t="s">
        <v>32</v>
      </c>
      <c r="D111" t="s">
        <v>108</v>
      </c>
      <c r="F111" s="80">
        <f>SUM(G111:O111)</f>
        <v>0</v>
      </c>
      <c r="G111" s="41"/>
      <c r="H111" s="41"/>
      <c r="I111" s="81">
        <f t="shared" ref="I111" si="39">S111+T111</f>
        <v>0</v>
      </c>
      <c r="J111" s="81">
        <f t="shared" ref="J111" si="40">U111+V111</f>
        <v>0</v>
      </c>
      <c r="K111" s="81">
        <f t="shared" ref="K111" si="41">W111+X111</f>
        <v>0</v>
      </c>
      <c r="L111" s="41"/>
      <c r="M111" s="41"/>
      <c r="N111" s="41"/>
      <c r="O111" s="41"/>
      <c r="S111" s="41"/>
      <c r="T111" s="41"/>
      <c r="U111" s="41"/>
      <c r="V111" s="41"/>
      <c r="W111" s="41"/>
      <c r="X111" s="41"/>
    </row>
    <row r="113" spans="2:22">
      <c r="B113" s="79"/>
    </row>
    <row r="114" spans="2:22" s="2" customFormat="1">
      <c r="B114" s="2" t="s">
        <v>19</v>
      </c>
      <c r="F114" s="49"/>
    </row>
    <row r="116" spans="2:22">
      <c r="B116" s="3"/>
    </row>
    <row r="117" spans="2:22">
      <c r="B117" s="3" t="s">
        <v>5</v>
      </c>
    </row>
    <row r="118" spans="2:22">
      <c r="B118" s="220" t="s">
        <v>669</v>
      </c>
      <c r="D118" t="s">
        <v>109</v>
      </c>
      <c r="F118" s="80">
        <f t="shared" ref="F118:F125" si="42">SUM(G118:O118)</f>
        <v>9043295.5602022354</v>
      </c>
      <c r="G118" s="41">
        <v>0</v>
      </c>
      <c r="H118" s="41">
        <v>0</v>
      </c>
      <c r="I118" s="41">
        <v>9089.0472344952486</v>
      </c>
      <c r="J118" s="81">
        <f t="shared" ref="J118:J125" si="43">U118+V118</f>
        <v>4658411</v>
      </c>
      <c r="K118" s="41">
        <v>2330584.0200000093</v>
      </c>
      <c r="L118" s="41">
        <v>26277</v>
      </c>
      <c r="M118" s="41">
        <v>1711932.181208699</v>
      </c>
      <c r="N118" s="41">
        <v>307002.31175903021</v>
      </c>
      <c r="O118" s="41">
        <v>0</v>
      </c>
      <c r="U118" s="41">
        <v>4460000</v>
      </c>
      <c r="V118" s="41">
        <v>198411</v>
      </c>
    </row>
    <row r="119" spans="2:22">
      <c r="B119" s="220" t="s">
        <v>7</v>
      </c>
      <c r="D119" t="s">
        <v>109</v>
      </c>
      <c r="F119" s="80">
        <f t="shared" si="42"/>
        <v>1136950.2990502594</v>
      </c>
      <c r="G119" s="41">
        <v>38628</v>
      </c>
      <c r="H119" s="41">
        <v>0</v>
      </c>
      <c r="I119" s="41">
        <v>270029.54905025929</v>
      </c>
      <c r="J119" s="81">
        <f t="shared" si="43"/>
        <v>346259</v>
      </c>
      <c r="K119" s="41">
        <v>0</v>
      </c>
      <c r="L119" s="41">
        <v>61971</v>
      </c>
      <c r="M119" s="41">
        <v>420062.75</v>
      </c>
      <c r="N119" s="41">
        <v>0</v>
      </c>
      <c r="O119" s="41">
        <v>0</v>
      </c>
      <c r="U119" s="41">
        <v>200000</v>
      </c>
      <c r="V119" s="41">
        <v>146259</v>
      </c>
    </row>
    <row r="120" spans="2:22">
      <c r="B120" t="s">
        <v>670</v>
      </c>
      <c r="D120" t="s">
        <v>109</v>
      </c>
      <c r="F120" s="80">
        <f t="shared" si="42"/>
        <v>0</v>
      </c>
      <c r="G120" s="41">
        <v>0</v>
      </c>
      <c r="H120" s="41">
        <v>0</v>
      </c>
      <c r="I120" s="41">
        <v>0</v>
      </c>
      <c r="J120" s="81">
        <f t="shared" si="43"/>
        <v>0</v>
      </c>
      <c r="K120" s="41">
        <v>0</v>
      </c>
      <c r="L120" s="41">
        <v>0</v>
      </c>
      <c r="M120" s="41">
        <v>0</v>
      </c>
      <c r="N120" s="41">
        <v>0</v>
      </c>
      <c r="O120" s="41">
        <v>0</v>
      </c>
      <c r="U120" s="41">
        <v>0</v>
      </c>
      <c r="V120" s="41">
        <v>0</v>
      </c>
    </row>
    <row r="121" spans="2:22">
      <c r="B121" t="s">
        <v>9</v>
      </c>
      <c r="D121" t="s">
        <v>109</v>
      </c>
      <c r="F121" s="80">
        <f t="shared" si="42"/>
        <v>-85845.919250936538</v>
      </c>
      <c r="G121" s="41">
        <v>0</v>
      </c>
      <c r="H121" s="41">
        <v>0</v>
      </c>
      <c r="I121" s="41">
        <v>0</v>
      </c>
      <c r="J121" s="81">
        <f t="shared" si="43"/>
        <v>107306</v>
      </c>
      <c r="K121" s="41">
        <v>-193151.91925093654</v>
      </c>
      <c r="L121" s="41">
        <v>0</v>
      </c>
      <c r="M121" s="41">
        <v>0</v>
      </c>
      <c r="N121" s="41">
        <v>0</v>
      </c>
      <c r="O121" s="41">
        <v>0</v>
      </c>
      <c r="U121" s="41">
        <v>0</v>
      </c>
      <c r="V121" s="41">
        <v>107306</v>
      </c>
    </row>
    <row r="122" spans="2:22">
      <c r="B122" t="s">
        <v>10</v>
      </c>
      <c r="D122" t="s">
        <v>109</v>
      </c>
      <c r="F122" s="80">
        <f t="shared" si="42"/>
        <v>6604.89</v>
      </c>
      <c r="G122" s="41">
        <v>0</v>
      </c>
      <c r="H122" s="41">
        <v>0</v>
      </c>
      <c r="I122" s="41">
        <v>0</v>
      </c>
      <c r="J122" s="81">
        <f t="shared" si="43"/>
        <v>0</v>
      </c>
      <c r="K122" s="41">
        <v>6604.89</v>
      </c>
      <c r="L122" s="41">
        <v>0</v>
      </c>
      <c r="M122" s="41">
        <v>0</v>
      </c>
      <c r="N122" s="41">
        <v>0</v>
      </c>
      <c r="O122" s="41">
        <v>0</v>
      </c>
      <c r="U122" s="41">
        <v>0</v>
      </c>
      <c r="V122" s="41">
        <v>0</v>
      </c>
    </row>
    <row r="123" spans="2:22">
      <c r="B123" t="s">
        <v>11</v>
      </c>
      <c r="D123" t="s">
        <v>109</v>
      </c>
      <c r="F123" s="80">
        <f t="shared" si="42"/>
        <v>0</v>
      </c>
      <c r="G123" s="41">
        <v>0</v>
      </c>
      <c r="H123" s="41">
        <v>0</v>
      </c>
      <c r="I123" s="41">
        <v>0</v>
      </c>
      <c r="J123" s="81">
        <f t="shared" si="43"/>
        <v>0</v>
      </c>
      <c r="K123" s="41">
        <v>0</v>
      </c>
      <c r="L123" s="41">
        <v>0</v>
      </c>
      <c r="M123" s="41">
        <v>0</v>
      </c>
      <c r="N123" s="41">
        <v>0</v>
      </c>
      <c r="O123" s="41">
        <v>0</v>
      </c>
      <c r="U123" s="41">
        <v>0</v>
      </c>
      <c r="V123" s="41">
        <v>0</v>
      </c>
    </row>
    <row r="124" spans="2:22">
      <c r="B124" t="s">
        <v>12</v>
      </c>
      <c r="D124" t="s">
        <v>109</v>
      </c>
      <c r="F124" s="80">
        <f t="shared" si="42"/>
        <v>0</v>
      </c>
      <c r="G124" s="41">
        <v>0</v>
      </c>
      <c r="H124" s="41">
        <v>0</v>
      </c>
      <c r="I124" s="41">
        <v>0</v>
      </c>
      <c r="J124" s="81">
        <f t="shared" si="43"/>
        <v>0</v>
      </c>
      <c r="K124" s="41">
        <v>0</v>
      </c>
      <c r="L124" s="41">
        <v>0</v>
      </c>
      <c r="M124" s="41">
        <v>0</v>
      </c>
      <c r="N124" s="41">
        <v>0</v>
      </c>
      <c r="O124" s="41">
        <v>0</v>
      </c>
      <c r="U124" s="41">
        <v>0</v>
      </c>
      <c r="V124" s="41">
        <v>0</v>
      </c>
    </row>
    <row r="125" spans="2:22">
      <c r="B125" t="s">
        <v>13</v>
      </c>
      <c r="D125" t="s">
        <v>109</v>
      </c>
      <c r="F125" s="80">
        <f t="shared" si="42"/>
        <v>0</v>
      </c>
      <c r="G125" s="41">
        <v>0</v>
      </c>
      <c r="H125" s="41">
        <v>0</v>
      </c>
      <c r="I125" s="41">
        <v>0</v>
      </c>
      <c r="J125" s="81">
        <f t="shared" si="43"/>
        <v>0</v>
      </c>
      <c r="K125" s="41">
        <v>0</v>
      </c>
      <c r="L125" s="41">
        <v>0</v>
      </c>
      <c r="M125" s="41">
        <v>0</v>
      </c>
      <c r="N125" s="41">
        <v>0</v>
      </c>
      <c r="O125" s="41">
        <v>0</v>
      </c>
      <c r="U125" s="41">
        <v>0</v>
      </c>
      <c r="V125" s="41">
        <v>0</v>
      </c>
    </row>
    <row r="126" spans="2:22">
      <c r="F126" s="67"/>
      <c r="G126" s="38"/>
      <c r="H126" s="38"/>
      <c r="I126" s="38"/>
      <c r="J126" s="38"/>
      <c r="K126" s="38"/>
      <c r="L126" s="38"/>
      <c r="M126" s="38"/>
      <c r="N126" s="38"/>
      <c r="O126" s="38"/>
    </row>
    <row r="127" spans="2:22">
      <c r="B127" t="s">
        <v>104</v>
      </c>
      <c r="D127" t="s">
        <v>109</v>
      </c>
      <c r="F127" s="81">
        <f t="shared" ref="F127:O127" si="44">SUM(F118:F125)</f>
        <v>10101004.830001557</v>
      </c>
      <c r="G127" s="81">
        <f t="shared" si="44"/>
        <v>38628</v>
      </c>
      <c r="H127" s="81">
        <f t="shared" si="44"/>
        <v>0</v>
      </c>
      <c r="I127" s="81">
        <f t="shared" si="44"/>
        <v>279118.59628475452</v>
      </c>
      <c r="J127" s="81">
        <f t="shared" si="44"/>
        <v>5111976</v>
      </c>
      <c r="K127" s="81">
        <f t="shared" si="44"/>
        <v>2144036.9907490727</v>
      </c>
      <c r="L127" s="81">
        <f t="shared" si="44"/>
        <v>88248</v>
      </c>
      <c r="M127" s="81">
        <f t="shared" si="44"/>
        <v>2131994.931208699</v>
      </c>
      <c r="N127" s="81">
        <f t="shared" si="44"/>
        <v>307002.31175903021</v>
      </c>
      <c r="O127" s="81">
        <f t="shared" si="44"/>
        <v>0</v>
      </c>
    </row>
    <row r="130" spans="2:22">
      <c r="B130" s="3" t="s">
        <v>14</v>
      </c>
    </row>
    <row r="131" spans="2:22">
      <c r="B131" s="220" t="s">
        <v>669</v>
      </c>
      <c r="D131" t="s">
        <v>109</v>
      </c>
      <c r="F131" s="80">
        <f t="shared" ref="F131:F138" si="45">SUM(G131:O131)</f>
        <v>9274827.1202100236</v>
      </c>
      <c r="G131" s="41">
        <v>0</v>
      </c>
      <c r="H131" s="41">
        <v>0</v>
      </c>
      <c r="I131" s="41">
        <v>9089.0472344952486</v>
      </c>
      <c r="J131" s="81">
        <f t="shared" ref="J131:J138" si="46">U131+V131</f>
        <v>4658411</v>
      </c>
      <c r="K131" s="41">
        <v>2330584.0200000093</v>
      </c>
      <c r="L131" s="41">
        <v>26277</v>
      </c>
      <c r="M131" s="41">
        <v>1976479.15</v>
      </c>
      <c r="N131" s="41">
        <v>273986.90297551791</v>
      </c>
      <c r="O131" s="41">
        <v>0</v>
      </c>
      <c r="U131" s="41">
        <v>4460000</v>
      </c>
      <c r="V131" s="41">
        <v>198411</v>
      </c>
    </row>
    <row r="132" spans="2:22">
      <c r="B132" s="220" t="s">
        <v>7</v>
      </c>
      <c r="D132" t="s">
        <v>109</v>
      </c>
      <c r="F132" s="80">
        <f t="shared" si="45"/>
        <v>1205269.2990502594</v>
      </c>
      <c r="G132" s="41">
        <v>106947</v>
      </c>
      <c r="H132" s="41">
        <v>0</v>
      </c>
      <c r="I132" s="41">
        <v>270029.54905025929</v>
      </c>
      <c r="J132" s="81">
        <f t="shared" si="46"/>
        <v>346259</v>
      </c>
      <c r="K132" s="41">
        <v>0</v>
      </c>
      <c r="L132" s="41">
        <v>61971</v>
      </c>
      <c r="M132" s="41">
        <v>420062.75</v>
      </c>
      <c r="N132" s="41">
        <v>0</v>
      </c>
      <c r="O132" s="41">
        <v>0</v>
      </c>
      <c r="U132" s="41">
        <v>200000</v>
      </c>
      <c r="V132" s="41">
        <v>146259</v>
      </c>
    </row>
    <row r="133" spans="2:22">
      <c r="B133" t="s">
        <v>670</v>
      </c>
      <c r="D133" t="s">
        <v>109</v>
      </c>
      <c r="F133" s="80">
        <f t="shared" si="45"/>
        <v>0</v>
      </c>
      <c r="G133" s="41">
        <v>0</v>
      </c>
      <c r="H133" s="41">
        <v>0</v>
      </c>
      <c r="I133" s="41">
        <v>0</v>
      </c>
      <c r="J133" s="81">
        <f t="shared" si="46"/>
        <v>0</v>
      </c>
      <c r="K133" s="41">
        <v>0</v>
      </c>
      <c r="L133" s="41">
        <v>0</v>
      </c>
      <c r="M133" s="41">
        <v>0</v>
      </c>
      <c r="N133" s="41">
        <v>0</v>
      </c>
      <c r="O133" s="41">
        <v>0</v>
      </c>
      <c r="U133" s="41">
        <v>0</v>
      </c>
      <c r="V133" s="41">
        <v>0</v>
      </c>
    </row>
    <row r="134" spans="2:22">
      <c r="B134" t="s">
        <v>9</v>
      </c>
      <c r="D134" t="s">
        <v>109</v>
      </c>
      <c r="F134" s="80">
        <f t="shared" si="45"/>
        <v>107306</v>
      </c>
      <c r="G134" s="41">
        <v>0</v>
      </c>
      <c r="H134" s="41">
        <v>0</v>
      </c>
      <c r="I134" s="41">
        <v>0</v>
      </c>
      <c r="J134" s="81">
        <f t="shared" si="46"/>
        <v>107306</v>
      </c>
      <c r="K134" s="41">
        <v>0</v>
      </c>
      <c r="L134" s="41">
        <v>0</v>
      </c>
      <c r="M134" s="41">
        <v>0</v>
      </c>
      <c r="N134" s="41">
        <v>0</v>
      </c>
      <c r="O134" s="41">
        <v>0</v>
      </c>
      <c r="U134" s="41">
        <v>0</v>
      </c>
      <c r="V134" s="41">
        <v>107306</v>
      </c>
    </row>
    <row r="135" spans="2:22">
      <c r="B135" t="s">
        <v>10</v>
      </c>
      <c r="D135" t="s">
        <v>109</v>
      </c>
      <c r="F135" s="80">
        <f t="shared" si="45"/>
        <v>6604.89</v>
      </c>
      <c r="G135" s="41">
        <v>0</v>
      </c>
      <c r="H135" s="41">
        <v>0</v>
      </c>
      <c r="I135" s="41">
        <v>0</v>
      </c>
      <c r="J135" s="81">
        <f t="shared" si="46"/>
        <v>0</v>
      </c>
      <c r="K135" s="41">
        <v>6604.89</v>
      </c>
      <c r="L135" s="41">
        <v>0</v>
      </c>
      <c r="M135" s="41">
        <v>0</v>
      </c>
      <c r="N135" s="41">
        <v>0</v>
      </c>
      <c r="O135" s="41">
        <v>0</v>
      </c>
      <c r="U135" s="41">
        <v>0</v>
      </c>
      <c r="V135" s="41">
        <v>0</v>
      </c>
    </row>
    <row r="136" spans="2:22">
      <c r="B136" t="s">
        <v>11</v>
      </c>
      <c r="D136" t="s">
        <v>109</v>
      </c>
      <c r="F136" s="80">
        <f t="shared" si="45"/>
        <v>0</v>
      </c>
      <c r="G136" s="41">
        <v>0</v>
      </c>
      <c r="H136" s="41">
        <v>0</v>
      </c>
      <c r="I136" s="41">
        <v>0</v>
      </c>
      <c r="J136" s="81">
        <f t="shared" si="46"/>
        <v>0</v>
      </c>
      <c r="K136" s="41">
        <v>0</v>
      </c>
      <c r="L136" s="41">
        <v>0</v>
      </c>
      <c r="M136" s="41">
        <v>0</v>
      </c>
      <c r="N136" s="41">
        <v>0</v>
      </c>
      <c r="O136" s="41">
        <v>0</v>
      </c>
      <c r="U136" s="41">
        <v>0</v>
      </c>
      <c r="V136" s="41">
        <v>0</v>
      </c>
    </row>
    <row r="137" spans="2:22">
      <c r="B137" t="s">
        <v>12</v>
      </c>
      <c r="D137" t="s">
        <v>109</v>
      </c>
      <c r="F137" s="80">
        <f t="shared" si="45"/>
        <v>0</v>
      </c>
      <c r="G137" s="41">
        <v>0</v>
      </c>
      <c r="H137" s="41">
        <v>0</v>
      </c>
      <c r="I137" s="41">
        <v>0</v>
      </c>
      <c r="J137" s="81">
        <f t="shared" si="46"/>
        <v>0</v>
      </c>
      <c r="K137" s="41">
        <v>0</v>
      </c>
      <c r="L137" s="41">
        <v>0</v>
      </c>
      <c r="M137" s="41">
        <v>0</v>
      </c>
      <c r="N137" s="41">
        <v>0</v>
      </c>
      <c r="O137" s="41">
        <v>0</v>
      </c>
      <c r="U137" s="41">
        <v>0</v>
      </c>
      <c r="V137" s="41">
        <v>0</v>
      </c>
    </row>
    <row r="138" spans="2:22">
      <c r="B138" t="s">
        <v>13</v>
      </c>
      <c r="D138" t="s">
        <v>109</v>
      </c>
      <c r="F138" s="80">
        <f t="shared" si="45"/>
        <v>0</v>
      </c>
      <c r="G138" s="41">
        <v>0</v>
      </c>
      <c r="H138" s="41">
        <v>0</v>
      </c>
      <c r="I138" s="41">
        <v>0</v>
      </c>
      <c r="J138" s="81">
        <f t="shared" si="46"/>
        <v>0</v>
      </c>
      <c r="K138" s="41">
        <v>0</v>
      </c>
      <c r="L138" s="41">
        <v>0</v>
      </c>
      <c r="M138" s="41">
        <v>0</v>
      </c>
      <c r="N138" s="41">
        <v>0</v>
      </c>
      <c r="O138" s="41">
        <v>0</v>
      </c>
      <c r="U138" s="41">
        <v>0</v>
      </c>
      <c r="V138" s="41">
        <v>0</v>
      </c>
    </row>
    <row r="139" spans="2:22">
      <c r="F139" s="67"/>
      <c r="G139" s="38"/>
      <c r="H139" s="38"/>
      <c r="I139" s="38"/>
      <c r="J139" s="38"/>
      <c r="K139" s="38"/>
      <c r="L139" s="38"/>
      <c r="M139" s="38"/>
      <c r="N139" s="38"/>
      <c r="O139" s="38"/>
    </row>
    <row r="140" spans="2:22">
      <c r="B140" t="s">
        <v>104</v>
      </c>
      <c r="D140" t="s">
        <v>109</v>
      </c>
      <c r="F140" s="81">
        <f t="shared" ref="F140:O140" si="47">SUM(F131:F138)</f>
        <v>10594007.309260283</v>
      </c>
      <c r="G140" s="81">
        <f t="shared" si="47"/>
        <v>106947</v>
      </c>
      <c r="H140" s="81">
        <f t="shared" si="47"/>
        <v>0</v>
      </c>
      <c r="I140" s="81">
        <f t="shared" si="47"/>
        <v>279118.59628475452</v>
      </c>
      <c r="J140" s="81">
        <f t="shared" si="47"/>
        <v>5111976</v>
      </c>
      <c r="K140" s="81">
        <f t="shared" si="47"/>
        <v>2337188.9100000095</v>
      </c>
      <c r="L140" s="81">
        <f t="shared" si="47"/>
        <v>88248</v>
      </c>
      <c r="M140" s="81">
        <f t="shared" si="47"/>
        <v>2396541.9</v>
      </c>
      <c r="N140" s="81">
        <f t="shared" si="47"/>
        <v>273986.90297551791</v>
      </c>
      <c r="O140" s="81">
        <f t="shared" si="47"/>
        <v>0</v>
      </c>
    </row>
    <row r="144" spans="2:22">
      <c r="B144" s="3" t="s">
        <v>15</v>
      </c>
    </row>
    <row r="145" spans="2:22">
      <c r="B145" s="221" t="s">
        <v>671</v>
      </c>
      <c r="D145" t="s">
        <v>109</v>
      </c>
      <c r="F145" s="80">
        <f>SUM(G145:O145)</f>
        <v>3921.3186175777937</v>
      </c>
      <c r="G145" s="41">
        <v>0</v>
      </c>
      <c r="H145" s="41">
        <v>0</v>
      </c>
      <c r="I145" s="41">
        <v>3921.3186175777937</v>
      </c>
      <c r="J145" s="81">
        <f t="shared" ref="J145:J153" si="48">U145+V145</f>
        <v>0</v>
      </c>
      <c r="K145" s="41">
        <v>0</v>
      </c>
      <c r="L145" s="41">
        <v>0</v>
      </c>
      <c r="M145" s="41">
        <v>0</v>
      </c>
      <c r="N145" s="41">
        <v>0</v>
      </c>
      <c r="O145" s="41">
        <v>0</v>
      </c>
      <c r="U145" s="41">
        <v>0</v>
      </c>
      <c r="V145" s="41">
        <v>0</v>
      </c>
    </row>
    <row r="146" spans="2:22">
      <c r="B146" s="221" t="s">
        <v>17</v>
      </c>
      <c r="D146" t="s">
        <v>109</v>
      </c>
      <c r="F146" s="80">
        <f t="shared" ref="F146:F153" si="49">SUM(G146:O146)</f>
        <v>3285.4400000000005</v>
      </c>
      <c r="G146" s="41">
        <v>0</v>
      </c>
      <c r="H146" s="41">
        <v>0</v>
      </c>
      <c r="I146" s="41">
        <v>3285.4400000000005</v>
      </c>
      <c r="J146" s="81">
        <f t="shared" si="48"/>
        <v>0</v>
      </c>
      <c r="K146" s="41">
        <v>0</v>
      </c>
      <c r="L146" s="41">
        <v>0</v>
      </c>
      <c r="M146" s="41">
        <v>0</v>
      </c>
      <c r="N146" s="41">
        <v>0</v>
      </c>
      <c r="O146" s="41">
        <v>0</v>
      </c>
      <c r="U146" s="41">
        <v>0</v>
      </c>
      <c r="V146" s="41">
        <v>0</v>
      </c>
    </row>
    <row r="147" spans="2:22">
      <c r="B147" s="220" t="s">
        <v>672</v>
      </c>
      <c r="D147" t="s">
        <v>109</v>
      </c>
      <c r="F147" s="80">
        <f t="shared" si="49"/>
        <v>1271695.9637920354</v>
      </c>
      <c r="G147" s="41">
        <v>42626</v>
      </c>
      <c r="H147" s="41">
        <v>0</v>
      </c>
      <c r="I147" s="41">
        <v>45985.465939005539</v>
      </c>
      <c r="J147" s="81">
        <f t="shared" si="48"/>
        <v>0</v>
      </c>
      <c r="K147" s="41">
        <v>824827.45000000007</v>
      </c>
      <c r="L147" s="41">
        <v>778</v>
      </c>
      <c r="M147" s="41">
        <v>356401.91736550734</v>
      </c>
      <c r="N147" s="41">
        <v>1077.1304875226194</v>
      </c>
      <c r="O147" s="41">
        <v>0</v>
      </c>
      <c r="U147" s="41">
        <v>0</v>
      </c>
      <c r="V147" s="41">
        <v>0</v>
      </c>
    </row>
    <row r="148" spans="2:22">
      <c r="B148" t="s">
        <v>673</v>
      </c>
      <c r="D148" t="s">
        <v>109</v>
      </c>
      <c r="F148" s="80">
        <f t="shared" si="49"/>
        <v>1845112.7298969778</v>
      </c>
      <c r="G148" s="41">
        <v>0</v>
      </c>
      <c r="H148" s="41">
        <v>2563.2685000000001</v>
      </c>
      <c r="I148" s="41">
        <v>70791.628199012499</v>
      </c>
      <c r="J148" s="81">
        <f t="shared" si="48"/>
        <v>0</v>
      </c>
      <c r="K148" s="41">
        <v>1369309</v>
      </c>
      <c r="L148" s="41">
        <v>42389</v>
      </c>
      <c r="M148" s="41">
        <v>360059.83319796523</v>
      </c>
      <c r="N148" s="41">
        <v>0</v>
      </c>
      <c r="O148" s="41">
        <v>0</v>
      </c>
      <c r="U148" s="41">
        <v>0</v>
      </c>
      <c r="V148" s="41">
        <v>0</v>
      </c>
    </row>
    <row r="149" spans="2:22">
      <c r="B149" t="s">
        <v>9</v>
      </c>
      <c r="D149" t="s">
        <v>109</v>
      </c>
      <c r="F149" s="80">
        <f t="shared" si="49"/>
        <v>0</v>
      </c>
      <c r="G149" s="41">
        <v>0</v>
      </c>
      <c r="H149" s="41">
        <v>0</v>
      </c>
      <c r="I149" s="41">
        <v>0</v>
      </c>
      <c r="J149" s="81">
        <f t="shared" si="48"/>
        <v>0</v>
      </c>
      <c r="K149" s="41">
        <v>0</v>
      </c>
      <c r="L149" s="41">
        <v>0</v>
      </c>
      <c r="M149" s="41">
        <v>0</v>
      </c>
      <c r="N149" s="41">
        <v>0</v>
      </c>
      <c r="O149" s="41">
        <v>0</v>
      </c>
      <c r="U149" s="41">
        <v>0</v>
      </c>
      <c r="V149" s="41">
        <v>0</v>
      </c>
    </row>
    <row r="150" spans="2:22">
      <c r="B150" t="s">
        <v>10</v>
      </c>
      <c r="D150" t="s">
        <v>109</v>
      </c>
      <c r="F150" s="80">
        <f t="shared" si="49"/>
        <v>0</v>
      </c>
      <c r="G150" s="41">
        <v>0</v>
      </c>
      <c r="H150" s="41">
        <v>0</v>
      </c>
      <c r="I150" s="41">
        <v>0</v>
      </c>
      <c r="J150" s="81">
        <f t="shared" si="48"/>
        <v>0</v>
      </c>
      <c r="K150" s="41">
        <v>0</v>
      </c>
      <c r="L150" s="41">
        <v>0</v>
      </c>
      <c r="M150" s="41">
        <v>0</v>
      </c>
      <c r="N150" s="41">
        <v>0</v>
      </c>
      <c r="O150" s="41">
        <v>0</v>
      </c>
      <c r="U150" s="41">
        <v>0</v>
      </c>
      <c r="V150" s="41">
        <v>0</v>
      </c>
    </row>
    <row r="151" spans="2:22">
      <c r="B151" t="s">
        <v>11</v>
      </c>
      <c r="D151" t="s">
        <v>109</v>
      </c>
      <c r="F151" s="80">
        <f t="shared" si="49"/>
        <v>0</v>
      </c>
      <c r="G151" s="41">
        <v>0</v>
      </c>
      <c r="H151" s="41">
        <v>0</v>
      </c>
      <c r="I151" s="41">
        <v>0</v>
      </c>
      <c r="J151" s="81">
        <f t="shared" si="48"/>
        <v>0</v>
      </c>
      <c r="K151" s="41">
        <v>0</v>
      </c>
      <c r="L151" s="41">
        <v>0</v>
      </c>
      <c r="M151" s="41">
        <v>0</v>
      </c>
      <c r="N151" s="41">
        <v>0</v>
      </c>
      <c r="O151" s="41">
        <v>0</v>
      </c>
      <c r="U151" s="41">
        <v>0</v>
      </c>
      <c r="V151" s="41">
        <v>0</v>
      </c>
    </row>
    <row r="152" spans="2:22">
      <c r="B152" t="s">
        <v>12</v>
      </c>
      <c r="D152" t="s">
        <v>109</v>
      </c>
      <c r="F152" s="80">
        <f t="shared" si="49"/>
        <v>0</v>
      </c>
      <c r="G152" s="41">
        <v>0</v>
      </c>
      <c r="H152" s="41">
        <v>0</v>
      </c>
      <c r="I152" s="41">
        <v>0</v>
      </c>
      <c r="J152" s="81">
        <f t="shared" si="48"/>
        <v>0</v>
      </c>
      <c r="K152" s="41">
        <v>0</v>
      </c>
      <c r="L152" s="41">
        <v>0</v>
      </c>
      <c r="M152" s="41">
        <v>0</v>
      </c>
      <c r="N152" s="41">
        <v>0</v>
      </c>
      <c r="O152" s="41">
        <v>0</v>
      </c>
      <c r="U152" s="41">
        <v>0</v>
      </c>
      <c r="V152" s="41">
        <v>0</v>
      </c>
    </row>
    <row r="153" spans="2:22">
      <c r="B153" t="s">
        <v>13</v>
      </c>
      <c r="D153" t="s">
        <v>109</v>
      </c>
      <c r="F153" s="80">
        <f t="shared" si="49"/>
        <v>0</v>
      </c>
      <c r="G153" s="41">
        <v>0</v>
      </c>
      <c r="H153" s="41">
        <v>0</v>
      </c>
      <c r="I153" s="41">
        <v>0</v>
      </c>
      <c r="J153" s="81">
        <f t="shared" si="48"/>
        <v>0</v>
      </c>
      <c r="K153" s="41">
        <v>0</v>
      </c>
      <c r="L153" s="41">
        <v>0</v>
      </c>
      <c r="M153" s="41">
        <v>0</v>
      </c>
      <c r="N153" s="41">
        <v>0</v>
      </c>
      <c r="O153" s="41">
        <v>0</v>
      </c>
      <c r="U153" s="41">
        <v>0</v>
      </c>
      <c r="V153" s="41">
        <v>0</v>
      </c>
    </row>
    <row r="154" spans="2:22">
      <c r="F154" s="67"/>
      <c r="G154" s="38"/>
      <c r="H154" s="38"/>
      <c r="I154" s="38"/>
      <c r="J154" s="38"/>
      <c r="K154" s="38"/>
      <c r="L154" s="38"/>
      <c r="M154" s="38"/>
      <c r="N154" s="38"/>
      <c r="O154" s="38"/>
    </row>
    <row r="155" spans="2:22">
      <c r="B155" t="s">
        <v>104</v>
      </c>
      <c r="D155" t="s">
        <v>109</v>
      </c>
      <c r="F155" s="81">
        <f t="shared" ref="F155:O155" si="50">SUM(F145:F153)</f>
        <v>3124015.452306591</v>
      </c>
      <c r="G155" s="81">
        <f t="shared" si="50"/>
        <v>42626</v>
      </c>
      <c r="H155" s="81">
        <f t="shared" si="50"/>
        <v>2563.2685000000001</v>
      </c>
      <c r="I155" s="81">
        <f t="shared" si="50"/>
        <v>123983.85275559583</v>
      </c>
      <c r="J155" s="81">
        <f t="shared" si="50"/>
        <v>0</v>
      </c>
      <c r="K155" s="81">
        <f t="shared" si="50"/>
        <v>2194136.4500000002</v>
      </c>
      <c r="L155" s="81">
        <f t="shared" si="50"/>
        <v>43167</v>
      </c>
      <c r="M155" s="81">
        <f t="shared" si="50"/>
        <v>716461.75056347251</v>
      </c>
      <c r="N155" s="81">
        <f t="shared" si="50"/>
        <v>1077.1304875226194</v>
      </c>
      <c r="O155" s="81">
        <f t="shared" si="50"/>
        <v>0</v>
      </c>
    </row>
    <row r="157" spans="2:22">
      <c r="C157" s="28"/>
    </row>
    <row r="158" spans="2:22">
      <c r="B158" s="3" t="s">
        <v>663</v>
      </c>
      <c r="C158" s="28"/>
    </row>
    <row r="159" spans="2:22">
      <c r="B159" s="51" t="s">
        <v>664</v>
      </c>
      <c r="C159" s="28"/>
      <c r="D159" t="s">
        <v>109</v>
      </c>
      <c r="F159" s="80">
        <f>SUM(G159:O159)</f>
        <v>42000</v>
      </c>
      <c r="G159" s="41"/>
      <c r="H159" s="41"/>
      <c r="I159" s="41"/>
      <c r="J159" s="81">
        <f t="shared" ref="J159" si="51">U159+V159</f>
        <v>0</v>
      </c>
      <c r="K159" s="41"/>
      <c r="L159" s="41"/>
      <c r="M159" s="41">
        <v>42000</v>
      </c>
      <c r="N159" s="41"/>
      <c r="O159" s="41"/>
      <c r="U159" s="41"/>
      <c r="V159" s="41"/>
    </row>
    <row r="162" spans="2:22">
      <c r="B162" s="3" t="s">
        <v>31</v>
      </c>
    </row>
    <row r="163" spans="2:22">
      <c r="B163" t="s">
        <v>32</v>
      </c>
      <c r="D163" t="s">
        <v>109</v>
      </c>
      <c r="F163" s="80">
        <f>SUM(G163:O163)</f>
        <v>0</v>
      </c>
      <c r="G163" s="41"/>
      <c r="H163" s="41"/>
      <c r="I163" s="41"/>
      <c r="J163" s="81">
        <f t="shared" ref="J163" si="52">U163+V163</f>
        <v>0</v>
      </c>
      <c r="K163" s="41"/>
      <c r="L163" s="41"/>
      <c r="M163" s="41"/>
      <c r="N163" s="41"/>
      <c r="O163" s="41"/>
      <c r="U163" s="41"/>
      <c r="V163" s="41"/>
    </row>
    <row r="165" spans="2:22">
      <c r="B165" s="79"/>
    </row>
    <row r="166" spans="2:22" s="2" customFormat="1">
      <c r="B166" s="2" t="s">
        <v>20</v>
      </c>
      <c r="F166" s="49"/>
    </row>
    <row r="168" spans="2:22">
      <c r="B168" s="3"/>
    </row>
    <row r="169" spans="2:22">
      <c r="B169" s="3" t="s">
        <v>5</v>
      </c>
    </row>
    <row r="170" spans="2:22">
      <c r="B170" s="220" t="s">
        <v>669</v>
      </c>
      <c r="D170" t="s">
        <v>110</v>
      </c>
      <c r="F170" s="80">
        <f>SUM(G170:O170)</f>
        <v>5235921.7300000004</v>
      </c>
      <c r="G170" s="41">
        <v>0</v>
      </c>
      <c r="H170" s="41">
        <v>0</v>
      </c>
      <c r="I170" s="41">
        <v>2219.14</v>
      </c>
      <c r="J170" s="41">
        <v>1898000</v>
      </c>
      <c r="K170" s="41">
        <v>1728674.7700000003</v>
      </c>
      <c r="L170" s="41">
        <v>31291</v>
      </c>
      <c r="M170" s="41">
        <v>1378552.1900000002</v>
      </c>
      <c r="N170" s="41">
        <v>197184.63</v>
      </c>
      <c r="O170" s="41">
        <v>0</v>
      </c>
    </row>
    <row r="171" spans="2:22">
      <c r="B171" s="220" t="s">
        <v>7</v>
      </c>
      <c r="D171" t="s">
        <v>110</v>
      </c>
      <c r="F171" s="80">
        <f t="shared" ref="F171:F177" si="53">SUM(G171:O171)</f>
        <v>1277228.9815487559</v>
      </c>
      <c r="G171" s="41">
        <v>51694.211548756022</v>
      </c>
      <c r="H171" s="41">
        <v>0</v>
      </c>
      <c r="I171" s="41">
        <v>236602.87</v>
      </c>
      <c r="J171" s="41">
        <v>433315</v>
      </c>
      <c r="K171" s="41">
        <v>0</v>
      </c>
      <c r="L171" s="41">
        <v>65789.100000000006</v>
      </c>
      <c r="M171" s="41">
        <v>489827.80000000005</v>
      </c>
      <c r="N171" s="41">
        <v>0</v>
      </c>
      <c r="O171" s="41">
        <v>0</v>
      </c>
    </row>
    <row r="172" spans="2:22">
      <c r="B172" t="s">
        <v>670</v>
      </c>
      <c r="D172" t="s">
        <v>110</v>
      </c>
      <c r="F172" s="80">
        <f t="shared" si="53"/>
        <v>0</v>
      </c>
      <c r="G172" s="41">
        <v>0</v>
      </c>
      <c r="H172" s="41">
        <v>0</v>
      </c>
      <c r="I172" s="41">
        <v>0</v>
      </c>
      <c r="J172" s="41">
        <v>0</v>
      </c>
      <c r="K172" s="41">
        <v>0</v>
      </c>
      <c r="L172" s="41">
        <v>0</v>
      </c>
      <c r="M172" s="41">
        <v>0</v>
      </c>
      <c r="N172" s="41">
        <v>0</v>
      </c>
      <c r="O172" s="41">
        <v>0</v>
      </c>
    </row>
    <row r="173" spans="2:22">
      <c r="B173" t="s">
        <v>9</v>
      </c>
      <c r="D173" t="s">
        <v>110</v>
      </c>
      <c r="F173" s="80">
        <f t="shared" si="53"/>
        <v>5833.7499999999991</v>
      </c>
      <c r="G173" s="41">
        <v>0</v>
      </c>
      <c r="H173" s="41">
        <v>0</v>
      </c>
      <c r="I173" s="41">
        <v>0</v>
      </c>
      <c r="J173" s="41">
        <v>0</v>
      </c>
      <c r="K173" s="41">
        <v>5833.7499999999991</v>
      </c>
      <c r="L173" s="41">
        <v>0</v>
      </c>
      <c r="M173" s="41">
        <v>0</v>
      </c>
      <c r="N173" s="41">
        <v>0</v>
      </c>
      <c r="O173" s="41">
        <v>0</v>
      </c>
    </row>
    <row r="174" spans="2:22">
      <c r="B174" t="s">
        <v>10</v>
      </c>
      <c r="D174" t="s">
        <v>110</v>
      </c>
      <c r="F174" s="80">
        <f t="shared" si="53"/>
        <v>-294403.04876806412</v>
      </c>
      <c r="G174" s="41">
        <v>0</v>
      </c>
      <c r="H174" s="41">
        <v>0</v>
      </c>
      <c r="I174" s="41">
        <v>0</v>
      </c>
      <c r="J174" s="41">
        <v>0</v>
      </c>
      <c r="K174" s="41">
        <v>-294403.04876806412</v>
      </c>
      <c r="L174" s="41">
        <v>0</v>
      </c>
      <c r="M174" s="41">
        <v>0</v>
      </c>
      <c r="N174" s="41">
        <v>0</v>
      </c>
      <c r="O174" s="41">
        <v>0</v>
      </c>
    </row>
    <row r="175" spans="2:22">
      <c r="B175" t="s">
        <v>11</v>
      </c>
      <c r="D175" t="s">
        <v>110</v>
      </c>
      <c r="F175" s="80">
        <f t="shared" si="53"/>
        <v>186983.69610883505</v>
      </c>
      <c r="G175" s="41">
        <v>0</v>
      </c>
      <c r="H175" s="41">
        <v>0</v>
      </c>
      <c r="I175" s="41">
        <v>0</v>
      </c>
      <c r="J175" s="41">
        <v>0</v>
      </c>
      <c r="K175" s="41">
        <v>186983.69610883505</v>
      </c>
      <c r="L175" s="41">
        <v>0</v>
      </c>
      <c r="M175" s="41">
        <v>0</v>
      </c>
      <c r="N175" s="41">
        <v>0</v>
      </c>
      <c r="O175" s="41">
        <v>0</v>
      </c>
    </row>
    <row r="176" spans="2:22">
      <c r="B176" t="s">
        <v>12</v>
      </c>
      <c r="D176" t="s">
        <v>110</v>
      </c>
      <c r="F176" s="80">
        <f t="shared" si="53"/>
        <v>0</v>
      </c>
      <c r="G176" s="41">
        <v>0</v>
      </c>
      <c r="H176" s="41">
        <v>0</v>
      </c>
      <c r="I176" s="41">
        <v>0</v>
      </c>
      <c r="J176" s="41">
        <v>0</v>
      </c>
      <c r="K176" s="41">
        <v>0</v>
      </c>
      <c r="L176" s="41">
        <v>0</v>
      </c>
      <c r="M176" s="41">
        <v>0</v>
      </c>
      <c r="N176" s="41">
        <v>0</v>
      </c>
      <c r="O176" s="41">
        <v>0</v>
      </c>
    </row>
    <row r="177" spans="2:15">
      <c r="B177" t="s">
        <v>13</v>
      </c>
      <c r="D177" t="s">
        <v>110</v>
      </c>
      <c r="F177" s="80">
        <f t="shared" si="53"/>
        <v>0</v>
      </c>
      <c r="G177" s="41">
        <v>0</v>
      </c>
      <c r="H177" s="41">
        <v>0</v>
      </c>
      <c r="I177" s="41">
        <v>0</v>
      </c>
      <c r="J177" s="41">
        <v>0</v>
      </c>
      <c r="K177" s="41">
        <v>0</v>
      </c>
      <c r="L177" s="41">
        <v>0</v>
      </c>
      <c r="M177" s="41">
        <v>0</v>
      </c>
      <c r="N177" s="41">
        <v>0</v>
      </c>
      <c r="O177" s="41">
        <v>0</v>
      </c>
    </row>
    <row r="178" spans="2:15">
      <c r="F178" s="67"/>
      <c r="G178" s="38"/>
      <c r="H178" s="38"/>
      <c r="I178" s="38"/>
      <c r="J178" s="38"/>
      <c r="K178" s="38"/>
      <c r="L178" s="38"/>
      <c r="M178" s="38"/>
      <c r="N178" s="38"/>
      <c r="O178" s="38"/>
    </row>
    <row r="179" spans="2:15">
      <c r="B179" t="s">
        <v>104</v>
      </c>
      <c r="D179" t="s">
        <v>110</v>
      </c>
      <c r="F179" s="81">
        <f t="shared" ref="F179:O179" si="54">SUM(F170:F177)</f>
        <v>6411565.1088895276</v>
      </c>
      <c r="G179" s="81">
        <f t="shared" si="54"/>
        <v>51694.211548756022</v>
      </c>
      <c r="H179" s="81">
        <f t="shared" si="54"/>
        <v>0</v>
      </c>
      <c r="I179" s="81">
        <f t="shared" si="54"/>
        <v>238822.01</v>
      </c>
      <c r="J179" s="81">
        <f t="shared" si="54"/>
        <v>2331315</v>
      </c>
      <c r="K179" s="81">
        <f t="shared" si="54"/>
        <v>1627089.1673407711</v>
      </c>
      <c r="L179" s="81">
        <f t="shared" si="54"/>
        <v>97080.1</v>
      </c>
      <c r="M179" s="81">
        <f t="shared" si="54"/>
        <v>1868379.9900000002</v>
      </c>
      <c r="N179" s="81">
        <f t="shared" si="54"/>
        <v>197184.63</v>
      </c>
      <c r="O179" s="81">
        <f t="shared" si="54"/>
        <v>0</v>
      </c>
    </row>
    <row r="182" spans="2:15">
      <c r="B182" s="3" t="s">
        <v>14</v>
      </c>
    </row>
    <row r="183" spans="2:15">
      <c r="B183" s="220" t="s">
        <v>669</v>
      </c>
      <c r="D183" t="s">
        <v>110</v>
      </c>
      <c r="F183" s="80">
        <f>SUM(G183:O183)</f>
        <v>5428832.8596218638</v>
      </c>
      <c r="G183" s="8">
        <v>0</v>
      </c>
      <c r="H183" s="41">
        <v>0</v>
      </c>
      <c r="I183" s="41">
        <v>2219.14</v>
      </c>
      <c r="J183" s="41">
        <v>1898000</v>
      </c>
      <c r="K183" s="41">
        <v>1728674.7700000003</v>
      </c>
      <c r="L183" s="41">
        <v>31291</v>
      </c>
      <c r="M183" s="41">
        <v>1571094.9099999997</v>
      </c>
      <c r="N183" s="41">
        <v>197553.03962186305</v>
      </c>
      <c r="O183" s="41">
        <v>0</v>
      </c>
    </row>
    <row r="184" spans="2:15">
      <c r="B184" s="220" t="s">
        <v>7</v>
      </c>
      <c r="D184" t="s">
        <v>110</v>
      </c>
      <c r="F184" s="80">
        <f t="shared" ref="F184:F190" si="55">SUM(G184:O184)</f>
        <v>1350901.7000000002</v>
      </c>
      <c r="G184" s="41">
        <v>125366.93000000004</v>
      </c>
      <c r="H184" s="41">
        <v>0</v>
      </c>
      <c r="I184" s="41">
        <v>236602.87</v>
      </c>
      <c r="J184" s="41">
        <v>433315</v>
      </c>
      <c r="K184" s="41">
        <v>0</v>
      </c>
      <c r="L184" s="41">
        <v>65789.100000000006</v>
      </c>
      <c r="M184" s="41">
        <v>489827.80000000005</v>
      </c>
      <c r="N184" s="41">
        <v>0</v>
      </c>
      <c r="O184" s="41">
        <v>0</v>
      </c>
    </row>
    <row r="185" spans="2:15">
      <c r="B185" t="s">
        <v>670</v>
      </c>
      <c r="D185" t="s">
        <v>110</v>
      </c>
      <c r="F185" s="80">
        <f t="shared" si="55"/>
        <v>0</v>
      </c>
      <c r="G185" s="41">
        <v>0</v>
      </c>
      <c r="H185" s="41">
        <v>0</v>
      </c>
      <c r="I185" s="41">
        <v>0</v>
      </c>
      <c r="J185" s="41">
        <v>0</v>
      </c>
      <c r="K185" s="41">
        <v>0</v>
      </c>
      <c r="L185" s="41">
        <v>0</v>
      </c>
      <c r="M185" s="41">
        <v>0</v>
      </c>
      <c r="N185" s="41">
        <v>0</v>
      </c>
      <c r="O185" s="41">
        <v>0</v>
      </c>
    </row>
    <row r="186" spans="2:15">
      <c r="B186" t="s">
        <v>9</v>
      </c>
      <c r="D186" t="s">
        <v>110</v>
      </c>
      <c r="F186" s="80">
        <f t="shared" si="55"/>
        <v>5833.7499999999991</v>
      </c>
      <c r="G186" s="41">
        <v>0</v>
      </c>
      <c r="H186" s="41">
        <v>0</v>
      </c>
      <c r="I186" s="41">
        <v>0</v>
      </c>
      <c r="J186" s="41">
        <v>0</v>
      </c>
      <c r="K186" s="41">
        <v>5833.7499999999991</v>
      </c>
      <c r="L186" s="41">
        <v>0</v>
      </c>
      <c r="M186" s="41">
        <v>0</v>
      </c>
      <c r="N186" s="41">
        <v>0</v>
      </c>
      <c r="O186" s="41">
        <v>0</v>
      </c>
    </row>
    <row r="187" spans="2:15">
      <c r="B187" t="s">
        <v>10</v>
      </c>
      <c r="D187" t="s">
        <v>110</v>
      </c>
      <c r="F187" s="80">
        <f t="shared" si="55"/>
        <v>0</v>
      </c>
      <c r="G187" s="41">
        <v>0</v>
      </c>
      <c r="H187" s="41">
        <v>0</v>
      </c>
      <c r="I187" s="41">
        <v>0</v>
      </c>
      <c r="J187" s="41">
        <v>0</v>
      </c>
      <c r="K187" s="41">
        <v>0</v>
      </c>
      <c r="L187" s="41">
        <v>0</v>
      </c>
      <c r="M187" s="41">
        <v>0</v>
      </c>
      <c r="N187" s="41">
        <v>0</v>
      </c>
      <c r="O187" s="41">
        <v>0</v>
      </c>
    </row>
    <row r="188" spans="2:15">
      <c r="B188" t="s">
        <v>11</v>
      </c>
      <c r="D188" t="s">
        <v>110</v>
      </c>
      <c r="F188" s="80">
        <f t="shared" si="55"/>
        <v>0</v>
      </c>
      <c r="G188" s="41">
        <v>0</v>
      </c>
      <c r="H188" s="41">
        <v>0</v>
      </c>
      <c r="I188" s="41">
        <v>0</v>
      </c>
      <c r="J188" s="41">
        <v>0</v>
      </c>
      <c r="K188" s="41">
        <v>0</v>
      </c>
      <c r="L188" s="41">
        <v>0</v>
      </c>
      <c r="M188" s="41">
        <v>0</v>
      </c>
      <c r="N188" s="41">
        <v>0</v>
      </c>
      <c r="O188" s="41">
        <v>0</v>
      </c>
    </row>
    <row r="189" spans="2:15">
      <c r="B189" t="s">
        <v>12</v>
      </c>
      <c r="D189" t="s">
        <v>110</v>
      </c>
      <c r="F189" s="80">
        <f t="shared" si="55"/>
        <v>0</v>
      </c>
      <c r="G189" s="41">
        <v>0</v>
      </c>
      <c r="H189" s="41">
        <v>0</v>
      </c>
      <c r="I189" s="41">
        <v>0</v>
      </c>
      <c r="J189" s="41">
        <v>0</v>
      </c>
      <c r="K189" s="41">
        <v>0</v>
      </c>
      <c r="L189" s="41">
        <v>0</v>
      </c>
      <c r="M189" s="41">
        <v>0</v>
      </c>
      <c r="N189" s="41">
        <v>0</v>
      </c>
      <c r="O189" s="41">
        <v>0</v>
      </c>
    </row>
    <row r="190" spans="2:15">
      <c r="B190" t="s">
        <v>13</v>
      </c>
      <c r="D190" t="s">
        <v>110</v>
      </c>
      <c r="F190" s="80">
        <f t="shared" si="55"/>
        <v>0</v>
      </c>
      <c r="G190" s="41">
        <v>0</v>
      </c>
      <c r="H190" s="41">
        <v>0</v>
      </c>
      <c r="I190" s="41">
        <v>0</v>
      </c>
      <c r="J190" s="41">
        <v>0</v>
      </c>
      <c r="K190" s="41">
        <v>0</v>
      </c>
      <c r="L190" s="41">
        <v>0</v>
      </c>
      <c r="M190" s="41">
        <v>0</v>
      </c>
      <c r="N190" s="41">
        <v>0</v>
      </c>
      <c r="O190" s="41">
        <v>0</v>
      </c>
    </row>
    <row r="191" spans="2:15">
      <c r="F191" s="67"/>
      <c r="G191" s="38"/>
      <c r="H191" s="38"/>
      <c r="I191" s="38"/>
      <c r="J191" s="38"/>
      <c r="K191" s="38"/>
      <c r="L191" s="38"/>
      <c r="M191" s="38"/>
      <c r="N191" s="38"/>
      <c r="O191" s="38"/>
    </row>
    <row r="192" spans="2:15">
      <c r="B192" t="s">
        <v>104</v>
      </c>
      <c r="D192" t="s">
        <v>110</v>
      </c>
      <c r="F192" s="81">
        <f t="shared" ref="F192:O192" si="56">SUM(F183:F190)</f>
        <v>6785568.309621864</v>
      </c>
      <c r="G192" s="81">
        <f t="shared" si="56"/>
        <v>125366.93000000004</v>
      </c>
      <c r="H192" s="81">
        <f t="shared" si="56"/>
        <v>0</v>
      </c>
      <c r="I192" s="81">
        <f t="shared" si="56"/>
        <v>238822.01</v>
      </c>
      <c r="J192" s="81">
        <f t="shared" si="56"/>
        <v>2331315</v>
      </c>
      <c r="K192" s="81">
        <f t="shared" si="56"/>
        <v>1734508.5200000003</v>
      </c>
      <c r="L192" s="81">
        <f t="shared" si="56"/>
        <v>97080.1</v>
      </c>
      <c r="M192" s="81">
        <f t="shared" si="56"/>
        <v>2060922.7099999997</v>
      </c>
      <c r="N192" s="81">
        <f t="shared" si="56"/>
        <v>197553.03962186305</v>
      </c>
      <c r="O192" s="81">
        <f t="shared" si="56"/>
        <v>0</v>
      </c>
    </row>
    <row r="196" spans="2:15">
      <c r="B196" s="3" t="s">
        <v>15</v>
      </c>
    </row>
    <row r="197" spans="2:15">
      <c r="B197" s="221" t="s">
        <v>671</v>
      </c>
      <c r="D197" t="s">
        <v>110</v>
      </c>
      <c r="F197" s="80">
        <f>SUM(G197:O197)</f>
        <v>0</v>
      </c>
      <c r="G197" s="41">
        <v>0</v>
      </c>
      <c r="H197" s="41">
        <v>0</v>
      </c>
      <c r="I197" s="41">
        <v>0</v>
      </c>
      <c r="J197" s="41">
        <v>0</v>
      </c>
      <c r="K197" s="41">
        <v>0</v>
      </c>
      <c r="L197" s="41">
        <v>0</v>
      </c>
      <c r="M197" s="41">
        <v>0</v>
      </c>
      <c r="N197" s="41">
        <v>0</v>
      </c>
      <c r="O197" s="41">
        <v>0</v>
      </c>
    </row>
    <row r="198" spans="2:15">
      <c r="B198" s="221" t="s">
        <v>17</v>
      </c>
      <c r="D198" t="s">
        <v>110</v>
      </c>
      <c r="F198" s="80">
        <f t="shared" ref="F198:F205" si="57">SUM(G198:O198)</f>
        <v>2970.7</v>
      </c>
      <c r="G198" s="41">
        <v>0</v>
      </c>
      <c r="H198" s="41">
        <v>0</v>
      </c>
      <c r="I198" s="41">
        <v>2970.7</v>
      </c>
      <c r="J198" s="41">
        <v>0</v>
      </c>
      <c r="K198" s="41">
        <v>0</v>
      </c>
      <c r="L198" s="41">
        <v>0</v>
      </c>
      <c r="M198" s="41">
        <v>0</v>
      </c>
      <c r="N198" s="41">
        <v>0</v>
      </c>
      <c r="O198" s="41">
        <v>0</v>
      </c>
    </row>
    <row r="199" spans="2:15">
      <c r="B199" s="220" t="s">
        <v>672</v>
      </c>
      <c r="D199" t="s">
        <v>110</v>
      </c>
      <c r="F199" s="80">
        <f t="shared" si="57"/>
        <v>1382659.3989477567</v>
      </c>
      <c r="G199" s="41">
        <v>21232.689999999959</v>
      </c>
      <c r="H199" s="41">
        <v>177027.56649495527</v>
      </c>
      <c r="I199" s="41">
        <v>146673.53</v>
      </c>
      <c r="J199" s="41">
        <v>0</v>
      </c>
      <c r="K199" s="41">
        <v>949322</v>
      </c>
      <c r="L199" s="41">
        <v>150</v>
      </c>
      <c r="M199" s="41">
        <v>85379.06</v>
      </c>
      <c r="N199" s="41">
        <v>2874.5524528014753</v>
      </c>
      <c r="O199" s="41">
        <v>0</v>
      </c>
    </row>
    <row r="200" spans="2:15">
      <c r="B200" t="s">
        <v>673</v>
      </c>
      <c r="D200" t="s">
        <v>110</v>
      </c>
      <c r="F200" s="80">
        <f t="shared" si="57"/>
        <v>1259400.0645136498</v>
      </c>
      <c r="G200" s="41">
        <v>0</v>
      </c>
      <c r="H200" s="41">
        <v>2091.578</v>
      </c>
      <c r="I200" s="41">
        <v>49283.399243307642</v>
      </c>
      <c r="J200" s="41">
        <v>0</v>
      </c>
      <c r="K200" s="41">
        <v>968349.99</v>
      </c>
      <c r="L200" s="41">
        <v>44735.89</v>
      </c>
      <c r="M200" s="41">
        <v>194939.20727034222</v>
      </c>
      <c r="N200" s="41">
        <v>0</v>
      </c>
      <c r="O200" s="41">
        <v>0</v>
      </c>
    </row>
    <row r="201" spans="2:15">
      <c r="B201" t="s">
        <v>9</v>
      </c>
      <c r="D201" t="s">
        <v>110</v>
      </c>
      <c r="F201" s="80">
        <f t="shared" si="57"/>
        <v>29606.206058570911</v>
      </c>
      <c r="G201" s="41">
        <v>0</v>
      </c>
      <c r="H201" s="41">
        <v>0</v>
      </c>
      <c r="I201" s="41">
        <v>0</v>
      </c>
      <c r="J201" s="41">
        <v>0</v>
      </c>
      <c r="K201" s="41">
        <v>29606.206058570911</v>
      </c>
      <c r="L201" s="41">
        <v>0</v>
      </c>
      <c r="M201" s="41">
        <v>0</v>
      </c>
      <c r="N201" s="41">
        <v>0</v>
      </c>
      <c r="O201" s="41">
        <v>0</v>
      </c>
    </row>
    <row r="202" spans="2:15">
      <c r="B202" t="s">
        <v>10</v>
      </c>
      <c r="D202" t="s">
        <v>110</v>
      </c>
      <c r="F202" s="80">
        <f t="shared" si="57"/>
        <v>259140.64394142712</v>
      </c>
      <c r="G202" s="41">
        <v>0</v>
      </c>
      <c r="H202" s="41">
        <v>0</v>
      </c>
      <c r="I202" s="41">
        <v>0</v>
      </c>
      <c r="J202" s="41">
        <v>0</v>
      </c>
      <c r="K202" s="41">
        <v>259140.64394142712</v>
      </c>
      <c r="L202" s="41">
        <v>0</v>
      </c>
      <c r="M202" s="41">
        <v>0</v>
      </c>
      <c r="N202" s="41">
        <v>0</v>
      </c>
      <c r="O202" s="41">
        <v>0</v>
      </c>
    </row>
    <row r="203" spans="2:15">
      <c r="B203" t="s">
        <v>11</v>
      </c>
      <c r="D203" t="s">
        <v>110</v>
      </c>
      <c r="F203" s="80">
        <f t="shared" si="57"/>
        <v>0</v>
      </c>
      <c r="G203" s="41">
        <v>0</v>
      </c>
      <c r="H203" s="41">
        <v>0</v>
      </c>
      <c r="I203" s="41">
        <v>0</v>
      </c>
      <c r="J203" s="41">
        <v>0</v>
      </c>
      <c r="K203" s="41">
        <v>0</v>
      </c>
      <c r="L203" s="41">
        <v>0</v>
      </c>
      <c r="M203" s="41">
        <v>0</v>
      </c>
      <c r="N203" s="41">
        <v>0</v>
      </c>
      <c r="O203" s="41">
        <v>0</v>
      </c>
    </row>
    <row r="204" spans="2:15">
      <c r="B204" t="s">
        <v>12</v>
      </c>
      <c r="D204" t="s">
        <v>110</v>
      </c>
      <c r="F204" s="80">
        <f t="shared" si="57"/>
        <v>0</v>
      </c>
      <c r="G204" s="41">
        <v>0</v>
      </c>
      <c r="H204" s="41">
        <v>0</v>
      </c>
      <c r="I204" s="41">
        <v>0</v>
      </c>
      <c r="J204" s="41">
        <v>0</v>
      </c>
      <c r="K204" s="41">
        <v>0</v>
      </c>
      <c r="L204" s="41">
        <v>0</v>
      </c>
      <c r="M204" s="41">
        <v>0</v>
      </c>
      <c r="N204" s="41">
        <v>0</v>
      </c>
      <c r="O204" s="41">
        <v>0</v>
      </c>
    </row>
    <row r="205" spans="2:15">
      <c r="B205" t="s">
        <v>13</v>
      </c>
      <c r="D205" t="s">
        <v>110</v>
      </c>
      <c r="F205" s="80">
        <f t="shared" si="57"/>
        <v>0</v>
      </c>
      <c r="G205" s="41">
        <v>0</v>
      </c>
      <c r="H205" s="41">
        <v>0</v>
      </c>
      <c r="I205" s="41">
        <v>0</v>
      </c>
      <c r="J205" s="41">
        <v>0</v>
      </c>
      <c r="K205" s="41">
        <v>0</v>
      </c>
      <c r="L205" s="41">
        <v>0</v>
      </c>
      <c r="M205" s="41">
        <v>0</v>
      </c>
      <c r="N205" s="41">
        <v>0</v>
      </c>
      <c r="O205" s="41">
        <v>0</v>
      </c>
    </row>
    <row r="206" spans="2:15">
      <c r="F206" s="67"/>
      <c r="G206" s="38"/>
      <c r="H206" s="38"/>
      <c r="I206" s="38"/>
      <c r="J206" s="38"/>
      <c r="K206" s="38"/>
      <c r="L206" s="38"/>
      <c r="M206" s="38"/>
      <c r="N206" s="38"/>
      <c r="O206" s="38"/>
    </row>
    <row r="207" spans="2:15">
      <c r="B207" t="s">
        <v>104</v>
      </c>
      <c r="D207" t="s">
        <v>110</v>
      </c>
      <c r="F207" s="81">
        <f t="shared" ref="F207:O207" si="58">SUM(F197:F205)</f>
        <v>2933777.0134614049</v>
      </c>
      <c r="G207" s="81">
        <f t="shared" si="58"/>
        <v>21232.689999999959</v>
      </c>
      <c r="H207" s="81">
        <f t="shared" si="58"/>
        <v>179119.14449495528</v>
      </c>
      <c r="I207" s="81">
        <f t="shared" si="58"/>
        <v>198927.62924330766</v>
      </c>
      <c r="J207" s="81">
        <f t="shared" si="58"/>
        <v>0</v>
      </c>
      <c r="K207" s="81">
        <f t="shared" si="58"/>
        <v>2206418.839999998</v>
      </c>
      <c r="L207" s="81">
        <f t="shared" si="58"/>
        <v>44885.89</v>
      </c>
      <c r="M207" s="81">
        <f t="shared" si="58"/>
        <v>280318.26727034221</v>
      </c>
      <c r="N207" s="81">
        <f t="shared" si="58"/>
        <v>2874.5524528014753</v>
      </c>
      <c r="O207" s="81">
        <f t="shared" si="58"/>
        <v>0</v>
      </c>
    </row>
    <row r="209" spans="2:15">
      <c r="C209" s="28"/>
    </row>
    <row r="210" spans="2:15">
      <c r="B210" s="3" t="s">
        <v>663</v>
      </c>
      <c r="C210" s="28"/>
    </row>
    <row r="211" spans="2:15">
      <c r="B211" s="51" t="s">
        <v>664</v>
      </c>
      <c r="C211" s="28"/>
      <c r="D211" t="s">
        <v>110</v>
      </c>
      <c r="F211" s="80">
        <f>SUM(G211:O211)</f>
        <v>2512.7918391598905</v>
      </c>
      <c r="G211" s="41">
        <v>1912.7918391598907</v>
      </c>
      <c r="H211" s="41"/>
      <c r="I211" s="473">
        <f>'Aanpassing gegevens (aug. 2016)'!J32</f>
        <v>600</v>
      </c>
      <c r="J211" s="41"/>
      <c r="K211" s="41"/>
      <c r="L211" s="41"/>
      <c r="M211" s="41"/>
      <c r="N211" s="41"/>
      <c r="O211" s="41"/>
    </row>
    <row r="214" spans="2:15">
      <c r="B214" s="3" t="s">
        <v>31</v>
      </c>
    </row>
    <row r="215" spans="2:15">
      <c r="B215" t="s">
        <v>32</v>
      </c>
      <c r="D215" t="s">
        <v>110</v>
      </c>
      <c r="F215" s="80">
        <f>SUM(G215:O215)</f>
        <v>0</v>
      </c>
      <c r="G215" s="41"/>
      <c r="H215" s="41"/>
      <c r="I215" s="41"/>
      <c r="J215" s="41"/>
      <c r="K215" s="41"/>
      <c r="L215" s="41"/>
      <c r="M215" s="41"/>
      <c r="N215" s="41"/>
      <c r="O215" s="41"/>
    </row>
    <row r="217" spans="2:15">
      <c r="B217" s="79"/>
    </row>
    <row r="218" spans="2:15" s="2" customFormat="1">
      <c r="B218" s="2" t="s">
        <v>447</v>
      </c>
      <c r="F218" s="49"/>
    </row>
    <row r="220" spans="2:15">
      <c r="B220" s="3" t="s">
        <v>385</v>
      </c>
    </row>
    <row r="221" spans="2:15">
      <c r="B221" s="51" t="s">
        <v>5</v>
      </c>
      <c r="D221" t="s">
        <v>107</v>
      </c>
      <c r="F221" s="80">
        <f>SUM(G221:O221)</f>
        <v>0</v>
      </c>
      <c r="H221" s="95"/>
      <c r="J221" s="95"/>
      <c r="O221" s="95"/>
    </row>
    <row r="222" spans="2:15">
      <c r="B222" s="51" t="s">
        <v>14</v>
      </c>
      <c r="D222" t="s">
        <v>107</v>
      </c>
      <c r="F222" s="80">
        <f>SUM(G222:O222)</f>
        <v>0</v>
      </c>
      <c r="H222" s="95"/>
      <c r="J222" s="95"/>
      <c r="O222" s="95"/>
    </row>
    <row r="223" spans="2:15">
      <c r="B223" s="51" t="s">
        <v>15</v>
      </c>
      <c r="D223" t="s">
        <v>107</v>
      </c>
      <c r="F223" s="80">
        <f>SUM(G223:O223)</f>
        <v>0</v>
      </c>
      <c r="H223" s="95"/>
      <c r="J223" s="95"/>
      <c r="O223" s="95"/>
    </row>
    <row r="225" spans="2:15">
      <c r="B225" s="3" t="s">
        <v>386</v>
      </c>
    </row>
    <row r="226" spans="2:15">
      <c r="B226" s="51" t="s">
        <v>5</v>
      </c>
      <c r="D226" t="s">
        <v>108</v>
      </c>
      <c r="F226" s="80">
        <f>SUM(G226:O226)</f>
        <v>0</v>
      </c>
      <c r="H226" s="95"/>
      <c r="J226" s="95"/>
      <c r="O226" s="95"/>
    </row>
    <row r="227" spans="2:15">
      <c r="B227" s="51" t="s">
        <v>14</v>
      </c>
      <c r="D227" t="s">
        <v>108</v>
      </c>
      <c r="F227" s="80">
        <f>SUM(G227:O227)</f>
        <v>0</v>
      </c>
      <c r="H227" s="95"/>
      <c r="J227" s="95"/>
      <c r="O227" s="95"/>
    </row>
    <row r="228" spans="2:15">
      <c r="B228" s="51" t="s">
        <v>15</v>
      </c>
      <c r="D228" t="s">
        <v>108</v>
      </c>
      <c r="F228" s="80">
        <f>SUM(G228:O228)</f>
        <v>0</v>
      </c>
      <c r="H228" s="95"/>
      <c r="J228" s="95"/>
      <c r="O228" s="95"/>
    </row>
    <row r="230" spans="2:15">
      <c r="B230" s="3" t="s">
        <v>387</v>
      </c>
    </row>
    <row r="231" spans="2:15">
      <c r="B231" s="51" t="s">
        <v>5</v>
      </c>
      <c r="D231" t="s">
        <v>109</v>
      </c>
      <c r="F231" s="80">
        <f>SUM(G231:O231)</f>
        <v>0</v>
      </c>
      <c r="H231" s="95"/>
      <c r="J231" s="95"/>
      <c r="O231" s="95"/>
    </row>
    <row r="232" spans="2:15">
      <c r="B232" s="51" t="s">
        <v>14</v>
      </c>
      <c r="D232" t="s">
        <v>109</v>
      </c>
      <c r="F232" s="80">
        <f>SUM(G232:O232)</f>
        <v>0</v>
      </c>
      <c r="H232" s="95"/>
      <c r="J232" s="95"/>
      <c r="O232" s="95"/>
    </row>
    <row r="233" spans="2:15">
      <c r="B233" s="51" t="s">
        <v>15</v>
      </c>
      <c r="D233" t="s">
        <v>109</v>
      </c>
      <c r="F233" s="80">
        <f>SUM(G233:O233)</f>
        <v>0</v>
      </c>
      <c r="H233" s="95"/>
      <c r="J233" s="95"/>
      <c r="O233" s="95"/>
    </row>
    <row r="235" spans="2:15">
      <c r="B235" s="3" t="s">
        <v>388</v>
      </c>
    </row>
    <row r="236" spans="2:15">
      <c r="B236" s="51" t="s">
        <v>5</v>
      </c>
      <c r="D236" t="s">
        <v>110</v>
      </c>
      <c r="F236" s="80">
        <f>SUM(G236:O236)</f>
        <v>0</v>
      </c>
      <c r="H236" s="95"/>
      <c r="J236" s="95"/>
      <c r="O236" s="95"/>
    </row>
    <row r="237" spans="2:15">
      <c r="B237" s="51" t="s">
        <v>14</v>
      </c>
      <c r="D237" t="s">
        <v>110</v>
      </c>
      <c r="F237" s="80">
        <f>SUM(G237:O237)</f>
        <v>0</v>
      </c>
      <c r="H237" s="95"/>
      <c r="J237" s="95"/>
      <c r="O237" s="95"/>
    </row>
    <row r="238" spans="2:15">
      <c r="B238" s="51" t="s">
        <v>15</v>
      </c>
      <c r="D238" t="s">
        <v>110</v>
      </c>
      <c r="F238" s="80">
        <f>SUM(G238:O238)</f>
        <v>0</v>
      </c>
      <c r="H238" s="95"/>
      <c r="J238" s="95"/>
      <c r="O238" s="95"/>
    </row>
    <row r="239" spans="2:15">
      <c r="O239" s="52"/>
    </row>
    <row r="240" spans="2:15">
      <c r="O240" s="28"/>
    </row>
    <row r="241" spans="15:15">
      <c r="O241" s="28"/>
    </row>
    <row r="242" spans="15:15">
      <c r="O242" s="28"/>
    </row>
    <row r="243" spans="15:15">
      <c r="O243" s="28"/>
    </row>
    <row r="244" spans="15:15">
      <c r="O244" s="28"/>
    </row>
    <row r="245" spans="15:15">
      <c r="O245" s="28"/>
    </row>
    <row r="246" spans="15:15">
      <c r="O246" s="28"/>
    </row>
    <row r="247" spans="15:15">
      <c r="O247" s="28"/>
    </row>
    <row r="248" spans="15:15">
      <c r="O248" s="28"/>
    </row>
    <row r="249" spans="15:15">
      <c r="O249" s="28"/>
    </row>
    <row r="250" spans="15:15">
      <c r="O250" s="28"/>
    </row>
    <row r="251" spans="15:15">
      <c r="O251" s="28"/>
    </row>
    <row r="252" spans="15:15">
      <c r="O252" s="28"/>
    </row>
    <row r="253" spans="15:15">
      <c r="O253" s="28"/>
    </row>
    <row r="254" spans="15:15">
      <c r="O254" s="28"/>
    </row>
    <row r="255" spans="15:15">
      <c r="O255" s="28"/>
    </row>
    <row r="256" spans="15:15">
      <c r="O256" s="28"/>
    </row>
    <row r="257" spans="15:15">
      <c r="O257" s="28"/>
    </row>
    <row r="258" spans="15:15">
      <c r="O258" s="28"/>
    </row>
    <row r="259" spans="15:15">
      <c r="O259" s="28"/>
    </row>
  </sheetData>
  <pageMargins left="0.74803149606299213" right="0.74803149606299213" top="0.98425196850393704" bottom="0.98425196850393704" header="0.51181102362204722" footer="0.51181102362204722"/>
  <pageSetup paperSize="9" scale="15"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BE721"/>
  </sheetPr>
  <dimension ref="B1:Z485"/>
  <sheetViews>
    <sheetView showGridLines="0" zoomScale="85" zoomScaleNormal="85" workbookViewId="0"/>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7" customWidth="1"/>
    <col min="7" max="14" width="14.85546875" customWidth="1"/>
    <col min="15" max="15" width="14.5703125" customWidth="1"/>
    <col min="17" max="17" width="20.42578125" customWidth="1"/>
    <col min="19" max="22" width="14.5703125" customWidth="1"/>
    <col min="23" max="23" width="14.5703125" style="47" customWidth="1"/>
    <col min="24" max="24" width="14.5703125" customWidth="1"/>
  </cols>
  <sheetData>
    <row r="1" spans="2:24" ht="12" customHeight="1"/>
    <row r="2" spans="2:24" s="1" customFormat="1" ht="25.5">
      <c r="B2" s="1" t="s">
        <v>317</v>
      </c>
      <c r="F2" s="48" t="s">
        <v>105</v>
      </c>
      <c r="G2" s="5" t="s">
        <v>96</v>
      </c>
      <c r="H2" s="5" t="s">
        <v>97</v>
      </c>
      <c r="I2" s="5" t="s">
        <v>98</v>
      </c>
      <c r="J2" s="5" t="s">
        <v>99</v>
      </c>
      <c r="K2" s="5" t="s">
        <v>100</v>
      </c>
      <c r="L2" s="5" t="s">
        <v>101</v>
      </c>
      <c r="M2" s="5" t="s">
        <v>102</v>
      </c>
      <c r="N2" s="5" t="s">
        <v>103</v>
      </c>
      <c r="O2" s="5" t="s">
        <v>197</v>
      </c>
      <c r="Q2" s="5" t="s">
        <v>567</v>
      </c>
      <c r="S2" s="211" t="s">
        <v>653</v>
      </c>
      <c r="T2" s="211" t="s">
        <v>654</v>
      </c>
      <c r="U2" s="212" t="s">
        <v>655</v>
      </c>
      <c r="V2" s="211" t="s">
        <v>656</v>
      </c>
      <c r="W2" s="211" t="s">
        <v>657</v>
      </c>
      <c r="X2" s="211" t="s">
        <v>658</v>
      </c>
    </row>
    <row r="4" spans="2:24">
      <c r="B4" s="11" t="s">
        <v>260</v>
      </c>
    </row>
    <row r="5" spans="2:24">
      <c r="B5" s="28" t="s">
        <v>3</v>
      </c>
      <c r="S5" s="51"/>
    </row>
    <row r="6" spans="2:24">
      <c r="B6" s="78" t="s">
        <v>996</v>
      </c>
    </row>
    <row r="9" spans="2:24" s="2" customFormat="1">
      <c r="B9" s="2" t="s">
        <v>310</v>
      </c>
      <c r="F9" s="49"/>
      <c r="W9" s="49"/>
    </row>
    <row r="11" spans="2:24">
      <c r="B11" s="3" t="s">
        <v>306</v>
      </c>
    </row>
    <row r="12" spans="2:24">
      <c r="B12" s="3"/>
    </row>
    <row r="13" spans="2:24">
      <c r="B13" s="108" t="s">
        <v>284</v>
      </c>
    </row>
    <row r="14" spans="2:24">
      <c r="B14" s="23" t="s">
        <v>285</v>
      </c>
      <c r="F14" s="102">
        <f t="shared" ref="F14:F76" si="0">SUM(G14:O14)</f>
        <v>6759694.4776716568</v>
      </c>
      <c r="G14" s="87">
        <v>132025</v>
      </c>
      <c r="H14" s="87">
        <v>180711.75</v>
      </c>
      <c r="I14" s="102">
        <f>S14+T14</f>
        <v>371633.93074572791</v>
      </c>
      <c r="J14" s="102">
        <f>U14+V14</f>
        <v>1958711.9142830216</v>
      </c>
      <c r="K14" s="102">
        <f>W14+X14</f>
        <v>2142692.242362434</v>
      </c>
      <c r="L14" s="87">
        <v>97724</v>
      </c>
      <c r="M14" s="87">
        <v>1828348.5455361151</v>
      </c>
      <c r="N14" s="87">
        <v>47847.09474435787</v>
      </c>
      <c r="O14" s="87">
        <v>0</v>
      </c>
      <c r="S14" s="228">
        <v>180205.84337409996</v>
      </c>
      <c r="T14" s="228">
        <v>191428.08737162795</v>
      </c>
      <c r="U14" s="228">
        <v>1814891.9142830216</v>
      </c>
      <c r="V14" s="228">
        <v>143820</v>
      </c>
      <c r="W14" s="229">
        <v>2085645.9330094492</v>
      </c>
      <c r="X14" s="228">
        <v>57046.309352984827</v>
      </c>
    </row>
    <row r="15" spans="2:24">
      <c r="B15" s="23" t="s">
        <v>286</v>
      </c>
      <c r="F15" s="102">
        <f t="shared" si="0"/>
        <v>23562.095186469662</v>
      </c>
      <c r="G15" s="87">
        <v>2</v>
      </c>
      <c r="H15" s="87">
        <v>0</v>
      </c>
      <c r="I15" s="102">
        <f t="shared" ref="I15:I17" si="1">S15+T15</f>
        <v>2347.9240908749866</v>
      </c>
      <c r="J15" s="102">
        <f t="shared" ref="J15:J17" si="2">U15+V15</f>
        <v>4567.6466444163816</v>
      </c>
      <c r="K15" s="102">
        <f t="shared" ref="K15:K17" si="3">W15+X15</f>
        <v>8295.5594730273569</v>
      </c>
      <c r="L15" s="87">
        <v>685</v>
      </c>
      <c r="M15" s="87">
        <v>7246.4546882009881</v>
      </c>
      <c r="N15" s="87">
        <v>417.51028994994761</v>
      </c>
      <c r="O15" s="87">
        <v>0</v>
      </c>
      <c r="S15" s="228">
        <v>3.9841443959393112</v>
      </c>
      <c r="T15" s="228">
        <v>2343.9399464790472</v>
      </c>
      <c r="U15" s="228">
        <v>4557.6466444163816</v>
      </c>
      <c r="V15" s="228">
        <v>10</v>
      </c>
      <c r="W15" s="229">
        <v>8017.6637750635218</v>
      </c>
      <c r="X15" s="228">
        <v>277.8956979638358</v>
      </c>
    </row>
    <row r="16" spans="2:24">
      <c r="B16" s="61" t="s">
        <v>287</v>
      </c>
      <c r="F16" s="102">
        <f t="shared" si="0"/>
        <v>77630.319684844624</v>
      </c>
      <c r="G16" s="87">
        <v>2299</v>
      </c>
      <c r="H16" s="87">
        <v>2801</v>
      </c>
      <c r="I16" s="102">
        <f t="shared" si="1"/>
        <v>5836.55590614414</v>
      </c>
      <c r="J16" s="102">
        <f t="shared" si="2"/>
        <v>28088.661237747427</v>
      </c>
      <c r="K16" s="102">
        <f t="shared" si="3"/>
        <v>20796.274184609676</v>
      </c>
      <c r="L16" s="87">
        <v>1134</v>
      </c>
      <c r="M16" s="87">
        <v>16275.454688200987</v>
      </c>
      <c r="N16" s="87">
        <v>399.37366814239169</v>
      </c>
      <c r="O16" s="87">
        <v>0</v>
      </c>
      <c r="S16" s="228">
        <v>3299.8675959367347</v>
      </c>
      <c r="T16" s="228">
        <v>2536.6883102074053</v>
      </c>
      <c r="U16" s="228">
        <v>25805.661237747427</v>
      </c>
      <c r="V16" s="228">
        <v>2283</v>
      </c>
      <c r="W16" s="229">
        <v>20234.506537112891</v>
      </c>
      <c r="X16" s="228">
        <v>561.76764749678637</v>
      </c>
    </row>
    <row r="17" spans="2:24">
      <c r="B17" s="61" t="s">
        <v>288</v>
      </c>
      <c r="F17" s="102">
        <f t="shared" si="0"/>
        <v>24932.940277743164</v>
      </c>
      <c r="G17" s="87">
        <v>720</v>
      </c>
      <c r="H17" s="87">
        <v>649.25</v>
      </c>
      <c r="I17" s="102">
        <f t="shared" si="1"/>
        <v>1987.3644756291792</v>
      </c>
      <c r="J17" s="102">
        <f t="shared" si="2"/>
        <v>8707.5614958854185</v>
      </c>
      <c r="K17" s="102">
        <f t="shared" si="3"/>
        <v>5353.2455050601302</v>
      </c>
      <c r="L17" s="87">
        <v>416</v>
      </c>
      <c r="M17" s="87">
        <v>6816.7271952259171</v>
      </c>
      <c r="N17" s="87">
        <v>282.79160594252039</v>
      </c>
      <c r="O17" s="87">
        <v>0</v>
      </c>
      <c r="S17" s="228">
        <v>917.76777285001219</v>
      </c>
      <c r="T17" s="228">
        <v>1069.5967027791669</v>
      </c>
      <c r="U17" s="228">
        <v>8121.5614958854185</v>
      </c>
      <c r="V17" s="228">
        <v>586</v>
      </c>
      <c r="W17" s="229">
        <v>5016.583333333333</v>
      </c>
      <c r="X17" s="228">
        <v>336.66217172679745</v>
      </c>
    </row>
    <row r="18" spans="2:24">
      <c r="B18" s="23"/>
      <c r="F18" s="109"/>
      <c r="G18" s="63"/>
      <c r="H18" s="63"/>
      <c r="I18" s="63"/>
      <c r="J18" s="63"/>
      <c r="K18" s="63"/>
      <c r="L18" s="63"/>
      <c r="M18" s="63"/>
      <c r="N18" s="63"/>
      <c r="O18" s="63"/>
      <c r="S18" s="29"/>
      <c r="T18" s="29"/>
      <c r="U18" s="29"/>
      <c r="V18" s="29"/>
      <c r="W18" s="217"/>
      <c r="X18" s="29"/>
    </row>
    <row r="19" spans="2:24">
      <c r="B19" s="108" t="s">
        <v>289</v>
      </c>
      <c r="F19" s="109"/>
      <c r="G19" s="63"/>
      <c r="H19" s="63"/>
      <c r="I19" s="63"/>
      <c r="J19" s="63"/>
      <c r="K19" s="63"/>
      <c r="L19" s="63"/>
      <c r="M19" s="63"/>
      <c r="N19" s="63"/>
      <c r="O19" s="63"/>
      <c r="S19" s="29"/>
      <c r="T19" s="29"/>
      <c r="U19" s="29"/>
      <c r="V19" s="29"/>
      <c r="W19" s="217"/>
      <c r="X19" s="29"/>
    </row>
    <row r="20" spans="2:24">
      <c r="B20" s="23" t="s">
        <v>285</v>
      </c>
      <c r="F20" s="102">
        <f t="shared" si="0"/>
        <v>17</v>
      </c>
      <c r="G20" s="87">
        <v>0</v>
      </c>
      <c r="H20" s="87">
        <v>0</v>
      </c>
      <c r="I20" s="102">
        <f t="shared" ref="I20:I23" si="4">S20+T20</f>
        <v>0</v>
      </c>
      <c r="J20" s="102">
        <f t="shared" ref="J20:J23" si="5">U20+V20</f>
        <v>0</v>
      </c>
      <c r="K20" s="102">
        <f t="shared" ref="K20:K23" si="6">W20+X20</f>
        <v>0</v>
      </c>
      <c r="L20" s="87">
        <v>0</v>
      </c>
      <c r="M20" s="87">
        <v>17</v>
      </c>
      <c r="N20" s="87">
        <v>0</v>
      </c>
      <c r="O20" s="87">
        <v>0</v>
      </c>
      <c r="S20" s="228">
        <v>0</v>
      </c>
      <c r="T20" s="228">
        <v>0</v>
      </c>
      <c r="U20" s="228">
        <v>0</v>
      </c>
      <c r="V20" s="228">
        <v>0</v>
      </c>
      <c r="W20" s="229">
        <v>0</v>
      </c>
      <c r="X20" s="228">
        <v>0</v>
      </c>
    </row>
    <row r="21" spans="2:24">
      <c r="B21" s="23" t="s">
        <v>286</v>
      </c>
      <c r="F21" s="102">
        <f t="shared" si="0"/>
        <v>1</v>
      </c>
      <c r="G21" s="87">
        <v>0</v>
      </c>
      <c r="H21" s="87">
        <v>0</v>
      </c>
      <c r="I21" s="102">
        <f t="shared" si="4"/>
        <v>0</v>
      </c>
      <c r="J21" s="102">
        <f t="shared" si="5"/>
        <v>0</v>
      </c>
      <c r="K21" s="102">
        <f t="shared" si="6"/>
        <v>0</v>
      </c>
      <c r="L21" s="87">
        <v>0</v>
      </c>
      <c r="M21" s="87">
        <v>1</v>
      </c>
      <c r="N21" s="87">
        <v>0</v>
      </c>
      <c r="O21" s="87">
        <v>0</v>
      </c>
      <c r="S21" s="228">
        <v>0</v>
      </c>
      <c r="T21" s="228">
        <v>0</v>
      </c>
      <c r="U21" s="228">
        <v>0</v>
      </c>
      <c r="V21" s="228">
        <v>0</v>
      </c>
      <c r="W21" s="229">
        <v>0</v>
      </c>
      <c r="X21" s="228">
        <v>0</v>
      </c>
    </row>
    <row r="22" spans="2:24">
      <c r="B22" s="61" t="s">
        <v>287</v>
      </c>
      <c r="F22" s="102">
        <f t="shared" si="0"/>
        <v>5</v>
      </c>
      <c r="G22" s="87">
        <v>0</v>
      </c>
      <c r="H22" s="87">
        <v>0</v>
      </c>
      <c r="I22" s="102">
        <f t="shared" si="4"/>
        <v>0</v>
      </c>
      <c r="J22" s="102">
        <f t="shared" si="5"/>
        <v>0</v>
      </c>
      <c r="K22" s="102">
        <f t="shared" si="6"/>
        <v>0</v>
      </c>
      <c r="L22" s="87">
        <v>1</v>
      </c>
      <c r="M22" s="87">
        <v>4</v>
      </c>
      <c r="N22" s="87">
        <v>0</v>
      </c>
      <c r="O22" s="87">
        <v>0</v>
      </c>
      <c r="S22" s="228">
        <v>0</v>
      </c>
      <c r="T22" s="228">
        <v>0</v>
      </c>
      <c r="U22" s="228">
        <v>0</v>
      </c>
      <c r="V22" s="228">
        <v>0</v>
      </c>
      <c r="W22" s="229">
        <v>0</v>
      </c>
      <c r="X22" s="228">
        <v>0</v>
      </c>
    </row>
    <row r="23" spans="2:24">
      <c r="B23" s="61" t="s">
        <v>288</v>
      </c>
      <c r="F23" s="102">
        <f t="shared" si="0"/>
        <v>5</v>
      </c>
      <c r="G23" s="87">
        <v>0</v>
      </c>
      <c r="H23" s="87">
        <v>0</v>
      </c>
      <c r="I23" s="102">
        <f t="shared" si="4"/>
        <v>1</v>
      </c>
      <c r="J23" s="102">
        <f t="shared" si="5"/>
        <v>0</v>
      </c>
      <c r="K23" s="102">
        <f t="shared" si="6"/>
        <v>0</v>
      </c>
      <c r="L23" s="87">
        <v>0</v>
      </c>
      <c r="M23" s="87">
        <v>4</v>
      </c>
      <c r="N23" s="87">
        <v>0</v>
      </c>
      <c r="O23" s="87">
        <v>0</v>
      </c>
      <c r="S23" s="228">
        <v>0</v>
      </c>
      <c r="T23" s="228">
        <v>1</v>
      </c>
      <c r="U23" s="228">
        <v>0</v>
      </c>
      <c r="V23" s="228">
        <v>0</v>
      </c>
      <c r="W23" s="229">
        <v>0</v>
      </c>
      <c r="X23" s="228">
        <v>0</v>
      </c>
    </row>
    <row r="24" spans="2:24">
      <c r="B24" s="23"/>
      <c r="F24" s="109"/>
      <c r="G24" s="63"/>
      <c r="H24" s="63"/>
      <c r="I24" s="63"/>
      <c r="J24" s="63"/>
      <c r="K24" s="63"/>
      <c r="L24" s="63"/>
      <c r="M24" s="63"/>
      <c r="N24" s="63"/>
      <c r="O24" s="63"/>
      <c r="S24" s="29"/>
      <c r="T24" s="29"/>
      <c r="U24" s="29"/>
      <c r="V24" s="29"/>
      <c r="W24" s="217"/>
      <c r="X24" s="29"/>
    </row>
    <row r="25" spans="2:24">
      <c r="B25" s="108" t="s">
        <v>290</v>
      </c>
      <c r="F25" s="109"/>
      <c r="G25" s="63"/>
      <c r="H25" s="63"/>
      <c r="I25" s="63"/>
      <c r="J25" s="63"/>
      <c r="K25" s="63"/>
      <c r="L25" s="63"/>
      <c r="M25" s="63"/>
      <c r="N25" s="63"/>
      <c r="O25" s="63"/>
      <c r="S25" s="63"/>
      <c r="T25" s="63"/>
      <c r="U25" s="63"/>
      <c r="V25" s="63"/>
      <c r="W25" s="64"/>
      <c r="X25" s="63"/>
    </row>
    <row r="26" spans="2:24">
      <c r="B26" s="23" t="s">
        <v>291</v>
      </c>
      <c r="F26" s="102">
        <f t="shared" si="0"/>
        <v>0</v>
      </c>
      <c r="G26" s="29"/>
      <c r="H26" s="87">
        <v>0</v>
      </c>
      <c r="I26" s="29"/>
      <c r="J26" s="102">
        <f t="shared" ref="J26" si="7">U26+V26</f>
        <v>0</v>
      </c>
      <c r="K26" s="29"/>
      <c r="L26" s="29"/>
      <c r="M26" s="29"/>
      <c r="N26" s="29"/>
      <c r="O26" s="87">
        <v>0</v>
      </c>
      <c r="S26" s="29"/>
      <c r="T26" s="29"/>
      <c r="U26" s="228">
        <v>0</v>
      </c>
      <c r="V26" s="29"/>
      <c r="W26" s="217"/>
      <c r="X26" s="29"/>
    </row>
    <row r="27" spans="2:24">
      <c r="B27" s="3"/>
      <c r="F27" s="109"/>
      <c r="G27" s="63"/>
      <c r="H27" s="63"/>
      <c r="I27" s="63"/>
      <c r="J27" s="63"/>
      <c r="K27" s="63"/>
      <c r="L27" s="63"/>
      <c r="M27" s="63"/>
      <c r="N27" s="63"/>
      <c r="O27" s="63"/>
      <c r="S27" s="63"/>
      <c r="T27" s="63"/>
      <c r="U27" s="63"/>
      <c r="V27" s="63"/>
      <c r="W27" s="64"/>
      <c r="X27" s="63"/>
    </row>
    <row r="28" spans="2:24">
      <c r="B28" s="3"/>
      <c r="F28" s="109"/>
      <c r="G28" s="63"/>
      <c r="H28" s="63"/>
      <c r="I28" s="63"/>
      <c r="J28" s="63"/>
      <c r="K28" s="63"/>
      <c r="L28" s="63"/>
      <c r="M28" s="63"/>
      <c r="N28" s="63"/>
      <c r="O28" s="63"/>
      <c r="S28" s="63"/>
      <c r="T28" s="63"/>
      <c r="U28" s="63"/>
      <c r="V28" s="63"/>
      <c r="W28" s="64"/>
      <c r="X28" s="63"/>
    </row>
    <row r="29" spans="2:24">
      <c r="B29" s="3" t="s">
        <v>305</v>
      </c>
      <c r="F29" s="109"/>
      <c r="G29" s="63"/>
      <c r="H29" s="63"/>
      <c r="I29" s="63"/>
      <c r="J29" s="63"/>
      <c r="K29" s="63"/>
      <c r="L29" s="63"/>
      <c r="M29" s="63"/>
      <c r="N29" s="63"/>
      <c r="O29" s="63"/>
      <c r="S29" s="63"/>
      <c r="T29" s="63"/>
      <c r="U29" s="63"/>
      <c r="V29" s="63"/>
      <c r="W29" s="64"/>
      <c r="X29" s="63"/>
    </row>
    <row r="30" spans="2:24">
      <c r="B30" s="3"/>
      <c r="F30" s="109"/>
      <c r="G30" s="63"/>
      <c r="H30" s="63"/>
      <c r="I30" s="63"/>
      <c r="J30" s="63"/>
      <c r="K30" s="63"/>
      <c r="L30" s="63"/>
      <c r="M30" s="63"/>
      <c r="N30" s="63"/>
      <c r="O30" s="63"/>
      <c r="S30" s="63"/>
      <c r="T30" s="63"/>
      <c r="U30" s="63"/>
      <c r="V30" s="63"/>
      <c r="W30" s="64"/>
      <c r="X30" s="63"/>
    </row>
    <row r="31" spans="2:24">
      <c r="B31" s="108" t="s">
        <v>284</v>
      </c>
      <c r="F31" s="109"/>
      <c r="G31" s="63"/>
      <c r="H31" s="63"/>
      <c r="I31" s="63"/>
      <c r="J31" s="63"/>
      <c r="K31" s="63"/>
      <c r="L31" s="63"/>
      <c r="M31" s="63"/>
      <c r="N31" s="63"/>
      <c r="O31" s="63"/>
      <c r="S31" s="63"/>
      <c r="T31" s="63"/>
      <c r="U31" s="63"/>
      <c r="V31" s="63"/>
      <c r="W31" s="64"/>
      <c r="X31" s="63"/>
    </row>
    <row r="32" spans="2:24">
      <c r="B32" s="61" t="s">
        <v>292</v>
      </c>
      <c r="F32" s="102">
        <f t="shared" si="0"/>
        <v>9119.5274705685079</v>
      </c>
      <c r="G32" s="87">
        <v>240</v>
      </c>
      <c r="H32" s="87">
        <v>198</v>
      </c>
      <c r="I32" s="102">
        <f t="shared" ref="I32:I41" si="8">S32+T32</f>
        <v>795.27095840788036</v>
      </c>
      <c r="J32" s="102">
        <f t="shared" ref="J32:J41" si="9">U32+V32</f>
        <v>2621.0938170742133</v>
      </c>
      <c r="K32" s="102">
        <f t="shared" ref="K32:K41" si="10">W32+X32</f>
        <v>3054.5912722960802</v>
      </c>
      <c r="L32" s="87">
        <v>152.84</v>
      </c>
      <c r="M32" s="87">
        <v>1974.2314227903328</v>
      </c>
      <c r="N32" s="87">
        <v>83.5</v>
      </c>
      <c r="O32" s="87">
        <v>0</v>
      </c>
      <c r="S32" s="228">
        <v>321.86417430084964</v>
      </c>
      <c r="T32" s="228">
        <v>473.40678410703072</v>
      </c>
      <c r="U32" s="228">
        <v>2619.0938170742133</v>
      </c>
      <c r="V32" s="228">
        <v>2</v>
      </c>
      <c r="W32" s="229">
        <v>2904.1804046566431</v>
      </c>
      <c r="X32" s="228">
        <v>150.41086763943699</v>
      </c>
    </row>
    <row r="33" spans="2:24">
      <c r="B33" s="61" t="s">
        <v>293</v>
      </c>
      <c r="F33" s="102">
        <f t="shared" si="0"/>
        <v>12205.023773565397</v>
      </c>
      <c r="G33" s="87">
        <v>186</v>
      </c>
      <c r="H33" s="87">
        <v>265</v>
      </c>
      <c r="I33" s="102">
        <f t="shared" si="8"/>
        <v>555.68274992389513</v>
      </c>
      <c r="J33" s="102">
        <f t="shared" si="9"/>
        <v>3320.4663336130993</v>
      </c>
      <c r="K33" s="102">
        <f t="shared" si="10"/>
        <v>4441.5819528581542</v>
      </c>
      <c r="L33" s="87">
        <v>146.655</v>
      </c>
      <c r="M33" s="87">
        <v>3111.6377371702492</v>
      </c>
      <c r="N33" s="87">
        <v>178</v>
      </c>
      <c r="O33" s="87">
        <v>0</v>
      </c>
      <c r="S33" s="228">
        <v>245.09091029047701</v>
      </c>
      <c r="T33" s="228">
        <v>310.59183963341809</v>
      </c>
      <c r="U33" s="228">
        <v>2934.4663336130993</v>
      </c>
      <c r="V33" s="228">
        <v>386</v>
      </c>
      <c r="W33" s="229">
        <v>4309.1089230026164</v>
      </c>
      <c r="X33" s="228">
        <v>132.47302985553739</v>
      </c>
    </row>
    <row r="34" spans="2:24">
      <c r="B34" s="61" t="s">
        <v>294</v>
      </c>
      <c r="F34" s="102">
        <f t="shared" si="0"/>
        <v>6199.8532751223911</v>
      </c>
      <c r="G34" s="87">
        <v>63</v>
      </c>
      <c r="H34" s="87">
        <v>95</v>
      </c>
      <c r="I34" s="102">
        <f t="shared" si="8"/>
        <v>388.99923756866076</v>
      </c>
      <c r="J34" s="102">
        <f t="shared" si="9"/>
        <v>1567.2635212921048</v>
      </c>
      <c r="K34" s="102">
        <f t="shared" si="10"/>
        <v>2037.4488705148326</v>
      </c>
      <c r="L34" s="87">
        <v>41.295000000000002</v>
      </c>
      <c r="M34" s="87">
        <v>1870.0133124134595</v>
      </c>
      <c r="N34" s="87">
        <v>136.83333333333331</v>
      </c>
      <c r="O34" s="87">
        <v>0</v>
      </c>
      <c r="S34" s="228">
        <v>203.20324300571809</v>
      </c>
      <c r="T34" s="228">
        <v>185.7959945629427</v>
      </c>
      <c r="U34" s="228">
        <v>1442.2635212921048</v>
      </c>
      <c r="V34" s="228">
        <v>125</v>
      </c>
      <c r="W34" s="229">
        <v>1976.6768071653812</v>
      </c>
      <c r="X34" s="228">
        <v>60.772063349451329</v>
      </c>
    </row>
    <row r="35" spans="2:24">
      <c r="B35" s="61" t="s">
        <v>295</v>
      </c>
      <c r="F35" s="102">
        <f t="shared" si="0"/>
        <v>3228.4434671654353</v>
      </c>
      <c r="G35" s="87">
        <v>62</v>
      </c>
      <c r="H35" s="87">
        <v>63</v>
      </c>
      <c r="I35" s="102">
        <f t="shared" si="8"/>
        <v>119.68596350321158</v>
      </c>
      <c r="J35" s="102">
        <f t="shared" si="9"/>
        <v>695.5941743343318</v>
      </c>
      <c r="K35" s="102">
        <f>W35+X35</f>
        <v>1345.3872461461526</v>
      </c>
      <c r="L35" s="87">
        <v>17.97</v>
      </c>
      <c r="M35" s="87">
        <v>550.80608318173984</v>
      </c>
      <c r="N35" s="87">
        <v>374</v>
      </c>
      <c r="O35" s="87">
        <v>0</v>
      </c>
      <c r="S35" s="228">
        <v>56.784495954156462</v>
      </c>
      <c r="T35" s="228">
        <v>62.901467549055127</v>
      </c>
      <c r="U35" s="228">
        <v>613.5941743343318</v>
      </c>
      <c r="V35" s="228">
        <v>82</v>
      </c>
      <c r="W35" s="229">
        <v>1315.5343138286819</v>
      </c>
      <c r="X35" s="228">
        <v>29.852932317470653</v>
      </c>
    </row>
    <row r="36" spans="2:24">
      <c r="B36" s="26" t="s">
        <v>296</v>
      </c>
      <c r="F36" s="102">
        <f t="shared" si="0"/>
        <v>2380.0338954656445</v>
      </c>
      <c r="G36" s="87">
        <v>20</v>
      </c>
      <c r="H36" s="87">
        <v>12</v>
      </c>
      <c r="I36" s="102">
        <f t="shared" si="8"/>
        <v>87.689620018768068</v>
      </c>
      <c r="J36" s="102">
        <f t="shared" si="9"/>
        <v>451.26357719957673</v>
      </c>
      <c r="K36" s="102">
        <f t="shared" si="10"/>
        <v>780.16404332233299</v>
      </c>
      <c r="L36" s="87">
        <v>8.73</v>
      </c>
      <c r="M36" s="87">
        <v>496.51998825829992</v>
      </c>
      <c r="N36" s="87">
        <v>523.66666666666674</v>
      </c>
      <c r="O36" s="87">
        <v>0</v>
      </c>
      <c r="S36" s="228">
        <v>67.7259403717255</v>
      </c>
      <c r="T36" s="228">
        <v>19.963679647042568</v>
      </c>
      <c r="U36" s="228">
        <v>399.26357719957673</v>
      </c>
      <c r="V36" s="228">
        <v>52</v>
      </c>
      <c r="W36" s="229">
        <v>769.21096350691505</v>
      </c>
      <c r="X36" s="228">
        <v>10.953079815417915</v>
      </c>
    </row>
    <row r="37" spans="2:24">
      <c r="B37" s="61" t="s">
        <v>297</v>
      </c>
      <c r="F37" s="102">
        <f t="shared" si="0"/>
        <v>547.78895575530112</v>
      </c>
      <c r="G37" s="87">
        <v>8</v>
      </c>
      <c r="H37" s="87">
        <v>0</v>
      </c>
      <c r="I37" s="102">
        <f t="shared" si="8"/>
        <v>16.927678709205342</v>
      </c>
      <c r="J37" s="102">
        <f t="shared" si="9"/>
        <v>71.388510167926754</v>
      </c>
      <c r="K37" s="102">
        <f t="shared" si="10"/>
        <v>315.64828900569262</v>
      </c>
      <c r="L37" s="87">
        <v>1</v>
      </c>
      <c r="M37" s="87">
        <v>134.49114453914305</v>
      </c>
      <c r="N37" s="87">
        <v>0.33333333333333331</v>
      </c>
      <c r="O37" s="87">
        <v>0</v>
      </c>
      <c r="S37" s="228">
        <v>16.927678709205342</v>
      </c>
      <c r="T37" s="228">
        <v>0</v>
      </c>
      <c r="U37" s="228">
        <v>51.388510167926754</v>
      </c>
      <c r="V37" s="228">
        <v>20</v>
      </c>
      <c r="W37" s="229">
        <v>315.64828900569262</v>
      </c>
      <c r="X37" s="228">
        <v>0</v>
      </c>
    </row>
    <row r="38" spans="2:24">
      <c r="B38" s="61" t="s">
        <v>298</v>
      </c>
      <c r="F38" s="102">
        <f t="shared" si="0"/>
        <v>257.59458488079258</v>
      </c>
      <c r="G38" s="87">
        <v>0</v>
      </c>
      <c r="H38" s="87">
        <v>0</v>
      </c>
      <c r="I38" s="102">
        <f t="shared" si="8"/>
        <v>7.9695489301917215</v>
      </c>
      <c r="J38" s="102">
        <f t="shared" si="9"/>
        <v>21.378518096395492</v>
      </c>
      <c r="K38" s="102">
        <f t="shared" si="10"/>
        <v>185.71797008543075</v>
      </c>
      <c r="L38" s="87">
        <v>0</v>
      </c>
      <c r="M38" s="87">
        <v>40.028547768774615</v>
      </c>
      <c r="N38" s="87">
        <v>2.5</v>
      </c>
      <c r="O38" s="87">
        <v>0</v>
      </c>
      <c r="S38" s="228">
        <v>7.9695489301917215</v>
      </c>
      <c r="T38" s="228">
        <v>0</v>
      </c>
      <c r="U38" s="228">
        <v>17.378518096395492</v>
      </c>
      <c r="V38" s="228">
        <v>4</v>
      </c>
      <c r="W38" s="229">
        <v>185.71797008543075</v>
      </c>
      <c r="X38" s="228">
        <v>0</v>
      </c>
    </row>
    <row r="39" spans="2:24">
      <c r="B39" s="61" t="s">
        <v>299</v>
      </c>
      <c r="F39" s="102">
        <f t="shared" si="0"/>
        <v>343.39276001428266</v>
      </c>
      <c r="G39" s="87">
        <v>0</v>
      </c>
      <c r="H39" s="87">
        <v>1</v>
      </c>
      <c r="I39" s="102">
        <f t="shared" si="8"/>
        <v>3.9812302774575627</v>
      </c>
      <c r="J39" s="102">
        <f t="shared" si="9"/>
        <v>0</v>
      </c>
      <c r="K39" s="102">
        <f t="shared" si="10"/>
        <v>80.827220747622249</v>
      </c>
      <c r="L39" s="87">
        <v>0</v>
      </c>
      <c r="M39" s="87">
        <v>14.91764232253621</v>
      </c>
      <c r="N39" s="87">
        <v>242.66666666666663</v>
      </c>
      <c r="O39" s="87">
        <v>0</v>
      </c>
      <c r="S39" s="228">
        <v>3.9812302774575627</v>
      </c>
      <c r="T39" s="228">
        <v>0</v>
      </c>
      <c r="U39" s="228">
        <v>0</v>
      </c>
      <c r="V39" s="228">
        <v>0</v>
      </c>
      <c r="W39" s="229">
        <v>80.827220747622249</v>
      </c>
      <c r="X39" s="228">
        <v>0</v>
      </c>
    </row>
    <row r="40" spans="2:24">
      <c r="B40" s="23" t="s">
        <v>300</v>
      </c>
      <c r="F40" s="102">
        <f t="shared" si="0"/>
        <v>40.69154113875706</v>
      </c>
      <c r="G40" s="87">
        <v>0</v>
      </c>
      <c r="H40" s="87">
        <v>0</v>
      </c>
      <c r="I40" s="102">
        <f t="shared" si="8"/>
        <v>1.9848757644538741</v>
      </c>
      <c r="J40" s="102">
        <f t="shared" si="9"/>
        <v>0</v>
      </c>
      <c r="K40" s="102">
        <f t="shared" si="10"/>
        <v>33.899927693682528</v>
      </c>
      <c r="L40" s="87">
        <v>0</v>
      </c>
      <c r="M40" s="87">
        <v>4.8067376806206568</v>
      </c>
      <c r="N40" s="87">
        <v>0</v>
      </c>
      <c r="O40" s="87">
        <v>0</v>
      </c>
      <c r="S40" s="228">
        <v>1.9848757644538741</v>
      </c>
      <c r="T40" s="228">
        <v>0</v>
      </c>
      <c r="U40" s="228">
        <v>0</v>
      </c>
      <c r="V40" s="228">
        <v>0</v>
      </c>
      <c r="W40" s="229">
        <v>33.899927693682528</v>
      </c>
      <c r="X40" s="228">
        <v>0</v>
      </c>
    </row>
    <row r="41" spans="2:24">
      <c r="B41" s="23" t="s">
        <v>301</v>
      </c>
      <c r="F41" s="102">
        <f t="shared" si="0"/>
        <v>24.729573039402489</v>
      </c>
      <c r="G41" s="87">
        <v>0</v>
      </c>
      <c r="H41" s="87">
        <v>0</v>
      </c>
      <c r="I41" s="102">
        <f t="shared" si="8"/>
        <v>0</v>
      </c>
      <c r="J41" s="102">
        <f t="shared" si="9"/>
        <v>0</v>
      </c>
      <c r="K41" s="102">
        <f t="shared" si="10"/>
        <v>13.767606583826444</v>
      </c>
      <c r="L41" s="87">
        <v>0</v>
      </c>
      <c r="M41" s="87">
        <v>1.4619664555760465</v>
      </c>
      <c r="N41" s="87">
        <v>9.5</v>
      </c>
      <c r="O41" s="87">
        <v>0</v>
      </c>
      <c r="S41" s="228">
        <v>0</v>
      </c>
      <c r="T41" s="228">
        <v>0</v>
      </c>
      <c r="U41" s="228">
        <v>0</v>
      </c>
      <c r="V41" s="228">
        <v>0</v>
      </c>
      <c r="W41" s="229">
        <v>13.767606583826444</v>
      </c>
      <c r="X41" s="228">
        <v>0</v>
      </c>
    </row>
    <row r="42" spans="2:24">
      <c r="B42" s="23"/>
      <c r="F42" s="109"/>
      <c r="G42" s="63"/>
      <c r="H42" s="63"/>
      <c r="I42" s="63"/>
      <c r="J42" s="63"/>
      <c r="K42" s="63"/>
      <c r="L42" s="63"/>
      <c r="M42" s="63"/>
      <c r="N42" s="63"/>
      <c r="O42" s="63"/>
      <c r="S42" s="63"/>
      <c r="T42" s="63"/>
      <c r="U42" s="63"/>
      <c r="V42" s="63"/>
      <c r="W42" s="64"/>
      <c r="X42" s="63"/>
    </row>
    <row r="43" spans="2:24">
      <c r="B43" s="108" t="s">
        <v>289</v>
      </c>
      <c r="F43" s="109"/>
      <c r="G43" s="63"/>
      <c r="H43" s="63"/>
      <c r="I43" s="63"/>
      <c r="J43" s="63"/>
      <c r="K43" s="63"/>
      <c r="L43" s="63"/>
      <c r="M43" s="63"/>
      <c r="N43" s="63"/>
      <c r="O43" s="63"/>
      <c r="S43" s="63"/>
      <c r="T43" s="63"/>
      <c r="U43" s="63"/>
      <c r="V43" s="63"/>
      <c r="W43" s="64"/>
      <c r="X43" s="63"/>
    </row>
    <row r="44" spans="2:24">
      <c r="B44" s="61" t="s">
        <v>292</v>
      </c>
      <c r="F44" s="102">
        <f t="shared" si="0"/>
        <v>159.88144229174929</v>
      </c>
      <c r="G44" s="87">
        <v>0</v>
      </c>
      <c r="H44" s="87">
        <v>0</v>
      </c>
      <c r="I44" s="102">
        <f t="shared" ref="I44:I53" si="11">S44+T44</f>
        <v>0</v>
      </c>
      <c r="J44" s="102">
        <f t="shared" ref="J44:J53" si="12">U44+V44</f>
        <v>85.385613099652957</v>
      </c>
      <c r="K44" s="102">
        <f t="shared" ref="K44:K53" si="13">W44+X44</f>
        <v>8</v>
      </c>
      <c r="L44" s="87">
        <v>1</v>
      </c>
      <c r="M44" s="87">
        <v>65.495829192096352</v>
      </c>
      <c r="N44" s="87">
        <v>0</v>
      </c>
      <c r="O44" s="87">
        <v>0</v>
      </c>
      <c r="S44" s="228">
        <v>0</v>
      </c>
      <c r="T44" s="228">
        <v>0</v>
      </c>
      <c r="U44" s="228">
        <v>85.385613099652957</v>
      </c>
      <c r="V44" s="228">
        <v>0</v>
      </c>
      <c r="W44" s="229">
        <v>8</v>
      </c>
      <c r="X44" s="228">
        <v>0</v>
      </c>
    </row>
    <row r="45" spans="2:24">
      <c r="B45" s="61" t="s">
        <v>293</v>
      </c>
      <c r="F45" s="102">
        <f t="shared" si="0"/>
        <v>500.37652280907105</v>
      </c>
      <c r="G45" s="87">
        <v>3</v>
      </c>
      <c r="H45" s="87">
        <v>23</v>
      </c>
      <c r="I45" s="102">
        <f t="shared" si="11"/>
        <v>1</v>
      </c>
      <c r="J45" s="102">
        <f t="shared" si="12"/>
        <v>286.94520779614663</v>
      </c>
      <c r="K45" s="102">
        <f t="shared" si="13"/>
        <v>10</v>
      </c>
      <c r="L45" s="87">
        <v>9.16</v>
      </c>
      <c r="M45" s="87">
        <v>167.27131501292442</v>
      </c>
      <c r="N45" s="87">
        <v>0</v>
      </c>
      <c r="O45" s="87">
        <v>0</v>
      </c>
      <c r="S45" s="228">
        <v>0</v>
      </c>
      <c r="T45" s="228">
        <v>1</v>
      </c>
      <c r="U45" s="228">
        <v>284.94520779614663</v>
      </c>
      <c r="V45" s="228">
        <v>2</v>
      </c>
      <c r="W45" s="229">
        <v>10</v>
      </c>
      <c r="X45" s="228">
        <v>0</v>
      </c>
    </row>
    <row r="46" spans="2:24">
      <c r="B46" s="61" t="s">
        <v>294</v>
      </c>
      <c r="F46" s="102">
        <f t="shared" si="0"/>
        <v>607.11748202547687</v>
      </c>
      <c r="G46" s="87">
        <v>2</v>
      </c>
      <c r="H46" s="87">
        <v>10</v>
      </c>
      <c r="I46" s="102">
        <f t="shared" si="11"/>
        <v>6</v>
      </c>
      <c r="J46" s="102">
        <f t="shared" si="12"/>
        <v>351.40048876842144</v>
      </c>
      <c r="K46" s="102">
        <f t="shared" si="13"/>
        <v>7</v>
      </c>
      <c r="L46" s="87">
        <v>14</v>
      </c>
      <c r="M46" s="87">
        <v>216.21699325705541</v>
      </c>
      <c r="N46" s="87">
        <v>0.5</v>
      </c>
      <c r="O46" s="87">
        <v>0</v>
      </c>
      <c r="S46" s="228">
        <v>3</v>
      </c>
      <c r="T46" s="228">
        <v>3</v>
      </c>
      <c r="U46" s="228">
        <v>349.40048876842144</v>
      </c>
      <c r="V46" s="228">
        <v>2</v>
      </c>
      <c r="W46" s="229">
        <v>7</v>
      </c>
      <c r="X46" s="228">
        <v>0</v>
      </c>
    </row>
    <row r="47" spans="2:24">
      <c r="B47" s="61" t="s">
        <v>295</v>
      </c>
      <c r="F47" s="102">
        <f t="shared" si="0"/>
        <v>770.0184971257878</v>
      </c>
      <c r="G47" s="87">
        <v>23</v>
      </c>
      <c r="H47" s="87">
        <v>38</v>
      </c>
      <c r="I47" s="102">
        <f t="shared" si="11"/>
        <v>12.981525711787508</v>
      </c>
      <c r="J47" s="102">
        <f t="shared" si="12"/>
        <v>491.34446182390207</v>
      </c>
      <c r="K47" s="102">
        <f t="shared" si="13"/>
        <v>22</v>
      </c>
      <c r="L47" s="87">
        <v>21</v>
      </c>
      <c r="M47" s="87">
        <v>159.19250959009821</v>
      </c>
      <c r="N47" s="87">
        <v>2.5</v>
      </c>
      <c r="O47" s="87">
        <v>0</v>
      </c>
      <c r="S47" s="228">
        <v>0</v>
      </c>
      <c r="T47" s="228">
        <v>12.981525711787508</v>
      </c>
      <c r="U47" s="228">
        <v>484.34446182390207</v>
      </c>
      <c r="V47" s="228">
        <v>7</v>
      </c>
      <c r="W47" s="229">
        <v>20</v>
      </c>
      <c r="X47" s="228">
        <v>2</v>
      </c>
    </row>
    <row r="48" spans="2:24">
      <c r="B48" s="26" t="s">
        <v>296</v>
      </c>
      <c r="F48" s="102">
        <f t="shared" si="0"/>
        <v>1132.8141491659278</v>
      </c>
      <c r="G48" s="87">
        <v>15</v>
      </c>
      <c r="H48" s="87">
        <v>34</v>
      </c>
      <c r="I48" s="102">
        <f t="shared" si="11"/>
        <v>33.943456964654239</v>
      </c>
      <c r="J48" s="102">
        <f t="shared" si="12"/>
        <v>457.98170251593746</v>
      </c>
      <c r="K48" s="102">
        <f t="shared" si="13"/>
        <v>23</v>
      </c>
      <c r="L48" s="87">
        <v>19.27</v>
      </c>
      <c r="M48" s="87">
        <v>536.61898968533615</v>
      </c>
      <c r="N48" s="87">
        <v>13</v>
      </c>
      <c r="O48" s="87">
        <v>0</v>
      </c>
      <c r="S48" s="228">
        <v>1</v>
      </c>
      <c r="T48" s="228">
        <v>32.943456964654239</v>
      </c>
      <c r="U48" s="228">
        <v>444.98170251593746</v>
      </c>
      <c r="V48" s="228">
        <v>13</v>
      </c>
      <c r="W48" s="229">
        <v>23</v>
      </c>
      <c r="X48" s="228">
        <v>0</v>
      </c>
    </row>
    <row r="49" spans="2:24">
      <c r="B49" s="61" t="s">
        <v>297</v>
      </c>
      <c r="F49" s="102">
        <f t="shared" si="0"/>
        <v>783.32395755947766</v>
      </c>
      <c r="G49" s="87">
        <v>9</v>
      </c>
      <c r="H49" s="87">
        <v>15</v>
      </c>
      <c r="I49" s="102">
        <f t="shared" si="11"/>
        <v>76.859304587940372</v>
      </c>
      <c r="J49" s="102">
        <f t="shared" si="12"/>
        <v>301.55691942551772</v>
      </c>
      <c r="K49" s="102">
        <f t="shared" si="13"/>
        <v>81.830909695598393</v>
      </c>
      <c r="L49" s="87">
        <v>8.8333333333333321</v>
      </c>
      <c r="M49" s="87">
        <v>241.24349051708791</v>
      </c>
      <c r="N49" s="87">
        <v>49</v>
      </c>
      <c r="O49" s="87">
        <v>0</v>
      </c>
      <c r="S49" s="228">
        <v>8</v>
      </c>
      <c r="T49" s="228">
        <v>68.859304587940372</v>
      </c>
      <c r="U49" s="228">
        <v>285.55691942551772</v>
      </c>
      <c r="V49" s="228">
        <v>16</v>
      </c>
      <c r="W49" s="229">
        <v>40</v>
      </c>
      <c r="X49" s="228">
        <v>41.830909695598386</v>
      </c>
    </row>
    <row r="50" spans="2:24">
      <c r="B50" s="61" t="s">
        <v>298</v>
      </c>
      <c r="F50" s="102">
        <f t="shared" si="0"/>
        <v>553.74203795791777</v>
      </c>
      <c r="G50" s="87">
        <v>4</v>
      </c>
      <c r="H50" s="87">
        <v>2</v>
      </c>
      <c r="I50" s="102">
        <f t="shared" si="11"/>
        <v>57.940123999023378</v>
      </c>
      <c r="J50" s="102">
        <f t="shared" si="12"/>
        <v>172.47720800646326</v>
      </c>
      <c r="K50" s="102">
        <f t="shared" si="13"/>
        <v>35.992277429032555</v>
      </c>
      <c r="L50" s="87">
        <v>5.0599999999999996</v>
      </c>
      <c r="M50" s="87">
        <v>241.77242852339862</v>
      </c>
      <c r="N50" s="87">
        <v>34.5</v>
      </c>
      <c r="O50" s="87">
        <v>0</v>
      </c>
      <c r="S50" s="228">
        <v>2</v>
      </c>
      <c r="T50" s="228">
        <v>55.940123999023378</v>
      </c>
      <c r="U50" s="228">
        <v>167.47720800646326</v>
      </c>
      <c r="V50" s="228">
        <v>5</v>
      </c>
      <c r="W50" s="229">
        <v>34</v>
      </c>
      <c r="X50" s="228">
        <v>1.9922774290325564</v>
      </c>
    </row>
    <row r="51" spans="2:24">
      <c r="B51" s="61" t="s">
        <v>299</v>
      </c>
      <c r="F51" s="102">
        <f t="shared" si="0"/>
        <v>350.77657565645069</v>
      </c>
      <c r="G51" s="87">
        <v>0</v>
      </c>
      <c r="H51" s="87">
        <v>2</v>
      </c>
      <c r="I51" s="102">
        <f t="shared" si="11"/>
        <v>60.929328320542794</v>
      </c>
      <c r="J51" s="102">
        <f t="shared" si="12"/>
        <v>60.820274658179962</v>
      </c>
      <c r="K51" s="102">
        <f t="shared" si="13"/>
        <v>46.839341587510695</v>
      </c>
      <c r="L51" s="87">
        <v>6</v>
      </c>
      <c r="M51" s="87">
        <v>138.52096442355059</v>
      </c>
      <c r="N51" s="87">
        <v>35.666666666666671</v>
      </c>
      <c r="O51" s="87">
        <v>0</v>
      </c>
      <c r="S51" s="228">
        <v>0</v>
      </c>
      <c r="T51" s="228">
        <v>60.929328320542794</v>
      </c>
      <c r="U51" s="228">
        <v>55.820274658179962</v>
      </c>
      <c r="V51" s="228">
        <v>5</v>
      </c>
      <c r="W51" s="229">
        <v>21</v>
      </c>
      <c r="X51" s="228">
        <v>25.839341587510695</v>
      </c>
    </row>
    <row r="52" spans="2:24">
      <c r="B52" s="23" t="s">
        <v>300</v>
      </c>
      <c r="F52" s="102">
        <f t="shared" si="0"/>
        <v>97.124683371748631</v>
      </c>
      <c r="G52" s="87">
        <v>0</v>
      </c>
      <c r="H52" s="87">
        <v>0</v>
      </c>
      <c r="I52" s="102">
        <f t="shared" si="11"/>
        <v>9.1506030205878961</v>
      </c>
      <c r="J52" s="102">
        <f t="shared" si="12"/>
        <v>16.906703544954187</v>
      </c>
      <c r="K52" s="102">
        <f t="shared" si="13"/>
        <v>11</v>
      </c>
      <c r="L52" s="87">
        <v>5</v>
      </c>
      <c r="M52" s="87">
        <v>48.067376806206553</v>
      </c>
      <c r="N52" s="87">
        <v>7</v>
      </c>
      <c r="O52" s="87">
        <v>0</v>
      </c>
      <c r="S52" s="228">
        <v>4</v>
      </c>
      <c r="T52" s="228">
        <v>5.1506030205878961</v>
      </c>
      <c r="U52" s="228">
        <v>16.906703544954187</v>
      </c>
      <c r="V52" s="228">
        <v>0</v>
      </c>
      <c r="W52" s="229">
        <v>11</v>
      </c>
      <c r="X52" s="228">
        <v>0</v>
      </c>
    </row>
    <row r="53" spans="2:24">
      <c r="B53" s="23" t="s">
        <v>301</v>
      </c>
      <c r="F53" s="102">
        <f t="shared" si="0"/>
        <v>123.33551109565097</v>
      </c>
      <c r="G53" s="87">
        <v>0</v>
      </c>
      <c r="H53" s="87">
        <v>0</v>
      </c>
      <c r="I53" s="102">
        <f t="shared" si="11"/>
        <v>2</v>
      </c>
      <c r="J53" s="102">
        <f t="shared" si="12"/>
        <v>3.1538821999090825</v>
      </c>
      <c r="K53" s="102">
        <f t="shared" si="13"/>
        <v>9.9920838563715826</v>
      </c>
      <c r="L53" s="87">
        <v>3</v>
      </c>
      <c r="M53" s="87">
        <v>34.35621170603698</v>
      </c>
      <c r="N53" s="87">
        <v>70.833333333333329</v>
      </c>
      <c r="O53" s="87">
        <v>0</v>
      </c>
      <c r="S53" s="228">
        <v>2</v>
      </c>
      <c r="T53" s="228">
        <v>0</v>
      </c>
      <c r="U53" s="228">
        <v>3.1538821999090825</v>
      </c>
      <c r="V53" s="228">
        <v>0</v>
      </c>
      <c r="W53" s="229">
        <v>8</v>
      </c>
      <c r="X53" s="228">
        <v>1.9920838563715826</v>
      </c>
    </row>
    <row r="54" spans="2:24">
      <c r="B54" s="23"/>
      <c r="F54" s="109"/>
      <c r="G54" s="63"/>
      <c r="H54" s="63"/>
      <c r="I54" s="63"/>
      <c r="J54" s="63"/>
      <c r="K54" s="63"/>
      <c r="L54" s="63"/>
      <c r="M54" s="63"/>
      <c r="N54" s="63"/>
      <c r="O54" s="63"/>
      <c r="S54" s="63"/>
      <c r="T54" s="63"/>
      <c r="U54" s="63"/>
      <c r="V54" s="63"/>
      <c r="W54" s="64"/>
      <c r="X54" s="63"/>
    </row>
    <row r="55" spans="2:24">
      <c r="B55" s="108" t="s">
        <v>290</v>
      </c>
      <c r="F55" s="109"/>
      <c r="G55" s="63"/>
      <c r="H55" s="63"/>
      <c r="I55" s="63"/>
      <c r="J55" s="63"/>
      <c r="K55" s="63"/>
      <c r="L55" s="63"/>
      <c r="M55" s="63"/>
      <c r="N55" s="63"/>
      <c r="O55" s="63"/>
      <c r="S55" s="63"/>
      <c r="T55" s="63"/>
      <c r="U55" s="63"/>
      <c r="V55" s="63"/>
      <c r="W55" s="64"/>
      <c r="X55" s="63"/>
    </row>
    <row r="56" spans="2:24">
      <c r="B56" s="23" t="s">
        <v>302</v>
      </c>
      <c r="F56" s="102">
        <f t="shared" si="0"/>
        <v>16</v>
      </c>
      <c r="G56" s="29"/>
      <c r="H56" s="87">
        <v>13</v>
      </c>
      <c r="I56" s="29"/>
      <c r="J56" s="102">
        <f t="shared" ref="J56" si="14">U56+V56</f>
        <v>3</v>
      </c>
      <c r="K56" s="29"/>
      <c r="L56" s="29"/>
      <c r="M56" s="29"/>
      <c r="N56" s="29"/>
      <c r="O56" s="87">
        <v>0</v>
      </c>
      <c r="S56" s="63"/>
      <c r="T56" s="63"/>
      <c r="U56" s="228">
        <v>3</v>
      </c>
      <c r="V56" s="63"/>
      <c r="W56" s="64"/>
      <c r="X56" s="63"/>
    </row>
    <row r="57" spans="2:24">
      <c r="B57" s="22"/>
      <c r="F57" s="109"/>
      <c r="G57" s="63"/>
      <c r="H57" s="63"/>
      <c r="I57" s="63"/>
      <c r="J57" s="63"/>
      <c r="K57" s="63"/>
      <c r="L57" s="63"/>
      <c r="M57" s="63"/>
      <c r="N57" s="63"/>
      <c r="O57" s="63"/>
      <c r="S57" s="63"/>
      <c r="T57" s="63"/>
      <c r="U57" s="63"/>
      <c r="V57" s="63"/>
      <c r="W57" s="64"/>
      <c r="X57" s="63"/>
    </row>
    <row r="58" spans="2:24">
      <c r="B58" s="22"/>
      <c r="F58" s="109"/>
      <c r="G58" s="63"/>
      <c r="H58" s="63"/>
      <c r="I58" s="63"/>
      <c r="J58" s="63"/>
      <c r="K58" s="63"/>
      <c r="L58" s="63"/>
      <c r="M58" s="63"/>
      <c r="N58" s="63"/>
      <c r="O58" s="63"/>
      <c r="S58" s="63"/>
      <c r="T58" s="63"/>
      <c r="U58" s="63"/>
      <c r="V58" s="63"/>
      <c r="W58" s="64"/>
      <c r="X58" s="63"/>
    </row>
    <row r="59" spans="2:24">
      <c r="B59" s="22"/>
      <c r="F59" s="109"/>
      <c r="G59" s="63"/>
      <c r="H59" s="63"/>
      <c r="I59" s="63"/>
      <c r="J59" s="63"/>
      <c r="K59" s="63"/>
      <c r="L59" s="63"/>
      <c r="M59" s="63"/>
      <c r="N59" s="63"/>
      <c r="O59" s="63"/>
      <c r="S59" s="63"/>
      <c r="T59" s="63"/>
      <c r="U59" s="63"/>
      <c r="V59" s="63"/>
      <c r="W59" s="64"/>
      <c r="X59" s="63"/>
    </row>
    <row r="60" spans="2:24">
      <c r="B60" s="22"/>
      <c r="F60" s="109"/>
      <c r="G60" s="63"/>
      <c r="H60" s="63"/>
      <c r="I60" s="63"/>
      <c r="J60" s="63"/>
      <c r="K60" s="63"/>
      <c r="L60" s="63"/>
      <c r="M60" s="63"/>
      <c r="N60" s="63"/>
      <c r="O60" s="63"/>
      <c r="S60" s="63"/>
      <c r="T60" s="63"/>
      <c r="U60" s="63"/>
      <c r="V60" s="63"/>
      <c r="W60" s="64"/>
      <c r="X60" s="63"/>
    </row>
    <row r="61" spans="2:24">
      <c r="B61" s="3" t="s">
        <v>307</v>
      </c>
      <c r="F61" s="109"/>
      <c r="G61" s="63"/>
      <c r="H61" s="63"/>
      <c r="I61" s="63"/>
      <c r="J61" s="63"/>
      <c r="K61" s="63"/>
      <c r="L61" s="63"/>
      <c r="M61" s="63"/>
      <c r="N61" s="63"/>
      <c r="O61" s="63"/>
      <c r="S61" s="63"/>
      <c r="T61" s="63"/>
      <c r="U61" s="63"/>
      <c r="V61" s="63"/>
      <c r="W61" s="64"/>
      <c r="X61" s="63"/>
    </row>
    <row r="62" spans="2:24">
      <c r="B62" s="3"/>
      <c r="F62" s="109"/>
      <c r="G62" s="63"/>
      <c r="H62" s="63"/>
      <c r="I62" s="63"/>
      <c r="J62" s="63"/>
      <c r="K62" s="63"/>
      <c r="L62" s="63"/>
      <c r="M62" s="63"/>
      <c r="N62" s="63"/>
      <c r="O62" s="63"/>
      <c r="S62" s="63"/>
      <c r="T62" s="63"/>
      <c r="U62" s="63"/>
      <c r="V62" s="63"/>
      <c r="W62" s="64"/>
      <c r="X62" s="63"/>
    </row>
    <row r="63" spans="2:24">
      <c r="B63" s="108" t="s">
        <v>284</v>
      </c>
      <c r="F63" s="109"/>
      <c r="G63" s="63"/>
      <c r="H63" s="63"/>
      <c r="I63" s="63"/>
      <c r="J63" s="63"/>
      <c r="K63" s="63"/>
      <c r="L63" s="63"/>
      <c r="M63" s="63"/>
      <c r="N63" s="63"/>
      <c r="O63" s="63"/>
      <c r="S63" s="63"/>
      <c r="T63" s="63"/>
      <c r="U63" s="63"/>
      <c r="V63" s="63"/>
      <c r="W63" s="64"/>
      <c r="X63" s="63"/>
    </row>
    <row r="64" spans="2:24">
      <c r="B64" s="23" t="s">
        <v>285</v>
      </c>
      <c r="F64" s="102">
        <f t="shared" si="0"/>
        <v>76196.784958833872</v>
      </c>
      <c r="G64" s="87">
        <v>1927</v>
      </c>
      <c r="H64" s="87">
        <v>1758</v>
      </c>
      <c r="I64" s="102">
        <f t="shared" ref="I64:I67" si="15">S64+T64</f>
        <v>4042</v>
      </c>
      <c r="J64" s="102">
        <f t="shared" ref="J64:J67" si="16">U64+V64</f>
        <v>20112.626415407522</v>
      </c>
      <c r="K64" s="102">
        <f t="shared" ref="K64:K67" si="17">W64+X64</f>
        <v>21788</v>
      </c>
      <c r="L64" s="87">
        <v>1129</v>
      </c>
      <c r="M64" s="87">
        <v>24572.158543426351</v>
      </c>
      <c r="N64" s="87">
        <v>868</v>
      </c>
      <c r="O64" s="87">
        <v>0</v>
      </c>
      <c r="S64" s="228">
        <v>2290</v>
      </c>
      <c r="T64" s="228">
        <v>1752</v>
      </c>
      <c r="U64" s="228">
        <v>18697.626415407522</v>
      </c>
      <c r="V64" s="228">
        <v>1415</v>
      </c>
      <c r="W64" s="229">
        <v>21465</v>
      </c>
      <c r="X64" s="228">
        <v>323</v>
      </c>
    </row>
    <row r="65" spans="2:24">
      <c r="B65" s="23" t="s">
        <v>286</v>
      </c>
      <c r="F65" s="102">
        <f t="shared" si="0"/>
        <v>862.12825460680097</v>
      </c>
      <c r="G65" s="87">
        <v>0</v>
      </c>
      <c r="H65" s="87">
        <v>0</v>
      </c>
      <c r="I65" s="102">
        <f t="shared" si="15"/>
        <v>85</v>
      </c>
      <c r="J65" s="102">
        <f t="shared" si="16"/>
        <v>203.44832238343278</v>
      </c>
      <c r="K65" s="102">
        <f t="shared" si="17"/>
        <v>310</v>
      </c>
      <c r="L65" s="87">
        <v>12</v>
      </c>
      <c r="M65" s="87">
        <v>244.67993222336813</v>
      </c>
      <c r="N65" s="87">
        <v>7</v>
      </c>
      <c r="O65" s="87">
        <v>0</v>
      </c>
      <c r="S65" s="228">
        <v>0</v>
      </c>
      <c r="T65" s="228">
        <v>85</v>
      </c>
      <c r="U65" s="228">
        <v>203.44832238343278</v>
      </c>
      <c r="V65" s="228">
        <v>0</v>
      </c>
      <c r="W65" s="229">
        <v>295</v>
      </c>
      <c r="X65" s="228">
        <v>15</v>
      </c>
    </row>
    <row r="66" spans="2:24">
      <c r="B66" s="61" t="s">
        <v>287</v>
      </c>
      <c r="F66" s="102">
        <f t="shared" si="0"/>
        <v>782.77844245503684</v>
      </c>
      <c r="G66" s="87">
        <v>22.990691971343296</v>
      </c>
      <c r="H66" s="87">
        <v>41</v>
      </c>
      <c r="I66" s="102">
        <f t="shared" si="15"/>
        <v>58</v>
      </c>
      <c r="J66" s="102">
        <f t="shared" si="16"/>
        <v>253.55627118503438</v>
      </c>
      <c r="K66" s="102">
        <f t="shared" si="17"/>
        <v>165</v>
      </c>
      <c r="L66" s="87">
        <v>12</v>
      </c>
      <c r="M66" s="87">
        <v>228.23147929865922</v>
      </c>
      <c r="N66" s="87">
        <v>2</v>
      </c>
      <c r="O66" s="87">
        <v>0</v>
      </c>
      <c r="S66" s="228">
        <v>35</v>
      </c>
      <c r="T66" s="228">
        <v>23</v>
      </c>
      <c r="U66" s="228">
        <v>231.55627118503438</v>
      </c>
      <c r="V66" s="228">
        <v>22</v>
      </c>
      <c r="W66" s="229">
        <v>153</v>
      </c>
      <c r="X66" s="228">
        <v>12</v>
      </c>
    </row>
    <row r="67" spans="2:24">
      <c r="B67" s="61" t="s">
        <v>288</v>
      </c>
      <c r="F67" s="102">
        <f t="shared" si="0"/>
        <v>508.71487899274626</v>
      </c>
      <c r="G67" s="87">
        <v>6</v>
      </c>
      <c r="H67" s="87">
        <v>8</v>
      </c>
      <c r="I67" s="102">
        <f t="shared" si="15"/>
        <v>36</v>
      </c>
      <c r="J67" s="102">
        <f t="shared" si="16"/>
        <v>156.54964556948104</v>
      </c>
      <c r="K67" s="102">
        <f t="shared" si="17"/>
        <v>196</v>
      </c>
      <c r="L67" s="87">
        <v>3</v>
      </c>
      <c r="M67" s="87">
        <v>97.165233423265178</v>
      </c>
      <c r="N67" s="87">
        <v>6</v>
      </c>
      <c r="O67" s="87">
        <v>0</v>
      </c>
      <c r="S67" s="228">
        <v>9</v>
      </c>
      <c r="T67" s="228">
        <v>27</v>
      </c>
      <c r="U67" s="228">
        <v>148.54964556948104</v>
      </c>
      <c r="V67" s="228">
        <v>8</v>
      </c>
      <c r="W67" s="229">
        <v>186</v>
      </c>
      <c r="X67" s="228">
        <v>10</v>
      </c>
    </row>
    <row r="68" spans="2:24">
      <c r="B68" s="23"/>
      <c r="F68" s="109"/>
      <c r="G68" s="63"/>
      <c r="H68" s="63"/>
      <c r="I68" s="63"/>
      <c r="J68" s="63"/>
      <c r="K68" s="63"/>
      <c r="L68" s="63"/>
      <c r="M68" s="63"/>
      <c r="N68" s="63"/>
      <c r="O68" s="63"/>
      <c r="S68" s="63"/>
      <c r="T68" s="63"/>
      <c r="U68" s="63"/>
      <c r="V68" s="63"/>
      <c r="W68" s="64"/>
      <c r="X68" s="63"/>
    </row>
    <row r="69" spans="2:24">
      <c r="B69" s="108" t="s">
        <v>289</v>
      </c>
      <c r="F69" s="109"/>
      <c r="G69" s="63"/>
      <c r="H69" s="63"/>
      <c r="I69" s="63"/>
      <c r="J69" s="63"/>
      <c r="K69" s="63"/>
      <c r="L69" s="63"/>
      <c r="M69" s="63"/>
      <c r="N69" s="63"/>
      <c r="O69" s="63"/>
      <c r="S69" s="63"/>
      <c r="T69" s="63"/>
      <c r="U69" s="63"/>
      <c r="V69" s="63"/>
      <c r="W69" s="64"/>
      <c r="X69" s="63"/>
    </row>
    <row r="70" spans="2:24">
      <c r="B70" s="23" t="s">
        <v>285</v>
      </c>
      <c r="F70" s="102">
        <f t="shared" si="0"/>
        <v>0</v>
      </c>
      <c r="G70" s="87">
        <v>0</v>
      </c>
      <c r="H70" s="87">
        <v>0</v>
      </c>
      <c r="I70" s="102">
        <f t="shared" ref="I70:I73" si="18">S70+T70</f>
        <v>0</v>
      </c>
      <c r="J70" s="102">
        <f t="shared" ref="J70:J73" si="19">U70+V70</f>
        <v>0</v>
      </c>
      <c r="K70" s="102">
        <f t="shared" ref="K70:K73" si="20">W70+X70</f>
        <v>0</v>
      </c>
      <c r="L70" s="87">
        <v>0</v>
      </c>
      <c r="M70" s="87">
        <v>0</v>
      </c>
      <c r="N70" s="87">
        <v>0</v>
      </c>
      <c r="O70" s="87">
        <v>0</v>
      </c>
      <c r="S70" s="228">
        <v>0</v>
      </c>
      <c r="T70" s="228">
        <v>0</v>
      </c>
      <c r="U70" s="228">
        <v>0</v>
      </c>
      <c r="V70" s="228">
        <v>0</v>
      </c>
      <c r="W70" s="229">
        <v>0</v>
      </c>
      <c r="X70" s="228">
        <v>0</v>
      </c>
    </row>
    <row r="71" spans="2:24">
      <c r="B71" s="23" t="s">
        <v>286</v>
      </c>
      <c r="F71" s="102">
        <f t="shared" si="0"/>
        <v>0</v>
      </c>
      <c r="G71" s="87">
        <v>0</v>
      </c>
      <c r="H71" s="87">
        <v>0</v>
      </c>
      <c r="I71" s="102">
        <f t="shared" si="18"/>
        <v>0</v>
      </c>
      <c r="J71" s="102">
        <f t="shared" si="19"/>
        <v>0</v>
      </c>
      <c r="K71" s="102">
        <f t="shared" si="20"/>
        <v>0</v>
      </c>
      <c r="L71" s="87">
        <v>0</v>
      </c>
      <c r="M71" s="87">
        <v>0</v>
      </c>
      <c r="N71" s="87">
        <v>0</v>
      </c>
      <c r="O71" s="87">
        <v>0</v>
      </c>
      <c r="S71" s="228">
        <v>0</v>
      </c>
      <c r="T71" s="228">
        <v>0</v>
      </c>
      <c r="U71" s="228">
        <v>0</v>
      </c>
      <c r="V71" s="228">
        <v>0</v>
      </c>
      <c r="W71" s="229">
        <v>0</v>
      </c>
      <c r="X71" s="228">
        <v>0</v>
      </c>
    </row>
    <row r="72" spans="2:24">
      <c r="B72" s="61" t="s">
        <v>287</v>
      </c>
      <c r="F72" s="102">
        <f t="shared" si="0"/>
        <v>0</v>
      </c>
      <c r="G72" s="87">
        <v>0</v>
      </c>
      <c r="H72" s="87">
        <v>0</v>
      </c>
      <c r="I72" s="102">
        <f t="shared" si="18"/>
        <v>0</v>
      </c>
      <c r="J72" s="102">
        <f t="shared" si="19"/>
        <v>0</v>
      </c>
      <c r="K72" s="102">
        <f t="shared" si="20"/>
        <v>0</v>
      </c>
      <c r="L72" s="87">
        <v>0</v>
      </c>
      <c r="M72" s="87">
        <v>0</v>
      </c>
      <c r="N72" s="87">
        <v>0</v>
      </c>
      <c r="O72" s="87">
        <v>0</v>
      </c>
      <c r="S72" s="228">
        <v>0</v>
      </c>
      <c r="T72" s="228">
        <v>0</v>
      </c>
      <c r="U72" s="228">
        <v>0</v>
      </c>
      <c r="V72" s="228">
        <v>0</v>
      </c>
      <c r="W72" s="229">
        <v>0</v>
      </c>
      <c r="X72" s="228">
        <v>0</v>
      </c>
    </row>
    <row r="73" spans="2:24">
      <c r="B73" s="61" t="s">
        <v>288</v>
      </c>
      <c r="F73" s="102">
        <f t="shared" si="0"/>
        <v>0</v>
      </c>
      <c r="G73" s="87">
        <v>0</v>
      </c>
      <c r="H73" s="87">
        <v>0</v>
      </c>
      <c r="I73" s="102">
        <f t="shared" si="18"/>
        <v>0</v>
      </c>
      <c r="J73" s="102">
        <f t="shared" si="19"/>
        <v>0</v>
      </c>
      <c r="K73" s="102">
        <f t="shared" si="20"/>
        <v>0</v>
      </c>
      <c r="L73" s="87">
        <v>0</v>
      </c>
      <c r="M73" s="87">
        <v>0</v>
      </c>
      <c r="N73" s="87">
        <v>0</v>
      </c>
      <c r="O73" s="87">
        <v>0</v>
      </c>
      <c r="S73" s="228">
        <v>0</v>
      </c>
      <c r="T73" s="228">
        <v>0</v>
      </c>
      <c r="U73" s="228">
        <v>0</v>
      </c>
      <c r="V73" s="228">
        <v>0</v>
      </c>
      <c r="W73" s="229">
        <v>0</v>
      </c>
      <c r="X73" s="228">
        <v>0</v>
      </c>
    </row>
    <row r="74" spans="2:24">
      <c r="B74" s="23"/>
      <c r="F74" s="109"/>
      <c r="G74" s="63"/>
      <c r="H74" s="63"/>
      <c r="I74" s="63"/>
      <c r="J74" s="63"/>
      <c r="K74" s="63"/>
      <c r="L74" s="63"/>
      <c r="M74" s="63"/>
      <c r="N74" s="63"/>
      <c r="O74" s="63"/>
      <c r="S74" s="63"/>
      <c r="T74" s="63"/>
      <c r="U74" s="63"/>
      <c r="V74" s="63"/>
      <c r="W74" s="64"/>
      <c r="X74" s="63"/>
    </row>
    <row r="75" spans="2:24">
      <c r="B75" s="108" t="s">
        <v>290</v>
      </c>
      <c r="F75" s="109"/>
      <c r="G75" s="63"/>
      <c r="H75" s="63"/>
      <c r="I75" s="63"/>
      <c r="J75" s="63"/>
      <c r="K75" s="63"/>
      <c r="L75" s="63"/>
      <c r="M75" s="63"/>
      <c r="N75" s="63"/>
      <c r="O75" s="63"/>
      <c r="S75" s="63"/>
      <c r="T75" s="63"/>
      <c r="U75" s="63"/>
      <c r="V75" s="63"/>
      <c r="W75" s="64"/>
      <c r="X75" s="63"/>
    </row>
    <row r="76" spans="2:24">
      <c r="B76" s="23" t="s">
        <v>291</v>
      </c>
      <c r="F76" s="102">
        <f t="shared" si="0"/>
        <v>0</v>
      </c>
      <c r="G76" s="29"/>
      <c r="H76" s="87">
        <v>0</v>
      </c>
      <c r="I76" s="29"/>
      <c r="J76" s="102">
        <f t="shared" ref="J76" si="21">U76+V76</f>
        <v>0</v>
      </c>
      <c r="K76" s="29"/>
      <c r="L76" s="29"/>
      <c r="M76" s="29"/>
      <c r="N76" s="29"/>
      <c r="O76" s="87">
        <v>0</v>
      </c>
      <c r="S76" s="63"/>
      <c r="T76" s="63"/>
      <c r="U76" s="228">
        <v>0</v>
      </c>
      <c r="V76" s="63"/>
      <c r="W76" s="64"/>
      <c r="X76" s="63"/>
    </row>
    <row r="77" spans="2:24">
      <c r="B77" s="3"/>
      <c r="F77" s="109"/>
      <c r="G77" s="63"/>
      <c r="H77" s="63"/>
      <c r="I77" s="63"/>
      <c r="J77" s="63"/>
      <c r="K77" s="63"/>
      <c r="L77" s="63"/>
      <c r="M77" s="63"/>
      <c r="N77" s="63"/>
      <c r="O77" s="63"/>
      <c r="S77" s="63"/>
      <c r="T77" s="63"/>
      <c r="U77" s="63"/>
      <c r="V77" s="63"/>
      <c r="W77" s="64"/>
      <c r="X77" s="63"/>
    </row>
    <row r="78" spans="2:24">
      <c r="B78" s="3"/>
      <c r="F78" s="109"/>
      <c r="G78" s="63"/>
      <c r="H78" s="63"/>
      <c r="I78" s="63"/>
      <c r="J78" s="63"/>
      <c r="K78" s="63"/>
      <c r="L78" s="63"/>
      <c r="M78" s="63"/>
      <c r="N78" s="63"/>
      <c r="O78" s="63"/>
      <c r="S78" s="63"/>
      <c r="T78" s="63"/>
      <c r="U78" s="63"/>
      <c r="V78" s="63"/>
      <c r="W78" s="64"/>
      <c r="X78" s="63"/>
    </row>
    <row r="79" spans="2:24">
      <c r="B79" s="3" t="s">
        <v>308</v>
      </c>
      <c r="F79" s="109"/>
      <c r="G79" s="63"/>
      <c r="H79" s="63"/>
      <c r="I79" s="63"/>
      <c r="J79" s="63"/>
      <c r="K79" s="63"/>
      <c r="L79" s="63"/>
      <c r="M79" s="63"/>
      <c r="N79" s="63"/>
      <c r="O79" s="63"/>
      <c r="S79" s="63"/>
      <c r="T79" s="63"/>
      <c r="U79" s="63"/>
      <c r="V79" s="63"/>
      <c r="W79" s="64"/>
      <c r="X79" s="63"/>
    </row>
    <row r="80" spans="2:24">
      <c r="B80" s="3"/>
      <c r="F80" s="109"/>
      <c r="G80" s="63"/>
      <c r="H80" s="63"/>
      <c r="I80" s="63"/>
      <c r="J80" s="63"/>
      <c r="K80" s="63"/>
      <c r="L80" s="63"/>
      <c r="M80" s="63"/>
      <c r="N80" s="63"/>
      <c r="O80" s="63"/>
      <c r="S80" s="63"/>
      <c r="T80" s="63"/>
      <c r="U80" s="63"/>
      <c r="V80" s="63"/>
      <c r="W80" s="64"/>
      <c r="X80" s="63"/>
    </row>
    <row r="81" spans="2:24">
      <c r="B81" s="108" t="s">
        <v>284</v>
      </c>
      <c r="F81" s="109"/>
      <c r="G81" s="63"/>
      <c r="H81" s="63"/>
      <c r="I81" s="63"/>
      <c r="J81" s="63"/>
      <c r="K81" s="63"/>
      <c r="L81" s="63"/>
      <c r="M81" s="63"/>
      <c r="N81" s="63"/>
      <c r="O81" s="63"/>
      <c r="S81" s="63"/>
      <c r="T81" s="63"/>
      <c r="U81" s="63"/>
      <c r="V81" s="63"/>
      <c r="W81" s="64"/>
      <c r="X81" s="63"/>
    </row>
    <row r="82" spans="2:24">
      <c r="B82" s="23" t="s">
        <v>285</v>
      </c>
      <c r="F82" s="102">
        <f t="shared" ref="F82:F120" si="22">SUM(G82:O82)</f>
        <v>69210.759551658921</v>
      </c>
      <c r="G82" s="87">
        <v>544.16869613886854</v>
      </c>
      <c r="H82" s="87">
        <v>998</v>
      </c>
      <c r="I82" s="102">
        <f t="shared" ref="I82:I85" si="23">S82+T82</f>
        <v>997</v>
      </c>
      <c r="J82" s="102">
        <f t="shared" ref="J82:J85" si="24">U82+V82</f>
        <v>31174.32</v>
      </c>
      <c r="K82" s="102">
        <f t="shared" ref="K82:K85" si="25">W82+X82</f>
        <v>17163</v>
      </c>
      <c r="L82" s="87">
        <v>2508</v>
      </c>
      <c r="M82" s="87">
        <v>14118.270855520053</v>
      </c>
      <c r="N82" s="87">
        <v>1708</v>
      </c>
      <c r="O82" s="87">
        <v>0</v>
      </c>
      <c r="S82" s="228">
        <v>226</v>
      </c>
      <c r="T82" s="228">
        <v>771</v>
      </c>
      <c r="U82" s="228">
        <v>31174.32</v>
      </c>
      <c r="V82" s="228">
        <v>0</v>
      </c>
      <c r="W82" s="229">
        <v>16448</v>
      </c>
      <c r="X82" s="228">
        <v>715</v>
      </c>
    </row>
    <row r="83" spans="2:24">
      <c r="B83" s="23" t="s">
        <v>286</v>
      </c>
      <c r="F83" s="102">
        <f t="shared" si="22"/>
        <v>10094.151571458309</v>
      </c>
      <c r="G83" s="87">
        <v>1202.7358888533695</v>
      </c>
      <c r="H83" s="87">
        <v>0</v>
      </c>
      <c r="I83" s="102">
        <f t="shared" si="23"/>
        <v>292</v>
      </c>
      <c r="J83" s="102">
        <f t="shared" si="24"/>
        <v>2628.664233576641</v>
      </c>
      <c r="K83" s="102">
        <f t="shared" si="25"/>
        <v>3548</v>
      </c>
      <c r="L83" s="87">
        <v>0</v>
      </c>
      <c r="M83" s="87">
        <v>2269.7514490282988</v>
      </c>
      <c r="N83" s="87">
        <v>153</v>
      </c>
      <c r="O83" s="87">
        <v>0</v>
      </c>
      <c r="S83" s="228">
        <v>0</v>
      </c>
      <c r="T83" s="228">
        <v>292</v>
      </c>
      <c r="U83" s="228">
        <v>2628.664233576641</v>
      </c>
      <c r="V83" s="228">
        <v>0</v>
      </c>
      <c r="W83" s="229">
        <v>3444</v>
      </c>
      <c r="X83" s="228">
        <v>104</v>
      </c>
    </row>
    <row r="84" spans="2:24">
      <c r="B84" s="61" t="s">
        <v>287</v>
      </c>
      <c r="F84" s="102">
        <f t="shared" si="22"/>
        <v>13734.700186436079</v>
      </c>
      <c r="G84" s="87">
        <v>1868.1116159034268</v>
      </c>
      <c r="H84" s="87">
        <v>507</v>
      </c>
      <c r="I84" s="102">
        <f t="shared" si="23"/>
        <v>109</v>
      </c>
      <c r="J84" s="102">
        <f t="shared" si="24"/>
        <v>4575.8978102189803</v>
      </c>
      <c r="K84" s="102">
        <f t="shared" si="25"/>
        <v>1970</v>
      </c>
      <c r="L84" s="87">
        <v>40</v>
      </c>
      <c r="M84" s="87">
        <v>4664.6907603136724</v>
      </c>
      <c r="N84" s="87">
        <v>0</v>
      </c>
      <c r="O84" s="87">
        <v>0</v>
      </c>
      <c r="S84" s="228">
        <v>30</v>
      </c>
      <c r="T84" s="228">
        <v>79</v>
      </c>
      <c r="U84" s="228">
        <v>4575.8978102189803</v>
      </c>
      <c r="V84" s="228">
        <v>0</v>
      </c>
      <c r="W84" s="229">
        <v>1886</v>
      </c>
      <c r="X84" s="228">
        <v>84</v>
      </c>
    </row>
    <row r="85" spans="2:24">
      <c r="B85" s="61" t="s">
        <v>288</v>
      </c>
      <c r="F85" s="102">
        <f t="shared" si="22"/>
        <v>8246.8591786887591</v>
      </c>
      <c r="G85" s="87">
        <v>248.00550696469065</v>
      </c>
      <c r="H85" s="87">
        <v>0</v>
      </c>
      <c r="I85" s="102">
        <f t="shared" si="23"/>
        <v>114</v>
      </c>
      <c r="J85" s="102">
        <f t="shared" si="24"/>
        <v>3915.3649635036536</v>
      </c>
      <c r="K85" s="102">
        <f t="shared" si="25"/>
        <v>1991</v>
      </c>
      <c r="L85" s="87">
        <v>0</v>
      </c>
      <c r="M85" s="87">
        <v>1843.4887082204154</v>
      </c>
      <c r="N85" s="87">
        <v>135</v>
      </c>
      <c r="O85" s="87">
        <v>0</v>
      </c>
      <c r="S85" s="228">
        <v>0</v>
      </c>
      <c r="T85" s="228">
        <v>114</v>
      </c>
      <c r="U85" s="228">
        <v>3915.3649635036536</v>
      </c>
      <c r="V85" s="228">
        <v>0</v>
      </c>
      <c r="W85" s="229">
        <v>1441</v>
      </c>
      <c r="X85" s="228">
        <v>550</v>
      </c>
    </row>
    <row r="86" spans="2:24">
      <c r="B86" s="23"/>
      <c r="F86" s="109"/>
      <c r="G86" s="63"/>
      <c r="H86" s="63"/>
      <c r="I86" s="63"/>
      <c r="J86" s="63"/>
      <c r="K86" s="63"/>
      <c r="L86" s="63"/>
      <c r="M86" s="63"/>
      <c r="N86" s="63"/>
      <c r="O86" s="63"/>
      <c r="S86" s="63"/>
      <c r="T86" s="63"/>
      <c r="U86" s="63"/>
      <c r="V86" s="63"/>
      <c r="W86" s="64"/>
      <c r="X86" s="63"/>
    </row>
    <row r="87" spans="2:24">
      <c r="B87" s="108" t="s">
        <v>289</v>
      </c>
      <c r="F87" s="109"/>
      <c r="G87" s="63"/>
      <c r="H87" s="63"/>
      <c r="I87" s="63"/>
      <c r="J87" s="63"/>
      <c r="K87" s="63"/>
      <c r="L87" s="63"/>
      <c r="M87" s="63"/>
      <c r="N87" s="63"/>
      <c r="O87" s="63"/>
      <c r="S87" s="63"/>
      <c r="T87" s="63"/>
      <c r="U87" s="63"/>
      <c r="V87" s="63"/>
      <c r="W87" s="64"/>
      <c r="X87" s="63"/>
    </row>
    <row r="88" spans="2:24">
      <c r="B88" s="23" t="s">
        <v>285</v>
      </c>
      <c r="F88" s="102">
        <f t="shared" si="22"/>
        <v>0</v>
      </c>
      <c r="G88" s="87">
        <v>0</v>
      </c>
      <c r="H88" s="87">
        <v>0</v>
      </c>
      <c r="I88" s="102">
        <f t="shared" ref="I88:I91" si="26">S88+T88</f>
        <v>0</v>
      </c>
      <c r="J88" s="102">
        <f t="shared" ref="J88:J91" si="27">U88+V88</f>
        <v>0</v>
      </c>
      <c r="K88" s="102">
        <f t="shared" ref="K88:K91" si="28">W88+X88</f>
        <v>0</v>
      </c>
      <c r="L88" s="87">
        <v>0</v>
      </c>
      <c r="M88" s="87">
        <v>0</v>
      </c>
      <c r="N88" s="87">
        <v>0</v>
      </c>
      <c r="O88" s="87">
        <v>0</v>
      </c>
      <c r="S88" s="228">
        <v>0</v>
      </c>
      <c r="T88" s="228">
        <v>0</v>
      </c>
      <c r="U88" s="228">
        <v>0</v>
      </c>
      <c r="V88" s="228">
        <v>0</v>
      </c>
      <c r="W88" s="229">
        <v>0</v>
      </c>
      <c r="X88" s="228">
        <v>0</v>
      </c>
    </row>
    <row r="89" spans="2:24">
      <c r="B89" s="23" t="s">
        <v>286</v>
      </c>
      <c r="F89" s="102">
        <f t="shared" si="22"/>
        <v>0</v>
      </c>
      <c r="G89" s="87">
        <v>0</v>
      </c>
      <c r="H89" s="87">
        <v>0</v>
      </c>
      <c r="I89" s="102">
        <f t="shared" si="26"/>
        <v>0</v>
      </c>
      <c r="J89" s="102">
        <f t="shared" si="27"/>
        <v>0</v>
      </c>
      <c r="K89" s="102">
        <f t="shared" si="28"/>
        <v>0</v>
      </c>
      <c r="L89" s="87">
        <v>0</v>
      </c>
      <c r="M89" s="87">
        <v>0</v>
      </c>
      <c r="N89" s="87">
        <v>0</v>
      </c>
      <c r="O89" s="87">
        <v>0</v>
      </c>
      <c r="S89" s="228">
        <v>0</v>
      </c>
      <c r="T89" s="228">
        <v>0</v>
      </c>
      <c r="U89" s="228">
        <v>0</v>
      </c>
      <c r="V89" s="228">
        <v>0</v>
      </c>
      <c r="W89" s="229">
        <v>0</v>
      </c>
      <c r="X89" s="228">
        <v>0</v>
      </c>
    </row>
    <row r="90" spans="2:24">
      <c r="B90" s="61" t="s">
        <v>287</v>
      </c>
      <c r="F90" s="102">
        <f t="shared" si="22"/>
        <v>0</v>
      </c>
      <c r="G90" s="87">
        <v>0</v>
      </c>
      <c r="H90" s="87">
        <v>0</v>
      </c>
      <c r="I90" s="102">
        <f t="shared" si="26"/>
        <v>0</v>
      </c>
      <c r="J90" s="102">
        <f t="shared" si="27"/>
        <v>0</v>
      </c>
      <c r="K90" s="102">
        <f t="shared" si="28"/>
        <v>0</v>
      </c>
      <c r="L90" s="87">
        <v>0</v>
      </c>
      <c r="M90" s="87">
        <v>0</v>
      </c>
      <c r="N90" s="87">
        <v>0</v>
      </c>
      <c r="O90" s="87">
        <v>0</v>
      </c>
      <c r="S90" s="228">
        <v>0</v>
      </c>
      <c r="T90" s="228">
        <v>0</v>
      </c>
      <c r="U90" s="228">
        <v>0</v>
      </c>
      <c r="V90" s="228">
        <v>0</v>
      </c>
      <c r="W90" s="229">
        <v>0</v>
      </c>
      <c r="X90" s="228">
        <v>0</v>
      </c>
    </row>
    <row r="91" spans="2:24">
      <c r="B91" s="61" t="s">
        <v>288</v>
      </c>
      <c r="F91" s="102">
        <f t="shared" si="22"/>
        <v>1034</v>
      </c>
      <c r="G91" s="87">
        <v>0</v>
      </c>
      <c r="H91" s="87">
        <v>0</v>
      </c>
      <c r="I91" s="102">
        <f t="shared" si="26"/>
        <v>0</v>
      </c>
      <c r="J91" s="102">
        <f t="shared" si="27"/>
        <v>0</v>
      </c>
      <c r="K91" s="102">
        <f t="shared" si="28"/>
        <v>1034</v>
      </c>
      <c r="L91" s="87">
        <v>0</v>
      </c>
      <c r="M91" s="87">
        <v>0</v>
      </c>
      <c r="N91" s="87">
        <v>0</v>
      </c>
      <c r="O91" s="87">
        <v>0</v>
      </c>
      <c r="S91" s="228">
        <v>0</v>
      </c>
      <c r="T91" s="228">
        <v>0</v>
      </c>
      <c r="U91" s="228">
        <v>0</v>
      </c>
      <c r="V91" s="228">
        <v>0</v>
      </c>
      <c r="W91" s="229">
        <v>1034</v>
      </c>
      <c r="X91" s="228">
        <v>0</v>
      </c>
    </row>
    <row r="92" spans="2:24">
      <c r="B92" s="23"/>
      <c r="F92" s="109"/>
      <c r="G92" s="63"/>
      <c r="H92" s="63"/>
      <c r="I92" s="63"/>
      <c r="J92" s="63"/>
      <c r="K92" s="63"/>
      <c r="L92" s="63"/>
      <c r="M92" s="63"/>
      <c r="N92" s="63"/>
      <c r="O92" s="63"/>
      <c r="S92" s="63"/>
      <c r="T92" s="63"/>
      <c r="U92" s="63"/>
      <c r="V92" s="63"/>
      <c r="W92" s="64"/>
      <c r="X92" s="63"/>
    </row>
    <row r="93" spans="2:24">
      <c r="B93" s="108" t="s">
        <v>290</v>
      </c>
      <c r="F93" s="109"/>
      <c r="G93" s="63"/>
      <c r="H93" s="63"/>
      <c r="I93" s="63"/>
      <c r="J93" s="63"/>
      <c r="K93" s="63"/>
      <c r="L93" s="63"/>
      <c r="M93" s="63"/>
      <c r="N93" s="63"/>
      <c r="O93" s="63"/>
      <c r="S93" s="63"/>
      <c r="T93" s="63"/>
      <c r="U93" s="63"/>
      <c r="V93" s="63"/>
      <c r="W93" s="64"/>
      <c r="X93" s="63"/>
    </row>
    <row r="94" spans="2:24">
      <c r="B94" s="23" t="s">
        <v>291</v>
      </c>
      <c r="F94" s="102">
        <f t="shared" si="22"/>
        <v>0</v>
      </c>
      <c r="G94" s="29"/>
      <c r="H94" s="87">
        <v>0</v>
      </c>
      <c r="I94" s="29"/>
      <c r="J94" s="102">
        <f t="shared" ref="J94" si="29">U94+V94</f>
        <v>0</v>
      </c>
      <c r="K94" s="29"/>
      <c r="L94" s="29"/>
      <c r="M94" s="29"/>
      <c r="N94" s="29"/>
      <c r="O94" s="87">
        <v>0</v>
      </c>
      <c r="S94" s="63"/>
      <c r="T94" s="63"/>
      <c r="U94" s="228">
        <v>0</v>
      </c>
      <c r="V94" s="63"/>
      <c r="W94" s="64"/>
      <c r="X94" s="63"/>
    </row>
    <row r="95" spans="2:24">
      <c r="B95" s="3"/>
      <c r="F95" s="109"/>
      <c r="G95" s="63"/>
      <c r="H95" s="63"/>
      <c r="I95" s="63"/>
      <c r="J95" s="63"/>
      <c r="K95" s="63"/>
      <c r="L95" s="63"/>
      <c r="M95" s="63"/>
      <c r="N95" s="63"/>
      <c r="O95" s="63"/>
      <c r="S95" s="63"/>
      <c r="T95" s="63"/>
      <c r="U95" s="63"/>
      <c r="V95" s="63"/>
      <c r="W95" s="64"/>
      <c r="X95" s="63"/>
    </row>
    <row r="96" spans="2:24">
      <c r="B96" s="3"/>
      <c r="F96" s="109"/>
      <c r="G96" s="63"/>
      <c r="H96" s="63"/>
      <c r="I96" s="63"/>
      <c r="J96" s="63"/>
      <c r="K96" s="63"/>
      <c r="L96" s="63"/>
      <c r="M96" s="63"/>
      <c r="N96" s="63"/>
      <c r="O96" s="63"/>
      <c r="S96" s="63"/>
      <c r="T96" s="63"/>
      <c r="U96" s="63"/>
      <c r="V96" s="63"/>
      <c r="W96" s="64"/>
      <c r="X96" s="63"/>
    </row>
    <row r="97" spans="2:24">
      <c r="B97" s="3" t="s">
        <v>309</v>
      </c>
      <c r="F97" s="109"/>
      <c r="G97" s="63"/>
      <c r="H97" s="63"/>
      <c r="I97" s="63"/>
      <c r="J97" s="63"/>
      <c r="K97" s="63"/>
      <c r="L97" s="63"/>
      <c r="M97" s="63"/>
      <c r="N97" s="63"/>
      <c r="O97" s="63"/>
      <c r="S97" s="63"/>
      <c r="T97" s="63"/>
      <c r="U97" s="63"/>
      <c r="V97" s="63"/>
      <c r="W97" s="64"/>
      <c r="X97" s="63"/>
    </row>
    <row r="98" spans="2:24">
      <c r="B98" s="3"/>
      <c r="F98" s="109"/>
      <c r="G98" s="63"/>
      <c r="H98" s="63"/>
      <c r="I98" s="63"/>
      <c r="J98" s="63"/>
      <c r="K98" s="63"/>
      <c r="L98" s="63"/>
      <c r="M98" s="63"/>
      <c r="N98" s="63"/>
      <c r="O98" s="63"/>
      <c r="S98" s="63"/>
      <c r="T98" s="63"/>
      <c r="U98" s="63"/>
      <c r="V98" s="63"/>
      <c r="W98" s="64"/>
      <c r="X98" s="63"/>
    </row>
    <row r="99" spans="2:24">
      <c r="B99" s="108" t="s">
        <v>284</v>
      </c>
      <c r="F99" s="109"/>
      <c r="G99" s="63"/>
      <c r="H99" s="63"/>
      <c r="I99" s="63"/>
      <c r="J99" s="63"/>
      <c r="K99" s="63"/>
      <c r="L99" s="63"/>
      <c r="M99" s="63"/>
      <c r="N99" s="63"/>
      <c r="O99" s="63"/>
      <c r="S99" s="63"/>
      <c r="T99" s="63"/>
      <c r="U99" s="63"/>
      <c r="V99" s="63"/>
      <c r="W99" s="64"/>
      <c r="X99" s="63"/>
    </row>
    <row r="100" spans="2:24">
      <c r="B100" s="61" t="s">
        <v>292</v>
      </c>
      <c r="F100" s="102">
        <f t="shared" si="22"/>
        <v>147.44035749824459</v>
      </c>
      <c r="G100" s="87">
        <v>7.0061950476330335</v>
      </c>
      <c r="H100" s="87">
        <v>1</v>
      </c>
      <c r="I100" s="102">
        <f t="shared" ref="I100:I109" si="30">S100+T100</f>
        <v>17</v>
      </c>
      <c r="J100" s="102">
        <f t="shared" ref="J100:J109" si="31">U100+V100</f>
        <v>66.850408475874389</v>
      </c>
      <c r="K100" s="102">
        <f t="shared" ref="K100:K109" si="32">W100+X100</f>
        <v>6</v>
      </c>
      <c r="L100" s="87">
        <v>1</v>
      </c>
      <c r="M100" s="87">
        <v>46.583753974737171</v>
      </c>
      <c r="N100" s="87">
        <v>2</v>
      </c>
      <c r="O100" s="87">
        <v>0</v>
      </c>
      <c r="S100" s="228">
        <v>3</v>
      </c>
      <c r="T100" s="228">
        <v>14</v>
      </c>
      <c r="U100" s="228">
        <v>64.850408475874389</v>
      </c>
      <c r="V100" s="228">
        <v>2</v>
      </c>
      <c r="W100" s="229">
        <v>0</v>
      </c>
      <c r="X100" s="228">
        <v>6</v>
      </c>
    </row>
    <row r="101" spans="2:24">
      <c r="B101" s="61" t="s">
        <v>293</v>
      </c>
      <c r="F101" s="102">
        <f t="shared" si="22"/>
        <v>198.50441165636823</v>
      </c>
      <c r="G101" s="87">
        <v>3</v>
      </c>
      <c r="H101" s="87">
        <v>1</v>
      </c>
      <c r="I101" s="102">
        <f t="shared" si="30"/>
        <v>11</v>
      </c>
      <c r="J101" s="102">
        <f t="shared" si="31"/>
        <v>49.712686567164177</v>
      </c>
      <c r="K101" s="102">
        <f t="shared" si="32"/>
        <v>104</v>
      </c>
      <c r="L101" s="87">
        <v>1</v>
      </c>
      <c r="M101" s="87">
        <v>28.79172508920405</v>
      </c>
      <c r="N101" s="87">
        <v>0</v>
      </c>
      <c r="O101" s="87">
        <v>0</v>
      </c>
      <c r="S101" s="228">
        <v>7</v>
      </c>
      <c r="T101" s="228">
        <v>4</v>
      </c>
      <c r="U101" s="228">
        <v>44.712686567164177</v>
      </c>
      <c r="V101" s="228">
        <v>5</v>
      </c>
      <c r="W101" s="229">
        <v>101</v>
      </c>
      <c r="X101" s="228">
        <v>3</v>
      </c>
    </row>
    <row r="102" spans="2:24">
      <c r="B102" s="61" t="s">
        <v>294</v>
      </c>
      <c r="F102" s="102">
        <f t="shared" si="22"/>
        <v>80.83158225877834</v>
      </c>
      <c r="G102" s="87">
        <v>0</v>
      </c>
      <c r="H102" s="87">
        <v>1</v>
      </c>
      <c r="I102" s="102">
        <f t="shared" si="30"/>
        <v>4</v>
      </c>
      <c r="J102" s="102">
        <f t="shared" si="31"/>
        <v>24.547921568627451</v>
      </c>
      <c r="K102" s="102">
        <f t="shared" si="32"/>
        <v>23</v>
      </c>
      <c r="L102" s="87">
        <v>0</v>
      </c>
      <c r="M102" s="87">
        <v>25.283660690150889</v>
      </c>
      <c r="N102" s="87">
        <v>3</v>
      </c>
      <c r="O102" s="87">
        <v>0</v>
      </c>
      <c r="S102" s="228">
        <v>2</v>
      </c>
      <c r="T102" s="228">
        <v>2</v>
      </c>
      <c r="U102" s="228">
        <v>21.547921568627451</v>
      </c>
      <c r="V102" s="228">
        <v>3</v>
      </c>
      <c r="W102" s="229">
        <v>23</v>
      </c>
      <c r="X102" s="228">
        <v>0</v>
      </c>
    </row>
    <row r="103" spans="2:24">
      <c r="B103" s="61" t="s">
        <v>295</v>
      </c>
      <c r="F103" s="102">
        <f t="shared" si="22"/>
        <v>21.752982456140352</v>
      </c>
      <c r="G103" s="87">
        <v>0</v>
      </c>
      <c r="H103" s="87">
        <v>0</v>
      </c>
      <c r="I103" s="102">
        <f t="shared" si="30"/>
        <v>0</v>
      </c>
      <c r="J103" s="102">
        <f t="shared" si="31"/>
        <v>10.752982456140352</v>
      </c>
      <c r="K103" s="102">
        <f t="shared" si="32"/>
        <v>11</v>
      </c>
      <c r="L103" s="87">
        <v>0</v>
      </c>
      <c r="M103" s="87">
        <v>0</v>
      </c>
      <c r="N103" s="87">
        <v>0</v>
      </c>
      <c r="O103" s="87">
        <v>0</v>
      </c>
      <c r="S103" s="228">
        <v>0</v>
      </c>
      <c r="T103" s="228">
        <v>0</v>
      </c>
      <c r="U103" s="228">
        <v>10.752982456140352</v>
      </c>
      <c r="V103" s="228">
        <v>0</v>
      </c>
      <c r="W103" s="229">
        <v>8</v>
      </c>
      <c r="X103" s="228">
        <v>3</v>
      </c>
    </row>
    <row r="104" spans="2:24">
      <c r="B104" s="26" t="s">
        <v>296</v>
      </c>
      <c r="F104" s="102">
        <f t="shared" si="22"/>
        <v>24</v>
      </c>
      <c r="G104" s="87">
        <v>0</v>
      </c>
      <c r="H104" s="87">
        <v>0</v>
      </c>
      <c r="I104" s="102">
        <f t="shared" si="30"/>
        <v>4</v>
      </c>
      <c r="J104" s="102">
        <f t="shared" si="31"/>
        <v>8</v>
      </c>
      <c r="K104" s="102">
        <f t="shared" si="32"/>
        <v>11</v>
      </c>
      <c r="L104" s="87">
        <v>0</v>
      </c>
      <c r="M104" s="87">
        <v>0</v>
      </c>
      <c r="N104" s="87">
        <v>1</v>
      </c>
      <c r="O104" s="87">
        <v>0</v>
      </c>
      <c r="S104" s="228">
        <v>2</v>
      </c>
      <c r="T104" s="228">
        <v>2</v>
      </c>
      <c r="U104" s="228">
        <v>8</v>
      </c>
      <c r="V104" s="228">
        <v>0</v>
      </c>
      <c r="W104" s="229">
        <v>11</v>
      </c>
      <c r="X104" s="228">
        <v>0</v>
      </c>
    </row>
    <row r="105" spans="2:24">
      <c r="B105" s="61" t="s">
        <v>297</v>
      </c>
      <c r="F105" s="102">
        <f t="shared" si="22"/>
        <v>5</v>
      </c>
      <c r="G105" s="87">
        <v>0</v>
      </c>
      <c r="H105" s="87">
        <v>0</v>
      </c>
      <c r="I105" s="102">
        <f t="shared" si="30"/>
        <v>0</v>
      </c>
      <c r="J105" s="102">
        <f t="shared" si="31"/>
        <v>0</v>
      </c>
      <c r="K105" s="102">
        <f t="shared" si="32"/>
        <v>5</v>
      </c>
      <c r="L105" s="87">
        <v>0</v>
      </c>
      <c r="M105" s="87">
        <v>0</v>
      </c>
      <c r="N105" s="87">
        <v>0</v>
      </c>
      <c r="O105" s="87">
        <v>0</v>
      </c>
      <c r="S105" s="228">
        <v>0</v>
      </c>
      <c r="T105" s="228">
        <v>0</v>
      </c>
      <c r="U105" s="228">
        <v>0</v>
      </c>
      <c r="V105" s="228">
        <v>0</v>
      </c>
      <c r="W105" s="229">
        <v>5</v>
      </c>
      <c r="X105" s="228">
        <v>0</v>
      </c>
    </row>
    <row r="106" spans="2:24">
      <c r="B106" s="61" t="s">
        <v>298</v>
      </c>
      <c r="F106" s="102">
        <f t="shared" si="22"/>
        <v>0</v>
      </c>
      <c r="G106" s="87">
        <v>0</v>
      </c>
      <c r="H106" s="87">
        <v>0</v>
      </c>
      <c r="I106" s="102">
        <f t="shared" si="30"/>
        <v>0</v>
      </c>
      <c r="J106" s="102">
        <f t="shared" si="31"/>
        <v>0</v>
      </c>
      <c r="K106" s="102">
        <f t="shared" si="32"/>
        <v>0</v>
      </c>
      <c r="L106" s="87">
        <v>0</v>
      </c>
      <c r="M106" s="87">
        <v>0</v>
      </c>
      <c r="N106" s="87">
        <v>0</v>
      </c>
      <c r="O106" s="87">
        <v>0</v>
      </c>
      <c r="S106" s="228">
        <v>0</v>
      </c>
      <c r="T106" s="228">
        <v>0</v>
      </c>
      <c r="U106" s="228">
        <v>0</v>
      </c>
      <c r="V106" s="228">
        <v>0</v>
      </c>
      <c r="W106" s="229">
        <v>0</v>
      </c>
      <c r="X106" s="228">
        <v>0</v>
      </c>
    </row>
    <row r="107" spans="2:24">
      <c r="B107" s="61" t="s">
        <v>299</v>
      </c>
      <c r="F107" s="102">
        <f t="shared" si="22"/>
        <v>0</v>
      </c>
      <c r="G107" s="87">
        <v>0</v>
      </c>
      <c r="H107" s="87">
        <v>0</v>
      </c>
      <c r="I107" s="102">
        <f t="shared" si="30"/>
        <v>0</v>
      </c>
      <c r="J107" s="102">
        <f t="shared" si="31"/>
        <v>0</v>
      </c>
      <c r="K107" s="102">
        <f t="shared" si="32"/>
        <v>0</v>
      </c>
      <c r="L107" s="87">
        <v>0</v>
      </c>
      <c r="M107" s="87">
        <v>0</v>
      </c>
      <c r="N107" s="87">
        <v>0</v>
      </c>
      <c r="O107" s="87">
        <v>0</v>
      </c>
      <c r="S107" s="228">
        <v>0</v>
      </c>
      <c r="T107" s="228">
        <v>0</v>
      </c>
      <c r="U107" s="228">
        <v>0</v>
      </c>
      <c r="V107" s="228">
        <v>0</v>
      </c>
      <c r="W107" s="229">
        <v>0</v>
      </c>
      <c r="X107" s="228">
        <v>0</v>
      </c>
    </row>
    <row r="108" spans="2:24">
      <c r="B108" s="23" t="s">
        <v>300</v>
      </c>
      <c r="F108" s="102">
        <f t="shared" si="22"/>
        <v>0</v>
      </c>
      <c r="G108" s="87">
        <v>0</v>
      </c>
      <c r="H108" s="87">
        <v>0</v>
      </c>
      <c r="I108" s="102">
        <f t="shared" si="30"/>
        <v>0</v>
      </c>
      <c r="J108" s="102">
        <f t="shared" si="31"/>
        <v>0</v>
      </c>
      <c r="K108" s="102">
        <f t="shared" si="32"/>
        <v>0</v>
      </c>
      <c r="L108" s="87">
        <v>0</v>
      </c>
      <c r="M108" s="87">
        <v>0</v>
      </c>
      <c r="N108" s="87">
        <v>0</v>
      </c>
      <c r="O108" s="87">
        <v>0</v>
      </c>
      <c r="S108" s="228">
        <v>0</v>
      </c>
      <c r="T108" s="228">
        <v>0</v>
      </c>
      <c r="U108" s="228">
        <v>0</v>
      </c>
      <c r="V108" s="228">
        <v>0</v>
      </c>
      <c r="W108" s="229">
        <v>0</v>
      </c>
      <c r="X108" s="228">
        <v>0</v>
      </c>
    </row>
    <row r="109" spans="2:24">
      <c r="B109" s="23" t="s">
        <v>301</v>
      </c>
      <c r="F109" s="102">
        <f t="shared" si="22"/>
        <v>0</v>
      </c>
      <c r="G109" s="87">
        <v>0</v>
      </c>
      <c r="H109" s="87">
        <v>0</v>
      </c>
      <c r="I109" s="102">
        <f t="shared" si="30"/>
        <v>0</v>
      </c>
      <c r="J109" s="102">
        <f t="shared" si="31"/>
        <v>0</v>
      </c>
      <c r="K109" s="102">
        <f t="shared" si="32"/>
        <v>0</v>
      </c>
      <c r="L109" s="87">
        <v>0</v>
      </c>
      <c r="M109" s="87">
        <v>0</v>
      </c>
      <c r="N109" s="87">
        <v>0</v>
      </c>
      <c r="O109" s="87">
        <v>0</v>
      </c>
      <c r="S109" s="228">
        <v>0</v>
      </c>
      <c r="T109" s="228">
        <v>0</v>
      </c>
      <c r="U109" s="228">
        <v>0</v>
      </c>
      <c r="V109" s="228">
        <v>0</v>
      </c>
      <c r="W109" s="229">
        <v>0</v>
      </c>
      <c r="X109" s="228">
        <v>0</v>
      </c>
    </row>
    <row r="110" spans="2:24">
      <c r="B110" s="23"/>
      <c r="F110" s="109"/>
      <c r="G110" s="63"/>
      <c r="H110" s="63"/>
      <c r="I110" s="63"/>
      <c r="J110" s="63"/>
      <c r="K110" s="63"/>
      <c r="L110" s="63"/>
      <c r="M110" s="63"/>
      <c r="N110" s="63"/>
      <c r="O110" s="63"/>
      <c r="S110" s="63"/>
      <c r="T110" s="63"/>
      <c r="U110" s="63"/>
      <c r="V110" s="63"/>
      <c r="W110" s="64"/>
      <c r="X110" s="63"/>
    </row>
    <row r="111" spans="2:24">
      <c r="B111" s="108" t="s">
        <v>289</v>
      </c>
      <c r="F111" s="109"/>
      <c r="G111" s="63"/>
      <c r="H111" s="63"/>
      <c r="I111" s="63"/>
      <c r="J111" s="63"/>
      <c r="K111" s="63"/>
      <c r="L111" s="63"/>
      <c r="M111" s="63"/>
      <c r="N111" s="63"/>
      <c r="O111" s="63"/>
      <c r="S111" s="63"/>
      <c r="T111" s="63"/>
      <c r="U111" s="63"/>
      <c r="V111" s="63"/>
      <c r="W111" s="64"/>
      <c r="X111" s="63"/>
    </row>
    <row r="112" spans="2:24">
      <c r="B112" s="61" t="s">
        <v>292</v>
      </c>
      <c r="F112" s="102">
        <f t="shared" si="22"/>
        <v>20.315211422295441</v>
      </c>
      <c r="G112" s="87">
        <v>0</v>
      </c>
      <c r="H112" s="87">
        <v>0</v>
      </c>
      <c r="I112" s="102">
        <f t="shared" ref="I112:I121" si="33">S112+T112</f>
        <v>0</v>
      </c>
      <c r="J112" s="102">
        <f t="shared" ref="J112:J121" si="34">U112+V112</f>
        <v>14</v>
      </c>
      <c r="K112" s="102">
        <f t="shared" ref="K112:K121" si="35">W112+X112</f>
        <v>0</v>
      </c>
      <c r="L112" s="87">
        <v>0</v>
      </c>
      <c r="M112" s="87">
        <v>6.3152114222954419</v>
      </c>
      <c r="N112" s="87">
        <v>0</v>
      </c>
      <c r="O112" s="87">
        <v>0</v>
      </c>
      <c r="S112" s="228">
        <v>0</v>
      </c>
      <c r="T112" s="228">
        <v>0</v>
      </c>
      <c r="U112" s="228">
        <v>14</v>
      </c>
      <c r="V112" s="228">
        <v>0</v>
      </c>
      <c r="W112" s="229">
        <v>0</v>
      </c>
      <c r="X112" s="228">
        <v>0</v>
      </c>
    </row>
    <row r="113" spans="2:24">
      <c r="B113" s="61" t="s">
        <v>293</v>
      </c>
      <c r="F113" s="102">
        <f t="shared" si="22"/>
        <v>24.278158058494089</v>
      </c>
      <c r="G113" s="87">
        <v>0</v>
      </c>
      <c r="H113" s="87">
        <v>0</v>
      </c>
      <c r="I113" s="102">
        <f t="shared" si="33"/>
        <v>0</v>
      </c>
      <c r="J113" s="102">
        <f t="shared" si="34"/>
        <v>19</v>
      </c>
      <c r="K113" s="102">
        <f t="shared" si="35"/>
        <v>1</v>
      </c>
      <c r="L113" s="87">
        <v>0</v>
      </c>
      <c r="M113" s="87">
        <v>4.2781580584940881</v>
      </c>
      <c r="N113" s="87">
        <v>0</v>
      </c>
      <c r="O113" s="87">
        <v>0</v>
      </c>
      <c r="S113" s="228">
        <v>0</v>
      </c>
      <c r="T113" s="228">
        <v>0</v>
      </c>
      <c r="U113" s="228">
        <v>19</v>
      </c>
      <c r="V113" s="228">
        <v>0</v>
      </c>
      <c r="W113" s="229">
        <v>1</v>
      </c>
      <c r="X113" s="228">
        <v>0</v>
      </c>
    </row>
    <row r="114" spans="2:24">
      <c r="B114" s="61" t="s">
        <v>294</v>
      </c>
      <c r="F114" s="102">
        <f t="shared" si="22"/>
        <v>30.878033602986932</v>
      </c>
      <c r="G114" s="87">
        <v>0</v>
      </c>
      <c r="H114" s="87">
        <v>0</v>
      </c>
      <c r="I114" s="102">
        <f t="shared" si="33"/>
        <v>0</v>
      </c>
      <c r="J114" s="102">
        <f t="shared" si="34"/>
        <v>28</v>
      </c>
      <c r="K114" s="102">
        <f t="shared" si="35"/>
        <v>0</v>
      </c>
      <c r="L114" s="87">
        <v>0</v>
      </c>
      <c r="M114" s="87">
        <v>2.8780336029869322</v>
      </c>
      <c r="N114" s="87">
        <v>0</v>
      </c>
      <c r="O114" s="87">
        <v>0</v>
      </c>
      <c r="S114" s="228">
        <v>0</v>
      </c>
      <c r="T114" s="228">
        <v>0</v>
      </c>
      <c r="U114" s="228">
        <v>28</v>
      </c>
      <c r="V114" s="228">
        <v>0</v>
      </c>
      <c r="W114" s="229">
        <v>0</v>
      </c>
      <c r="X114" s="228">
        <v>0</v>
      </c>
    </row>
    <row r="115" spans="2:24">
      <c r="B115" s="61" t="s">
        <v>295</v>
      </c>
      <c r="F115" s="102">
        <f t="shared" si="22"/>
        <v>28</v>
      </c>
      <c r="G115" s="87">
        <v>0</v>
      </c>
      <c r="H115" s="87">
        <v>1</v>
      </c>
      <c r="I115" s="102">
        <f t="shared" si="33"/>
        <v>3</v>
      </c>
      <c r="J115" s="102">
        <f t="shared" si="34"/>
        <v>19</v>
      </c>
      <c r="K115" s="102">
        <f t="shared" si="35"/>
        <v>1</v>
      </c>
      <c r="L115" s="87">
        <v>0</v>
      </c>
      <c r="M115" s="87">
        <v>4</v>
      </c>
      <c r="N115" s="87">
        <v>0</v>
      </c>
      <c r="O115" s="87">
        <v>0</v>
      </c>
      <c r="S115" s="228">
        <v>0</v>
      </c>
      <c r="T115" s="228">
        <v>3</v>
      </c>
      <c r="U115" s="228">
        <v>19</v>
      </c>
      <c r="V115" s="228">
        <v>0</v>
      </c>
      <c r="W115" s="229">
        <v>1</v>
      </c>
      <c r="X115" s="228">
        <v>0</v>
      </c>
    </row>
    <row r="116" spans="2:24">
      <c r="B116" s="26" t="s">
        <v>296</v>
      </c>
      <c r="F116" s="102">
        <f t="shared" si="22"/>
        <v>15</v>
      </c>
      <c r="G116" s="87">
        <v>0</v>
      </c>
      <c r="H116" s="87">
        <v>1</v>
      </c>
      <c r="I116" s="102">
        <f t="shared" si="33"/>
        <v>0</v>
      </c>
      <c r="J116" s="102">
        <f t="shared" si="34"/>
        <v>8</v>
      </c>
      <c r="K116" s="102">
        <f t="shared" si="35"/>
        <v>1</v>
      </c>
      <c r="L116" s="87">
        <v>0</v>
      </c>
      <c r="M116" s="87">
        <v>5</v>
      </c>
      <c r="N116" s="87">
        <v>0</v>
      </c>
      <c r="O116" s="87">
        <v>0</v>
      </c>
      <c r="S116" s="228">
        <v>0</v>
      </c>
      <c r="T116" s="228">
        <v>0</v>
      </c>
      <c r="U116" s="228">
        <v>8</v>
      </c>
      <c r="V116" s="228">
        <v>0</v>
      </c>
      <c r="W116" s="229">
        <v>1</v>
      </c>
      <c r="X116" s="228">
        <v>0</v>
      </c>
    </row>
    <row r="117" spans="2:24">
      <c r="B117" s="61" t="s">
        <v>297</v>
      </c>
      <c r="F117" s="102">
        <f t="shared" si="22"/>
        <v>15</v>
      </c>
      <c r="G117" s="87">
        <v>0</v>
      </c>
      <c r="H117" s="87">
        <v>0</v>
      </c>
      <c r="I117" s="102">
        <f t="shared" si="33"/>
        <v>1</v>
      </c>
      <c r="J117" s="102">
        <f t="shared" si="34"/>
        <v>4</v>
      </c>
      <c r="K117" s="102">
        <f t="shared" si="35"/>
        <v>8</v>
      </c>
      <c r="L117" s="87">
        <v>0</v>
      </c>
      <c r="M117" s="87">
        <v>1</v>
      </c>
      <c r="N117" s="87">
        <v>1</v>
      </c>
      <c r="O117" s="87">
        <v>0</v>
      </c>
      <c r="S117" s="228">
        <v>0</v>
      </c>
      <c r="T117" s="228">
        <v>1</v>
      </c>
      <c r="U117" s="228">
        <v>4</v>
      </c>
      <c r="V117" s="228">
        <v>0</v>
      </c>
      <c r="W117" s="229">
        <v>8</v>
      </c>
      <c r="X117" s="228">
        <v>0</v>
      </c>
    </row>
    <row r="118" spans="2:24">
      <c r="B118" s="61" t="s">
        <v>298</v>
      </c>
      <c r="F118" s="102">
        <f t="shared" si="22"/>
        <v>17</v>
      </c>
      <c r="G118" s="87">
        <v>0</v>
      </c>
      <c r="H118" s="87">
        <v>1</v>
      </c>
      <c r="I118" s="102">
        <f t="shared" si="33"/>
        <v>0</v>
      </c>
      <c r="J118" s="102">
        <f t="shared" si="34"/>
        <v>8</v>
      </c>
      <c r="K118" s="102">
        <f t="shared" si="35"/>
        <v>0</v>
      </c>
      <c r="L118" s="87">
        <v>0</v>
      </c>
      <c r="M118" s="87">
        <v>3</v>
      </c>
      <c r="N118" s="87">
        <v>5</v>
      </c>
      <c r="O118" s="87">
        <v>0</v>
      </c>
      <c r="S118" s="228">
        <v>0</v>
      </c>
      <c r="T118" s="228">
        <v>0</v>
      </c>
      <c r="U118" s="228">
        <v>8</v>
      </c>
      <c r="V118" s="228">
        <v>0</v>
      </c>
      <c r="W118" s="229">
        <v>0</v>
      </c>
      <c r="X118" s="228">
        <v>0</v>
      </c>
    </row>
    <row r="119" spans="2:24">
      <c r="B119" s="61" t="s">
        <v>299</v>
      </c>
      <c r="F119" s="102">
        <f t="shared" si="22"/>
        <v>6</v>
      </c>
      <c r="G119" s="87">
        <v>0</v>
      </c>
      <c r="H119" s="87">
        <v>0</v>
      </c>
      <c r="I119" s="102">
        <f t="shared" si="33"/>
        <v>0</v>
      </c>
      <c r="J119" s="102">
        <f t="shared" si="34"/>
        <v>0</v>
      </c>
      <c r="K119" s="102">
        <f t="shared" si="35"/>
        <v>0</v>
      </c>
      <c r="L119" s="87">
        <v>0</v>
      </c>
      <c r="M119" s="87">
        <v>5</v>
      </c>
      <c r="N119" s="87">
        <v>1</v>
      </c>
      <c r="O119" s="87">
        <v>0</v>
      </c>
      <c r="S119" s="228">
        <v>0</v>
      </c>
      <c r="T119" s="228">
        <v>0</v>
      </c>
      <c r="U119" s="228">
        <v>0</v>
      </c>
      <c r="V119" s="228">
        <v>0</v>
      </c>
      <c r="W119" s="229">
        <v>0</v>
      </c>
      <c r="X119" s="228">
        <v>0</v>
      </c>
    </row>
    <row r="120" spans="2:24">
      <c r="B120" s="23" t="s">
        <v>300</v>
      </c>
      <c r="F120" s="102">
        <f t="shared" si="22"/>
        <v>3</v>
      </c>
      <c r="G120" s="87">
        <v>0</v>
      </c>
      <c r="H120" s="87">
        <v>0</v>
      </c>
      <c r="I120" s="102">
        <f t="shared" si="33"/>
        <v>1</v>
      </c>
      <c r="J120" s="102">
        <f t="shared" si="34"/>
        <v>0</v>
      </c>
      <c r="K120" s="102">
        <f t="shared" si="35"/>
        <v>0</v>
      </c>
      <c r="L120" s="87">
        <v>0</v>
      </c>
      <c r="M120" s="87">
        <v>0</v>
      </c>
      <c r="N120" s="87">
        <v>2</v>
      </c>
      <c r="O120" s="87">
        <v>0</v>
      </c>
      <c r="S120" s="228">
        <v>0</v>
      </c>
      <c r="T120" s="228">
        <v>1</v>
      </c>
      <c r="U120" s="228">
        <v>0</v>
      </c>
      <c r="V120" s="228">
        <v>0</v>
      </c>
      <c r="W120" s="229">
        <v>0</v>
      </c>
      <c r="X120" s="228">
        <v>0</v>
      </c>
    </row>
    <row r="121" spans="2:24">
      <c r="B121" s="23" t="s">
        <v>301</v>
      </c>
      <c r="F121" s="102">
        <f>SUM(G121:O121)</f>
        <v>22</v>
      </c>
      <c r="G121" s="87">
        <v>0</v>
      </c>
      <c r="H121" s="87">
        <v>0</v>
      </c>
      <c r="I121" s="102">
        <f t="shared" si="33"/>
        <v>0</v>
      </c>
      <c r="J121" s="102">
        <f t="shared" si="34"/>
        <v>21</v>
      </c>
      <c r="K121" s="102">
        <f t="shared" si="35"/>
        <v>0</v>
      </c>
      <c r="L121" s="87">
        <v>0</v>
      </c>
      <c r="M121" s="87">
        <v>1</v>
      </c>
      <c r="N121" s="87">
        <v>0</v>
      </c>
      <c r="O121" s="87">
        <v>0</v>
      </c>
      <c r="S121" s="228">
        <v>0</v>
      </c>
      <c r="T121" s="228">
        <v>0</v>
      </c>
      <c r="U121" s="228">
        <v>21</v>
      </c>
      <c r="V121" s="228">
        <v>0</v>
      </c>
      <c r="W121" s="229">
        <v>0</v>
      </c>
      <c r="X121" s="228">
        <v>0</v>
      </c>
    </row>
    <row r="122" spans="2:24">
      <c r="B122" s="23"/>
      <c r="I122" s="63"/>
      <c r="J122" s="63"/>
      <c r="K122" s="63"/>
      <c r="S122" s="63"/>
      <c r="T122" s="63"/>
      <c r="U122" s="63"/>
      <c r="V122" s="63"/>
      <c r="W122" s="64"/>
      <c r="X122" s="63"/>
    </row>
    <row r="123" spans="2:24">
      <c r="B123" s="108" t="s">
        <v>290</v>
      </c>
      <c r="I123" s="63"/>
      <c r="J123" s="63"/>
      <c r="K123" s="63"/>
      <c r="S123" s="63"/>
      <c r="T123" s="63"/>
      <c r="U123" s="63"/>
      <c r="V123" s="63"/>
      <c r="W123" s="64"/>
      <c r="X123" s="63"/>
    </row>
    <row r="124" spans="2:24">
      <c r="B124" s="23" t="s">
        <v>302</v>
      </c>
      <c r="F124" s="102">
        <f>SUM(G124:O124)</f>
        <v>0</v>
      </c>
      <c r="G124" s="29"/>
      <c r="H124" s="87">
        <v>0</v>
      </c>
      <c r="I124" s="29"/>
      <c r="J124" s="102">
        <f t="shared" ref="J124" si="36">U124+V124</f>
        <v>0</v>
      </c>
      <c r="K124" s="29"/>
      <c r="L124" s="29"/>
      <c r="M124" s="29"/>
      <c r="N124" s="29"/>
      <c r="O124" s="87">
        <v>0</v>
      </c>
      <c r="S124" s="63"/>
      <c r="T124" s="63"/>
      <c r="U124" s="228">
        <v>0</v>
      </c>
      <c r="V124" s="63"/>
      <c r="W124" s="64"/>
      <c r="X124" s="63"/>
    </row>
    <row r="125" spans="2:24">
      <c r="F125" s="4"/>
      <c r="S125" s="63"/>
      <c r="T125" s="63"/>
      <c r="U125" s="63"/>
      <c r="V125" s="63"/>
      <c r="W125" s="64"/>
      <c r="X125" s="63"/>
    </row>
    <row r="126" spans="2:24">
      <c r="S126" s="63"/>
      <c r="T126" s="63"/>
      <c r="U126" s="63"/>
      <c r="V126" s="63"/>
      <c r="W126" s="64"/>
      <c r="X126" s="63"/>
    </row>
    <row r="127" spans="2:24" s="2" customFormat="1">
      <c r="B127" s="2" t="s">
        <v>313</v>
      </c>
      <c r="F127" s="49"/>
      <c r="S127" s="66"/>
      <c r="T127" s="66"/>
      <c r="U127" s="66"/>
      <c r="V127" s="66"/>
      <c r="W127" s="65"/>
      <c r="X127" s="66"/>
    </row>
    <row r="128" spans="2:24">
      <c r="F128" s="64"/>
      <c r="G128" s="63"/>
      <c r="H128" s="63"/>
      <c r="I128" s="63"/>
      <c r="J128" s="63"/>
      <c r="K128" s="63"/>
      <c r="L128" s="63"/>
      <c r="M128" s="63"/>
      <c r="N128" s="63"/>
      <c r="O128" s="63"/>
      <c r="S128" s="63"/>
      <c r="T128" s="63"/>
      <c r="U128" s="63"/>
      <c r="V128" s="63"/>
      <c r="W128" s="64"/>
      <c r="X128" s="63"/>
    </row>
    <row r="129" spans="2:24">
      <c r="B129" s="3" t="s">
        <v>306</v>
      </c>
      <c r="F129" s="64"/>
      <c r="G129" s="63"/>
      <c r="H129" s="63"/>
      <c r="I129" s="63"/>
      <c r="J129" s="63"/>
      <c r="K129" s="63"/>
      <c r="L129" s="63"/>
      <c r="M129" s="63"/>
      <c r="N129" s="63"/>
      <c r="O129" s="63"/>
      <c r="S129" s="63"/>
      <c r="T129" s="63"/>
      <c r="U129" s="63"/>
      <c r="V129" s="63"/>
      <c r="W129" s="64"/>
      <c r="X129" s="63"/>
    </row>
    <row r="130" spans="2:24">
      <c r="B130" s="3"/>
      <c r="F130" s="64"/>
      <c r="G130" s="63"/>
      <c r="H130" s="63"/>
      <c r="I130" s="63"/>
      <c r="J130" s="63"/>
      <c r="K130" s="63"/>
      <c r="L130" s="63"/>
      <c r="M130" s="63"/>
      <c r="N130" s="63"/>
      <c r="O130" s="63"/>
      <c r="S130" s="63"/>
      <c r="T130" s="63"/>
      <c r="U130" s="63"/>
      <c r="V130" s="63"/>
      <c r="W130" s="64"/>
      <c r="X130" s="63"/>
    </row>
    <row r="131" spans="2:24">
      <c r="B131" s="108" t="s">
        <v>284</v>
      </c>
      <c r="F131" s="64"/>
      <c r="G131" s="63"/>
      <c r="H131" s="63"/>
      <c r="I131" s="63"/>
      <c r="J131" s="63"/>
      <c r="K131" s="63"/>
      <c r="L131" s="63"/>
      <c r="M131" s="63"/>
      <c r="N131" s="63"/>
      <c r="O131" s="63"/>
      <c r="S131" s="227"/>
      <c r="T131" s="227"/>
      <c r="U131" s="227"/>
      <c r="V131" s="227"/>
      <c r="W131" s="230"/>
      <c r="X131" s="227"/>
    </row>
    <row r="132" spans="2:24">
      <c r="B132" s="23" t="s">
        <v>285</v>
      </c>
      <c r="F132" s="102">
        <f t="shared" ref="F132:F135" si="37">SUM(G132:O132)</f>
        <v>6799025.297662531</v>
      </c>
      <c r="G132" s="87">
        <v>133096.46153846153</v>
      </c>
      <c r="H132" s="87">
        <v>181416.33333333334</v>
      </c>
      <c r="I132" s="102">
        <f>S132+T132</f>
        <v>376365</v>
      </c>
      <c r="J132" s="102">
        <f>U132+V132</f>
        <v>1967321.0039875426</v>
      </c>
      <c r="K132" s="102">
        <f>W132+X132</f>
        <v>2159298.75</v>
      </c>
      <c r="L132" s="87">
        <v>98376.6</v>
      </c>
      <c r="M132" s="87">
        <v>1834818.4273618532</v>
      </c>
      <c r="N132" s="87">
        <v>48332.721441340997</v>
      </c>
      <c r="O132" s="87">
        <v>0</v>
      </c>
      <c r="S132" s="228">
        <v>182948</v>
      </c>
      <c r="T132" s="228">
        <v>193417</v>
      </c>
      <c r="U132" s="228">
        <v>1823625.0709331492</v>
      </c>
      <c r="V132" s="228">
        <v>143695.9330543933</v>
      </c>
      <c r="W132" s="229">
        <v>2101688.75</v>
      </c>
      <c r="X132" s="228">
        <v>57610</v>
      </c>
    </row>
    <row r="133" spans="2:24">
      <c r="B133" s="23" t="s">
        <v>286</v>
      </c>
      <c r="F133" s="102">
        <f t="shared" si="37"/>
        <v>24343.822955965938</v>
      </c>
      <c r="G133" s="87">
        <v>2</v>
      </c>
      <c r="H133" s="87">
        <v>6</v>
      </c>
      <c r="I133" s="102">
        <f t="shared" ref="I133:I135" si="38">S133+T133</f>
        <v>2380</v>
      </c>
      <c r="J133" s="102">
        <f t="shared" ref="J133:J135" si="39">U133+V133</f>
        <v>4671.6397541540528</v>
      </c>
      <c r="K133" s="102">
        <f t="shared" ref="K133:K135" si="40">W133+X133</f>
        <v>8515.5</v>
      </c>
      <c r="L133" s="87">
        <v>675.2</v>
      </c>
      <c r="M133" s="87">
        <v>7679.3824843610391</v>
      </c>
      <c r="N133" s="87">
        <v>414.10071745084508</v>
      </c>
      <c r="O133" s="87">
        <v>0</v>
      </c>
      <c r="S133" s="228">
        <v>25</v>
      </c>
      <c r="T133" s="228">
        <v>2355</v>
      </c>
      <c r="U133" s="228">
        <v>4671.6397541540528</v>
      </c>
      <c r="V133" s="228">
        <v>0</v>
      </c>
      <c r="W133" s="229">
        <v>8229.5</v>
      </c>
      <c r="X133" s="228">
        <v>286</v>
      </c>
    </row>
    <row r="134" spans="2:24">
      <c r="B134" s="61" t="s">
        <v>287</v>
      </c>
      <c r="F134" s="102">
        <f t="shared" si="37"/>
        <v>77620.465802930688</v>
      </c>
      <c r="G134" s="87">
        <v>2291.6153846153848</v>
      </c>
      <c r="H134" s="87">
        <v>2794.25</v>
      </c>
      <c r="I134" s="102">
        <f t="shared" si="38"/>
        <v>5817</v>
      </c>
      <c r="J134" s="102">
        <f t="shared" si="39"/>
        <v>28030.374914685097</v>
      </c>
      <c r="K134" s="102">
        <f t="shared" si="40"/>
        <v>20948.5</v>
      </c>
      <c r="L134" s="87">
        <v>1113.2</v>
      </c>
      <c r="M134" s="87">
        <v>16235.333333333334</v>
      </c>
      <c r="N134" s="87">
        <v>390.19217029687979</v>
      </c>
      <c r="O134" s="87">
        <v>0</v>
      </c>
      <c r="S134" s="228">
        <v>3292</v>
      </c>
      <c r="T134" s="228">
        <v>2525</v>
      </c>
      <c r="U134" s="228">
        <v>25715.374914685097</v>
      </c>
      <c r="V134" s="228">
        <v>2315</v>
      </c>
      <c r="W134" s="229">
        <v>20381.5</v>
      </c>
      <c r="X134" s="228">
        <v>567</v>
      </c>
    </row>
    <row r="135" spans="2:24">
      <c r="B135" s="61" t="s">
        <v>288</v>
      </c>
      <c r="F135" s="102">
        <f t="shared" si="37"/>
        <v>25359.297180733993</v>
      </c>
      <c r="G135" s="87">
        <v>722.61538461538464</v>
      </c>
      <c r="H135" s="87">
        <v>653.91666666666663</v>
      </c>
      <c r="I135" s="102">
        <f t="shared" si="38"/>
        <v>1977</v>
      </c>
      <c r="J135" s="102">
        <f t="shared" si="39"/>
        <v>8714.7720765627964</v>
      </c>
      <c r="K135" s="102">
        <f t="shared" si="40"/>
        <v>5815.5</v>
      </c>
      <c r="L135" s="87">
        <v>415.6</v>
      </c>
      <c r="M135" s="87">
        <v>6777.5277306168637</v>
      </c>
      <c r="N135" s="87">
        <v>282.36532227228099</v>
      </c>
      <c r="O135" s="87">
        <v>0</v>
      </c>
      <c r="S135" s="228">
        <v>915</v>
      </c>
      <c r="T135" s="228">
        <v>1062</v>
      </c>
      <c r="U135" s="228">
        <v>8137.7720765627973</v>
      </c>
      <c r="V135" s="228">
        <v>577</v>
      </c>
      <c r="W135" s="229">
        <v>5466.5</v>
      </c>
      <c r="X135" s="228">
        <v>349</v>
      </c>
    </row>
    <row r="136" spans="2:24">
      <c r="B136" s="23"/>
      <c r="F136" s="109"/>
      <c r="G136" s="63"/>
      <c r="H136" s="63"/>
      <c r="I136" s="63"/>
      <c r="J136" s="63"/>
      <c r="K136" s="63"/>
      <c r="L136" s="63"/>
      <c r="M136" s="63"/>
      <c r="N136" s="63"/>
      <c r="O136" s="63"/>
      <c r="S136" s="225"/>
      <c r="T136" s="225"/>
      <c r="U136" s="225"/>
      <c r="V136" s="225"/>
      <c r="W136" s="226"/>
      <c r="X136" s="225"/>
    </row>
    <row r="137" spans="2:24">
      <c r="B137" s="108" t="s">
        <v>289</v>
      </c>
      <c r="F137" s="109"/>
      <c r="G137" s="63"/>
      <c r="H137" s="63"/>
      <c r="I137" s="63"/>
      <c r="J137" s="63"/>
      <c r="K137" s="63"/>
      <c r="L137" s="63"/>
      <c r="M137" s="63"/>
      <c r="N137" s="63"/>
      <c r="O137" s="63"/>
      <c r="S137" s="225"/>
      <c r="T137" s="225"/>
      <c r="U137" s="225"/>
      <c r="V137" s="225"/>
      <c r="W137" s="226"/>
      <c r="X137" s="225"/>
    </row>
    <row r="138" spans="2:24">
      <c r="B138" s="23" t="s">
        <v>285</v>
      </c>
      <c r="F138" s="102">
        <f t="shared" ref="F138:F141" si="41">SUM(G138:O138)</f>
        <v>0</v>
      </c>
      <c r="G138" s="87">
        <v>0</v>
      </c>
      <c r="H138" s="87">
        <v>0</v>
      </c>
      <c r="I138" s="102">
        <f t="shared" ref="I138:I141" si="42">S138+T138</f>
        <v>0</v>
      </c>
      <c r="J138" s="102">
        <f t="shared" ref="J138:J141" si="43">U138+V138</f>
        <v>0</v>
      </c>
      <c r="K138" s="102">
        <f t="shared" ref="K138:K141" si="44">W138+X138</f>
        <v>0</v>
      </c>
      <c r="L138" s="87">
        <v>0</v>
      </c>
      <c r="M138" s="87">
        <v>0</v>
      </c>
      <c r="N138" s="87">
        <v>0</v>
      </c>
      <c r="O138" s="87">
        <v>0</v>
      </c>
      <c r="S138" s="228">
        <v>0</v>
      </c>
      <c r="T138" s="228">
        <v>0</v>
      </c>
      <c r="U138" s="228">
        <v>0</v>
      </c>
      <c r="V138" s="228">
        <v>0</v>
      </c>
      <c r="W138" s="229">
        <v>0</v>
      </c>
      <c r="X138" s="228">
        <v>0</v>
      </c>
    </row>
    <row r="139" spans="2:24">
      <c r="B139" s="23" t="s">
        <v>286</v>
      </c>
      <c r="F139" s="102">
        <f t="shared" si="41"/>
        <v>0</v>
      </c>
      <c r="G139" s="87">
        <v>0</v>
      </c>
      <c r="H139" s="87">
        <v>0</v>
      </c>
      <c r="I139" s="102">
        <f t="shared" si="42"/>
        <v>0</v>
      </c>
      <c r="J139" s="102">
        <f t="shared" si="43"/>
        <v>0</v>
      </c>
      <c r="K139" s="102">
        <f t="shared" si="44"/>
        <v>0</v>
      </c>
      <c r="L139" s="87">
        <v>0</v>
      </c>
      <c r="M139" s="87">
        <v>0</v>
      </c>
      <c r="N139" s="87">
        <v>0</v>
      </c>
      <c r="O139" s="87">
        <v>0</v>
      </c>
      <c r="S139" s="228">
        <v>0</v>
      </c>
      <c r="T139" s="228">
        <v>0</v>
      </c>
      <c r="U139" s="228">
        <v>0</v>
      </c>
      <c r="V139" s="228">
        <v>0</v>
      </c>
      <c r="W139" s="229">
        <v>0</v>
      </c>
      <c r="X139" s="228">
        <v>0</v>
      </c>
    </row>
    <row r="140" spans="2:24">
      <c r="B140" s="61" t="s">
        <v>287</v>
      </c>
      <c r="F140" s="102">
        <f t="shared" si="41"/>
        <v>1</v>
      </c>
      <c r="G140" s="87">
        <v>0</v>
      </c>
      <c r="H140" s="87">
        <v>0</v>
      </c>
      <c r="I140" s="102">
        <f t="shared" si="42"/>
        <v>0</v>
      </c>
      <c r="J140" s="102">
        <f t="shared" si="43"/>
        <v>0</v>
      </c>
      <c r="K140" s="102">
        <f t="shared" si="44"/>
        <v>0</v>
      </c>
      <c r="L140" s="87">
        <v>1</v>
      </c>
      <c r="M140" s="87">
        <v>0</v>
      </c>
      <c r="N140" s="87">
        <v>0</v>
      </c>
      <c r="O140" s="87">
        <v>0</v>
      </c>
      <c r="S140" s="228">
        <v>0</v>
      </c>
      <c r="T140" s="228">
        <v>0</v>
      </c>
      <c r="U140" s="228">
        <v>0</v>
      </c>
      <c r="V140" s="228">
        <v>0</v>
      </c>
      <c r="W140" s="229">
        <v>0</v>
      </c>
      <c r="X140" s="228">
        <v>0</v>
      </c>
    </row>
    <row r="141" spans="2:24">
      <c r="B141" s="61" t="s">
        <v>288</v>
      </c>
      <c r="F141" s="102">
        <f t="shared" si="41"/>
        <v>2</v>
      </c>
      <c r="G141" s="87">
        <v>1</v>
      </c>
      <c r="H141" s="87">
        <v>0</v>
      </c>
      <c r="I141" s="102">
        <f t="shared" si="42"/>
        <v>1</v>
      </c>
      <c r="J141" s="102">
        <f t="shared" si="43"/>
        <v>0</v>
      </c>
      <c r="K141" s="102">
        <f t="shared" si="44"/>
        <v>0</v>
      </c>
      <c r="L141" s="87">
        <v>0</v>
      </c>
      <c r="M141" s="87">
        <v>0</v>
      </c>
      <c r="N141" s="87">
        <v>0</v>
      </c>
      <c r="O141" s="87">
        <v>0</v>
      </c>
      <c r="S141" s="228">
        <v>0</v>
      </c>
      <c r="T141" s="228">
        <v>1</v>
      </c>
      <c r="U141" s="228">
        <v>0</v>
      </c>
      <c r="V141" s="228">
        <v>0</v>
      </c>
      <c r="W141" s="229">
        <v>0</v>
      </c>
      <c r="X141" s="228">
        <v>0</v>
      </c>
    </row>
    <row r="142" spans="2:24">
      <c r="B142" s="23"/>
      <c r="F142" s="109"/>
      <c r="G142" s="63"/>
      <c r="H142" s="63"/>
      <c r="I142" s="63"/>
      <c r="J142" s="63"/>
      <c r="K142" s="63"/>
      <c r="L142" s="63"/>
      <c r="M142" s="63"/>
      <c r="N142" s="63"/>
      <c r="O142" s="63"/>
      <c r="S142" s="225"/>
      <c r="T142" s="225"/>
      <c r="U142" s="225"/>
      <c r="V142" s="225"/>
      <c r="W142" s="226"/>
      <c r="X142" s="225"/>
    </row>
    <row r="143" spans="2:24">
      <c r="B143" s="108" t="s">
        <v>290</v>
      </c>
      <c r="F143" s="109"/>
      <c r="G143" s="63"/>
      <c r="H143" s="63"/>
      <c r="I143" s="63"/>
      <c r="J143" s="63"/>
      <c r="K143" s="63"/>
      <c r="L143" s="63"/>
      <c r="M143" s="63"/>
      <c r="N143" s="63"/>
      <c r="O143" s="63"/>
      <c r="S143" s="227"/>
      <c r="T143" s="225"/>
      <c r="U143" s="225"/>
      <c r="V143" s="225"/>
      <c r="W143" s="225"/>
      <c r="X143" s="225"/>
    </row>
    <row r="144" spans="2:24">
      <c r="B144" s="23" t="s">
        <v>291</v>
      </c>
      <c r="F144" s="102">
        <f t="shared" ref="F144" si="45">SUM(G144:O144)</f>
        <v>0</v>
      </c>
      <c r="G144" s="29"/>
      <c r="H144" s="87">
        <v>0</v>
      </c>
      <c r="I144" s="29"/>
      <c r="J144" s="102">
        <f t="shared" ref="J144" si="46">U144+V144</f>
        <v>0</v>
      </c>
      <c r="K144" s="29"/>
      <c r="L144" s="29"/>
      <c r="M144" s="29"/>
      <c r="N144" s="29"/>
      <c r="O144" s="87">
        <v>0</v>
      </c>
      <c r="S144" s="225"/>
      <c r="T144" s="225"/>
      <c r="U144" s="228">
        <v>0</v>
      </c>
      <c r="V144" s="225"/>
      <c r="W144" s="225"/>
      <c r="X144" s="225"/>
    </row>
    <row r="145" spans="2:24">
      <c r="B145" s="3"/>
      <c r="F145" s="109"/>
      <c r="G145" s="63"/>
      <c r="H145" s="63"/>
      <c r="I145" s="63"/>
      <c r="J145" s="63"/>
      <c r="K145" s="63"/>
      <c r="L145" s="63"/>
      <c r="M145" s="63"/>
      <c r="N145" s="63"/>
      <c r="O145" s="63"/>
      <c r="S145" s="227"/>
      <c r="T145" s="225"/>
      <c r="U145" s="225"/>
      <c r="V145" s="225"/>
      <c r="W145" s="225"/>
      <c r="X145" s="225"/>
    </row>
    <row r="146" spans="2:24">
      <c r="B146" s="3"/>
      <c r="F146" s="109"/>
      <c r="G146" s="63"/>
      <c r="H146" s="63"/>
      <c r="I146" s="63"/>
      <c r="J146" s="63"/>
      <c r="K146" s="63"/>
      <c r="L146" s="63"/>
      <c r="M146" s="63"/>
      <c r="N146" s="63"/>
      <c r="O146" s="63"/>
      <c r="S146" s="227"/>
      <c r="T146" s="225"/>
      <c r="U146" s="225"/>
      <c r="V146" s="225"/>
      <c r="W146" s="225"/>
      <c r="X146" s="225"/>
    </row>
    <row r="147" spans="2:24">
      <c r="B147" s="3" t="s">
        <v>305</v>
      </c>
      <c r="F147" s="109"/>
      <c r="G147" s="63"/>
      <c r="H147" s="63"/>
      <c r="I147" s="63"/>
      <c r="J147" s="63"/>
      <c r="K147" s="63"/>
      <c r="L147" s="63"/>
      <c r="M147" s="63"/>
      <c r="N147" s="63"/>
      <c r="O147" s="63"/>
      <c r="S147" s="227"/>
      <c r="T147" s="225"/>
      <c r="U147" s="225"/>
      <c r="V147" s="225"/>
      <c r="W147" s="226"/>
      <c r="X147" s="225"/>
    </row>
    <row r="148" spans="2:24">
      <c r="B148" s="3"/>
      <c r="F148" s="109"/>
      <c r="G148" s="63"/>
      <c r="H148" s="63"/>
      <c r="I148" s="63"/>
      <c r="J148" s="63"/>
      <c r="K148" s="63"/>
      <c r="L148" s="63"/>
      <c r="M148" s="63"/>
      <c r="N148" s="63"/>
      <c r="O148" s="63"/>
      <c r="S148" s="227"/>
      <c r="T148" s="225"/>
      <c r="U148" s="225"/>
      <c r="V148" s="225"/>
      <c r="W148" s="226"/>
      <c r="X148" s="225"/>
    </row>
    <row r="149" spans="2:24">
      <c r="B149" s="108" t="s">
        <v>284</v>
      </c>
      <c r="F149" s="109"/>
      <c r="G149" s="63"/>
      <c r="H149" s="63"/>
      <c r="I149" s="63"/>
      <c r="J149" s="63"/>
      <c r="K149" s="63"/>
      <c r="L149" s="63"/>
      <c r="M149" s="63"/>
      <c r="N149" s="63"/>
      <c r="O149" s="63"/>
      <c r="S149" s="227"/>
      <c r="T149" s="225"/>
      <c r="U149" s="225"/>
      <c r="V149" s="225"/>
      <c r="W149" s="226"/>
      <c r="X149" s="225"/>
    </row>
    <row r="150" spans="2:24">
      <c r="B150" s="61" t="s">
        <v>292</v>
      </c>
      <c r="F150" s="102">
        <f t="shared" ref="F150:F159" si="47">SUM(G150:O150)</f>
        <v>9492.3952460921555</v>
      </c>
      <c r="G150" s="87">
        <v>238.53846153846155</v>
      </c>
      <c r="H150" s="87">
        <v>188</v>
      </c>
      <c r="I150" s="102">
        <f t="shared" ref="I150:I159" si="48">S150+T150</f>
        <v>788</v>
      </c>
      <c r="J150" s="102">
        <f t="shared" ref="J150:J159" si="49">U150+V150</f>
        <v>2587.5290446719291</v>
      </c>
      <c r="K150" s="102">
        <f t="shared" ref="K150:K159" si="50">W150+X150</f>
        <v>3085.083333333333</v>
      </c>
      <c r="L150" s="87">
        <v>144.80000000000001</v>
      </c>
      <c r="M150" s="87">
        <v>2367.6110732150978</v>
      </c>
      <c r="N150" s="87">
        <v>92.833333333333329</v>
      </c>
      <c r="O150" s="87">
        <v>0</v>
      </c>
      <c r="S150" s="228">
        <v>318</v>
      </c>
      <c r="T150" s="228">
        <v>470</v>
      </c>
      <c r="U150" s="228">
        <v>2585.5290446719291</v>
      </c>
      <c r="V150" s="228">
        <v>2</v>
      </c>
      <c r="W150" s="229">
        <v>2933.083333333333</v>
      </c>
      <c r="X150" s="228">
        <v>152</v>
      </c>
    </row>
    <row r="151" spans="2:24">
      <c r="B151" s="61" t="s">
        <v>293</v>
      </c>
      <c r="F151" s="102">
        <f t="shared" si="47"/>
        <v>12489.513747004299</v>
      </c>
      <c r="G151" s="87">
        <v>185.15384615384616</v>
      </c>
      <c r="H151" s="87">
        <v>258</v>
      </c>
      <c r="I151" s="102">
        <f t="shared" si="48"/>
        <v>539</v>
      </c>
      <c r="J151" s="102">
        <f t="shared" si="49"/>
        <v>3158.6432341837881</v>
      </c>
      <c r="K151" s="102">
        <f t="shared" si="50"/>
        <v>4399.833333333333</v>
      </c>
      <c r="L151" s="87">
        <v>141.80000000000001</v>
      </c>
      <c r="M151" s="87">
        <v>3622.416666666667</v>
      </c>
      <c r="N151" s="87">
        <v>184.66666666666669</v>
      </c>
      <c r="O151" s="87">
        <v>0</v>
      </c>
      <c r="S151" s="228">
        <v>237</v>
      </c>
      <c r="T151" s="228">
        <v>302</v>
      </c>
      <c r="U151" s="228">
        <v>2782.6432341837881</v>
      </c>
      <c r="V151" s="228">
        <v>376</v>
      </c>
      <c r="W151" s="229">
        <v>4278.833333333333</v>
      </c>
      <c r="X151" s="228">
        <v>121</v>
      </c>
    </row>
    <row r="152" spans="2:24">
      <c r="B152" s="61" t="s">
        <v>294</v>
      </c>
      <c r="F152" s="102">
        <f t="shared" si="47"/>
        <v>6242.510651119057</v>
      </c>
      <c r="G152" s="87">
        <v>66.15384615384616</v>
      </c>
      <c r="H152" s="87">
        <v>101</v>
      </c>
      <c r="I152" s="102">
        <f t="shared" si="48"/>
        <v>381</v>
      </c>
      <c r="J152" s="102">
        <f t="shared" si="49"/>
        <v>1485.5734716318786</v>
      </c>
      <c r="K152" s="102">
        <f t="shared" si="50"/>
        <v>2035.9166666666665</v>
      </c>
      <c r="L152" s="87">
        <v>36.200000000000003</v>
      </c>
      <c r="M152" s="87">
        <v>1992.6666666666665</v>
      </c>
      <c r="N152" s="87">
        <v>144</v>
      </c>
      <c r="O152" s="87">
        <v>0</v>
      </c>
      <c r="S152" s="228">
        <v>202</v>
      </c>
      <c r="T152" s="228">
        <v>179</v>
      </c>
      <c r="U152" s="228">
        <v>1377.5734716318786</v>
      </c>
      <c r="V152" s="228">
        <v>108</v>
      </c>
      <c r="W152" s="229">
        <v>1978.9166666666665</v>
      </c>
      <c r="X152" s="228">
        <v>57</v>
      </c>
    </row>
    <row r="153" spans="2:24">
      <c r="B153" s="61" t="s">
        <v>295</v>
      </c>
      <c r="F153" s="102">
        <f t="shared" si="47"/>
        <v>3374.3883201264798</v>
      </c>
      <c r="G153" s="87">
        <v>62.692307692307693</v>
      </c>
      <c r="H153" s="87">
        <v>57</v>
      </c>
      <c r="I153" s="102">
        <f t="shared" si="48"/>
        <v>121</v>
      </c>
      <c r="J153" s="102">
        <f t="shared" si="49"/>
        <v>646.9998762878065</v>
      </c>
      <c r="K153" s="102">
        <f t="shared" si="50"/>
        <v>1300.9166666666665</v>
      </c>
      <c r="L153" s="87">
        <v>23</v>
      </c>
      <c r="M153" s="87">
        <v>806.3697318007662</v>
      </c>
      <c r="N153" s="87">
        <v>356.40973767893325</v>
      </c>
      <c r="O153" s="87">
        <v>0</v>
      </c>
      <c r="S153" s="228">
        <v>59</v>
      </c>
      <c r="T153" s="228">
        <v>62</v>
      </c>
      <c r="U153" s="228">
        <v>568.9998762878065</v>
      </c>
      <c r="V153" s="228">
        <v>78</v>
      </c>
      <c r="W153" s="229">
        <v>1276.9166666666665</v>
      </c>
      <c r="X153" s="228">
        <v>24</v>
      </c>
    </row>
    <row r="154" spans="2:24">
      <c r="B154" s="26" t="s">
        <v>296</v>
      </c>
      <c r="F154" s="102">
        <f t="shared" si="47"/>
        <v>2825.5874687309533</v>
      </c>
      <c r="G154" s="87">
        <v>18.230769230769234</v>
      </c>
      <c r="H154" s="87">
        <v>9</v>
      </c>
      <c r="I154" s="102">
        <f t="shared" si="48"/>
        <v>84</v>
      </c>
      <c r="J154" s="102">
        <f t="shared" si="49"/>
        <v>422.99588877321645</v>
      </c>
      <c r="K154" s="102">
        <f t="shared" si="50"/>
        <v>729.83333333333326</v>
      </c>
      <c r="L154" s="87">
        <v>5</v>
      </c>
      <c r="M154" s="87">
        <v>1064.4080459770114</v>
      </c>
      <c r="N154" s="87">
        <v>492.11943141662323</v>
      </c>
      <c r="O154" s="87">
        <v>0</v>
      </c>
      <c r="S154" s="228">
        <v>68</v>
      </c>
      <c r="T154" s="228">
        <v>16</v>
      </c>
      <c r="U154" s="228">
        <v>352.99588877321645</v>
      </c>
      <c r="V154" s="228">
        <v>70</v>
      </c>
      <c r="W154" s="229">
        <v>725.83333333333326</v>
      </c>
      <c r="X154" s="228">
        <v>4</v>
      </c>
    </row>
    <row r="155" spans="2:24">
      <c r="B155" s="61" t="s">
        <v>297</v>
      </c>
      <c r="F155" s="102">
        <f t="shared" si="47"/>
        <v>715.16391251028904</v>
      </c>
      <c r="G155" s="87">
        <v>9</v>
      </c>
      <c r="H155" s="87">
        <v>0</v>
      </c>
      <c r="I155" s="102">
        <f t="shared" si="48"/>
        <v>14</v>
      </c>
      <c r="J155" s="102">
        <f t="shared" si="49"/>
        <v>81.714439649168639</v>
      </c>
      <c r="K155" s="102">
        <f t="shared" si="50"/>
        <v>294.33333333333331</v>
      </c>
      <c r="L155" s="87">
        <v>3</v>
      </c>
      <c r="M155" s="87">
        <v>312.61613952778714</v>
      </c>
      <c r="N155" s="87">
        <v>0.5</v>
      </c>
      <c r="O155" s="87">
        <v>0</v>
      </c>
      <c r="S155" s="228">
        <v>14</v>
      </c>
      <c r="T155" s="228">
        <v>0</v>
      </c>
      <c r="U155" s="228">
        <v>45.714439649168632</v>
      </c>
      <c r="V155" s="228">
        <v>36</v>
      </c>
      <c r="W155" s="229">
        <v>294.33333333333331</v>
      </c>
      <c r="X155" s="228">
        <v>0</v>
      </c>
    </row>
    <row r="156" spans="2:24">
      <c r="B156" s="61" t="s">
        <v>298</v>
      </c>
      <c r="F156" s="102">
        <f t="shared" si="47"/>
        <v>443.94564639780015</v>
      </c>
      <c r="G156" s="87">
        <v>0.23076923076923084</v>
      </c>
      <c r="H156" s="87">
        <v>1</v>
      </c>
      <c r="I156" s="102">
        <f t="shared" si="48"/>
        <v>7</v>
      </c>
      <c r="J156" s="102">
        <f t="shared" si="49"/>
        <v>26.969899813499644</v>
      </c>
      <c r="K156" s="102">
        <f t="shared" si="50"/>
        <v>172.25</v>
      </c>
      <c r="L156" s="87">
        <v>0</v>
      </c>
      <c r="M156" s="87">
        <v>235.49497735353128</v>
      </c>
      <c r="N156" s="87">
        <v>1</v>
      </c>
      <c r="O156" s="87">
        <v>0</v>
      </c>
      <c r="S156" s="228">
        <v>7</v>
      </c>
      <c r="T156" s="228">
        <v>0</v>
      </c>
      <c r="U156" s="228">
        <v>13.969899813499646</v>
      </c>
      <c r="V156" s="228">
        <v>13</v>
      </c>
      <c r="W156" s="229">
        <v>172.25</v>
      </c>
      <c r="X156" s="228">
        <v>0</v>
      </c>
    </row>
    <row r="157" spans="2:24">
      <c r="B157" s="61" t="s">
        <v>299</v>
      </c>
      <c r="F157" s="102">
        <f t="shared" si="47"/>
        <v>471.41840277777777</v>
      </c>
      <c r="G157" s="87">
        <v>0</v>
      </c>
      <c r="H157" s="87">
        <v>0</v>
      </c>
      <c r="I157" s="102">
        <f t="shared" si="48"/>
        <v>3</v>
      </c>
      <c r="J157" s="102">
        <f t="shared" si="49"/>
        <v>3</v>
      </c>
      <c r="K157" s="102">
        <f t="shared" si="50"/>
        <v>79.083333333333329</v>
      </c>
      <c r="L157" s="87">
        <v>0</v>
      </c>
      <c r="M157" s="87">
        <v>144.83506944444443</v>
      </c>
      <c r="N157" s="87">
        <v>241.5</v>
      </c>
      <c r="O157" s="87">
        <v>0</v>
      </c>
      <c r="S157" s="228">
        <v>3</v>
      </c>
      <c r="T157" s="228">
        <v>0</v>
      </c>
      <c r="U157" s="228">
        <v>0</v>
      </c>
      <c r="V157" s="228">
        <v>3</v>
      </c>
      <c r="W157" s="229">
        <v>79.083333333333329</v>
      </c>
      <c r="X157" s="228">
        <v>0</v>
      </c>
    </row>
    <row r="158" spans="2:24">
      <c r="B158" s="23" t="s">
        <v>300</v>
      </c>
      <c r="F158" s="102">
        <f t="shared" si="47"/>
        <v>85.470486111111114</v>
      </c>
      <c r="G158" s="87">
        <v>0</v>
      </c>
      <c r="H158" s="87">
        <v>0</v>
      </c>
      <c r="I158" s="102">
        <f t="shared" si="48"/>
        <v>2</v>
      </c>
      <c r="J158" s="102">
        <f t="shared" si="49"/>
        <v>0</v>
      </c>
      <c r="K158" s="102">
        <f t="shared" si="50"/>
        <v>31.083333333333336</v>
      </c>
      <c r="L158" s="87">
        <v>0</v>
      </c>
      <c r="M158" s="87">
        <v>52.387152777777771</v>
      </c>
      <c r="N158" s="87">
        <v>0</v>
      </c>
      <c r="O158" s="87">
        <v>0</v>
      </c>
      <c r="S158" s="228">
        <v>2</v>
      </c>
      <c r="T158" s="228">
        <v>0</v>
      </c>
      <c r="U158" s="228">
        <v>0</v>
      </c>
      <c r="V158" s="228">
        <v>0</v>
      </c>
      <c r="W158" s="229">
        <v>31.083333333333336</v>
      </c>
      <c r="X158" s="228">
        <v>0</v>
      </c>
    </row>
    <row r="159" spans="2:24">
      <c r="B159" s="23" t="s">
        <v>301</v>
      </c>
      <c r="F159" s="102">
        <f t="shared" si="47"/>
        <v>71.583333333333329</v>
      </c>
      <c r="G159" s="87">
        <v>0</v>
      </c>
      <c r="H159" s="87">
        <v>0</v>
      </c>
      <c r="I159" s="102">
        <f t="shared" si="48"/>
        <v>0</v>
      </c>
      <c r="J159" s="102">
        <f t="shared" si="49"/>
        <v>0</v>
      </c>
      <c r="K159" s="102">
        <f t="shared" si="50"/>
        <v>16.083333333333332</v>
      </c>
      <c r="L159" s="87">
        <v>0</v>
      </c>
      <c r="M159" s="87">
        <v>47</v>
      </c>
      <c r="N159" s="87">
        <v>8.5</v>
      </c>
      <c r="O159" s="87">
        <v>0</v>
      </c>
      <c r="S159" s="228">
        <v>0</v>
      </c>
      <c r="T159" s="228">
        <v>0</v>
      </c>
      <c r="U159" s="228">
        <v>0</v>
      </c>
      <c r="V159" s="228">
        <v>0</v>
      </c>
      <c r="W159" s="229">
        <v>16.083333333333332</v>
      </c>
      <c r="X159" s="228">
        <v>0</v>
      </c>
    </row>
    <row r="160" spans="2:24">
      <c r="B160" s="23"/>
      <c r="F160" s="109"/>
      <c r="G160" s="63"/>
      <c r="H160" s="63"/>
      <c r="I160" s="63"/>
      <c r="J160" s="63"/>
      <c r="K160" s="63"/>
      <c r="L160" s="63"/>
      <c r="M160" s="63"/>
      <c r="N160" s="63"/>
      <c r="O160" s="63"/>
      <c r="S160" s="227"/>
      <c r="T160" s="225"/>
      <c r="U160" s="225"/>
      <c r="V160" s="225"/>
      <c r="W160" s="226"/>
      <c r="X160" s="225"/>
    </row>
    <row r="161" spans="2:26">
      <c r="B161" s="108" t="s">
        <v>289</v>
      </c>
      <c r="F161" s="109"/>
      <c r="G161" s="63"/>
      <c r="H161" s="63"/>
      <c r="I161" s="63"/>
      <c r="J161" s="63"/>
      <c r="K161" s="63"/>
      <c r="L161" s="63"/>
      <c r="M161" s="63"/>
      <c r="N161" s="63"/>
      <c r="O161" s="63"/>
      <c r="S161" s="227"/>
      <c r="T161" s="225"/>
      <c r="U161" s="225"/>
      <c r="V161" s="225"/>
      <c r="W161" s="226"/>
      <c r="X161" s="225"/>
    </row>
    <row r="162" spans="2:26">
      <c r="B162" s="61" t="s">
        <v>292</v>
      </c>
      <c r="F162" s="102">
        <f t="shared" ref="F162:F171" si="51">SUM(G162:O162)</f>
        <v>105.66183171459025</v>
      </c>
      <c r="G162" s="87">
        <v>0</v>
      </c>
      <c r="H162" s="87">
        <v>0</v>
      </c>
      <c r="I162" s="102">
        <f t="shared" ref="I162:I171" si="52">S162+T162</f>
        <v>0</v>
      </c>
      <c r="J162" s="102">
        <f t="shared" ref="J162:J171" si="53">U162+V162</f>
        <v>94.661831714590249</v>
      </c>
      <c r="K162" s="102">
        <f t="shared" ref="K162:K171" si="54">W162+X162</f>
        <v>9</v>
      </c>
      <c r="L162" s="87">
        <v>2</v>
      </c>
      <c r="M162" s="87">
        <v>0</v>
      </c>
      <c r="N162" s="87">
        <v>0</v>
      </c>
      <c r="O162" s="87">
        <v>0</v>
      </c>
      <c r="S162" s="228">
        <v>0</v>
      </c>
      <c r="T162" s="228">
        <v>0</v>
      </c>
      <c r="U162" s="228">
        <v>94.661831714590249</v>
      </c>
      <c r="V162" s="228">
        <v>0</v>
      </c>
      <c r="W162" s="229">
        <v>8</v>
      </c>
      <c r="X162" s="228">
        <v>1</v>
      </c>
      <c r="Z162" s="258"/>
    </row>
    <row r="163" spans="2:26">
      <c r="B163" s="61" t="s">
        <v>293</v>
      </c>
      <c r="F163" s="102">
        <f t="shared" si="51"/>
        <v>376.92994998590927</v>
      </c>
      <c r="G163" s="87">
        <v>4</v>
      </c>
      <c r="H163" s="87">
        <v>22</v>
      </c>
      <c r="I163" s="102">
        <f t="shared" si="52"/>
        <v>7.0378260966890442</v>
      </c>
      <c r="J163" s="102">
        <f t="shared" si="53"/>
        <v>316.90140691262906</v>
      </c>
      <c r="K163" s="102">
        <f t="shared" si="54"/>
        <v>17.990716976591141</v>
      </c>
      <c r="L163" s="87">
        <v>9</v>
      </c>
      <c r="M163" s="87">
        <v>0</v>
      </c>
      <c r="N163" s="87">
        <v>0</v>
      </c>
      <c r="O163" s="87">
        <v>0</v>
      </c>
      <c r="S163" s="228">
        <v>0</v>
      </c>
      <c r="T163" s="228">
        <v>7.0378260966890442</v>
      </c>
      <c r="U163" s="228">
        <v>315.90140691262906</v>
      </c>
      <c r="V163" s="228">
        <v>1</v>
      </c>
      <c r="W163" s="229">
        <v>10</v>
      </c>
      <c r="X163" s="228">
        <v>7.9907169765911421</v>
      </c>
      <c r="Z163" s="258"/>
    </row>
    <row r="164" spans="2:26">
      <c r="B164" s="61" t="s">
        <v>294</v>
      </c>
      <c r="F164" s="102">
        <f t="shared" si="51"/>
        <v>439.36603118560623</v>
      </c>
      <c r="G164" s="87">
        <v>3</v>
      </c>
      <c r="H164" s="87">
        <v>9</v>
      </c>
      <c r="I164" s="102">
        <f t="shared" si="52"/>
        <v>8.0189130483445226</v>
      </c>
      <c r="J164" s="102">
        <f t="shared" si="53"/>
        <v>387.3590534530731</v>
      </c>
      <c r="K164" s="102">
        <f t="shared" si="54"/>
        <v>16.988064684188608</v>
      </c>
      <c r="L164" s="87">
        <v>14</v>
      </c>
      <c r="M164" s="87">
        <v>0</v>
      </c>
      <c r="N164" s="87">
        <v>1</v>
      </c>
      <c r="O164" s="87">
        <v>0</v>
      </c>
      <c r="S164" s="228">
        <v>3</v>
      </c>
      <c r="T164" s="228">
        <v>5.0189130483445226</v>
      </c>
      <c r="U164" s="228">
        <v>387.3590534530731</v>
      </c>
      <c r="V164" s="228">
        <v>0</v>
      </c>
      <c r="W164" s="229">
        <v>7</v>
      </c>
      <c r="X164" s="228">
        <v>9.9880646841886094</v>
      </c>
      <c r="Z164" s="258"/>
    </row>
    <row r="165" spans="2:26">
      <c r="B165" s="61" t="s">
        <v>295</v>
      </c>
      <c r="F165" s="102">
        <f t="shared" si="51"/>
        <v>675.27323634758989</v>
      </c>
      <c r="G165" s="87">
        <v>23</v>
      </c>
      <c r="H165" s="87">
        <v>40</v>
      </c>
      <c r="I165" s="102">
        <f t="shared" si="52"/>
        <v>17.151304386756177</v>
      </c>
      <c r="J165" s="102">
        <f t="shared" si="53"/>
        <v>539.9632221713747</v>
      </c>
      <c r="K165" s="102">
        <f t="shared" si="54"/>
        <v>28.992043122792406</v>
      </c>
      <c r="L165" s="87">
        <v>21.166666666666664</v>
      </c>
      <c r="M165" s="87">
        <v>0</v>
      </c>
      <c r="N165" s="87">
        <v>5</v>
      </c>
      <c r="O165" s="87">
        <v>0</v>
      </c>
      <c r="S165" s="228">
        <v>0</v>
      </c>
      <c r="T165" s="228">
        <v>17.151304386756177</v>
      </c>
      <c r="U165" s="228">
        <v>536.9632221713747</v>
      </c>
      <c r="V165" s="228">
        <v>3</v>
      </c>
      <c r="W165" s="229">
        <v>20</v>
      </c>
      <c r="X165" s="228">
        <v>8.9920431227924063</v>
      </c>
      <c r="Z165" s="258"/>
    </row>
    <row r="166" spans="2:26">
      <c r="B166" s="26" t="s">
        <v>296</v>
      </c>
      <c r="F166" s="102">
        <f t="shared" si="51"/>
        <v>648.63605441605239</v>
      </c>
      <c r="G166" s="87">
        <v>17</v>
      </c>
      <c r="H166" s="87">
        <v>36</v>
      </c>
      <c r="I166" s="102">
        <f t="shared" si="52"/>
        <v>32.274239200995581</v>
      </c>
      <c r="J166" s="102">
        <f t="shared" si="53"/>
        <v>506.32412698699397</v>
      </c>
      <c r="K166" s="102">
        <f t="shared" si="54"/>
        <v>25.996021561396205</v>
      </c>
      <c r="L166" s="87">
        <v>18.041666666666668</v>
      </c>
      <c r="M166" s="87">
        <v>0</v>
      </c>
      <c r="N166" s="87">
        <v>13</v>
      </c>
      <c r="O166" s="87">
        <v>0</v>
      </c>
      <c r="S166" s="228">
        <v>1</v>
      </c>
      <c r="T166" s="228">
        <v>31.274239200995577</v>
      </c>
      <c r="U166" s="228">
        <v>493.32412698699397</v>
      </c>
      <c r="V166" s="228">
        <v>13</v>
      </c>
      <c r="W166" s="229">
        <v>23</v>
      </c>
      <c r="X166" s="228">
        <v>2.9960215613962036</v>
      </c>
      <c r="Z166" s="258"/>
    </row>
    <row r="167" spans="2:26">
      <c r="B167" s="61" t="s">
        <v>297</v>
      </c>
      <c r="F167" s="102">
        <f t="shared" si="51"/>
        <v>557.12494182766568</v>
      </c>
      <c r="G167" s="87">
        <v>8</v>
      </c>
      <c r="H167" s="87">
        <v>18</v>
      </c>
      <c r="I167" s="102">
        <f t="shared" si="52"/>
        <v>72.595761022852457</v>
      </c>
      <c r="J167" s="102">
        <f t="shared" si="53"/>
        <v>330.57957436046132</v>
      </c>
      <c r="K167" s="102">
        <f t="shared" si="54"/>
        <v>77.9496064443519</v>
      </c>
      <c r="L167" s="87">
        <v>8</v>
      </c>
      <c r="M167" s="87">
        <v>0</v>
      </c>
      <c r="N167" s="87">
        <v>42</v>
      </c>
      <c r="O167" s="87">
        <v>0</v>
      </c>
      <c r="S167" s="228">
        <v>9</v>
      </c>
      <c r="T167" s="228">
        <v>63.595761022852457</v>
      </c>
      <c r="U167" s="228">
        <v>316.57957436046132</v>
      </c>
      <c r="V167" s="228">
        <v>14</v>
      </c>
      <c r="W167" s="229">
        <v>40</v>
      </c>
      <c r="X167" s="228">
        <v>37.949606444351907</v>
      </c>
      <c r="Z167" s="258"/>
    </row>
    <row r="168" spans="2:26">
      <c r="B168" s="61" t="s">
        <v>298</v>
      </c>
      <c r="F168" s="102">
        <f t="shared" si="51"/>
        <v>326.9563801709798</v>
      </c>
      <c r="G168" s="87">
        <v>3</v>
      </c>
      <c r="H168" s="87">
        <v>3</v>
      </c>
      <c r="I168" s="102">
        <f t="shared" si="52"/>
        <v>50.453913160268534</v>
      </c>
      <c r="J168" s="102">
        <f t="shared" si="53"/>
        <v>198.6717859697805</v>
      </c>
      <c r="K168" s="102">
        <f t="shared" si="54"/>
        <v>35.99734770759747</v>
      </c>
      <c r="L168" s="87">
        <v>6.833333333333333</v>
      </c>
      <c r="M168" s="87">
        <v>0</v>
      </c>
      <c r="N168" s="87">
        <v>29</v>
      </c>
      <c r="O168" s="87">
        <v>0</v>
      </c>
      <c r="S168" s="228">
        <v>2</v>
      </c>
      <c r="T168" s="228">
        <v>48.453913160268534</v>
      </c>
      <c r="U168" s="228">
        <v>185.6717859697805</v>
      </c>
      <c r="V168" s="228">
        <v>13</v>
      </c>
      <c r="W168" s="229">
        <v>34</v>
      </c>
      <c r="X168" s="228">
        <v>1.9973477075974688</v>
      </c>
      <c r="Z168" s="258"/>
    </row>
    <row r="169" spans="2:26">
      <c r="B169" s="61" t="s">
        <v>299</v>
      </c>
      <c r="F169" s="102">
        <f t="shared" si="51"/>
        <v>215.40516999539909</v>
      </c>
      <c r="G169" s="87">
        <v>0</v>
      </c>
      <c r="H169" s="87">
        <v>1</v>
      </c>
      <c r="I169" s="102">
        <f t="shared" si="52"/>
        <v>58.548478401991147</v>
      </c>
      <c r="J169" s="102">
        <f t="shared" si="53"/>
        <v>67.884540663634525</v>
      </c>
      <c r="K169" s="102">
        <f t="shared" si="54"/>
        <v>41.972150929773427</v>
      </c>
      <c r="L169" s="87">
        <v>6</v>
      </c>
      <c r="M169" s="87">
        <v>0</v>
      </c>
      <c r="N169" s="87">
        <v>40</v>
      </c>
      <c r="O169" s="87">
        <v>0</v>
      </c>
      <c r="S169" s="228">
        <v>0</v>
      </c>
      <c r="T169" s="228">
        <v>58.548478401991147</v>
      </c>
      <c r="U169" s="228">
        <v>61.884540663634525</v>
      </c>
      <c r="V169" s="228">
        <v>6</v>
      </c>
      <c r="W169" s="229">
        <v>21</v>
      </c>
      <c r="X169" s="228">
        <v>20.972150929773427</v>
      </c>
      <c r="Z169" s="258"/>
    </row>
    <row r="170" spans="2:26">
      <c r="B170" s="23" t="s">
        <v>300</v>
      </c>
      <c r="F170" s="102">
        <f t="shared" si="51"/>
        <v>54.790715708975121</v>
      </c>
      <c r="G170" s="87">
        <v>0</v>
      </c>
      <c r="H170" s="87">
        <v>1</v>
      </c>
      <c r="I170" s="102">
        <f t="shared" si="52"/>
        <v>11.047282620861306</v>
      </c>
      <c r="J170" s="102">
        <f t="shared" si="53"/>
        <v>18.743433088113814</v>
      </c>
      <c r="K170" s="102">
        <f t="shared" si="54"/>
        <v>11</v>
      </c>
      <c r="L170" s="87">
        <v>5</v>
      </c>
      <c r="M170" s="87">
        <v>0</v>
      </c>
      <c r="N170" s="87">
        <v>8</v>
      </c>
      <c r="O170" s="87">
        <v>0</v>
      </c>
      <c r="S170" s="228">
        <v>6</v>
      </c>
      <c r="T170" s="228">
        <v>5.0472826208613055</v>
      </c>
      <c r="U170" s="228">
        <v>18.743433088113814</v>
      </c>
      <c r="V170" s="228">
        <v>0</v>
      </c>
      <c r="W170" s="229">
        <v>11</v>
      </c>
      <c r="X170" s="228">
        <v>0</v>
      </c>
      <c r="Z170" s="258"/>
    </row>
    <row r="171" spans="2:26">
      <c r="B171" s="23" t="s">
        <v>301</v>
      </c>
      <c r="F171" s="102">
        <f t="shared" si="51"/>
        <v>94.503321446057299</v>
      </c>
      <c r="G171" s="87">
        <v>0</v>
      </c>
      <c r="H171" s="87">
        <v>0</v>
      </c>
      <c r="I171" s="102">
        <f t="shared" si="52"/>
        <v>1.0094565241722611</v>
      </c>
      <c r="J171" s="102">
        <f t="shared" si="53"/>
        <v>3.4965172142875751</v>
      </c>
      <c r="K171" s="102">
        <f t="shared" si="54"/>
        <v>9.9973477075974699</v>
      </c>
      <c r="L171" s="87">
        <v>3</v>
      </c>
      <c r="M171" s="87">
        <v>0</v>
      </c>
      <c r="N171" s="87">
        <v>77</v>
      </c>
      <c r="O171" s="87">
        <v>0</v>
      </c>
      <c r="S171" s="228">
        <v>0</v>
      </c>
      <c r="T171" s="228">
        <v>1.0094565241722611</v>
      </c>
      <c r="U171" s="228">
        <v>3.4965172142875751</v>
      </c>
      <c r="V171" s="228"/>
      <c r="W171" s="229">
        <v>8</v>
      </c>
      <c r="X171" s="228">
        <v>1.997347707597469</v>
      </c>
      <c r="Z171" s="258"/>
    </row>
    <row r="172" spans="2:26">
      <c r="B172" s="23"/>
      <c r="F172" s="109"/>
      <c r="G172" s="63"/>
      <c r="H172" s="63"/>
      <c r="I172" s="63"/>
      <c r="J172" s="63"/>
      <c r="K172" s="63"/>
      <c r="L172" s="63"/>
      <c r="M172" s="63"/>
      <c r="N172" s="63"/>
      <c r="O172" s="63"/>
      <c r="S172" s="227"/>
      <c r="T172" s="225"/>
      <c r="U172" s="225"/>
      <c r="V172" s="225"/>
      <c r="W172" s="226"/>
      <c r="X172" s="225"/>
    </row>
    <row r="173" spans="2:26">
      <c r="B173" s="108" t="s">
        <v>290</v>
      </c>
      <c r="F173" s="109"/>
      <c r="G173" s="63"/>
      <c r="H173" s="63"/>
      <c r="I173" s="63"/>
      <c r="J173" s="63"/>
      <c r="K173" s="63"/>
      <c r="L173" s="63"/>
      <c r="M173" s="63"/>
      <c r="N173" s="63"/>
      <c r="O173" s="63"/>
      <c r="S173" s="227"/>
      <c r="T173" s="225"/>
      <c r="U173" s="225"/>
      <c r="V173" s="225"/>
      <c r="W173" s="226"/>
      <c r="X173" s="225"/>
    </row>
    <row r="174" spans="2:26">
      <c r="B174" s="23" t="s">
        <v>302</v>
      </c>
      <c r="F174" s="102">
        <f t="shared" ref="F174" si="55">SUM(G174:O174)</f>
        <v>7</v>
      </c>
      <c r="G174" s="29"/>
      <c r="H174" s="87">
        <v>4</v>
      </c>
      <c r="I174" s="29"/>
      <c r="J174" s="102">
        <f t="shared" ref="J174" si="56">U174+V174</f>
        <v>3</v>
      </c>
      <c r="K174" s="29"/>
      <c r="L174" s="29"/>
      <c r="M174" s="29"/>
      <c r="N174" s="29"/>
      <c r="O174" s="87">
        <v>0</v>
      </c>
      <c r="S174" s="227"/>
      <c r="T174" s="227"/>
      <c r="U174" s="228">
        <v>3</v>
      </c>
      <c r="V174" s="227"/>
      <c r="W174" s="226"/>
      <c r="X174" s="227"/>
    </row>
    <row r="175" spans="2:26">
      <c r="B175" s="22"/>
      <c r="F175" s="109"/>
      <c r="G175" s="63"/>
      <c r="H175" s="63"/>
      <c r="I175" s="63"/>
      <c r="J175" s="63"/>
      <c r="K175" s="63"/>
      <c r="L175" s="63"/>
      <c r="M175" s="63"/>
      <c r="N175" s="63"/>
      <c r="O175" s="63"/>
      <c r="S175" s="227"/>
      <c r="T175" s="225"/>
      <c r="U175" s="225"/>
      <c r="V175" s="225"/>
      <c r="W175" s="226"/>
      <c r="X175" s="225"/>
    </row>
    <row r="176" spans="2:26">
      <c r="B176" s="22"/>
      <c r="F176" s="109"/>
      <c r="G176" s="63"/>
      <c r="H176" s="63"/>
      <c r="I176" s="63"/>
      <c r="J176" s="63"/>
      <c r="K176" s="63"/>
      <c r="L176" s="63"/>
      <c r="M176" s="63"/>
      <c r="N176" s="63"/>
      <c r="O176" s="63"/>
      <c r="S176" s="227"/>
      <c r="T176" s="225"/>
      <c r="U176" s="225"/>
      <c r="V176" s="225"/>
      <c r="W176" s="226"/>
      <c r="X176" s="225"/>
    </row>
    <row r="177" spans="2:24">
      <c r="B177" s="22"/>
      <c r="F177" s="109"/>
      <c r="G177" s="63"/>
      <c r="H177" s="63"/>
      <c r="I177" s="63"/>
      <c r="J177" s="63"/>
      <c r="K177" s="63"/>
      <c r="L177" s="63"/>
      <c r="M177" s="63"/>
      <c r="N177" s="63"/>
      <c r="O177" s="63"/>
      <c r="S177" s="227"/>
      <c r="T177" s="225"/>
      <c r="U177" s="225"/>
      <c r="V177" s="225"/>
      <c r="W177" s="226"/>
      <c r="X177" s="225"/>
    </row>
    <row r="178" spans="2:24">
      <c r="B178" s="22"/>
      <c r="F178" s="109"/>
      <c r="G178" s="63"/>
      <c r="H178" s="63"/>
      <c r="I178" s="63"/>
      <c r="J178" s="63"/>
      <c r="K178" s="63"/>
      <c r="L178" s="63"/>
      <c r="M178" s="63"/>
      <c r="N178" s="63"/>
      <c r="O178" s="63"/>
      <c r="S178" s="227"/>
      <c r="T178" s="225"/>
      <c r="U178" s="225"/>
      <c r="V178" s="225"/>
      <c r="W178" s="226"/>
      <c r="X178" s="225"/>
    </row>
    <row r="179" spans="2:24">
      <c r="B179" s="3" t="s">
        <v>307</v>
      </c>
      <c r="F179" s="109"/>
      <c r="G179" s="63"/>
      <c r="H179" s="63"/>
      <c r="I179" s="63"/>
      <c r="J179" s="63"/>
      <c r="K179" s="63"/>
      <c r="L179" s="63"/>
      <c r="M179" s="63"/>
      <c r="N179" s="63"/>
      <c r="O179" s="63"/>
      <c r="S179" s="227"/>
      <c r="T179" s="225"/>
      <c r="U179" s="225"/>
      <c r="V179" s="225"/>
      <c r="W179" s="226"/>
      <c r="X179" s="225"/>
    </row>
    <row r="180" spans="2:24">
      <c r="B180" s="3"/>
      <c r="F180" s="109"/>
      <c r="G180" s="63"/>
      <c r="H180" s="63"/>
      <c r="I180" s="63"/>
      <c r="J180" s="63"/>
      <c r="K180" s="63"/>
      <c r="L180" s="63"/>
      <c r="M180" s="63"/>
      <c r="N180" s="63"/>
      <c r="O180" s="63"/>
      <c r="S180" s="227"/>
      <c r="T180" s="225"/>
      <c r="U180" s="225"/>
      <c r="V180" s="225"/>
      <c r="W180" s="226"/>
      <c r="X180" s="225"/>
    </row>
    <row r="181" spans="2:24">
      <c r="B181" s="108" t="s">
        <v>284</v>
      </c>
      <c r="F181" s="109"/>
      <c r="G181" s="63"/>
      <c r="H181" s="63"/>
      <c r="I181" s="63"/>
      <c r="J181" s="63"/>
      <c r="K181" s="63"/>
      <c r="L181" s="63"/>
      <c r="M181" s="63"/>
      <c r="N181" s="63"/>
      <c r="O181" s="63"/>
      <c r="S181" s="227"/>
      <c r="T181" s="225"/>
      <c r="U181" s="225"/>
      <c r="V181" s="225"/>
      <c r="W181" s="226"/>
      <c r="X181" s="225"/>
    </row>
    <row r="182" spans="2:24">
      <c r="B182" s="23" t="s">
        <v>285</v>
      </c>
      <c r="F182" s="102">
        <f t="shared" ref="F182:F185" si="57">SUM(G182:O182)</f>
        <v>58679.350565311455</v>
      </c>
      <c r="G182" s="87">
        <v>1146</v>
      </c>
      <c r="H182" s="87">
        <v>1380</v>
      </c>
      <c r="I182" s="102">
        <f t="shared" ref="I182:I185" si="58">S182+T182</f>
        <v>2833.023128879513</v>
      </c>
      <c r="J182" s="102">
        <f t="shared" ref="J182:J185" si="59">U182+V182</f>
        <v>15736.487814126593</v>
      </c>
      <c r="K182" s="102">
        <f t="shared" ref="K182:K185" si="60">W182+X182</f>
        <v>17631.75745341615</v>
      </c>
      <c r="L182" s="87">
        <v>714</v>
      </c>
      <c r="M182" s="87">
        <v>18568.082168889203</v>
      </c>
      <c r="N182" s="87">
        <v>670</v>
      </c>
      <c r="O182" s="87">
        <v>0</v>
      </c>
      <c r="S182" s="228">
        <v>1170.1528959602574</v>
      </c>
      <c r="T182" s="228">
        <v>1662.8702329192554</v>
      </c>
      <c r="U182" s="228">
        <v>14700.487814126593</v>
      </c>
      <c r="V182" s="228">
        <v>1036</v>
      </c>
      <c r="W182" s="229">
        <v>17407</v>
      </c>
      <c r="X182" s="228">
        <v>224.75745341614879</v>
      </c>
    </row>
    <row r="183" spans="2:24">
      <c r="B183" s="23" t="s">
        <v>286</v>
      </c>
      <c r="F183" s="102">
        <f t="shared" si="57"/>
        <v>615.69575726788514</v>
      </c>
      <c r="G183" s="87">
        <v>0</v>
      </c>
      <c r="H183" s="87">
        <v>9</v>
      </c>
      <c r="I183" s="102">
        <f t="shared" si="58"/>
        <v>44.794002034055779</v>
      </c>
      <c r="J183" s="102">
        <f t="shared" si="59"/>
        <v>170.63854136587801</v>
      </c>
      <c r="K183" s="102">
        <f t="shared" si="60"/>
        <v>178.06870653685675</v>
      </c>
      <c r="L183" s="87">
        <v>4</v>
      </c>
      <c r="M183" s="87">
        <v>200.19450733109457</v>
      </c>
      <c r="N183" s="87">
        <v>9</v>
      </c>
      <c r="O183" s="87">
        <v>0</v>
      </c>
      <c r="S183" s="228">
        <v>9.9531119088819224</v>
      </c>
      <c r="T183" s="228">
        <v>34.840890125173857</v>
      </c>
      <c r="U183" s="228">
        <v>170.63854136587801</v>
      </c>
      <c r="V183" s="228">
        <v>0</v>
      </c>
      <c r="W183" s="229">
        <v>171</v>
      </c>
      <c r="X183" s="228">
        <v>7.0687065368567445</v>
      </c>
    </row>
    <row r="184" spans="2:24">
      <c r="B184" s="61" t="s">
        <v>287</v>
      </c>
      <c r="F184" s="102">
        <f t="shared" si="57"/>
        <v>627.29676450057343</v>
      </c>
      <c r="G184" s="87">
        <v>20</v>
      </c>
      <c r="H184" s="87">
        <v>35</v>
      </c>
      <c r="I184" s="102">
        <f t="shared" si="58"/>
        <v>30.633366311455617</v>
      </c>
      <c r="J184" s="102">
        <f t="shared" si="59"/>
        <v>205.99129611083558</v>
      </c>
      <c r="K184" s="102">
        <f t="shared" si="60"/>
        <v>141.97566063977746</v>
      </c>
      <c r="L184" s="87">
        <v>6</v>
      </c>
      <c r="M184" s="87">
        <v>181.69644143850482</v>
      </c>
      <c r="N184" s="87">
        <v>6</v>
      </c>
      <c r="O184" s="87">
        <v>0</v>
      </c>
      <c r="S184" s="228">
        <v>14.782184113959092</v>
      </c>
      <c r="T184" s="228">
        <v>15.851182197496524</v>
      </c>
      <c r="U184" s="228">
        <v>174.99129611083558</v>
      </c>
      <c r="V184" s="228">
        <v>31</v>
      </c>
      <c r="W184" s="229">
        <v>134</v>
      </c>
      <c r="X184" s="228">
        <v>7.9756606397774688</v>
      </c>
    </row>
    <row r="185" spans="2:24">
      <c r="B185" s="61" t="s">
        <v>288</v>
      </c>
      <c r="F185" s="102">
        <f t="shared" si="57"/>
        <v>444.28304722667912</v>
      </c>
      <c r="G185" s="87">
        <v>8</v>
      </c>
      <c r="H185" s="87">
        <v>14</v>
      </c>
      <c r="I185" s="102">
        <f t="shared" si="58"/>
        <v>9.0265605493790062</v>
      </c>
      <c r="J185" s="102">
        <f t="shared" si="59"/>
        <v>155.48865693133774</v>
      </c>
      <c r="K185" s="102">
        <f t="shared" si="60"/>
        <v>141</v>
      </c>
      <c r="L185" s="87">
        <v>4</v>
      </c>
      <c r="M185" s="87">
        <v>107.76782974596239</v>
      </c>
      <c r="N185" s="87">
        <v>5</v>
      </c>
      <c r="O185" s="87">
        <v>0</v>
      </c>
      <c r="S185" s="228">
        <v>4.9531239458219218</v>
      </c>
      <c r="T185" s="228">
        <v>4.0734366035570853</v>
      </c>
      <c r="U185" s="228">
        <v>103.48865693133773</v>
      </c>
      <c r="V185" s="228">
        <v>52</v>
      </c>
      <c r="W185" s="229">
        <v>136</v>
      </c>
      <c r="X185" s="228">
        <v>5</v>
      </c>
    </row>
    <row r="186" spans="2:24">
      <c r="B186" s="23"/>
      <c r="F186" s="109"/>
      <c r="G186" s="63"/>
      <c r="H186" s="63"/>
      <c r="I186" s="63"/>
      <c r="J186" s="63"/>
      <c r="K186" s="63"/>
      <c r="L186" s="63"/>
      <c r="M186" s="63"/>
      <c r="N186" s="63"/>
      <c r="O186" s="63"/>
      <c r="S186" s="227"/>
      <c r="T186" s="225"/>
      <c r="U186" s="225"/>
      <c r="V186" s="225"/>
      <c r="W186" s="226"/>
      <c r="X186" s="227"/>
    </row>
    <row r="187" spans="2:24">
      <c r="B187" s="108" t="s">
        <v>289</v>
      </c>
      <c r="F187" s="109"/>
      <c r="G187" s="63"/>
      <c r="H187" s="63"/>
      <c r="I187" s="63"/>
      <c r="J187" s="63"/>
      <c r="K187" s="63"/>
      <c r="L187" s="63"/>
      <c r="M187" s="63"/>
      <c r="N187" s="63"/>
      <c r="O187" s="63"/>
      <c r="S187" s="227"/>
      <c r="T187" s="225"/>
      <c r="U187" s="225"/>
      <c r="V187" s="225"/>
      <c r="W187" s="226"/>
      <c r="X187" s="227"/>
    </row>
    <row r="188" spans="2:24">
      <c r="B188" s="23" t="s">
        <v>285</v>
      </c>
      <c r="F188" s="102">
        <f t="shared" ref="F188:F191" si="61">SUM(G188:O188)</f>
        <v>0</v>
      </c>
      <c r="G188" s="87">
        <v>0</v>
      </c>
      <c r="H188" s="87">
        <v>0</v>
      </c>
      <c r="I188" s="102">
        <f t="shared" ref="I188:I191" si="62">S188+T188</f>
        <v>0</v>
      </c>
      <c r="J188" s="102">
        <f t="shared" ref="J188:J191" si="63">U188+V188</f>
        <v>0</v>
      </c>
      <c r="K188" s="102">
        <f t="shared" ref="K188:K191" si="64">W188+X188</f>
        <v>0</v>
      </c>
      <c r="L188" s="87">
        <v>0</v>
      </c>
      <c r="M188" s="87">
        <v>0</v>
      </c>
      <c r="N188" s="87">
        <v>0</v>
      </c>
      <c r="O188" s="87">
        <v>0</v>
      </c>
      <c r="S188" s="228">
        <v>0</v>
      </c>
      <c r="T188" s="228">
        <v>0</v>
      </c>
      <c r="U188" s="228">
        <v>0</v>
      </c>
      <c r="V188" s="228">
        <v>0</v>
      </c>
      <c r="W188" s="229">
        <v>0</v>
      </c>
      <c r="X188" s="228">
        <v>0</v>
      </c>
    </row>
    <row r="189" spans="2:24">
      <c r="B189" s="23" t="s">
        <v>286</v>
      </c>
      <c r="F189" s="102">
        <f t="shared" si="61"/>
        <v>0</v>
      </c>
      <c r="G189" s="87">
        <v>0</v>
      </c>
      <c r="H189" s="87">
        <v>0</v>
      </c>
      <c r="I189" s="102">
        <f t="shared" si="62"/>
        <v>0</v>
      </c>
      <c r="J189" s="102">
        <f t="shared" si="63"/>
        <v>0</v>
      </c>
      <c r="K189" s="102">
        <f t="shared" si="64"/>
        <v>0</v>
      </c>
      <c r="L189" s="87">
        <v>0</v>
      </c>
      <c r="M189" s="87">
        <v>0</v>
      </c>
      <c r="N189" s="87">
        <v>0</v>
      </c>
      <c r="O189" s="87">
        <v>0</v>
      </c>
      <c r="S189" s="228">
        <v>0</v>
      </c>
      <c r="T189" s="228">
        <v>0</v>
      </c>
      <c r="U189" s="228">
        <v>0</v>
      </c>
      <c r="V189" s="228">
        <v>0</v>
      </c>
      <c r="W189" s="229">
        <v>0</v>
      </c>
      <c r="X189" s="228">
        <v>0</v>
      </c>
    </row>
    <row r="190" spans="2:24">
      <c r="B190" s="61" t="s">
        <v>287</v>
      </c>
      <c r="F190" s="102">
        <f t="shared" si="61"/>
        <v>0</v>
      </c>
      <c r="G190" s="87">
        <v>0</v>
      </c>
      <c r="H190" s="87">
        <v>0</v>
      </c>
      <c r="I190" s="102">
        <f t="shared" si="62"/>
        <v>0</v>
      </c>
      <c r="J190" s="102">
        <f t="shared" si="63"/>
        <v>0</v>
      </c>
      <c r="K190" s="102">
        <f t="shared" si="64"/>
        <v>0</v>
      </c>
      <c r="L190" s="87">
        <v>0</v>
      </c>
      <c r="M190" s="87">
        <v>0</v>
      </c>
      <c r="N190" s="87">
        <v>0</v>
      </c>
      <c r="O190" s="87">
        <v>0</v>
      </c>
      <c r="S190" s="228">
        <v>0</v>
      </c>
      <c r="T190" s="228">
        <v>0</v>
      </c>
      <c r="U190" s="228">
        <v>0</v>
      </c>
      <c r="V190" s="228">
        <v>0</v>
      </c>
      <c r="W190" s="229">
        <v>0</v>
      </c>
      <c r="X190" s="228">
        <v>0</v>
      </c>
    </row>
    <row r="191" spans="2:24">
      <c r="B191" s="61" t="s">
        <v>288</v>
      </c>
      <c r="F191" s="102">
        <f t="shared" si="61"/>
        <v>0</v>
      </c>
      <c r="G191" s="87">
        <v>0</v>
      </c>
      <c r="H191" s="87">
        <v>0</v>
      </c>
      <c r="I191" s="102">
        <f t="shared" si="62"/>
        <v>0</v>
      </c>
      <c r="J191" s="102">
        <f t="shared" si="63"/>
        <v>0</v>
      </c>
      <c r="K191" s="102">
        <f t="shared" si="64"/>
        <v>0</v>
      </c>
      <c r="L191" s="87">
        <v>0</v>
      </c>
      <c r="M191" s="87">
        <v>0</v>
      </c>
      <c r="N191" s="87">
        <v>0</v>
      </c>
      <c r="O191" s="87">
        <v>0</v>
      </c>
      <c r="S191" s="228">
        <v>0</v>
      </c>
      <c r="T191" s="228">
        <v>0</v>
      </c>
      <c r="U191" s="228">
        <v>0</v>
      </c>
      <c r="V191" s="228">
        <v>0</v>
      </c>
      <c r="W191" s="229">
        <v>0</v>
      </c>
      <c r="X191" s="228">
        <v>0</v>
      </c>
    </row>
    <row r="192" spans="2:24">
      <c r="B192" s="23"/>
      <c r="F192" s="109"/>
      <c r="G192" s="63"/>
      <c r="H192" s="63"/>
      <c r="I192" s="63"/>
      <c r="J192" s="63"/>
      <c r="K192" s="63"/>
      <c r="L192" s="63"/>
      <c r="M192" s="63"/>
      <c r="N192" s="63"/>
      <c r="O192" s="63"/>
      <c r="S192" s="227"/>
      <c r="T192" s="227"/>
      <c r="U192" s="225"/>
      <c r="V192" s="225"/>
      <c r="W192" s="226"/>
      <c r="X192" s="225"/>
    </row>
    <row r="193" spans="2:24">
      <c r="B193" s="108" t="s">
        <v>290</v>
      </c>
      <c r="F193" s="109"/>
      <c r="G193" s="63"/>
      <c r="H193" s="63"/>
      <c r="I193" s="63"/>
      <c r="J193" s="63"/>
      <c r="K193" s="63"/>
      <c r="L193" s="63"/>
      <c r="M193" s="63"/>
      <c r="N193" s="63"/>
      <c r="O193" s="63"/>
      <c r="S193" s="227"/>
      <c r="T193" s="227"/>
      <c r="U193" s="225"/>
      <c r="V193" s="225"/>
      <c r="W193" s="226"/>
      <c r="X193" s="225"/>
    </row>
    <row r="194" spans="2:24">
      <c r="B194" s="23" t="s">
        <v>291</v>
      </c>
      <c r="F194" s="102">
        <f t="shared" ref="F194" si="65">SUM(G194:O194)</f>
        <v>0</v>
      </c>
      <c r="G194" s="29"/>
      <c r="H194" s="87">
        <v>0</v>
      </c>
      <c r="I194" s="29"/>
      <c r="J194" s="102">
        <f t="shared" ref="J194" si="66">U194+V194</f>
        <v>0</v>
      </c>
      <c r="K194" s="29"/>
      <c r="L194" s="29"/>
      <c r="M194" s="29"/>
      <c r="N194" s="29"/>
      <c r="O194" s="87">
        <v>0</v>
      </c>
      <c r="S194" s="227"/>
      <c r="T194" s="227"/>
      <c r="U194" s="228">
        <v>0</v>
      </c>
      <c r="V194" s="227"/>
      <c r="W194" s="226"/>
      <c r="X194" s="227"/>
    </row>
    <row r="195" spans="2:24">
      <c r="B195" s="3"/>
      <c r="F195" s="109"/>
      <c r="G195" s="63"/>
      <c r="H195" s="63"/>
      <c r="I195" s="63"/>
      <c r="J195" s="63"/>
      <c r="K195" s="63"/>
      <c r="L195" s="63"/>
      <c r="M195" s="63"/>
      <c r="N195" s="63"/>
      <c r="O195" s="63"/>
      <c r="S195" s="227"/>
      <c r="T195" s="225"/>
      <c r="U195" s="225"/>
      <c r="V195" s="225"/>
      <c r="W195" s="226"/>
      <c r="X195" s="225"/>
    </row>
    <row r="196" spans="2:24">
      <c r="B196" s="3"/>
      <c r="F196" s="109"/>
      <c r="G196" s="63"/>
      <c r="H196" s="63"/>
      <c r="I196" s="63"/>
      <c r="J196" s="63"/>
      <c r="K196" s="63"/>
      <c r="L196" s="63"/>
      <c r="M196" s="63"/>
      <c r="N196" s="63"/>
      <c r="O196" s="63"/>
      <c r="S196" s="227"/>
      <c r="T196" s="225"/>
      <c r="U196" s="225"/>
      <c r="V196" s="225"/>
      <c r="W196" s="226"/>
      <c r="X196" s="225"/>
    </row>
    <row r="197" spans="2:24">
      <c r="B197" s="3" t="s">
        <v>308</v>
      </c>
      <c r="F197" s="109"/>
      <c r="G197" s="63"/>
      <c r="H197" s="63"/>
      <c r="I197" s="63"/>
      <c r="J197" s="63"/>
      <c r="K197" s="63"/>
      <c r="L197" s="63"/>
      <c r="M197" s="63"/>
      <c r="N197" s="63"/>
      <c r="O197" s="63"/>
      <c r="S197" s="227"/>
      <c r="T197" s="225"/>
      <c r="U197" s="225"/>
      <c r="V197" s="225"/>
      <c r="W197" s="226"/>
      <c r="X197" s="225"/>
    </row>
    <row r="198" spans="2:24">
      <c r="B198" s="3"/>
      <c r="F198" s="109"/>
      <c r="G198" s="63"/>
      <c r="H198" s="63"/>
      <c r="I198" s="63"/>
      <c r="J198" s="63"/>
      <c r="K198" s="63"/>
      <c r="L198" s="63"/>
      <c r="M198" s="63"/>
      <c r="N198" s="63"/>
      <c r="O198" s="63"/>
      <c r="S198" s="227"/>
      <c r="T198" s="225"/>
      <c r="U198" s="225"/>
      <c r="V198" s="225"/>
      <c r="W198" s="226"/>
      <c r="X198" s="225"/>
    </row>
    <row r="199" spans="2:24">
      <c r="B199" s="108" t="s">
        <v>284</v>
      </c>
      <c r="F199" s="109"/>
      <c r="G199" s="63"/>
      <c r="H199" s="63"/>
      <c r="I199" s="63"/>
      <c r="J199" s="63"/>
      <c r="K199" s="63"/>
      <c r="L199" s="63"/>
      <c r="M199" s="63"/>
      <c r="N199" s="63"/>
      <c r="O199" s="63"/>
      <c r="S199" s="227"/>
      <c r="T199" s="225"/>
      <c r="U199" s="225"/>
      <c r="V199" s="225"/>
      <c r="W199" s="226"/>
      <c r="X199" s="225"/>
    </row>
    <row r="200" spans="2:24">
      <c r="B200" s="23" t="s">
        <v>285</v>
      </c>
      <c r="F200" s="102">
        <f t="shared" ref="F200:F203" si="67">SUM(G200:O200)</f>
        <v>65971.430541741982</v>
      </c>
      <c r="G200" s="87">
        <v>1107</v>
      </c>
      <c r="H200" s="87">
        <v>869</v>
      </c>
      <c r="I200" s="102">
        <f t="shared" ref="I200:I203" si="68">S200+T200</f>
        <v>2506.6510772405009</v>
      </c>
      <c r="J200" s="102">
        <f t="shared" ref="J200:J203" si="69">U200+V200</f>
        <v>33586.506194690264</v>
      </c>
      <c r="K200" s="102">
        <f t="shared" ref="K200:K203" si="70">W200+X200</f>
        <v>13978.40909090909</v>
      </c>
      <c r="L200" s="87">
        <v>1100</v>
      </c>
      <c r="M200" s="87">
        <v>11705.364178902135</v>
      </c>
      <c r="N200" s="87">
        <v>1118.5</v>
      </c>
      <c r="O200" s="87">
        <v>0</v>
      </c>
      <c r="S200" s="228">
        <v>659.24198633140986</v>
      </c>
      <c r="T200" s="228">
        <v>1847.409090909091</v>
      </c>
      <c r="U200" s="228">
        <v>33586.506194690264</v>
      </c>
      <c r="V200" s="228">
        <v>0</v>
      </c>
      <c r="W200" s="229">
        <v>13687</v>
      </c>
      <c r="X200" s="228">
        <v>291.40909090909093</v>
      </c>
    </row>
    <row r="201" spans="2:24">
      <c r="B201" s="23" t="s">
        <v>286</v>
      </c>
      <c r="F201" s="102">
        <f t="shared" si="67"/>
        <v>9069.1637229380085</v>
      </c>
      <c r="G201" s="87">
        <v>1358</v>
      </c>
      <c r="H201" s="87">
        <v>0</v>
      </c>
      <c r="I201" s="102">
        <f t="shared" si="68"/>
        <v>331.88319074656818</v>
      </c>
      <c r="J201" s="102">
        <f t="shared" si="69"/>
        <v>2964.3854545454546</v>
      </c>
      <c r="K201" s="102">
        <f t="shared" si="70"/>
        <v>2320</v>
      </c>
      <c r="L201" s="87">
        <v>5</v>
      </c>
      <c r="M201" s="87">
        <v>2039.8950776459853</v>
      </c>
      <c r="N201" s="87">
        <v>50</v>
      </c>
      <c r="O201" s="87">
        <v>0</v>
      </c>
      <c r="S201" s="228">
        <v>73.996827110204535</v>
      </c>
      <c r="T201" s="228">
        <v>257.88636363636363</v>
      </c>
      <c r="U201" s="228">
        <v>2964.3854545454546</v>
      </c>
      <c r="V201" s="228">
        <v>0</v>
      </c>
      <c r="W201" s="229">
        <v>2009</v>
      </c>
      <c r="X201" s="228">
        <v>311</v>
      </c>
    </row>
    <row r="202" spans="2:24">
      <c r="B202" s="61" t="s">
        <v>287</v>
      </c>
      <c r="F202" s="102">
        <f t="shared" si="67"/>
        <v>10906.29736584095</v>
      </c>
      <c r="G202" s="87">
        <v>681</v>
      </c>
      <c r="H202" s="87">
        <v>577</v>
      </c>
      <c r="I202" s="102">
        <f t="shared" si="68"/>
        <v>477.97475482330884</v>
      </c>
      <c r="J202" s="102">
        <f t="shared" si="69"/>
        <v>3954.4909090909091</v>
      </c>
      <c r="K202" s="102">
        <f t="shared" si="70"/>
        <v>1792</v>
      </c>
      <c r="L202" s="87">
        <v>50</v>
      </c>
      <c r="M202" s="87">
        <v>3253.8317019267333</v>
      </c>
      <c r="N202" s="87">
        <v>120</v>
      </c>
      <c r="O202" s="87">
        <v>0</v>
      </c>
      <c r="S202" s="228">
        <v>169.99748209603609</v>
      </c>
      <c r="T202" s="228">
        <v>307.97727272727275</v>
      </c>
      <c r="U202" s="228">
        <v>3954.4909090909091</v>
      </c>
      <c r="V202" s="228">
        <v>0</v>
      </c>
      <c r="W202" s="229">
        <v>1743</v>
      </c>
      <c r="X202" s="228">
        <v>49</v>
      </c>
    </row>
    <row r="203" spans="2:24">
      <c r="B203" s="61" t="s">
        <v>288</v>
      </c>
      <c r="F203" s="102">
        <f t="shared" si="67"/>
        <v>5163.4573624399036</v>
      </c>
      <c r="G203" s="87">
        <v>24</v>
      </c>
      <c r="H203" s="87">
        <v>40</v>
      </c>
      <c r="I203" s="102">
        <f t="shared" si="68"/>
        <v>169.99957123110872</v>
      </c>
      <c r="J203" s="102">
        <f t="shared" si="69"/>
        <v>2270.9127272727274</v>
      </c>
      <c r="K203" s="102">
        <f t="shared" si="70"/>
        <v>1035</v>
      </c>
      <c r="L203" s="87">
        <v>60</v>
      </c>
      <c r="M203" s="87">
        <v>1563.5450639360677</v>
      </c>
      <c r="N203" s="87">
        <v>0</v>
      </c>
      <c r="O203" s="87">
        <v>0</v>
      </c>
      <c r="S203" s="228">
        <v>9.999571231108721</v>
      </c>
      <c r="T203" s="228">
        <v>160</v>
      </c>
      <c r="U203" s="228">
        <v>2270.9127272727274</v>
      </c>
      <c r="V203" s="228">
        <v>0</v>
      </c>
      <c r="W203" s="229">
        <v>1013</v>
      </c>
      <c r="X203" s="228">
        <v>22</v>
      </c>
    </row>
    <row r="204" spans="2:24">
      <c r="B204" s="23"/>
      <c r="F204" s="109"/>
      <c r="G204" s="63"/>
      <c r="H204" s="63"/>
      <c r="I204" s="63"/>
      <c r="J204" s="63"/>
      <c r="K204" s="63"/>
      <c r="L204" s="63"/>
      <c r="M204" s="63"/>
      <c r="N204" s="63"/>
      <c r="O204" s="63"/>
      <c r="S204" s="227"/>
      <c r="T204" s="225"/>
      <c r="U204" s="225"/>
      <c r="V204" s="225"/>
      <c r="W204" s="226"/>
      <c r="X204" s="227"/>
    </row>
    <row r="205" spans="2:24">
      <c r="B205" s="108" t="s">
        <v>289</v>
      </c>
      <c r="F205" s="109"/>
      <c r="G205" s="63"/>
      <c r="H205" s="63"/>
      <c r="I205" s="63"/>
      <c r="J205" s="63"/>
      <c r="K205" s="63"/>
      <c r="L205" s="63"/>
      <c r="M205" s="63"/>
      <c r="N205" s="63"/>
      <c r="O205" s="63"/>
      <c r="S205" s="227"/>
      <c r="T205" s="225"/>
      <c r="U205" s="225"/>
      <c r="V205" s="225"/>
      <c r="W205" s="226"/>
      <c r="X205" s="227"/>
    </row>
    <row r="206" spans="2:24">
      <c r="B206" s="23" t="s">
        <v>285</v>
      </c>
      <c r="F206" s="102">
        <f t="shared" ref="F206:F209" si="71">SUM(G206:O206)</f>
        <v>0</v>
      </c>
      <c r="G206" s="87">
        <v>0</v>
      </c>
      <c r="H206" s="87">
        <v>0</v>
      </c>
      <c r="I206" s="102">
        <f t="shared" ref="I206:I209" si="72">S206+T206</f>
        <v>0</v>
      </c>
      <c r="J206" s="102">
        <f t="shared" ref="J206:J209" si="73">U206+V206</f>
        <v>0</v>
      </c>
      <c r="K206" s="102">
        <f t="shared" ref="K206:K209" si="74">W206+X206</f>
        <v>0</v>
      </c>
      <c r="L206" s="87">
        <v>0</v>
      </c>
      <c r="M206" s="87">
        <v>0</v>
      </c>
      <c r="N206" s="87">
        <v>0</v>
      </c>
      <c r="O206" s="87">
        <v>0</v>
      </c>
      <c r="S206" s="228">
        <v>0</v>
      </c>
      <c r="T206" s="228">
        <v>0</v>
      </c>
      <c r="U206" s="228">
        <v>0</v>
      </c>
      <c r="V206" s="228">
        <v>0</v>
      </c>
      <c r="W206" s="229">
        <v>0</v>
      </c>
      <c r="X206" s="228">
        <v>0</v>
      </c>
    </row>
    <row r="207" spans="2:24">
      <c r="B207" s="23" t="s">
        <v>286</v>
      </c>
      <c r="F207" s="102">
        <f t="shared" si="71"/>
        <v>0</v>
      </c>
      <c r="G207" s="87">
        <v>0</v>
      </c>
      <c r="H207" s="87">
        <v>0</v>
      </c>
      <c r="I207" s="102">
        <f t="shared" si="72"/>
        <v>0</v>
      </c>
      <c r="J207" s="102">
        <f t="shared" si="73"/>
        <v>0</v>
      </c>
      <c r="K207" s="102">
        <f t="shared" si="74"/>
        <v>0</v>
      </c>
      <c r="L207" s="87">
        <v>0</v>
      </c>
      <c r="M207" s="87">
        <v>0</v>
      </c>
      <c r="N207" s="87">
        <v>0</v>
      </c>
      <c r="O207" s="87">
        <v>0</v>
      </c>
      <c r="S207" s="228">
        <v>0</v>
      </c>
      <c r="T207" s="228">
        <v>0</v>
      </c>
      <c r="U207" s="228">
        <v>0</v>
      </c>
      <c r="V207" s="228">
        <v>0</v>
      </c>
      <c r="W207" s="229">
        <v>0</v>
      </c>
      <c r="X207" s="228">
        <v>0</v>
      </c>
    </row>
    <row r="208" spans="2:24">
      <c r="B208" s="61" t="s">
        <v>287</v>
      </c>
      <c r="F208" s="102">
        <f t="shared" si="71"/>
        <v>0</v>
      </c>
      <c r="G208" s="87">
        <v>0</v>
      </c>
      <c r="H208" s="87">
        <v>0</v>
      </c>
      <c r="I208" s="102">
        <f t="shared" si="72"/>
        <v>0</v>
      </c>
      <c r="J208" s="102">
        <f t="shared" si="73"/>
        <v>0</v>
      </c>
      <c r="K208" s="102">
        <f t="shared" si="74"/>
        <v>0</v>
      </c>
      <c r="L208" s="87">
        <v>0</v>
      </c>
      <c r="M208" s="87">
        <v>0</v>
      </c>
      <c r="N208" s="87">
        <v>0</v>
      </c>
      <c r="O208" s="87">
        <v>0</v>
      </c>
      <c r="S208" s="228">
        <v>0</v>
      </c>
      <c r="T208" s="228">
        <v>0</v>
      </c>
      <c r="U208" s="228">
        <v>0</v>
      </c>
      <c r="V208" s="228">
        <v>0</v>
      </c>
      <c r="W208" s="229">
        <v>0</v>
      </c>
      <c r="X208" s="228">
        <v>0</v>
      </c>
    </row>
    <row r="209" spans="2:24">
      <c r="B209" s="61" t="s">
        <v>288</v>
      </c>
      <c r="F209" s="102">
        <f t="shared" si="71"/>
        <v>1536</v>
      </c>
      <c r="G209" s="87">
        <v>259</v>
      </c>
      <c r="H209" s="87">
        <v>0</v>
      </c>
      <c r="I209" s="102">
        <f t="shared" si="72"/>
        <v>0</v>
      </c>
      <c r="J209" s="102">
        <f t="shared" si="73"/>
        <v>0</v>
      </c>
      <c r="K209" s="102">
        <f t="shared" si="74"/>
        <v>1277</v>
      </c>
      <c r="L209" s="87">
        <v>0</v>
      </c>
      <c r="M209" s="87">
        <v>0</v>
      </c>
      <c r="N209" s="87">
        <v>0</v>
      </c>
      <c r="O209" s="87">
        <v>0</v>
      </c>
      <c r="S209" s="228">
        <v>0</v>
      </c>
      <c r="T209" s="228">
        <v>0</v>
      </c>
      <c r="U209" s="228">
        <v>0</v>
      </c>
      <c r="V209" s="228">
        <v>0</v>
      </c>
      <c r="W209" s="229">
        <v>1277</v>
      </c>
      <c r="X209" s="228">
        <v>0</v>
      </c>
    </row>
    <row r="210" spans="2:24">
      <c r="B210" s="23"/>
      <c r="F210" s="109"/>
      <c r="G210" s="63"/>
      <c r="H210" s="63"/>
      <c r="I210" s="63"/>
      <c r="J210" s="63"/>
      <c r="K210" s="63"/>
      <c r="L210" s="63"/>
      <c r="M210" s="63"/>
      <c r="N210" s="63"/>
      <c r="O210" s="63"/>
      <c r="S210" s="227"/>
      <c r="T210" s="225"/>
      <c r="U210" s="225"/>
      <c r="V210" s="225"/>
      <c r="W210" s="226"/>
      <c r="X210" s="225"/>
    </row>
    <row r="211" spans="2:24">
      <c r="B211" s="108" t="s">
        <v>290</v>
      </c>
      <c r="F211" s="109"/>
      <c r="G211" s="63"/>
      <c r="H211" s="63"/>
      <c r="I211" s="63"/>
      <c r="J211" s="63"/>
      <c r="K211" s="63"/>
      <c r="L211" s="63"/>
      <c r="M211" s="63"/>
      <c r="N211" s="63"/>
      <c r="O211" s="63"/>
      <c r="S211" s="227"/>
      <c r="T211" s="225"/>
      <c r="U211" s="225"/>
      <c r="V211" s="227"/>
      <c r="W211" s="230"/>
      <c r="X211" s="227"/>
    </row>
    <row r="212" spans="2:24">
      <c r="B212" s="23" t="s">
        <v>291</v>
      </c>
      <c r="F212" s="102">
        <f t="shared" ref="F212" si="75">SUM(G212:O212)</f>
        <v>0</v>
      </c>
      <c r="G212" s="29"/>
      <c r="H212" s="87">
        <v>0</v>
      </c>
      <c r="I212" s="29"/>
      <c r="J212" s="102">
        <f t="shared" ref="J212" si="76">U212+V212</f>
        <v>0</v>
      </c>
      <c r="K212" s="29"/>
      <c r="L212" s="29"/>
      <c r="M212" s="29"/>
      <c r="N212" s="29"/>
      <c r="O212" s="87">
        <v>0</v>
      </c>
      <c r="S212" s="227"/>
      <c r="T212" s="227"/>
      <c r="U212" s="228">
        <v>0</v>
      </c>
      <c r="V212" s="227"/>
      <c r="W212" s="230"/>
      <c r="X212" s="227"/>
    </row>
    <row r="213" spans="2:24">
      <c r="B213" s="3"/>
      <c r="F213" s="109"/>
      <c r="G213" s="63"/>
      <c r="H213" s="63"/>
      <c r="I213" s="63"/>
      <c r="J213" s="63"/>
      <c r="K213" s="63"/>
      <c r="L213" s="63"/>
      <c r="M213" s="63"/>
      <c r="N213" s="63"/>
      <c r="O213" s="63"/>
      <c r="S213" s="227"/>
      <c r="T213" s="227"/>
      <c r="U213" s="225"/>
      <c r="V213" s="227"/>
      <c r="W213" s="230"/>
      <c r="X213" s="227"/>
    </row>
    <row r="214" spans="2:24">
      <c r="B214" s="3"/>
      <c r="F214" s="109"/>
      <c r="G214" s="63"/>
      <c r="H214" s="63"/>
      <c r="I214" s="63"/>
      <c r="J214" s="63"/>
      <c r="K214" s="63"/>
      <c r="L214" s="63"/>
      <c r="M214" s="63"/>
      <c r="N214" s="63"/>
      <c r="O214" s="63"/>
      <c r="S214" s="227"/>
      <c r="T214" s="227"/>
      <c r="U214" s="225"/>
      <c r="V214" s="227"/>
      <c r="W214" s="230"/>
      <c r="X214" s="227"/>
    </row>
    <row r="215" spans="2:24">
      <c r="B215" s="3" t="s">
        <v>309</v>
      </c>
      <c r="F215" s="109"/>
      <c r="G215" s="63"/>
      <c r="H215" s="63"/>
      <c r="I215" s="63"/>
      <c r="J215" s="63"/>
      <c r="K215" s="63"/>
      <c r="L215" s="63"/>
      <c r="M215" s="63"/>
      <c r="N215" s="63"/>
      <c r="O215" s="63"/>
      <c r="S215" s="227"/>
      <c r="T215" s="227"/>
      <c r="U215" s="227"/>
      <c r="V215" s="227"/>
      <c r="W215" s="230"/>
      <c r="X215" s="227"/>
    </row>
    <row r="216" spans="2:24">
      <c r="B216" s="3"/>
      <c r="F216" s="109"/>
      <c r="G216" s="63"/>
      <c r="H216" s="63"/>
      <c r="I216" s="63"/>
      <c r="J216" s="63"/>
      <c r="K216" s="63"/>
      <c r="L216" s="63"/>
      <c r="M216" s="63"/>
      <c r="N216" s="63"/>
      <c r="O216" s="63"/>
      <c r="S216" s="227"/>
      <c r="T216" s="227"/>
      <c r="U216" s="227"/>
      <c r="V216" s="227"/>
      <c r="W216" s="230"/>
      <c r="X216" s="227"/>
    </row>
    <row r="217" spans="2:24">
      <c r="B217" s="108" t="s">
        <v>284</v>
      </c>
      <c r="F217" s="109"/>
      <c r="G217" s="63"/>
      <c r="H217" s="63"/>
      <c r="I217" s="63"/>
      <c r="J217" s="63"/>
      <c r="K217" s="63"/>
      <c r="L217" s="63"/>
      <c r="M217" s="63"/>
      <c r="N217" s="63"/>
      <c r="O217" s="63"/>
      <c r="S217" s="227"/>
      <c r="T217" s="227"/>
      <c r="U217" s="227"/>
      <c r="V217" s="227"/>
      <c r="W217" s="230"/>
      <c r="X217" s="227"/>
    </row>
    <row r="218" spans="2:24">
      <c r="B218" s="61" t="s">
        <v>292</v>
      </c>
      <c r="F218" s="102">
        <f t="shared" ref="F218:F227" si="77">SUM(G218:O218)</f>
        <v>115.51580564209929</v>
      </c>
      <c r="G218" s="87">
        <v>7</v>
      </c>
      <c r="H218" s="87">
        <v>0</v>
      </c>
      <c r="I218" s="102">
        <f t="shared" ref="I218:I227" si="78">S218+T218</f>
        <v>4.9062891434715432</v>
      </c>
      <c r="J218" s="102">
        <f t="shared" ref="J218:J227" si="79">U218+V218</f>
        <v>48.093407991855436</v>
      </c>
      <c r="K218" s="102">
        <f t="shared" ref="K218:K227" si="80">W218+X218</f>
        <v>2.9298009682625068</v>
      </c>
      <c r="L218" s="87">
        <v>0</v>
      </c>
      <c r="M218" s="87">
        <v>52.586307538509807</v>
      </c>
      <c r="N218" s="87">
        <v>0</v>
      </c>
      <c r="O218" s="87">
        <v>0</v>
      </c>
      <c r="S218" s="228">
        <v>2.9296888207173746</v>
      </c>
      <c r="T218" s="228">
        <v>1.9766003227541689</v>
      </c>
      <c r="U218" s="228">
        <v>43.093407991855436</v>
      </c>
      <c r="V218" s="228">
        <v>5</v>
      </c>
      <c r="W218" s="229">
        <v>0</v>
      </c>
      <c r="X218" s="228">
        <v>2.9298009682625068</v>
      </c>
    </row>
    <row r="219" spans="2:24">
      <c r="B219" s="61" t="s">
        <v>293</v>
      </c>
      <c r="F219" s="102">
        <f t="shared" si="77"/>
        <v>186.84421479702627</v>
      </c>
      <c r="G219" s="87">
        <v>2</v>
      </c>
      <c r="H219" s="87">
        <v>4</v>
      </c>
      <c r="I219" s="102">
        <f t="shared" si="78"/>
        <v>6.8829182986758202</v>
      </c>
      <c r="J219" s="102">
        <f t="shared" si="79"/>
        <v>44.919676819344339</v>
      </c>
      <c r="K219" s="102">
        <f t="shared" si="80"/>
        <v>87</v>
      </c>
      <c r="L219" s="87">
        <v>1</v>
      </c>
      <c r="M219" s="87">
        <v>41.041619679006132</v>
      </c>
      <c r="N219" s="87">
        <v>0</v>
      </c>
      <c r="O219" s="87">
        <v>0</v>
      </c>
      <c r="S219" s="228">
        <v>2.9296900322802939</v>
      </c>
      <c r="T219" s="228">
        <v>3.9532282663955263</v>
      </c>
      <c r="U219" s="228">
        <v>43.919676819344339</v>
      </c>
      <c r="V219" s="228">
        <v>1</v>
      </c>
      <c r="W219" s="229">
        <v>87</v>
      </c>
      <c r="X219" s="228">
        <v>0</v>
      </c>
    </row>
    <row r="220" spans="2:24">
      <c r="B220" s="61" t="s">
        <v>294</v>
      </c>
      <c r="F220" s="102">
        <f t="shared" si="77"/>
        <v>77.54661276418949</v>
      </c>
      <c r="G220" s="87">
        <v>1</v>
      </c>
      <c r="H220" s="87">
        <v>1</v>
      </c>
      <c r="I220" s="102">
        <f t="shared" si="78"/>
        <v>1.9530664440998455</v>
      </c>
      <c r="J220" s="102">
        <f t="shared" si="79"/>
        <v>22.026303354859031</v>
      </c>
      <c r="K220" s="102">
        <f t="shared" si="80"/>
        <v>28</v>
      </c>
      <c r="L220" s="87">
        <v>0</v>
      </c>
      <c r="M220" s="87">
        <v>22.567242965230609</v>
      </c>
      <c r="N220" s="87">
        <v>1</v>
      </c>
      <c r="O220" s="87">
        <v>0</v>
      </c>
      <c r="S220" s="228">
        <v>0.97656305899430973</v>
      </c>
      <c r="T220" s="228">
        <v>0.97650338510553569</v>
      </c>
      <c r="U220" s="228">
        <v>20.026303354859031</v>
      </c>
      <c r="V220" s="228">
        <v>2</v>
      </c>
      <c r="W220" s="229">
        <v>28</v>
      </c>
      <c r="X220" s="228">
        <v>0</v>
      </c>
    </row>
    <row r="221" spans="2:24">
      <c r="B221" s="61" t="s">
        <v>295</v>
      </c>
      <c r="F221" s="102">
        <f t="shared" si="77"/>
        <v>20.022504664179102</v>
      </c>
      <c r="G221" s="87">
        <v>0</v>
      </c>
      <c r="H221" s="87">
        <v>0</v>
      </c>
      <c r="I221" s="102">
        <f t="shared" si="78"/>
        <v>1</v>
      </c>
      <c r="J221" s="102">
        <f t="shared" si="79"/>
        <v>6.0225046641791042</v>
      </c>
      <c r="K221" s="102">
        <f t="shared" si="80"/>
        <v>11</v>
      </c>
      <c r="L221" s="87">
        <v>0</v>
      </c>
      <c r="M221" s="87">
        <v>1</v>
      </c>
      <c r="N221" s="87">
        <v>1</v>
      </c>
      <c r="O221" s="87">
        <v>0</v>
      </c>
      <c r="S221" s="228">
        <v>1</v>
      </c>
      <c r="T221" s="228">
        <v>0</v>
      </c>
      <c r="U221" s="228">
        <v>6.0225046641791042</v>
      </c>
      <c r="V221" s="228">
        <v>0</v>
      </c>
      <c r="W221" s="229">
        <v>10</v>
      </c>
      <c r="X221" s="228">
        <v>1</v>
      </c>
    </row>
    <row r="222" spans="2:24">
      <c r="B222" s="26" t="s">
        <v>296</v>
      </c>
      <c r="F222" s="102">
        <f t="shared" si="77"/>
        <v>10</v>
      </c>
      <c r="G222" s="87">
        <v>0</v>
      </c>
      <c r="H222" s="87">
        <v>1</v>
      </c>
      <c r="I222" s="102">
        <f t="shared" si="78"/>
        <v>0</v>
      </c>
      <c r="J222" s="102">
        <f t="shared" si="79"/>
        <v>4</v>
      </c>
      <c r="K222" s="102">
        <f t="shared" si="80"/>
        <v>4</v>
      </c>
      <c r="L222" s="87">
        <v>0</v>
      </c>
      <c r="M222" s="87">
        <v>0</v>
      </c>
      <c r="N222" s="87">
        <v>1</v>
      </c>
      <c r="O222" s="87">
        <v>0</v>
      </c>
      <c r="S222" s="228">
        <v>0</v>
      </c>
      <c r="T222" s="228">
        <v>0</v>
      </c>
      <c r="U222" s="228">
        <v>4</v>
      </c>
      <c r="V222" s="228">
        <v>0</v>
      </c>
      <c r="W222" s="229">
        <v>4</v>
      </c>
      <c r="X222" s="228">
        <v>0</v>
      </c>
    </row>
    <row r="223" spans="2:24">
      <c r="B223" s="61" t="s">
        <v>297</v>
      </c>
      <c r="F223" s="102">
        <f t="shared" si="77"/>
        <v>2</v>
      </c>
      <c r="G223" s="87">
        <v>0</v>
      </c>
      <c r="H223" s="87">
        <v>0</v>
      </c>
      <c r="I223" s="102">
        <f t="shared" si="78"/>
        <v>0</v>
      </c>
      <c r="J223" s="102">
        <f t="shared" si="79"/>
        <v>0</v>
      </c>
      <c r="K223" s="102">
        <f t="shared" si="80"/>
        <v>0</v>
      </c>
      <c r="L223" s="87">
        <v>0</v>
      </c>
      <c r="M223" s="87">
        <v>0</v>
      </c>
      <c r="N223" s="87">
        <v>2</v>
      </c>
      <c r="O223" s="87">
        <v>0</v>
      </c>
      <c r="S223" s="228">
        <v>0</v>
      </c>
      <c r="T223" s="228">
        <v>0</v>
      </c>
      <c r="U223" s="228">
        <v>0</v>
      </c>
      <c r="V223" s="228">
        <v>0</v>
      </c>
      <c r="W223" s="229">
        <v>0</v>
      </c>
      <c r="X223" s="228">
        <v>0</v>
      </c>
    </row>
    <row r="224" spans="2:24">
      <c r="B224" s="61" t="s">
        <v>298</v>
      </c>
      <c r="F224" s="102">
        <f t="shared" si="77"/>
        <v>0</v>
      </c>
      <c r="G224" s="87">
        <v>0</v>
      </c>
      <c r="H224" s="87">
        <v>0</v>
      </c>
      <c r="I224" s="102">
        <f t="shared" si="78"/>
        <v>0</v>
      </c>
      <c r="J224" s="102">
        <f t="shared" si="79"/>
        <v>0</v>
      </c>
      <c r="K224" s="102">
        <f t="shared" si="80"/>
        <v>0</v>
      </c>
      <c r="L224" s="87">
        <v>0</v>
      </c>
      <c r="M224" s="87">
        <v>0</v>
      </c>
      <c r="N224" s="87">
        <v>0</v>
      </c>
      <c r="O224" s="87">
        <v>0</v>
      </c>
      <c r="S224" s="228">
        <v>0</v>
      </c>
      <c r="T224" s="228">
        <v>0</v>
      </c>
      <c r="U224" s="228">
        <v>0</v>
      </c>
      <c r="V224" s="228">
        <v>0</v>
      </c>
      <c r="W224" s="229">
        <v>0</v>
      </c>
      <c r="X224" s="228">
        <v>0</v>
      </c>
    </row>
    <row r="225" spans="2:24">
      <c r="B225" s="61" t="s">
        <v>299</v>
      </c>
      <c r="F225" s="102">
        <f t="shared" si="77"/>
        <v>0</v>
      </c>
      <c r="G225" s="87">
        <v>0</v>
      </c>
      <c r="H225" s="87">
        <v>0</v>
      </c>
      <c r="I225" s="102">
        <f t="shared" si="78"/>
        <v>0</v>
      </c>
      <c r="J225" s="102">
        <f t="shared" si="79"/>
        <v>0</v>
      </c>
      <c r="K225" s="102">
        <f t="shared" si="80"/>
        <v>0</v>
      </c>
      <c r="L225" s="87">
        <v>0</v>
      </c>
      <c r="M225" s="87"/>
      <c r="N225" s="87">
        <v>0</v>
      </c>
      <c r="O225" s="87">
        <v>0</v>
      </c>
      <c r="S225" s="228">
        <v>0</v>
      </c>
      <c r="T225" s="228">
        <v>0</v>
      </c>
      <c r="U225" s="228">
        <v>0</v>
      </c>
      <c r="V225" s="228">
        <v>0</v>
      </c>
      <c r="W225" s="229">
        <v>0</v>
      </c>
      <c r="X225" s="228">
        <v>0</v>
      </c>
    </row>
    <row r="226" spans="2:24">
      <c r="B226" s="23" t="s">
        <v>300</v>
      </c>
      <c r="F226" s="102">
        <f t="shared" si="77"/>
        <v>0</v>
      </c>
      <c r="G226" s="87">
        <v>0</v>
      </c>
      <c r="H226" s="87">
        <v>0</v>
      </c>
      <c r="I226" s="102">
        <f t="shared" si="78"/>
        <v>0</v>
      </c>
      <c r="J226" s="102">
        <f t="shared" si="79"/>
        <v>0</v>
      </c>
      <c r="K226" s="102">
        <f t="shared" si="80"/>
        <v>0</v>
      </c>
      <c r="L226" s="87">
        <v>0</v>
      </c>
      <c r="M226" s="87">
        <v>0</v>
      </c>
      <c r="N226" s="87">
        <v>0</v>
      </c>
      <c r="O226" s="87">
        <v>0</v>
      </c>
      <c r="S226" s="228">
        <v>0</v>
      </c>
      <c r="T226" s="228">
        <v>0</v>
      </c>
      <c r="U226" s="228">
        <v>0</v>
      </c>
      <c r="V226" s="228">
        <v>0</v>
      </c>
      <c r="W226" s="229">
        <v>0</v>
      </c>
      <c r="X226" s="228">
        <v>0</v>
      </c>
    </row>
    <row r="227" spans="2:24">
      <c r="B227" s="23" t="s">
        <v>301</v>
      </c>
      <c r="F227" s="102">
        <f t="shared" si="77"/>
        <v>0</v>
      </c>
      <c r="G227" s="87">
        <v>0</v>
      </c>
      <c r="H227" s="87">
        <v>0</v>
      </c>
      <c r="I227" s="102">
        <f t="shared" si="78"/>
        <v>0</v>
      </c>
      <c r="J227" s="102">
        <f t="shared" si="79"/>
        <v>0</v>
      </c>
      <c r="K227" s="102">
        <f t="shared" si="80"/>
        <v>0</v>
      </c>
      <c r="L227" s="87">
        <v>0</v>
      </c>
      <c r="M227" s="87">
        <v>0</v>
      </c>
      <c r="N227" s="87">
        <v>0</v>
      </c>
      <c r="O227" s="87">
        <v>0</v>
      </c>
      <c r="S227" s="228">
        <v>0</v>
      </c>
      <c r="T227" s="228">
        <v>0</v>
      </c>
      <c r="U227" s="228">
        <v>0</v>
      </c>
      <c r="V227" s="228">
        <v>0</v>
      </c>
      <c r="W227" s="229">
        <v>0</v>
      </c>
      <c r="X227" s="228">
        <v>0</v>
      </c>
    </row>
    <row r="228" spans="2:24">
      <c r="B228" s="23"/>
      <c r="F228" s="109"/>
      <c r="G228" s="63"/>
      <c r="H228" s="63"/>
      <c r="I228" s="63"/>
      <c r="J228" s="63"/>
      <c r="K228" s="63"/>
      <c r="L228" s="63"/>
      <c r="M228" s="63"/>
      <c r="N228" s="63"/>
      <c r="O228" s="63"/>
      <c r="S228" s="227"/>
      <c r="T228" s="227"/>
      <c r="U228" s="227"/>
      <c r="V228" s="227"/>
      <c r="W228" s="230"/>
      <c r="X228" s="227"/>
    </row>
    <row r="229" spans="2:24">
      <c r="B229" s="108" t="s">
        <v>289</v>
      </c>
      <c r="F229" s="109"/>
      <c r="G229" s="63"/>
      <c r="H229" s="63"/>
      <c r="I229" s="63"/>
      <c r="J229" s="63"/>
      <c r="K229" s="63"/>
      <c r="L229" s="63"/>
      <c r="M229" s="63"/>
      <c r="N229" s="63"/>
      <c r="O229" s="63"/>
      <c r="S229" s="227"/>
      <c r="T229" s="227"/>
      <c r="U229" s="227"/>
      <c r="V229" s="227"/>
      <c r="W229" s="230"/>
      <c r="X229" s="227"/>
    </row>
    <row r="230" spans="2:24">
      <c r="B230" s="61" t="s">
        <v>292</v>
      </c>
      <c r="F230" s="102">
        <f t="shared" ref="F230:F238" si="81">SUM(G230:O230)</f>
        <v>10.428581804539908</v>
      </c>
      <c r="G230" s="87">
        <v>0</v>
      </c>
      <c r="H230" s="87">
        <v>0</v>
      </c>
      <c r="I230" s="102">
        <f t="shared" ref="I230:I239" si="82">S230+T230</f>
        <v>0</v>
      </c>
      <c r="J230" s="102">
        <f t="shared" ref="J230:J239" si="83">U230+V230</f>
        <v>7</v>
      </c>
      <c r="K230" s="102">
        <f t="shared" ref="K230:K239" si="84">W230+X230</f>
        <v>0</v>
      </c>
      <c r="L230" s="87">
        <v>0</v>
      </c>
      <c r="M230" s="87">
        <v>3.4285818045399079</v>
      </c>
      <c r="N230" s="87">
        <v>0</v>
      </c>
      <c r="O230" s="87">
        <v>0</v>
      </c>
      <c r="S230" s="228">
        <v>0</v>
      </c>
      <c r="T230" s="228">
        <v>0</v>
      </c>
      <c r="U230" s="228">
        <v>7</v>
      </c>
      <c r="V230" s="228">
        <v>0</v>
      </c>
      <c r="W230" s="229">
        <v>0</v>
      </c>
      <c r="X230" s="228">
        <v>0</v>
      </c>
    </row>
    <row r="231" spans="2:24">
      <c r="B231" s="61" t="s">
        <v>293</v>
      </c>
      <c r="F231" s="102">
        <f t="shared" si="81"/>
        <v>19.839748354727714</v>
      </c>
      <c r="G231" s="87">
        <v>1</v>
      </c>
      <c r="H231" s="87">
        <v>0</v>
      </c>
      <c r="I231" s="102">
        <f t="shared" si="82"/>
        <v>1</v>
      </c>
      <c r="J231" s="102">
        <f t="shared" si="83"/>
        <v>14</v>
      </c>
      <c r="K231" s="102">
        <f t="shared" si="84"/>
        <v>0</v>
      </c>
      <c r="L231" s="87">
        <v>0</v>
      </c>
      <c r="M231" s="87">
        <v>3.839748354727714</v>
      </c>
      <c r="N231" s="87">
        <v>0</v>
      </c>
      <c r="O231" s="87">
        <v>0</v>
      </c>
      <c r="S231" s="228">
        <v>0</v>
      </c>
      <c r="T231" s="228">
        <v>1</v>
      </c>
      <c r="U231" s="228">
        <v>14</v>
      </c>
      <c r="V231" s="228">
        <v>0</v>
      </c>
      <c r="W231" s="229">
        <v>0</v>
      </c>
      <c r="X231" s="228">
        <v>0</v>
      </c>
    </row>
    <row r="232" spans="2:24">
      <c r="B232" s="61" t="s">
        <v>294</v>
      </c>
      <c r="F232" s="102">
        <f t="shared" si="81"/>
        <v>18.544317852819631</v>
      </c>
      <c r="G232" s="87">
        <v>0</v>
      </c>
      <c r="H232" s="87">
        <v>0</v>
      </c>
      <c r="I232" s="102">
        <f t="shared" si="82"/>
        <v>1</v>
      </c>
      <c r="J232" s="102">
        <f t="shared" si="83"/>
        <v>12</v>
      </c>
      <c r="K232" s="102">
        <f t="shared" si="84"/>
        <v>1</v>
      </c>
      <c r="L232" s="87">
        <v>0</v>
      </c>
      <c r="M232" s="87">
        <v>4.5443178528196322</v>
      </c>
      <c r="N232" s="87">
        <v>0</v>
      </c>
      <c r="O232" s="87">
        <v>0</v>
      </c>
      <c r="S232" s="228">
        <v>0</v>
      </c>
      <c r="T232" s="228">
        <v>1</v>
      </c>
      <c r="U232" s="228">
        <v>12</v>
      </c>
      <c r="V232" s="228">
        <v>0</v>
      </c>
      <c r="W232" s="229">
        <v>1</v>
      </c>
      <c r="X232" s="228">
        <v>0</v>
      </c>
    </row>
    <row r="233" spans="2:24">
      <c r="B233" s="61" t="s">
        <v>295</v>
      </c>
      <c r="F233" s="102">
        <f t="shared" si="81"/>
        <v>15.052537543418698</v>
      </c>
      <c r="G233" s="87">
        <v>0</v>
      </c>
      <c r="H233" s="87">
        <v>0</v>
      </c>
      <c r="I233" s="102">
        <f t="shared" si="82"/>
        <v>1</v>
      </c>
      <c r="J233" s="102">
        <f t="shared" si="83"/>
        <v>7</v>
      </c>
      <c r="K233" s="102">
        <f t="shared" si="84"/>
        <v>2</v>
      </c>
      <c r="L233" s="87">
        <v>1</v>
      </c>
      <c r="M233" s="87">
        <v>4.0525375434186977</v>
      </c>
      <c r="N233" s="87">
        <v>0</v>
      </c>
      <c r="O233" s="87">
        <v>0</v>
      </c>
      <c r="S233" s="228">
        <v>0</v>
      </c>
      <c r="T233" s="228">
        <v>1</v>
      </c>
      <c r="U233" s="228">
        <v>7</v>
      </c>
      <c r="V233" s="228">
        <v>0</v>
      </c>
      <c r="W233" s="229">
        <v>2</v>
      </c>
      <c r="X233" s="228">
        <v>0</v>
      </c>
    </row>
    <row r="234" spans="2:24">
      <c r="B234" s="26" t="s">
        <v>296</v>
      </c>
      <c r="F234" s="102">
        <f t="shared" si="81"/>
        <v>9.0525375434186977</v>
      </c>
      <c r="G234" s="87">
        <v>0</v>
      </c>
      <c r="H234" s="87">
        <v>0</v>
      </c>
      <c r="I234" s="102">
        <f t="shared" si="82"/>
        <v>0</v>
      </c>
      <c r="J234" s="102">
        <f t="shared" si="83"/>
        <v>3</v>
      </c>
      <c r="K234" s="102">
        <f t="shared" si="84"/>
        <v>2</v>
      </c>
      <c r="L234" s="87">
        <v>0</v>
      </c>
      <c r="M234" s="87">
        <v>4.0525375434186977</v>
      </c>
      <c r="N234" s="87">
        <v>0</v>
      </c>
      <c r="O234" s="87">
        <v>0</v>
      </c>
      <c r="S234" s="228">
        <v>0</v>
      </c>
      <c r="T234" s="228">
        <v>0</v>
      </c>
      <c r="U234" s="228">
        <v>3</v>
      </c>
      <c r="V234" s="228">
        <v>0</v>
      </c>
      <c r="W234" s="229">
        <v>2</v>
      </c>
      <c r="X234" s="228">
        <v>0</v>
      </c>
    </row>
    <row r="235" spans="2:24">
      <c r="B235" s="61" t="s">
        <v>297</v>
      </c>
      <c r="F235" s="102">
        <f t="shared" si="81"/>
        <v>11.105075086837395</v>
      </c>
      <c r="G235" s="87">
        <v>0</v>
      </c>
      <c r="H235" s="87">
        <v>0</v>
      </c>
      <c r="I235" s="102">
        <f t="shared" si="82"/>
        <v>0</v>
      </c>
      <c r="J235" s="102">
        <f t="shared" si="83"/>
        <v>1</v>
      </c>
      <c r="K235" s="102">
        <f t="shared" si="84"/>
        <v>2</v>
      </c>
      <c r="L235" s="87">
        <v>0</v>
      </c>
      <c r="M235" s="87">
        <v>8.1050750868373953</v>
      </c>
      <c r="N235" s="87">
        <v>0</v>
      </c>
      <c r="O235" s="87">
        <v>0</v>
      </c>
      <c r="S235" s="228">
        <v>0</v>
      </c>
      <c r="T235" s="228">
        <v>0</v>
      </c>
      <c r="U235" s="228">
        <v>1</v>
      </c>
      <c r="V235" s="228">
        <v>0</v>
      </c>
      <c r="W235" s="229">
        <v>2</v>
      </c>
      <c r="X235" s="228">
        <v>0</v>
      </c>
    </row>
    <row r="236" spans="2:24">
      <c r="B236" s="61" t="s">
        <v>298</v>
      </c>
      <c r="F236" s="102">
        <f t="shared" si="81"/>
        <v>19.822002950617541</v>
      </c>
      <c r="G236" s="87">
        <v>0</v>
      </c>
      <c r="H236" s="87">
        <v>0</v>
      </c>
      <c r="I236" s="102">
        <f t="shared" si="82"/>
        <v>0</v>
      </c>
      <c r="J236" s="102">
        <f t="shared" si="83"/>
        <v>16</v>
      </c>
      <c r="K236" s="102">
        <f t="shared" si="84"/>
        <v>2</v>
      </c>
      <c r="L236" s="87">
        <v>1</v>
      </c>
      <c r="M236" s="87">
        <v>0.82200295061753992</v>
      </c>
      <c r="N236" s="87">
        <v>0</v>
      </c>
      <c r="O236" s="87">
        <v>0</v>
      </c>
      <c r="S236" s="228">
        <v>0</v>
      </c>
      <c r="T236" s="228">
        <v>0</v>
      </c>
      <c r="U236" s="228">
        <v>16</v>
      </c>
      <c r="V236" s="228">
        <v>0</v>
      </c>
      <c r="W236" s="229">
        <v>2</v>
      </c>
      <c r="X236" s="228">
        <v>0</v>
      </c>
    </row>
    <row r="237" spans="2:24">
      <c r="B237" s="61" t="s">
        <v>299</v>
      </c>
      <c r="F237" s="102">
        <f t="shared" si="81"/>
        <v>0.27400098353917995</v>
      </c>
      <c r="G237" s="87">
        <v>0</v>
      </c>
      <c r="H237" s="87">
        <v>0</v>
      </c>
      <c r="I237" s="102">
        <f t="shared" si="82"/>
        <v>0</v>
      </c>
      <c r="J237" s="102">
        <f t="shared" si="83"/>
        <v>0</v>
      </c>
      <c r="K237" s="102">
        <f t="shared" si="84"/>
        <v>0</v>
      </c>
      <c r="L237" s="87">
        <v>0</v>
      </c>
      <c r="M237" s="87">
        <v>0.27400098353917995</v>
      </c>
      <c r="N237" s="87">
        <v>0</v>
      </c>
      <c r="O237" s="87">
        <v>0</v>
      </c>
      <c r="S237" s="228">
        <v>0</v>
      </c>
      <c r="T237" s="228">
        <v>0</v>
      </c>
      <c r="U237" s="228">
        <v>0</v>
      </c>
      <c r="V237" s="228">
        <v>0</v>
      </c>
      <c r="W237" s="229">
        <v>0</v>
      </c>
      <c r="X237" s="228">
        <v>0</v>
      </c>
    </row>
    <row r="238" spans="2:24">
      <c r="B238" s="23" t="s">
        <v>300</v>
      </c>
      <c r="F238" s="102">
        <f t="shared" si="81"/>
        <v>0</v>
      </c>
      <c r="G238" s="87">
        <v>0</v>
      </c>
      <c r="H238" s="87">
        <v>0</v>
      </c>
      <c r="I238" s="102">
        <f t="shared" si="82"/>
        <v>0</v>
      </c>
      <c r="J238" s="102">
        <f t="shared" si="83"/>
        <v>0</v>
      </c>
      <c r="K238" s="102">
        <f t="shared" si="84"/>
        <v>0</v>
      </c>
      <c r="L238" s="87">
        <v>0</v>
      </c>
      <c r="M238" s="87">
        <v>0</v>
      </c>
      <c r="N238" s="87">
        <v>0</v>
      </c>
      <c r="O238" s="87">
        <v>0</v>
      </c>
      <c r="S238" s="228">
        <v>0</v>
      </c>
      <c r="T238" s="228">
        <v>0</v>
      </c>
      <c r="U238" s="228">
        <v>0</v>
      </c>
      <c r="V238" s="228">
        <v>0</v>
      </c>
      <c r="W238" s="229">
        <v>0</v>
      </c>
      <c r="X238" s="228">
        <v>0</v>
      </c>
    </row>
    <row r="239" spans="2:24">
      <c r="B239" s="23" t="s">
        <v>301</v>
      </c>
      <c r="F239" s="102">
        <f>SUM(G239:O239)</f>
        <v>1</v>
      </c>
      <c r="G239" s="87">
        <v>0</v>
      </c>
      <c r="H239" s="87">
        <v>0</v>
      </c>
      <c r="I239" s="102">
        <f t="shared" si="82"/>
        <v>0</v>
      </c>
      <c r="J239" s="102">
        <f t="shared" si="83"/>
        <v>0</v>
      </c>
      <c r="K239" s="102">
        <f t="shared" si="84"/>
        <v>0</v>
      </c>
      <c r="L239" s="87">
        <v>0</v>
      </c>
      <c r="M239" s="87">
        <v>0</v>
      </c>
      <c r="N239" s="87">
        <v>1</v>
      </c>
      <c r="O239" s="87">
        <v>0</v>
      </c>
      <c r="S239" s="228">
        <v>0</v>
      </c>
      <c r="T239" s="228">
        <v>0</v>
      </c>
      <c r="U239" s="228">
        <v>0</v>
      </c>
      <c r="V239" s="228">
        <v>0</v>
      </c>
      <c r="W239" s="229">
        <v>0</v>
      </c>
      <c r="X239" s="228">
        <v>0</v>
      </c>
    </row>
    <row r="240" spans="2:24">
      <c r="B240" s="23"/>
      <c r="F240" s="64"/>
      <c r="G240" s="63"/>
      <c r="H240" s="63"/>
      <c r="I240" s="63"/>
      <c r="J240" s="63"/>
      <c r="K240" s="63"/>
      <c r="L240" s="63"/>
      <c r="M240" s="63"/>
      <c r="N240" s="63"/>
      <c r="O240" s="63"/>
      <c r="S240" s="227"/>
      <c r="T240" s="227"/>
      <c r="U240" s="227"/>
      <c r="V240" s="227"/>
      <c r="W240" s="230"/>
      <c r="X240" s="227"/>
    </row>
    <row r="241" spans="2:24">
      <c r="B241" s="108" t="s">
        <v>290</v>
      </c>
      <c r="F241" s="64"/>
      <c r="G241" s="63"/>
      <c r="H241" s="63"/>
      <c r="I241" s="63"/>
      <c r="J241" s="63"/>
      <c r="K241" s="63"/>
      <c r="L241" s="63"/>
      <c r="M241" s="63"/>
      <c r="N241" s="63"/>
      <c r="O241" s="63"/>
      <c r="S241" s="227"/>
      <c r="T241" s="227"/>
      <c r="U241" s="227"/>
      <c r="V241" s="227"/>
      <c r="W241" s="230"/>
      <c r="X241" s="227"/>
    </row>
    <row r="242" spans="2:24">
      <c r="B242" s="23" t="s">
        <v>302</v>
      </c>
      <c r="F242" s="102">
        <f>SUM(G242:O242)</f>
        <v>0</v>
      </c>
      <c r="G242" s="29"/>
      <c r="H242" s="87">
        <v>0</v>
      </c>
      <c r="I242" s="29"/>
      <c r="J242" s="102">
        <f t="shared" ref="J242" si="85">U242+V242</f>
        <v>0</v>
      </c>
      <c r="K242" s="29"/>
      <c r="L242" s="29"/>
      <c r="M242" s="29"/>
      <c r="N242" s="29"/>
      <c r="O242" s="87">
        <v>0</v>
      </c>
      <c r="S242" s="63"/>
      <c r="T242" s="63"/>
      <c r="U242" s="228">
        <v>0</v>
      </c>
      <c r="V242" s="63"/>
      <c r="W242" s="64"/>
      <c r="X242" s="63"/>
    </row>
    <row r="243" spans="2:24">
      <c r="F243" s="114"/>
      <c r="G243" s="63"/>
      <c r="H243" s="63"/>
      <c r="I243" s="63"/>
      <c r="J243" s="63"/>
      <c r="K243" s="63"/>
      <c r="L243" s="63"/>
      <c r="M243" s="63"/>
      <c r="N243" s="63"/>
      <c r="O243" s="63"/>
      <c r="S243" s="63"/>
      <c r="T243" s="63"/>
      <c r="U243" s="63"/>
      <c r="V243" s="63"/>
      <c r="W243" s="64"/>
      <c r="X243" s="63"/>
    </row>
    <row r="244" spans="2:24">
      <c r="F244" s="64"/>
      <c r="G244" s="63"/>
      <c r="H244" s="63"/>
      <c r="I244" s="63"/>
      <c r="J244" s="63"/>
      <c r="K244" s="63"/>
      <c r="L244" s="63"/>
      <c r="M244" s="63"/>
      <c r="N244" s="63"/>
      <c r="O244" s="63"/>
      <c r="S244" s="63"/>
      <c r="T244" s="63"/>
      <c r="U244" s="63"/>
      <c r="V244" s="63"/>
      <c r="W244" s="64"/>
      <c r="X244" s="63"/>
    </row>
    <row r="245" spans="2:24" s="2" customFormat="1">
      <c r="B245" s="2" t="s">
        <v>312</v>
      </c>
      <c r="F245" s="65"/>
      <c r="G245" s="66"/>
      <c r="H245" s="66"/>
      <c r="I245" s="66"/>
      <c r="J245" s="66"/>
      <c r="K245" s="66"/>
      <c r="L245" s="66"/>
      <c r="M245" s="66"/>
      <c r="N245" s="66"/>
      <c r="O245" s="66"/>
      <c r="S245" s="66"/>
      <c r="T245" s="66"/>
      <c r="U245" s="66"/>
      <c r="V245" s="66"/>
      <c r="W245" s="65"/>
      <c r="X245" s="66"/>
    </row>
    <row r="246" spans="2:24">
      <c r="F246" s="64"/>
      <c r="G246" s="63"/>
      <c r="H246" s="63"/>
      <c r="I246" s="63"/>
      <c r="J246" s="63"/>
      <c r="K246" s="63"/>
      <c r="L246" s="63"/>
      <c r="M246" s="63"/>
      <c r="N246" s="63"/>
      <c r="O246" s="63"/>
      <c r="S246" s="63"/>
      <c r="T246" s="63"/>
      <c r="U246" s="63"/>
      <c r="V246" s="63"/>
      <c r="W246" s="64"/>
      <c r="X246" s="63"/>
    </row>
    <row r="247" spans="2:24">
      <c r="B247" s="3" t="s">
        <v>306</v>
      </c>
      <c r="F247" s="64"/>
      <c r="G247" s="63"/>
      <c r="H247" s="63"/>
      <c r="I247" s="63"/>
      <c r="J247" s="63"/>
      <c r="K247" s="63"/>
      <c r="L247" s="63"/>
      <c r="M247" s="63"/>
      <c r="N247" s="63"/>
      <c r="O247" s="63"/>
      <c r="S247" s="63"/>
      <c r="T247" s="63"/>
      <c r="U247" s="63"/>
      <c r="V247" s="63"/>
      <c r="W247" s="64"/>
      <c r="X247" s="63"/>
    </row>
    <row r="248" spans="2:24">
      <c r="B248" s="3"/>
      <c r="F248" s="64"/>
      <c r="G248" s="63"/>
      <c r="H248" s="63"/>
      <c r="I248" s="63"/>
      <c r="J248" s="63"/>
      <c r="K248" s="63"/>
      <c r="L248" s="63"/>
      <c r="M248" s="63"/>
      <c r="N248" s="63"/>
      <c r="O248" s="63"/>
      <c r="S248" s="63"/>
      <c r="T248" s="63"/>
      <c r="U248" s="63"/>
      <c r="V248" s="63"/>
      <c r="W248" s="64"/>
      <c r="X248" s="63"/>
    </row>
    <row r="249" spans="2:24">
      <c r="B249" s="108" t="s">
        <v>284</v>
      </c>
      <c r="F249" s="64"/>
      <c r="G249" s="63"/>
      <c r="H249" s="63"/>
      <c r="I249" s="63"/>
      <c r="J249" s="63"/>
      <c r="K249" s="63"/>
      <c r="L249" s="63"/>
      <c r="M249" s="63"/>
      <c r="N249" s="63"/>
      <c r="O249" s="63"/>
      <c r="S249" s="63"/>
      <c r="T249" s="63"/>
      <c r="U249" s="63"/>
      <c r="V249" s="63"/>
      <c r="W249" s="64"/>
      <c r="X249" s="63"/>
    </row>
    <row r="250" spans="2:24">
      <c r="B250" s="23" t="s">
        <v>285</v>
      </c>
      <c r="F250" s="102">
        <f t="shared" ref="F250:F253" si="86">SUM(G250:O250)</f>
        <v>6851429.4270291291</v>
      </c>
      <c r="G250" s="87">
        <v>133644</v>
      </c>
      <c r="H250" s="87">
        <v>181271.5</v>
      </c>
      <c r="I250" s="87">
        <v>380005</v>
      </c>
      <c r="J250" s="102">
        <f t="shared" ref="J250:J253" si="87">U250+V250</f>
        <v>1977819.2319735365</v>
      </c>
      <c r="K250" s="87">
        <v>2176803.5</v>
      </c>
      <c r="L250" s="87">
        <v>98983.4</v>
      </c>
      <c r="M250" s="87">
        <v>1852970.5002411962</v>
      </c>
      <c r="N250" s="87">
        <v>49932.294814397101</v>
      </c>
      <c r="O250" s="87">
        <v>0</v>
      </c>
      <c r="S250" s="63"/>
      <c r="T250" s="63"/>
      <c r="U250" s="228">
        <v>1833326.125477432</v>
      </c>
      <c r="V250" s="228">
        <v>144493.10649610448</v>
      </c>
      <c r="W250" s="64"/>
      <c r="X250" s="63"/>
    </row>
    <row r="251" spans="2:24">
      <c r="B251" s="23" t="s">
        <v>286</v>
      </c>
      <c r="F251" s="102">
        <f t="shared" si="86"/>
        <v>24813.844064470013</v>
      </c>
      <c r="G251" s="87">
        <v>2</v>
      </c>
      <c r="H251" s="87">
        <v>17.916666666666668</v>
      </c>
      <c r="I251" s="87">
        <v>2406</v>
      </c>
      <c r="J251" s="102">
        <f t="shared" si="87"/>
        <v>4817.6288324335956</v>
      </c>
      <c r="K251" s="87">
        <v>8679.5833333333321</v>
      </c>
      <c r="L251" s="87">
        <v>672.6</v>
      </c>
      <c r="M251" s="87">
        <v>7780.1665865384621</v>
      </c>
      <c r="N251" s="87">
        <v>437.94864549796119</v>
      </c>
      <c r="O251" s="87">
        <v>0</v>
      </c>
      <c r="S251" s="63"/>
      <c r="T251" s="63"/>
      <c r="U251" s="228">
        <v>4817.6288324335956</v>
      </c>
      <c r="V251" s="228">
        <v>0</v>
      </c>
      <c r="W251" s="64"/>
      <c r="X251" s="63"/>
    </row>
    <row r="252" spans="2:24">
      <c r="B252" s="61" t="s">
        <v>287</v>
      </c>
      <c r="F252" s="102">
        <f t="shared" si="86"/>
        <v>76929.824097099437</v>
      </c>
      <c r="G252" s="87">
        <v>2282</v>
      </c>
      <c r="H252" s="87">
        <v>2736.0833333333335</v>
      </c>
      <c r="I252" s="87">
        <v>5760</v>
      </c>
      <c r="J252" s="102">
        <f t="shared" si="87"/>
        <v>27521.055441473312</v>
      </c>
      <c r="K252" s="87">
        <v>20917.25</v>
      </c>
      <c r="L252" s="87">
        <v>1110.8</v>
      </c>
      <c r="M252" s="87">
        <v>16187.33341346154</v>
      </c>
      <c r="N252" s="87">
        <v>415.30190883124254</v>
      </c>
      <c r="O252" s="87">
        <v>0</v>
      </c>
      <c r="S252" s="63"/>
      <c r="T252" s="63"/>
      <c r="U252" s="228">
        <v>25221.47210813998</v>
      </c>
      <c r="V252" s="228">
        <v>2299.583333333333</v>
      </c>
      <c r="W252" s="64"/>
      <c r="X252" s="63"/>
    </row>
    <row r="253" spans="2:24">
      <c r="B253" s="61" t="s">
        <v>288</v>
      </c>
      <c r="F253" s="102">
        <f t="shared" si="86"/>
        <v>25504.652672545399</v>
      </c>
      <c r="G253" s="87">
        <v>722</v>
      </c>
      <c r="H253" s="87">
        <v>665.5</v>
      </c>
      <c r="I253" s="87">
        <v>1954</v>
      </c>
      <c r="J253" s="102">
        <f t="shared" si="87"/>
        <v>8615.4202757588137</v>
      </c>
      <c r="K253" s="87">
        <v>6034.6666666666661</v>
      </c>
      <c r="L253" s="87">
        <v>410.2</v>
      </c>
      <c r="M253" s="87">
        <v>6789.6893129770997</v>
      </c>
      <c r="N253" s="87">
        <v>313.17641714281689</v>
      </c>
      <c r="O253" s="87">
        <v>0</v>
      </c>
      <c r="S253" s="63"/>
      <c r="T253" s="63"/>
      <c r="U253" s="228">
        <v>7906.1643075890524</v>
      </c>
      <c r="V253" s="228">
        <v>709.25596816976122</v>
      </c>
      <c r="W253" s="64"/>
      <c r="X253" s="63"/>
    </row>
    <row r="254" spans="2:24">
      <c r="B254" s="23"/>
      <c r="F254" s="109"/>
      <c r="G254" s="63"/>
      <c r="H254" s="63"/>
      <c r="I254" s="63"/>
      <c r="J254" s="63"/>
      <c r="K254" s="63"/>
      <c r="L254" s="63"/>
      <c r="M254" s="63"/>
      <c r="N254" s="63"/>
      <c r="O254" s="63"/>
      <c r="S254" s="63"/>
      <c r="T254" s="63"/>
      <c r="U254" s="29"/>
      <c r="V254" s="29"/>
      <c r="W254" s="64"/>
      <c r="X254" s="63"/>
    </row>
    <row r="255" spans="2:24">
      <c r="B255" s="108" t="s">
        <v>289</v>
      </c>
      <c r="F255" s="109"/>
      <c r="G255" s="63"/>
      <c r="H255" s="63"/>
      <c r="I255" s="63"/>
      <c r="J255" s="63"/>
      <c r="K255" s="63"/>
      <c r="L255" s="63"/>
      <c r="M255" s="63"/>
      <c r="N255" s="63"/>
      <c r="O255" s="63"/>
      <c r="S255" s="63"/>
      <c r="T255" s="63"/>
      <c r="U255" s="29"/>
      <c r="V255" s="29"/>
      <c r="W255" s="64"/>
      <c r="X255" s="63"/>
    </row>
    <row r="256" spans="2:24">
      <c r="B256" s="23" t="s">
        <v>285</v>
      </c>
      <c r="F256" s="102">
        <f t="shared" ref="F256:F259" si="88">SUM(G256:O256)</f>
        <v>0</v>
      </c>
      <c r="G256" s="87">
        <v>0</v>
      </c>
      <c r="H256" s="87">
        <v>0</v>
      </c>
      <c r="I256" s="87">
        <v>0</v>
      </c>
      <c r="J256" s="102">
        <f t="shared" ref="J256:J259" si="89">U256+V256</f>
        <v>0</v>
      </c>
      <c r="K256" s="87">
        <v>0</v>
      </c>
      <c r="L256" s="87">
        <v>0</v>
      </c>
      <c r="M256" s="87">
        <v>0</v>
      </c>
      <c r="N256" s="87">
        <v>0</v>
      </c>
      <c r="O256" s="87">
        <v>0</v>
      </c>
      <c r="S256" s="63"/>
      <c r="T256" s="63"/>
      <c r="U256" s="228">
        <v>0</v>
      </c>
      <c r="V256" s="228">
        <v>0</v>
      </c>
      <c r="W256" s="64"/>
      <c r="X256" s="63"/>
    </row>
    <row r="257" spans="2:24">
      <c r="B257" s="23" t="s">
        <v>286</v>
      </c>
      <c r="F257" s="102">
        <f t="shared" si="88"/>
        <v>1</v>
      </c>
      <c r="G257" s="87">
        <v>0</v>
      </c>
      <c r="H257" s="87">
        <v>0</v>
      </c>
      <c r="I257" s="87">
        <v>0</v>
      </c>
      <c r="J257" s="102">
        <f t="shared" si="89"/>
        <v>0</v>
      </c>
      <c r="K257" s="87">
        <v>1</v>
      </c>
      <c r="L257" s="87">
        <v>0</v>
      </c>
      <c r="M257" s="87">
        <v>0</v>
      </c>
      <c r="N257" s="87">
        <v>0</v>
      </c>
      <c r="O257" s="87">
        <v>0</v>
      </c>
      <c r="S257" s="63"/>
      <c r="T257" s="63"/>
      <c r="U257" s="228">
        <v>0</v>
      </c>
      <c r="V257" s="228">
        <v>0</v>
      </c>
      <c r="W257" s="64"/>
      <c r="X257" s="63"/>
    </row>
    <row r="258" spans="2:24">
      <c r="B258" s="61" t="s">
        <v>287</v>
      </c>
      <c r="F258" s="102">
        <f t="shared" si="88"/>
        <v>2</v>
      </c>
      <c r="G258" s="87">
        <v>0</v>
      </c>
      <c r="H258" s="87">
        <v>0</v>
      </c>
      <c r="I258" s="87">
        <v>1</v>
      </c>
      <c r="J258" s="102">
        <f t="shared" si="89"/>
        <v>0</v>
      </c>
      <c r="K258" s="87">
        <v>0</v>
      </c>
      <c r="L258" s="87">
        <v>1</v>
      </c>
      <c r="M258" s="87">
        <v>0</v>
      </c>
      <c r="N258" s="87">
        <v>0</v>
      </c>
      <c r="O258" s="87">
        <v>0</v>
      </c>
      <c r="S258" s="63"/>
      <c r="T258" s="63"/>
      <c r="U258" s="228">
        <v>0</v>
      </c>
      <c r="V258" s="228">
        <v>0</v>
      </c>
      <c r="W258" s="64"/>
      <c r="X258" s="63"/>
    </row>
    <row r="259" spans="2:24">
      <c r="B259" s="61" t="s">
        <v>288</v>
      </c>
      <c r="F259" s="102">
        <f t="shared" si="88"/>
        <v>1</v>
      </c>
      <c r="G259" s="87">
        <v>1</v>
      </c>
      <c r="H259" s="87">
        <v>0</v>
      </c>
      <c r="I259" s="87">
        <v>0</v>
      </c>
      <c r="J259" s="102">
        <f t="shared" si="89"/>
        <v>0</v>
      </c>
      <c r="K259" s="87">
        <v>0</v>
      </c>
      <c r="L259" s="87">
        <v>0</v>
      </c>
      <c r="M259" s="87">
        <v>0</v>
      </c>
      <c r="N259" s="87">
        <v>0</v>
      </c>
      <c r="O259" s="87">
        <v>0</v>
      </c>
      <c r="S259" s="63"/>
      <c r="T259" s="63"/>
      <c r="U259" s="228">
        <v>0</v>
      </c>
      <c r="V259" s="228">
        <v>0</v>
      </c>
      <c r="W259" s="64"/>
      <c r="X259" s="63"/>
    </row>
    <row r="260" spans="2:24">
      <c r="B260" s="23"/>
      <c r="F260" s="109"/>
      <c r="G260" s="63"/>
      <c r="H260" s="63"/>
      <c r="I260" s="63"/>
      <c r="J260" s="63"/>
      <c r="K260" s="63"/>
      <c r="L260" s="63"/>
      <c r="M260" s="63"/>
      <c r="N260" s="63"/>
      <c r="O260" s="63"/>
      <c r="S260" s="63"/>
      <c r="T260" s="63"/>
      <c r="U260" s="29"/>
      <c r="V260" s="29"/>
      <c r="W260" s="64"/>
      <c r="X260" s="63"/>
    </row>
    <row r="261" spans="2:24">
      <c r="B261" s="108" t="s">
        <v>290</v>
      </c>
      <c r="F261" s="109"/>
      <c r="G261" s="63"/>
      <c r="H261" s="63"/>
      <c r="I261" s="63"/>
      <c r="J261" s="63"/>
      <c r="K261" s="63"/>
      <c r="L261" s="63"/>
      <c r="M261" s="63"/>
      <c r="N261" s="63"/>
      <c r="O261" s="63"/>
      <c r="S261" s="63"/>
      <c r="T261" s="63"/>
      <c r="U261" s="29"/>
      <c r="V261" s="29"/>
      <c r="W261" s="64"/>
      <c r="X261" s="63"/>
    </row>
    <row r="262" spans="2:24">
      <c r="B262" s="23" t="s">
        <v>291</v>
      </c>
      <c r="F262" s="102">
        <f t="shared" ref="F262" si="90">SUM(G262:O262)</f>
        <v>0</v>
      </c>
      <c r="G262" s="29"/>
      <c r="H262" s="87">
        <v>0</v>
      </c>
      <c r="I262" s="29"/>
      <c r="J262" s="102">
        <f t="shared" ref="J262" si="91">U262+V262</f>
        <v>0</v>
      </c>
      <c r="K262" s="29"/>
      <c r="L262" s="29"/>
      <c r="M262" s="29"/>
      <c r="N262" s="29"/>
      <c r="O262" s="87">
        <v>0</v>
      </c>
      <c r="S262" s="63"/>
      <c r="T262" s="63"/>
      <c r="U262" s="228">
        <v>0</v>
      </c>
      <c r="V262" s="29"/>
      <c r="W262" s="64"/>
      <c r="X262" s="63"/>
    </row>
    <row r="263" spans="2:24">
      <c r="B263" s="3"/>
      <c r="F263" s="109"/>
      <c r="G263" s="63"/>
      <c r="H263" s="63"/>
      <c r="I263" s="63"/>
      <c r="J263" s="63"/>
      <c r="K263" s="63"/>
      <c r="L263" s="63"/>
      <c r="M263" s="63"/>
      <c r="N263" s="63"/>
      <c r="O263" s="63"/>
      <c r="S263" s="63"/>
      <c r="T263" s="63"/>
      <c r="U263" s="29"/>
      <c r="V263" s="29"/>
      <c r="W263" s="64"/>
      <c r="X263" s="63"/>
    </row>
    <row r="264" spans="2:24">
      <c r="B264" s="3"/>
      <c r="F264" s="109"/>
      <c r="G264" s="63"/>
      <c r="H264" s="63"/>
      <c r="I264" s="63"/>
      <c r="J264" s="63"/>
      <c r="K264" s="63"/>
      <c r="L264" s="63"/>
      <c r="M264" s="63"/>
      <c r="N264" s="63"/>
      <c r="O264" s="63"/>
      <c r="S264" s="63"/>
      <c r="T264" s="63"/>
      <c r="U264" s="29"/>
      <c r="V264" s="29"/>
      <c r="W264" s="64"/>
      <c r="X264" s="63"/>
    </row>
    <row r="265" spans="2:24">
      <c r="B265" s="3" t="s">
        <v>305</v>
      </c>
      <c r="F265" s="109"/>
      <c r="G265" s="63"/>
      <c r="H265" s="63"/>
      <c r="I265" s="63"/>
      <c r="J265" s="63"/>
      <c r="K265" s="63"/>
      <c r="L265" s="63"/>
      <c r="M265" s="63"/>
      <c r="N265" s="63"/>
      <c r="O265" s="63"/>
      <c r="S265" s="63"/>
      <c r="T265" s="63"/>
      <c r="U265" s="29"/>
      <c r="V265" s="29"/>
      <c r="W265" s="64"/>
      <c r="X265" s="63"/>
    </row>
    <row r="266" spans="2:24">
      <c r="B266" s="3"/>
      <c r="F266" s="109"/>
      <c r="G266" s="63"/>
      <c r="H266" s="63"/>
      <c r="I266" s="63"/>
      <c r="J266" s="63"/>
      <c r="K266" s="63"/>
      <c r="L266" s="63"/>
      <c r="M266" s="63"/>
      <c r="N266" s="63"/>
      <c r="O266" s="63"/>
      <c r="S266" s="63"/>
      <c r="T266" s="63"/>
      <c r="U266" s="29"/>
      <c r="V266" s="29"/>
      <c r="W266" s="64"/>
      <c r="X266" s="63"/>
    </row>
    <row r="267" spans="2:24">
      <c r="B267" s="108" t="s">
        <v>284</v>
      </c>
      <c r="F267" s="109"/>
      <c r="G267" s="63"/>
      <c r="H267" s="63"/>
      <c r="I267" s="63"/>
      <c r="J267" s="63"/>
      <c r="K267" s="63"/>
      <c r="L267" s="63"/>
      <c r="M267" s="63"/>
      <c r="N267" s="63"/>
      <c r="O267" s="63"/>
      <c r="S267" s="63"/>
      <c r="T267" s="63"/>
      <c r="U267" s="29"/>
      <c r="V267" s="29"/>
      <c r="W267" s="64"/>
      <c r="X267" s="63"/>
    </row>
    <row r="268" spans="2:24">
      <c r="B268" s="61" t="s">
        <v>292</v>
      </c>
      <c r="F268" s="102">
        <f t="shared" ref="F268:F277" si="92">SUM(G268:O268)</f>
        <v>9683.3466408538407</v>
      </c>
      <c r="G268" s="87">
        <v>234</v>
      </c>
      <c r="H268" s="87">
        <v>191.4166666666662</v>
      </c>
      <c r="I268" s="87">
        <v>782</v>
      </c>
      <c r="J268" s="102">
        <f t="shared" ref="J268:J277" si="93">U268+V268</f>
        <v>2756.7815198861008</v>
      </c>
      <c r="K268" s="87">
        <v>3109.1666666666665</v>
      </c>
      <c r="L268" s="87">
        <v>142.80000000000001</v>
      </c>
      <c r="M268" s="87">
        <v>2364.1817876344085</v>
      </c>
      <c r="N268" s="87">
        <v>103</v>
      </c>
      <c r="O268" s="87">
        <v>0</v>
      </c>
      <c r="S268" s="63"/>
      <c r="T268" s="63"/>
      <c r="U268" s="228">
        <v>2756.7815198861008</v>
      </c>
      <c r="V268" s="228">
        <v>0</v>
      </c>
      <c r="W268" s="64"/>
      <c r="X268" s="63"/>
    </row>
    <row r="269" spans="2:24">
      <c r="B269" s="61" t="s">
        <v>293</v>
      </c>
      <c r="F269" s="102">
        <f t="shared" si="92"/>
        <v>12647.93489125889</v>
      </c>
      <c r="G269" s="87">
        <v>181</v>
      </c>
      <c r="H269" s="87">
        <v>257.33333333333337</v>
      </c>
      <c r="I269" s="87">
        <v>536</v>
      </c>
      <c r="J269" s="102">
        <f t="shared" si="93"/>
        <v>3432.4166666666665</v>
      </c>
      <c r="K269" s="87">
        <v>4394.666666666667</v>
      </c>
      <c r="L269" s="87">
        <v>141.19999999999999</v>
      </c>
      <c r="M269" s="87">
        <v>3520.8182245922212</v>
      </c>
      <c r="N269" s="87">
        <v>184.5</v>
      </c>
      <c r="O269" s="87">
        <v>0</v>
      </c>
      <c r="S269" s="63"/>
      <c r="T269" s="63"/>
      <c r="U269" s="228">
        <v>3059</v>
      </c>
      <c r="V269" s="228">
        <v>373.41666666666669</v>
      </c>
      <c r="W269" s="64"/>
      <c r="X269" s="63"/>
    </row>
    <row r="270" spans="2:24">
      <c r="B270" s="61" t="s">
        <v>294</v>
      </c>
      <c r="F270" s="102">
        <f t="shared" si="92"/>
        <v>6576.7512902765884</v>
      </c>
      <c r="G270" s="87">
        <v>65</v>
      </c>
      <c r="H270" s="87">
        <v>100.75</v>
      </c>
      <c r="I270" s="87">
        <v>370</v>
      </c>
      <c r="J270" s="102">
        <f t="shared" si="93"/>
        <v>1761.5833333333333</v>
      </c>
      <c r="K270" s="87">
        <v>2055.75</v>
      </c>
      <c r="L270" s="87">
        <v>36.200000000000003</v>
      </c>
      <c r="M270" s="87">
        <v>2035.967956943256</v>
      </c>
      <c r="N270" s="87">
        <v>151.5</v>
      </c>
      <c r="O270" s="87">
        <v>0</v>
      </c>
      <c r="S270" s="63"/>
      <c r="T270" s="63"/>
      <c r="U270" s="228">
        <f>1655-3</f>
        <v>1652</v>
      </c>
      <c r="V270" s="228">
        <v>109.58333333333333</v>
      </c>
      <c r="W270" s="64"/>
      <c r="X270" s="63"/>
    </row>
    <row r="271" spans="2:24">
      <c r="B271" s="61" t="s">
        <v>295</v>
      </c>
      <c r="F271" s="102">
        <f t="shared" si="92"/>
        <v>3499.3896704268964</v>
      </c>
      <c r="G271" s="87">
        <v>62</v>
      </c>
      <c r="H271" s="87">
        <v>59.666666666666643</v>
      </c>
      <c r="I271" s="87">
        <v>113</v>
      </c>
      <c r="J271" s="102">
        <f t="shared" si="93"/>
        <v>952.83333333333337</v>
      </c>
      <c r="K271" s="87">
        <v>1278.5</v>
      </c>
      <c r="L271" s="87">
        <v>22.2</v>
      </c>
      <c r="M271" s="87">
        <v>693.35633709356341</v>
      </c>
      <c r="N271" s="87">
        <v>317.83333333333326</v>
      </c>
      <c r="O271" s="87">
        <v>0</v>
      </c>
      <c r="S271" s="63"/>
      <c r="T271" s="63"/>
      <c r="U271" s="228">
        <v>876</v>
      </c>
      <c r="V271" s="228">
        <v>76.833333333333343</v>
      </c>
      <c r="W271" s="64"/>
      <c r="X271" s="63"/>
    </row>
    <row r="272" spans="2:24">
      <c r="B272" s="26" t="s">
        <v>296</v>
      </c>
      <c r="F272" s="102">
        <f t="shared" si="92"/>
        <v>2939.3269962397699</v>
      </c>
      <c r="G272" s="87">
        <v>18</v>
      </c>
      <c r="H272" s="87">
        <v>9</v>
      </c>
      <c r="I272" s="87">
        <v>71</v>
      </c>
      <c r="J272" s="102">
        <f t="shared" si="93"/>
        <v>830.75</v>
      </c>
      <c r="K272" s="87">
        <v>642.83333333333326</v>
      </c>
      <c r="L272" s="87">
        <v>5.0999999999999996</v>
      </c>
      <c r="M272" s="87">
        <v>882.6436629064367</v>
      </c>
      <c r="N272" s="87">
        <v>480</v>
      </c>
      <c r="O272" s="87">
        <v>0</v>
      </c>
      <c r="S272" s="63"/>
      <c r="T272" s="63"/>
      <c r="U272" s="228">
        <v>760</v>
      </c>
      <c r="V272" s="228">
        <v>70.75</v>
      </c>
      <c r="W272" s="64"/>
      <c r="X272" s="63"/>
    </row>
    <row r="273" spans="2:24">
      <c r="B273" s="61" t="s">
        <v>297</v>
      </c>
      <c r="F273" s="102">
        <f t="shared" si="92"/>
        <v>1222.4159262637113</v>
      </c>
      <c r="G273" s="87">
        <v>9</v>
      </c>
      <c r="H273" s="87">
        <v>0</v>
      </c>
      <c r="I273" s="87">
        <v>13</v>
      </c>
      <c r="J273" s="102">
        <f t="shared" si="93"/>
        <v>393.41683979386323</v>
      </c>
      <c r="K273" s="87">
        <v>352.83333333333331</v>
      </c>
      <c r="L273" s="87">
        <v>3</v>
      </c>
      <c r="M273" s="87">
        <v>450.16575313651458</v>
      </c>
      <c r="N273" s="87">
        <v>1</v>
      </c>
      <c r="O273" s="87">
        <v>0</v>
      </c>
      <c r="S273" s="63"/>
      <c r="T273" s="63"/>
      <c r="U273" s="228">
        <v>357</v>
      </c>
      <c r="V273" s="228">
        <v>36.416839793863225</v>
      </c>
      <c r="W273" s="64"/>
      <c r="X273" s="63"/>
    </row>
    <row r="274" spans="2:24">
      <c r="B274" s="61" t="s">
        <v>298</v>
      </c>
      <c r="F274" s="102">
        <f t="shared" si="92"/>
        <v>761.34183630721623</v>
      </c>
      <c r="G274" s="87">
        <v>0</v>
      </c>
      <c r="H274" s="87">
        <v>1</v>
      </c>
      <c r="I274" s="87">
        <v>3</v>
      </c>
      <c r="J274" s="102">
        <f t="shared" si="93"/>
        <v>219.91668345382783</v>
      </c>
      <c r="K274" s="87">
        <v>177.5</v>
      </c>
      <c r="L274" s="87">
        <v>0</v>
      </c>
      <c r="M274" s="87">
        <v>359.9251528533884</v>
      </c>
      <c r="N274" s="87">
        <v>0</v>
      </c>
      <c r="O274" s="87">
        <v>0</v>
      </c>
      <c r="S274" s="63"/>
      <c r="T274" s="63"/>
      <c r="U274" s="228">
        <v>207</v>
      </c>
      <c r="V274" s="228">
        <v>12.916683453827844</v>
      </c>
      <c r="W274" s="64"/>
      <c r="X274" s="63"/>
    </row>
    <row r="275" spans="2:24">
      <c r="B275" s="61" t="s">
        <v>299</v>
      </c>
      <c r="F275" s="102">
        <f t="shared" si="92"/>
        <v>548.44279382037166</v>
      </c>
      <c r="G275" s="87">
        <v>0</v>
      </c>
      <c r="H275" s="87">
        <v>0</v>
      </c>
      <c r="I275" s="87">
        <v>1</v>
      </c>
      <c r="J275" s="102">
        <f t="shared" si="93"/>
        <v>79.000000935138772</v>
      </c>
      <c r="K275" s="87">
        <v>87.166666666666671</v>
      </c>
      <c r="L275" s="87">
        <v>0</v>
      </c>
      <c r="M275" s="87">
        <v>146.6094595518995</v>
      </c>
      <c r="N275" s="87">
        <v>234.66666666666669</v>
      </c>
      <c r="O275" s="87">
        <v>0</v>
      </c>
      <c r="S275" s="63"/>
      <c r="T275" s="63"/>
      <c r="U275" s="228">
        <v>76</v>
      </c>
      <c r="V275" s="228">
        <v>3.000000935138774</v>
      </c>
      <c r="W275" s="64"/>
      <c r="X275" s="63"/>
    </row>
    <row r="276" spans="2:24">
      <c r="B276" s="23" t="s">
        <v>300</v>
      </c>
      <c r="F276" s="102">
        <f t="shared" si="92"/>
        <v>104.12538569128979</v>
      </c>
      <c r="G276" s="87">
        <v>0</v>
      </c>
      <c r="H276" s="87">
        <v>0</v>
      </c>
      <c r="I276" s="87">
        <v>0</v>
      </c>
      <c r="J276" s="102">
        <f t="shared" si="93"/>
        <v>26</v>
      </c>
      <c r="K276" s="87">
        <v>27.916666666666671</v>
      </c>
      <c r="L276" s="87">
        <v>0</v>
      </c>
      <c r="M276" s="87">
        <v>50.208719024623122</v>
      </c>
      <c r="N276" s="87">
        <v>0</v>
      </c>
      <c r="O276" s="87">
        <v>0</v>
      </c>
      <c r="S276" s="63"/>
      <c r="T276" s="63"/>
      <c r="U276" s="228">
        <v>26</v>
      </c>
      <c r="V276" s="228">
        <v>0</v>
      </c>
      <c r="W276" s="64"/>
      <c r="X276" s="63"/>
    </row>
    <row r="277" spans="2:24">
      <c r="B277" s="23" t="s">
        <v>301</v>
      </c>
      <c r="F277" s="102">
        <f t="shared" si="92"/>
        <v>97.568179252737337</v>
      </c>
      <c r="G277" s="87">
        <v>0</v>
      </c>
      <c r="H277" s="87">
        <v>0</v>
      </c>
      <c r="I277" s="87">
        <v>0</v>
      </c>
      <c r="J277" s="102">
        <f t="shared" si="93"/>
        <v>23</v>
      </c>
      <c r="K277" s="87">
        <v>20.25</v>
      </c>
      <c r="L277" s="87">
        <v>0</v>
      </c>
      <c r="M277" s="87">
        <v>44.81817925273733</v>
      </c>
      <c r="N277" s="87">
        <v>9.5</v>
      </c>
      <c r="O277" s="87">
        <v>0</v>
      </c>
      <c r="S277" s="63"/>
      <c r="T277" s="63"/>
      <c r="U277" s="228">
        <v>23</v>
      </c>
      <c r="V277" s="228">
        <v>0</v>
      </c>
      <c r="W277" s="64"/>
      <c r="X277" s="63"/>
    </row>
    <row r="278" spans="2:24">
      <c r="B278" s="23"/>
      <c r="F278" s="109"/>
      <c r="G278" s="63"/>
      <c r="H278" s="63"/>
      <c r="I278" s="63"/>
      <c r="J278" s="63"/>
      <c r="K278" s="63"/>
      <c r="L278" s="63"/>
      <c r="M278" s="63"/>
      <c r="N278" s="63"/>
      <c r="O278" s="63"/>
      <c r="S278" s="63"/>
      <c r="T278" s="63"/>
      <c r="U278" s="29"/>
      <c r="V278" s="29"/>
      <c r="W278" s="64"/>
      <c r="X278" s="63"/>
    </row>
    <row r="279" spans="2:24">
      <c r="B279" s="108" t="s">
        <v>289</v>
      </c>
      <c r="F279" s="109"/>
      <c r="G279" s="63"/>
      <c r="H279" s="63"/>
      <c r="I279" s="63"/>
      <c r="J279" s="63"/>
      <c r="K279" s="63"/>
      <c r="L279" s="63"/>
      <c r="M279" s="63"/>
      <c r="N279" s="63"/>
      <c r="O279" s="63"/>
      <c r="S279" s="63"/>
      <c r="T279" s="63"/>
      <c r="U279" s="29"/>
      <c r="V279" s="29"/>
      <c r="W279" s="64"/>
      <c r="X279" s="63"/>
    </row>
    <row r="280" spans="2:24">
      <c r="B280" s="61" t="s">
        <v>292</v>
      </c>
      <c r="F280" s="102">
        <f t="shared" ref="F280:F289" si="94">SUM(G280:O280)</f>
        <v>14.583333333333332</v>
      </c>
      <c r="G280" s="87">
        <v>0</v>
      </c>
      <c r="H280" s="87">
        <v>1.5833333333333333</v>
      </c>
      <c r="I280" s="87">
        <v>1</v>
      </c>
      <c r="J280" s="102">
        <f t="shared" ref="J280:J289" si="95">U280+V280</f>
        <v>1</v>
      </c>
      <c r="K280" s="87">
        <v>7</v>
      </c>
      <c r="L280" s="87">
        <v>2</v>
      </c>
      <c r="M280" s="87">
        <v>0</v>
      </c>
      <c r="N280" s="87">
        <v>2</v>
      </c>
      <c r="O280" s="87">
        <v>0</v>
      </c>
      <c r="S280" s="63"/>
      <c r="T280" s="63"/>
      <c r="U280" s="228">
        <v>0</v>
      </c>
      <c r="V280" s="228">
        <v>1</v>
      </c>
      <c r="W280" s="64"/>
      <c r="X280" s="63"/>
    </row>
    <row r="281" spans="2:24">
      <c r="B281" s="61" t="s">
        <v>293</v>
      </c>
      <c r="F281" s="102">
        <f t="shared" si="94"/>
        <v>58</v>
      </c>
      <c r="G281" s="87">
        <v>6</v>
      </c>
      <c r="H281" s="87">
        <v>22</v>
      </c>
      <c r="I281" s="87">
        <v>11</v>
      </c>
      <c r="J281" s="102">
        <f t="shared" si="95"/>
        <v>1</v>
      </c>
      <c r="K281" s="87">
        <v>7</v>
      </c>
      <c r="L281" s="87">
        <v>8</v>
      </c>
      <c r="M281" s="87">
        <v>0</v>
      </c>
      <c r="N281" s="87">
        <v>3</v>
      </c>
      <c r="O281" s="87">
        <v>0</v>
      </c>
      <c r="S281" s="63"/>
      <c r="T281" s="63"/>
      <c r="U281" s="228">
        <v>0</v>
      </c>
      <c r="V281" s="228">
        <v>1</v>
      </c>
      <c r="W281" s="64"/>
      <c r="X281" s="63"/>
    </row>
    <row r="282" spans="2:24">
      <c r="B282" s="61" t="s">
        <v>294</v>
      </c>
      <c r="F282" s="102">
        <f t="shared" si="94"/>
        <v>82.1</v>
      </c>
      <c r="G282" s="87">
        <v>4</v>
      </c>
      <c r="H282" s="87">
        <v>9</v>
      </c>
      <c r="I282" s="87">
        <v>22</v>
      </c>
      <c r="J282" s="102">
        <f t="shared" si="95"/>
        <v>2</v>
      </c>
      <c r="K282" s="87">
        <v>4</v>
      </c>
      <c r="L282" s="87">
        <v>13.1</v>
      </c>
      <c r="M282" s="87">
        <v>0</v>
      </c>
      <c r="N282" s="87">
        <v>28</v>
      </c>
      <c r="O282" s="87">
        <v>0</v>
      </c>
      <c r="S282" s="63"/>
      <c r="T282" s="63"/>
      <c r="U282" s="228">
        <v>0</v>
      </c>
      <c r="V282" s="228">
        <v>2</v>
      </c>
      <c r="W282" s="64"/>
      <c r="X282" s="63"/>
    </row>
    <row r="283" spans="2:24">
      <c r="B283" s="61" t="s">
        <v>295</v>
      </c>
      <c r="F283" s="102">
        <f t="shared" si="94"/>
        <v>175.9</v>
      </c>
      <c r="G283" s="87">
        <v>22</v>
      </c>
      <c r="H283" s="87">
        <v>36</v>
      </c>
      <c r="I283" s="87">
        <v>33</v>
      </c>
      <c r="J283" s="102">
        <f t="shared" si="95"/>
        <v>5</v>
      </c>
      <c r="K283" s="87">
        <v>22</v>
      </c>
      <c r="L283" s="87">
        <v>22.4</v>
      </c>
      <c r="M283" s="87">
        <v>0</v>
      </c>
      <c r="N283" s="87">
        <v>35.5</v>
      </c>
      <c r="O283" s="87">
        <v>0</v>
      </c>
      <c r="S283" s="63"/>
      <c r="T283" s="63"/>
      <c r="U283" s="228">
        <v>0</v>
      </c>
      <c r="V283" s="228">
        <v>5</v>
      </c>
      <c r="W283" s="64"/>
      <c r="X283" s="63"/>
    </row>
    <row r="284" spans="2:24">
      <c r="B284" s="26" t="s">
        <v>296</v>
      </c>
      <c r="F284" s="102">
        <f t="shared" si="94"/>
        <v>271.97108220886867</v>
      </c>
      <c r="G284" s="87">
        <v>17</v>
      </c>
      <c r="H284" s="87">
        <v>32</v>
      </c>
      <c r="I284" s="87">
        <v>72</v>
      </c>
      <c r="J284" s="102">
        <f t="shared" si="95"/>
        <v>75.07108220886866</v>
      </c>
      <c r="K284" s="87">
        <v>21</v>
      </c>
      <c r="L284" s="87">
        <v>18.899999999999999</v>
      </c>
      <c r="M284" s="87">
        <v>0</v>
      </c>
      <c r="N284" s="87">
        <v>36</v>
      </c>
      <c r="O284" s="87">
        <v>0</v>
      </c>
      <c r="S284" s="63"/>
      <c r="T284" s="63"/>
      <c r="U284" s="228">
        <v>63.071082208868653</v>
      </c>
      <c r="V284" s="228">
        <v>12</v>
      </c>
      <c r="W284" s="64"/>
      <c r="X284" s="63"/>
    </row>
    <row r="285" spans="2:24">
      <c r="B285" s="61" t="s">
        <v>297</v>
      </c>
      <c r="F285" s="102">
        <f t="shared" si="94"/>
        <v>157</v>
      </c>
      <c r="G285" s="87">
        <v>8</v>
      </c>
      <c r="H285" s="87">
        <v>15</v>
      </c>
      <c r="I285" s="87">
        <v>69</v>
      </c>
      <c r="J285" s="102">
        <f t="shared" si="95"/>
        <v>14</v>
      </c>
      <c r="K285" s="87">
        <v>43</v>
      </c>
      <c r="L285" s="87">
        <v>8</v>
      </c>
      <c r="M285" s="87">
        <v>0</v>
      </c>
      <c r="N285" s="87">
        <v>0</v>
      </c>
      <c r="O285" s="87">
        <v>0</v>
      </c>
      <c r="S285" s="63"/>
      <c r="T285" s="63"/>
      <c r="U285" s="228">
        <v>0</v>
      </c>
      <c r="V285" s="228">
        <v>14</v>
      </c>
      <c r="W285" s="64"/>
      <c r="X285" s="63"/>
    </row>
    <row r="286" spans="2:24">
      <c r="B286" s="61" t="s">
        <v>298</v>
      </c>
      <c r="F286" s="102">
        <f t="shared" si="94"/>
        <v>205.39153817506173</v>
      </c>
      <c r="G286" s="87">
        <v>3</v>
      </c>
      <c r="H286" s="87">
        <v>4</v>
      </c>
      <c r="I286" s="87">
        <v>52</v>
      </c>
      <c r="J286" s="102">
        <f t="shared" si="95"/>
        <v>101.39153817506174</v>
      </c>
      <c r="K286" s="87">
        <v>38</v>
      </c>
      <c r="L286" s="87">
        <v>7</v>
      </c>
      <c r="M286" s="87">
        <v>0</v>
      </c>
      <c r="N286" s="87">
        <v>0</v>
      </c>
      <c r="O286" s="87">
        <v>0</v>
      </c>
      <c r="S286" s="63"/>
      <c r="T286" s="63"/>
      <c r="U286" s="228">
        <v>88.39153817506174</v>
      </c>
      <c r="V286" s="228">
        <v>13</v>
      </c>
      <c r="W286" s="64"/>
      <c r="X286" s="63"/>
    </row>
    <row r="287" spans="2:24">
      <c r="B287" s="61" t="s">
        <v>299</v>
      </c>
      <c r="F287" s="102">
        <f t="shared" si="94"/>
        <v>77.75</v>
      </c>
      <c r="G287" s="87">
        <v>0</v>
      </c>
      <c r="H287" s="87">
        <v>4</v>
      </c>
      <c r="I287" s="87">
        <v>15</v>
      </c>
      <c r="J287" s="102">
        <f t="shared" si="95"/>
        <v>6</v>
      </c>
      <c r="K287" s="87">
        <v>20</v>
      </c>
      <c r="L287" s="87">
        <v>5</v>
      </c>
      <c r="M287" s="87">
        <v>0</v>
      </c>
      <c r="N287" s="87">
        <v>27.75</v>
      </c>
      <c r="O287" s="87">
        <v>0</v>
      </c>
      <c r="S287" s="63"/>
      <c r="T287" s="63"/>
      <c r="U287" s="228">
        <v>0</v>
      </c>
      <c r="V287" s="228">
        <v>6</v>
      </c>
      <c r="W287" s="64"/>
      <c r="X287" s="63"/>
    </row>
    <row r="288" spans="2:24">
      <c r="B288" s="23" t="s">
        <v>300</v>
      </c>
      <c r="F288" s="102">
        <f t="shared" si="94"/>
        <v>112.99419153365722</v>
      </c>
      <c r="G288" s="87">
        <v>0</v>
      </c>
      <c r="H288" s="87">
        <v>1</v>
      </c>
      <c r="I288" s="87">
        <v>14</v>
      </c>
      <c r="J288" s="102">
        <f t="shared" si="95"/>
        <v>80.094191533657209</v>
      </c>
      <c r="K288" s="87">
        <v>13</v>
      </c>
      <c r="L288" s="87">
        <v>4.9000000000000004</v>
      </c>
      <c r="M288" s="87">
        <v>0</v>
      </c>
      <c r="N288" s="87">
        <v>0</v>
      </c>
      <c r="O288" s="87">
        <v>0</v>
      </c>
      <c r="S288" s="63"/>
      <c r="T288" s="63"/>
      <c r="U288" s="228">
        <v>80.094191533657209</v>
      </c>
      <c r="V288" s="228">
        <v>0</v>
      </c>
      <c r="W288" s="64"/>
      <c r="X288" s="63"/>
    </row>
    <row r="289" spans="2:24">
      <c r="B289" s="23" t="s">
        <v>301</v>
      </c>
      <c r="F289" s="102">
        <f t="shared" si="94"/>
        <v>130.80603613777527</v>
      </c>
      <c r="G289" s="87">
        <v>0</v>
      </c>
      <c r="H289" s="87">
        <v>2</v>
      </c>
      <c r="I289" s="87">
        <v>4</v>
      </c>
      <c r="J289" s="102">
        <f t="shared" si="95"/>
        <v>32.456036137775271</v>
      </c>
      <c r="K289" s="87">
        <v>11</v>
      </c>
      <c r="L289" s="87">
        <v>3.1</v>
      </c>
      <c r="M289" s="87">
        <v>0</v>
      </c>
      <c r="N289" s="87">
        <v>78.25</v>
      </c>
      <c r="O289" s="87">
        <v>0</v>
      </c>
      <c r="S289" s="63"/>
      <c r="T289" s="63"/>
      <c r="U289" s="228">
        <v>32.456036137775271</v>
      </c>
      <c r="V289" s="228">
        <v>0</v>
      </c>
      <c r="W289" s="64"/>
      <c r="X289" s="63"/>
    </row>
    <row r="290" spans="2:24">
      <c r="B290" s="23"/>
      <c r="F290" s="109"/>
      <c r="G290" s="63"/>
      <c r="H290" s="63"/>
      <c r="I290" s="63"/>
      <c r="J290" s="63"/>
      <c r="K290" s="63"/>
      <c r="L290" s="63"/>
      <c r="M290" s="63"/>
      <c r="N290" s="63"/>
      <c r="O290" s="63"/>
      <c r="S290" s="63"/>
      <c r="T290" s="63"/>
      <c r="U290" s="29"/>
      <c r="V290" s="29"/>
      <c r="W290" s="64"/>
      <c r="X290" s="63"/>
    </row>
    <row r="291" spans="2:24">
      <c r="B291" s="108" t="s">
        <v>290</v>
      </c>
      <c r="F291" s="109"/>
      <c r="G291" s="63"/>
      <c r="H291" s="63"/>
      <c r="I291" s="63"/>
      <c r="J291" s="63"/>
      <c r="K291" s="63"/>
      <c r="L291" s="63"/>
      <c r="M291" s="63"/>
      <c r="N291" s="63"/>
      <c r="O291" s="63"/>
      <c r="S291" s="63"/>
      <c r="T291" s="63"/>
      <c r="U291" s="29"/>
      <c r="V291" s="29"/>
      <c r="W291" s="64"/>
      <c r="X291" s="63"/>
    </row>
    <row r="292" spans="2:24">
      <c r="B292" s="23" t="s">
        <v>302</v>
      </c>
      <c r="F292" s="102">
        <f t="shared" ref="F292" si="96">SUM(G292:O292)</f>
        <v>7</v>
      </c>
      <c r="G292" s="29"/>
      <c r="H292" s="87">
        <v>4</v>
      </c>
      <c r="I292" s="29"/>
      <c r="J292" s="102">
        <f t="shared" ref="J292" si="97">U292+V292</f>
        <v>3</v>
      </c>
      <c r="K292" s="29"/>
      <c r="L292" s="29"/>
      <c r="M292" s="29"/>
      <c r="N292" s="29"/>
      <c r="O292" s="87">
        <v>0</v>
      </c>
      <c r="S292" s="63"/>
      <c r="T292" s="63"/>
      <c r="U292" s="228">
        <v>3</v>
      </c>
      <c r="V292" s="63"/>
      <c r="W292" s="64"/>
      <c r="X292" s="63"/>
    </row>
    <row r="293" spans="2:24">
      <c r="B293" s="22"/>
      <c r="F293" s="109"/>
      <c r="G293" s="63"/>
      <c r="H293" s="63"/>
      <c r="I293" s="63"/>
      <c r="J293" s="63"/>
      <c r="K293" s="63"/>
      <c r="L293" s="63"/>
      <c r="M293" s="63"/>
      <c r="N293" s="63"/>
      <c r="O293" s="63"/>
      <c r="S293" s="63"/>
      <c r="T293" s="63"/>
      <c r="U293" s="29"/>
      <c r="V293" s="29"/>
      <c r="W293" s="64"/>
      <c r="X293" s="63"/>
    </row>
    <row r="294" spans="2:24">
      <c r="B294" s="22"/>
      <c r="F294" s="109"/>
      <c r="G294" s="63"/>
      <c r="H294" s="63"/>
      <c r="I294" s="63"/>
      <c r="J294" s="63"/>
      <c r="K294" s="63"/>
      <c r="L294" s="63"/>
      <c r="M294" s="63"/>
      <c r="N294" s="63"/>
      <c r="O294" s="63"/>
      <c r="S294" s="63"/>
      <c r="T294" s="63"/>
      <c r="U294" s="29"/>
      <c r="V294" s="29"/>
      <c r="W294" s="64"/>
      <c r="X294" s="63"/>
    </row>
    <row r="295" spans="2:24">
      <c r="B295" s="22"/>
      <c r="F295" s="109"/>
      <c r="G295" s="63"/>
      <c r="H295" s="63"/>
      <c r="I295" s="63"/>
      <c r="J295" s="63"/>
      <c r="K295" s="63"/>
      <c r="L295" s="63"/>
      <c r="M295" s="63"/>
      <c r="N295" s="63"/>
      <c r="O295" s="63"/>
      <c r="S295" s="63"/>
      <c r="T295" s="63"/>
      <c r="U295" s="29"/>
      <c r="V295" s="29"/>
      <c r="W295" s="64"/>
      <c r="X295" s="63"/>
    </row>
    <row r="296" spans="2:24">
      <c r="B296" s="22"/>
      <c r="F296" s="109"/>
      <c r="G296" s="63"/>
      <c r="H296" s="63"/>
      <c r="I296" s="63"/>
      <c r="J296" s="63"/>
      <c r="K296" s="63"/>
      <c r="L296" s="63"/>
      <c r="M296" s="63"/>
      <c r="N296" s="63"/>
      <c r="O296" s="63"/>
      <c r="S296" s="63"/>
      <c r="T296" s="63"/>
      <c r="U296" s="29"/>
      <c r="V296" s="29"/>
      <c r="W296" s="64"/>
      <c r="X296" s="63"/>
    </row>
    <row r="297" spans="2:24">
      <c r="B297" s="3" t="s">
        <v>307</v>
      </c>
      <c r="F297" s="109"/>
      <c r="G297" s="63"/>
      <c r="H297" s="63"/>
      <c r="I297" s="63"/>
      <c r="J297" s="63"/>
      <c r="K297" s="63"/>
      <c r="L297" s="63"/>
      <c r="M297" s="63"/>
      <c r="N297" s="63"/>
      <c r="O297" s="63"/>
      <c r="S297" s="63"/>
      <c r="T297" s="63"/>
      <c r="U297" s="29"/>
      <c r="V297" s="29"/>
      <c r="W297" s="64"/>
      <c r="X297" s="63"/>
    </row>
    <row r="298" spans="2:24">
      <c r="B298" s="3"/>
      <c r="F298" s="109"/>
      <c r="G298" s="63"/>
      <c r="H298" s="63"/>
      <c r="I298" s="63"/>
      <c r="J298" s="63"/>
      <c r="K298" s="63"/>
      <c r="L298" s="63"/>
      <c r="M298" s="63"/>
      <c r="N298" s="63"/>
      <c r="O298" s="63"/>
      <c r="S298" s="63"/>
      <c r="T298" s="63"/>
      <c r="U298" s="29"/>
      <c r="V298" s="29"/>
      <c r="W298" s="64"/>
      <c r="X298" s="63"/>
    </row>
    <row r="299" spans="2:24">
      <c r="B299" s="108" t="s">
        <v>284</v>
      </c>
      <c r="F299" s="109"/>
      <c r="G299" s="63"/>
      <c r="H299" s="63"/>
      <c r="I299" s="63"/>
      <c r="J299" s="63"/>
      <c r="K299" s="63"/>
      <c r="L299" s="63"/>
      <c r="M299" s="63"/>
      <c r="N299" s="63"/>
      <c r="O299" s="63"/>
      <c r="S299" s="63"/>
      <c r="T299" s="63"/>
      <c r="U299" s="29"/>
      <c r="V299" s="29"/>
      <c r="W299" s="64"/>
      <c r="X299" s="63"/>
    </row>
    <row r="300" spans="2:24">
      <c r="B300" s="23" t="s">
        <v>285</v>
      </c>
      <c r="F300" s="102">
        <f t="shared" ref="F300:F303" si="98">SUM(G300:O300)</f>
        <v>51945.155103267389</v>
      </c>
      <c r="G300" s="454">
        <f>'Aanpassing gegevens (aug. 2016)'!J68</f>
        <v>1356</v>
      </c>
      <c r="H300" s="87">
        <v>1443</v>
      </c>
      <c r="I300" s="87">
        <v>3413.7912338594033</v>
      </c>
      <c r="J300" s="102">
        <f t="shared" ref="J300:J303" si="99">U300+V300</f>
        <v>15865.803369582729</v>
      </c>
      <c r="K300" s="87">
        <v>18109</v>
      </c>
      <c r="L300" s="87">
        <v>857</v>
      </c>
      <c r="M300" s="87">
        <v>10311.560499825257</v>
      </c>
      <c r="N300" s="87">
        <v>589</v>
      </c>
      <c r="O300" s="87">
        <v>0</v>
      </c>
      <c r="S300" s="63"/>
      <c r="T300" s="63"/>
      <c r="U300" s="228">
        <v>14407.803369582729</v>
      </c>
      <c r="V300" s="228">
        <v>1458</v>
      </c>
      <c r="W300" s="64"/>
      <c r="X300" s="63"/>
    </row>
    <row r="301" spans="2:24">
      <c r="B301" s="23" t="s">
        <v>286</v>
      </c>
      <c r="F301" s="102">
        <f t="shared" si="98"/>
        <v>525.27271224622541</v>
      </c>
      <c r="G301" s="454">
        <f>'Aanpassing gegevens (aug. 2016)'!J69</f>
        <v>0</v>
      </c>
      <c r="H301" s="87">
        <v>20</v>
      </c>
      <c r="I301" s="87">
        <v>27.479427860696521</v>
      </c>
      <c r="J301" s="102">
        <f t="shared" si="99"/>
        <v>182.06894008899283</v>
      </c>
      <c r="K301" s="87">
        <v>168</v>
      </c>
      <c r="L301" s="87">
        <v>4</v>
      </c>
      <c r="M301" s="87">
        <v>121.72434429653605</v>
      </c>
      <c r="N301" s="87">
        <v>2</v>
      </c>
      <c r="O301" s="87">
        <v>0</v>
      </c>
      <c r="S301" s="63"/>
      <c r="T301" s="63"/>
      <c r="U301" s="228">
        <v>182.06894008899283</v>
      </c>
      <c r="V301" s="228">
        <v>0</v>
      </c>
      <c r="W301" s="64"/>
      <c r="X301" s="63"/>
    </row>
    <row r="302" spans="2:24">
      <c r="B302" s="61" t="s">
        <v>287</v>
      </c>
      <c r="F302" s="102">
        <f t="shared" si="98"/>
        <v>571.85330393600816</v>
      </c>
      <c r="G302" s="454">
        <f>'Aanpassing gegevens (aug. 2016)'!J70</f>
        <v>20</v>
      </c>
      <c r="H302" s="87">
        <v>13</v>
      </c>
      <c r="I302" s="87">
        <v>17.461274875621889</v>
      </c>
      <c r="J302" s="102">
        <f t="shared" si="99"/>
        <v>243.0473336495171</v>
      </c>
      <c r="K302" s="87">
        <v>136</v>
      </c>
      <c r="L302" s="87">
        <v>10</v>
      </c>
      <c r="M302" s="87">
        <v>131.34469541086912</v>
      </c>
      <c r="N302" s="87">
        <v>1</v>
      </c>
      <c r="O302" s="87">
        <v>0</v>
      </c>
      <c r="S302" s="63"/>
      <c r="T302" s="63"/>
      <c r="U302" s="228">
        <v>211.0473336495171</v>
      </c>
      <c r="V302" s="228">
        <v>32</v>
      </c>
      <c r="W302" s="64"/>
      <c r="X302" s="63"/>
    </row>
    <row r="303" spans="2:24">
      <c r="B303" s="61" t="s">
        <v>288</v>
      </c>
      <c r="F303" s="102">
        <f t="shared" si="98"/>
        <v>397.9083954781114</v>
      </c>
      <c r="G303" s="454">
        <f>'Aanpassing gegevens (aug. 2016)'!J71</f>
        <v>1</v>
      </c>
      <c r="H303" s="87">
        <v>17</v>
      </c>
      <c r="I303" s="87">
        <v>19.006137359961031</v>
      </c>
      <c r="J303" s="102">
        <f t="shared" si="99"/>
        <v>132.51437453826026</v>
      </c>
      <c r="K303" s="87">
        <v>134</v>
      </c>
      <c r="L303" s="87">
        <v>6</v>
      </c>
      <c r="M303" s="87">
        <v>87.387883579890101</v>
      </c>
      <c r="N303" s="87">
        <v>1</v>
      </c>
      <c r="O303" s="87">
        <v>0</v>
      </c>
      <c r="S303" s="63"/>
      <c r="T303" s="63"/>
      <c r="U303" s="228">
        <v>127.51437453826026</v>
      </c>
      <c r="V303" s="228">
        <v>5</v>
      </c>
      <c r="W303" s="64"/>
      <c r="X303" s="63"/>
    </row>
    <row r="304" spans="2:24">
      <c r="B304" s="23"/>
      <c r="F304" s="109"/>
      <c r="G304" s="109"/>
      <c r="H304" s="63"/>
      <c r="I304" s="63"/>
      <c r="J304" s="63"/>
      <c r="K304" s="63"/>
      <c r="L304" s="63"/>
      <c r="M304" s="63"/>
      <c r="N304" s="63"/>
      <c r="O304" s="63"/>
      <c r="S304" s="63"/>
      <c r="T304" s="63"/>
      <c r="U304" s="29"/>
      <c r="V304" s="29"/>
      <c r="W304" s="64"/>
      <c r="X304" s="63"/>
    </row>
    <row r="305" spans="2:24">
      <c r="B305" s="108" t="s">
        <v>289</v>
      </c>
      <c r="F305" s="109"/>
      <c r="G305" s="109"/>
      <c r="H305" s="63"/>
      <c r="I305" s="63"/>
      <c r="J305" s="63"/>
      <c r="K305" s="63"/>
      <c r="L305" s="63"/>
      <c r="M305" s="63"/>
      <c r="N305" s="63"/>
      <c r="O305" s="63"/>
      <c r="S305" s="63"/>
      <c r="T305" s="63"/>
      <c r="U305" s="29"/>
      <c r="V305" s="29"/>
      <c r="W305" s="64"/>
      <c r="X305" s="63"/>
    </row>
    <row r="306" spans="2:24">
      <c r="B306" s="23" t="s">
        <v>285</v>
      </c>
      <c r="F306" s="102">
        <f t="shared" ref="F306:F309" si="100">SUM(G306:O306)</f>
        <v>0</v>
      </c>
      <c r="G306" s="454">
        <f>'Aanpassing gegevens (aug. 2016)'!J74</f>
        <v>0</v>
      </c>
      <c r="H306" s="87">
        <v>0</v>
      </c>
      <c r="I306" s="87">
        <v>0</v>
      </c>
      <c r="J306" s="102">
        <f t="shared" ref="J306:J309" si="101">U306+V306</f>
        <v>0</v>
      </c>
      <c r="K306" s="87">
        <v>0</v>
      </c>
      <c r="L306" s="87">
        <v>0</v>
      </c>
      <c r="M306" s="87">
        <v>0</v>
      </c>
      <c r="N306" s="87">
        <v>0</v>
      </c>
      <c r="O306" s="87">
        <v>0</v>
      </c>
      <c r="S306" s="63"/>
      <c r="T306" s="63"/>
      <c r="U306" s="228">
        <v>0</v>
      </c>
      <c r="V306" s="228">
        <v>0</v>
      </c>
      <c r="W306" s="64"/>
      <c r="X306" s="63"/>
    </row>
    <row r="307" spans="2:24">
      <c r="B307" s="23" t="s">
        <v>286</v>
      </c>
      <c r="F307" s="102">
        <f t="shared" si="100"/>
        <v>0</v>
      </c>
      <c r="G307" s="454">
        <f>'Aanpassing gegevens (aug. 2016)'!J75</f>
        <v>0</v>
      </c>
      <c r="H307" s="87">
        <v>0</v>
      </c>
      <c r="I307" s="87">
        <v>0</v>
      </c>
      <c r="J307" s="102">
        <f t="shared" si="101"/>
        <v>0</v>
      </c>
      <c r="K307" s="87">
        <v>0</v>
      </c>
      <c r="L307" s="87">
        <v>0</v>
      </c>
      <c r="M307" s="87">
        <v>0</v>
      </c>
      <c r="N307" s="87">
        <v>0</v>
      </c>
      <c r="O307" s="87">
        <v>0</v>
      </c>
      <c r="S307" s="63"/>
      <c r="T307" s="63"/>
      <c r="U307" s="228">
        <v>0</v>
      </c>
      <c r="V307" s="228">
        <v>0</v>
      </c>
      <c r="W307" s="64"/>
      <c r="X307" s="63"/>
    </row>
    <row r="308" spans="2:24">
      <c r="B308" s="61" t="s">
        <v>287</v>
      </c>
      <c r="F308" s="102">
        <f t="shared" si="100"/>
        <v>0</v>
      </c>
      <c r="G308" s="454">
        <f>'Aanpassing gegevens (aug. 2016)'!J76</f>
        <v>0</v>
      </c>
      <c r="H308" s="87">
        <v>0</v>
      </c>
      <c r="I308" s="87">
        <v>0</v>
      </c>
      <c r="J308" s="102">
        <f t="shared" si="101"/>
        <v>0</v>
      </c>
      <c r="K308" s="87">
        <v>0</v>
      </c>
      <c r="L308" s="87">
        <v>0</v>
      </c>
      <c r="M308" s="87">
        <v>0</v>
      </c>
      <c r="N308" s="87">
        <v>0</v>
      </c>
      <c r="O308" s="87">
        <v>0</v>
      </c>
      <c r="S308" s="63"/>
      <c r="T308" s="63"/>
      <c r="U308" s="228">
        <v>0</v>
      </c>
      <c r="V308" s="228">
        <v>0</v>
      </c>
      <c r="W308" s="64"/>
      <c r="X308" s="63"/>
    </row>
    <row r="309" spans="2:24">
      <c r="B309" s="61" t="s">
        <v>288</v>
      </c>
      <c r="F309" s="102">
        <f t="shared" si="100"/>
        <v>0</v>
      </c>
      <c r="G309" s="454">
        <f>'Aanpassing gegevens (aug. 2016)'!J77</f>
        <v>0</v>
      </c>
      <c r="H309" s="87">
        <v>0</v>
      </c>
      <c r="I309" s="87">
        <v>0</v>
      </c>
      <c r="J309" s="102">
        <f t="shared" si="101"/>
        <v>0</v>
      </c>
      <c r="K309" s="87">
        <v>0</v>
      </c>
      <c r="L309" s="87">
        <v>0</v>
      </c>
      <c r="M309" s="87">
        <v>0</v>
      </c>
      <c r="N309" s="87">
        <v>0</v>
      </c>
      <c r="O309" s="87">
        <v>0</v>
      </c>
      <c r="S309" s="63"/>
      <c r="T309" s="63"/>
      <c r="U309" s="228">
        <v>0</v>
      </c>
      <c r="V309" s="228">
        <v>0</v>
      </c>
      <c r="W309" s="64"/>
      <c r="X309" s="63"/>
    </row>
    <row r="310" spans="2:24">
      <c r="B310" s="23"/>
      <c r="F310" s="109"/>
      <c r="G310" s="63"/>
      <c r="H310" s="63"/>
      <c r="I310" s="63"/>
      <c r="J310" s="63"/>
      <c r="K310" s="63"/>
      <c r="L310" s="63"/>
      <c r="M310" s="63"/>
      <c r="N310" s="63"/>
      <c r="O310" s="63"/>
      <c r="S310" s="63"/>
      <c r="T310" s="63"/>
      <c r="U310" s="29"/>
      <c r="V310" s="29"/>
      <c r="W310" s="64"/>
      <c r="X310" s="63"/>
    </row>
    <row r="311" spans="2:24">
      <c r="B311" s="108" t="s">
        <v>290</v>
      </c>
      <c r="F311" s="109"/>
      <c r="G311" s="63"/>
      <c r="H311" s="63"/>
      <c r="I311" s="63"/>
      <c r="J311" s="63"/>
      <c r="K311" s="63"/>
      <c r="L311" s="63"/>
      <c r="M311" s="63"/>
      <c r="N311" s="63"/>
      <c r="O311" s="63"/>
      <c r="S311" s="63"/>
      <c r="T311" s="63"/>
      <c r="U311" s="29"/>
      <c r="V311" s="29"/>
      <c r="W311" s="64"/>
      <c r="X311" s="63"/>
    </row>
    <row r="312" spans="2:24">
      <c r="B312" s="23" t="s">
        <v>291</v>
      </c>
      <c r="F312" s="102">
        <f t="shared" ref="F312" si="102">SUM(G312:O312)</f>
        <v>0</v>
      </c>
      <c r="G312" s="454">
        <f>'Aanpassing gegevens (aug. 2016)'!F80</f>
        <v>0</v>
      </c>
      <c r="H312" s="87">
        <v>0</v>
      </c>
      <c r="I312" s="29"/>
      <c r="J312" s="102">
        <f t="shared" ref="J312" si="103">U312+V312</f>
        <v>0</v>
      </c>
      <c r="K312" s="29"/>
      <c r="L312" s="29"/>
      <c r="M312" s="29"/>
      <c r="N312" s="29"/>
      <c r="O312" s="87">
        <v>0</v>
      </c>
      <c r="S312" s="63"/>
      <c r="T312" s="63"/>
      <c r="U312" s="228">
        <v>0</v>
      </c>
      <c r="V312" s="63"/>
      <c r="W312" s="64"/>
      <c r="X312" s="63"/>
    </row>
    <row r="313" spans="2:24">
      <c r="B313" s="3"/>
      <c r="F313" s="109"/>
      <c r="G313" s="63"/>
      <c r="H313" s="63"/>
      <c r="I313" s="63"/>
      <c r="J313" s="63"/>
      <c r="K313" s="63"/>
      <c r="L313" s="63"/>
      <c r="M313" s="63"/>
      <c r="N313" s="63"/>
      <c r="O313" s="63"/>
      <c r="S313" s="63"/>
      <c r="T313" s="63"/>
      <c r="U313" s="29"/>
      <c r="V313" s="29"/>
      <c r="W313" s="64"/>
      <c r="X313" s="63"/>
    </row>
    <row r="314" spans="2:24">
      <c r="B314" s="3"/>
      <c r="F314" s="109"/>
      <c r="G314" s="63"/>
      <c r="H314" s="63"/>
      <c r="I314" s="63"/>
      <c r="J314" s="63"/>
      <c r="K314" s="63"/>
      <c r="L314" s="63"/>
      <c r="M314" s="63"/>
      <c r="N314" s="63"/>
      <c r="O314" s="63"/>
      <c r="S314" s="63"/>
      <c r="T314" s="63"/>
      <c r="U314" s="29"/>
      <c r="V314" s="29"/>
      <c r="W314" s="64"/>
      <c r="X314" s="63"/>
    </row>
    <row r="315" spans="2:24">
      <c r="B315" s="3" t="s">
        <v>308</v>
      </c>
      <c r="F315" s="109"/>
      <c r="G315" s="63"/>
      <c r="H315" s="63"/>
      <c r="I315" s="63"/>
      <c r="J315" s="63"/>
      <c r="K315" s="63"/>
      <c r="L315" s="63"/>
      <c r="M315" s="63"/>
      <c r="N315" s="63"/>
      <c r="O315" s="63"/>
      <c r="S315" s="63"/>
      <c r="T315" s="63"/>
      <c r="U315" s="29"/>
      <c r="V315" s="29"/>
      <c r="W315" s="64"/>
      <c r="X315" s="63"/>
    </row>
    <row r="316" spans="2:24">
      <c r="B316" s="3"/>
      <c r="F316" s="109"/>
      <c r="G316" s="63"/>
      <c r="H316" s="63"/>
      <c r="I316" s="63"/>
      <c r="J316" s="63"/>
      <c r="K316" s="63"/>
      <c r="L316" s="63"/>
      <c r="M316" s="63"/>
      <c r="N316" s="63"/>
      <c r="O316" s="63"/>
      <c r="S316" s="63"/>
      <c r="T316" s="63"/>
      <c r="U316" s="29"/>
      <c r="V316" s="29"/>
      <c r="W316" s="64"/>
      <c r="X316" s="63"/>
    </row>
    <row r="317" spans="2:24">
      <c r="B317" s="108" t="s">
        <v>284</v>
      </c>
      <c r="F317" s="109"/>
      <c r="G317" s="63"/>
      <c r="H317" s="63"/>
      <c r="I317" s="63"/>
      <c r="J317" s="63"/>
      <c r="K317" s="63"/>
      <c r="L317" s="63"/>
      <c r="M317" s="63"/>
      <c r="N317" s="63"/>
      <c r="O317" s="63"/>
      <c r="S317" s="63"/>
      <c r="T317" s="63"/>
      <c r="U317" s="29"/>
      <c r="V317" s="29"/>
      <c r="W317" s="64"/>
      <c r="X317" s="63"/>
    </row>
    <row r="318" spans="2:24">
      <c r="B318" s="23" t="s">
        <v>285</v>
      </c>
      <c r="F318" s="102">
        <f t="shared" ref="F318:F321" si="104">SUM(G318:O318)</f>
        <v>66015.036522808543</v>
      </c>
      <c r="G318" s="454">
        <f>'Aanpassing gegevens (aug. 2016)'!J84</f>
        <v>1912</v>
      </c>
      <c r="H318" s="87">
        <v>1770</v>
      </c>
      <c r="I318" s="87">
        <v>4035.025581395349</v>
      </c>
      <c r="J318" s="102">
        <f t="shared" ref="J318:J321" si="105">U318+V318</f>
        <v>24402.533848484851</v>
      </c>
      <c r="K318" s="87">
        <v>21138</v>
      </c>
      <c r="L318" s="87">
        <v>1282</v>
      </c>
      <c r="M318" s="87">
        <v>10588.477092928348</v>
      </c>
      <c r="N318" s="87">
        <v>887</v>
      </c>
      <c r="O318" s="87">
        <v>0</v>
      </c>
      <c r="S318" s="63"/>
      <c r="T318" s="63"/>
      <c r="U318" s="228">
        <v>22527.018181818185</v>
      </c>
      <c r="V318" s="228">
        <v>1875.5156666666667</v>
      </c>
      <c r="W318" s="64"/>
      <c r="X318" s="63"/>
    </row>
    <row r="319" spans="2:24">
      <c r="B319" s="23" t="s">
        <v>286</v>
      </c>
      <c r="F319" s="102">
        <f t="shared" si="104"/>
        <v>10275.965078129326</v>
      </c>
      <c r="G319" s="454">
        <f>'Aanpassing gegevens (aug. 2016)'!J85</f>
        <v>0</v>
      </c>
      <c r="H319" s="87">
        <v>299</v>
      </c>
      <c r="I319" s="87">
        <v>329.11627906976742</v>
      </c>
      <c r="J319" s="102">
        <f t="shared" si="105"/>
        <v>5898.3</v>
      </c>
      <c r="K319" s="87">
        <v>2097</v>
      </c>
      <c r="L319" s="87">
        <v>15</v>
      </c>
      <c r="M319" s="87">
        <v>1617.5487990595595</v>
      </c>
      <c r="N319" s="87">
        <v>20</v>
      </c>
      <c r="O319" s="87">
        <v>0</v>
      </c>
      <c r="S319" s="63"/>
      <c r="T319" s="63"/>
      <c r="U319" s="228">
        <v>5898.3</v>
      </c>
      <c r="V319" s="228">
        <v>0</v>
      </c>
      <c r="W319" s="64"/>
      <c r="X319" s="63"/>
    </row>
    <row r="320" spans="2:24">
      <c r="B320" s="61" t="s">
        <v>287</v>
      </c>
      <c r="F320" s="102">
        <f t="shared" si="104"/>
        <v>6986.1499003305289</v>
      </c>
      <c r="G320" s="454">
        <f>'Aanpassing gegevens (aug. 2016)'!J86</f>
        <v>188</v>
      </c>
      <c r="H320" s="87">
        <v>134</v>
      </c>
      <c r="I320" s="87">
        <v>175.23255813953489</v>
      </c>
      <c r="J320" s="102">
        <f t="shared" si="105"/>
        <v>1877.2072592592594</v>
      </c>
      <c r="K320" s="87">
        <v>1739</v>
      </c>
      <c r="L320" s="87">
        <v>111</v>
      </c>
      <c r="M320" s="87">
        <v>2761.7100829317355</v>
      </c>
      <c r="N320" s="87">
        <v>0</v>
      </c>
      <c r="O320" s="87">
        <v>0</v>
      </c>
      <c r="S320" s="63"/>
      <c r="T320" s="63"/>
      <c r="U320" s="228">
        <v>1416.075925925926</v>
      </c>
      <c r="V320" s="228">
        <v>461.13133333333337</v>
      </c>
      <c r="W320" s="64"/>
      <c r="X320" s="63"/>
    </row>
    <row r="321" spans="2:24">
      <c r="B321" s="61" t="s">
        <v>288</v>
      </c>
      <c r="F321" s="102">
        <f t="shared" si="104"/>
        <v>5253.9817699002224</v>
      </c>
      <c r="G321" s="454">
        <f>'Aanpassing gegevens (aug. 2016)'!J87</f>
        <v>88</v>
      </c>
      <c r="H321" s="87">
        <v>156</v>
      </c>
      <c r="I321" s="87">
        <v>433.69767441860466</v>
      </c>
      <c r="J321" s="102">
        <f t="shared" si="105"/>
        <v>519.74074074074076</v>
      </c>
      <c r="K321" s="87">
        <v>2402</v>
      </c>
      <c r="L321" s="87">
        <v>99</v>
      </c>
      <c r="M321" s="87">
        <v>1428.2917466260817</v>
      </c>
      <c r="N321" s="87">
        <v>127.25160811479465</v>
      </c>
      <c r="O321" s="87">
        <v>0</v>
      </c>
      <c r="S321" s="63"/>
      <c r="T321" s="63"/>
      <c r="U321" s="228">
        <v>152.74074074074073</v>
      </c>
      <c r="V321" s="228">
        <v>367</v>
      </c>
      <c r="W321" s="64"/>
      <c r="X321" s="63"/>
    </row>
    <row r="322" spans="2:24">
      <c r="B322" s="23"/>
      <c r="F322" s="109"/>
      <c r="G322" s="63"/>
      <c r="H322" s="63"/>
      <c r="I322" s="63"/>
      <c r="J322" s="63"/>
      <c r="K322" s="63"/>
      <c r="L322" s="63"/>
      <c r="M322" s="63"/>
      <c r="N322" s="63"/>
      <c r="O322" s="63"/>
      <c r="S322" s="63"/>
      <c r="T322" s="63"/>
      <c r="U322" s="29"/>
      <c r="V322" s="29"/>
      <c r="W322" s="64"/>
      <c r="X322" s="63"/>
    </row>
    <row r="323" spans="2:24">
      <c r="B323" s="108" t="s">
        <v>289</v>
      </c>
      <c r="F323" s="109"/>
      <c r="G323" s="63"/>
      <c r="H323" s="63"/>
      <c r="I323" s="63"/>
      <c r="J323" s="63"/>
      <c r="K323" s="63"/>
      <c r="L323" s="63"/>
      <c r="M323" s="63"/>
      <c r="N323" s="63"/>
      <c r="O323" s="63"/>
      <c r="S323" s="63"/>
      <c r="T323" s="63"/>
      <c r="U323" s="29"/>
      <c r="V323" s="29"/>
      <c r="W323" s="64"/>
      <c r="X323" s="63"/>
    </row>
    <row r="324" spans="2:24">
      <c r="B324" s="23" t="s">
        <v>285</v>
      </c>
      <c r="F324" s="102">
        <f t="shared" ref="F324:F327" si="106">SUM(G324:O324)</f>
        <v>0</v>
      </c>
      <c r="G324" s="454">
        <f>'Aanpassing gegevens (aug. 2016)'!J90</f>
        <v>0</v>
      </c>
      <c r="H324" s="87">
        <v>0</v>
      </c>
      <c r="I324" s="87">
        <v>0</v>
      </c>
      <c r="J324" s="102">
        <f t="shared" ref="J324:J327" si="107">U324+V324</f>
        <v>0</v>
      </c>
      <c r="K324" s="87">
        <v>0</v>
      </c>
      <c r="L324" s="87">
        <v>0</v>
      </c>
      <c r="M324" s="87">
        <v>0</v>
      </c>
      <c r="N324" s="87">
        <v>0</v>
      </c>
      <c r="O324" s="87">
        <v>0</v>
      </c>
      <c r="S324" s="63"/>
      <c r="T324" s="63"/>
      <c r="U324" s="228">
        <v>0</v>
      </c>
      <c r="V324" s="228">
        <v>0</v>
      </c>
      <c r="W324" s="64"/>
      <c r="X324" s="63"/>
    </row>
    <row r="325" spans="2:24">
      <c r="B325" s="23" t="s">
        <v>286</v>
      </c>
      <c r="F325" s="102">
        <f t="shared" si="106"/>
        <v>0</v>
      </c>
      <c r="G325" s="454">
        <f>'Aanpassing gegevens (aug. 2016)'!J91</f>
        <v>0</v>
      </c>
      <c r="H325" s="87">
        <v>0</v>
      </c>
      <c r="I325" s="87">
        <v>0</v>
      </c>
      <c r="J325" s="102">
        <f t="shared" si="107"/>
        <v>0</v>
      </c>
      <c r="K325" s="87">
        <v>0</v>
      </c>
      <c r="L325" s="87">
        <v>0</v>
      </c>
      <c r="M325" s="87">
        <v>0</v>
      </c>
      <c r="N325" s="87">
        <v>0</v>
      </c>
      <c r="O325" s="87">
        <v>0</v>
      </c>
      <c r="S325" s="63"/>
      <c r="T325" s="63"/>
      <c r="U325" s="228">
        <v>0</v>
      </c>
      <c r="V325" s="228">
        <v>0</v>
      </c>
      <c r="W325" s="64"/>
      <c r="X325" s="63"/>
    </row>
    <row r="326" spans="2:24">
      <c r="B326" s="61" t="s">
        <v>287</v>
      </c>
      <c r="F326" s="102">
        <f t="shared" si="106"/>
        <v>0</v>
      </c>
      <c r="G326" s="454">
        <f>'Aanpassing gegevens (aug. 2016)'!J92</f>
        <v>0</v>
      </c>
      <c r="H326" s="87">
        <v>0</v>
      </c>
      <c r="I326" s="87">
        <v>0</v>
      </c>
      <c r="J326" s="102">
        <f t="shared" si="107"/>
        <v>0</v>
      </c>
      <c r="K326" s="87">
        <v>0</v>
      </c>
      <c r="L326" s="87">
        <v>0</v>
      </c>
      <c r="M326" s="87">
        <v>0</v>
      </c>
      <c r="N326" s="87">
        <v>0</v>
      </c>
      <c r="O326" s="87">
        <v>0</v>
      </c>
      <c r="S326" s="63"/>
      <c r="T326" s="63"/>
      <c r="U326" s="228">
        <v>0</v>
      </c>
      <c r="V326" s="228">
        <v>0</v>
      </c>
      <c r="W326" s="64"/>
      <c r="X326" s="63"/>
    </row>
    <row r="327" spans="2:24">
      <c r="B327" s="61" t="s">
        <v>288</v>
      </c>
      <c r="F327" s="102">
        <f t="shared" si="106"/>
        <v>0</v>
      </c>
      <c r="G327" s="454">
        <f>'Aanpassing gegevens (aug. 2016)'!J93</f>
        <v>0</v>
      </c>
      <c r="H327" s="87">
        <v>0</v>
      </c>
      <c r="I327" s="87">
        <v>0</v>
      </c>
      <c r="J327" s="102">
        <f t="shared" si="107"/>
        <v>0</v>
      </c>
      <c r="K327" s="87">
        <v>0</v>
      </c>
      <c r="L327" s="87">
        <v>0</v>
      </c>
      <c r="M327" s="87">
        <v>0</v>
      </c>
      <c r="N327" s="87">
        <v>0</v>
      </c>
      <c r="O327" s="87">
        <v>0</v>
      </c>
      <c r="S327" s="63"/>
      <c r="T327" s="63"/>
      <c r="U327" s="228">
        <v>0</v>
      </c>
      <c r="V327" s="228">
        <v>0</v>
      </c>
      <c r="W327" s="64"/>
      <c r="X327" s="63"/>
    </row>
    <row r="328" spans="2:24">
      <c r="B328" s="23"/>
      <c r="F328" s="109"/>
      <c r="G328" s="109"/>
      <c r="H328" s="63"/>
      <c r="I328" s="63"/>
      <c r="J328" s="63"/>
      <c r="K328" s="63"/>
      <c r="L328" s="63"/>
      <c r="M328" s="63"/>
      <c r="N328" s="63"/>
      <c r="O328" s="63"/>
      <c r="S328" s="63"/>
      <c r="T328" s="63"/>
      <c r="U328" s="29"/>
      <c r="V328" s="29"/>
      <c r="W328" s="64"/>
      <c r="X328" s="63"/>
    </row>
    <row r="329" spans="2:24">
      <c r="B329" s="108" t="s">
        <v>290</v>
      </c>
      <c r="F329" s="109"/>
      <c r="G329" s="63"/>
      <c r="H329" s="63"/>
      <c r="I329" s="63"/>
      <c r="J329" s="63"/>
      <c r="K329" s="63"/>
      <c r="L329" s="63"/>
      <c r="M329" s="63"/>
      <c r="N329" s="63"/>
      <c r="O329" s="63"/>
      <c r="S329" s="63"/>
      <c r="T329" s="63"/>
      <c r="U329" s="29"/>
      <c r="V329" s="63"/>
      <c r="W329" s="64"/>
      <c r="X329" s="63"/>
    </row>
    <row r="330" spans="2:24">
      <c r="B330" s="23" t="s">
        <v>291</v>
      </c>
      <c r="F330" s="102">
        <f t="shared" ref="F330" si="108">SUM(G330:O330)</f>
        <v>0</v>
      </c>
      <c r="G330" s="454">
        <f>'Aanpassing gegevens (aug. 2016)'!J96</f>
        <v>0</v>
      </c>
      <c r="H330" s="87">
        <v>0</v>
      </c>
      <c r="I330" s="29"/>
      <c r="J330" s="102">
        <f t="shared" ref="J330" si="109">U330+V330</f>
        <v>0</v>
      </c>
      <c r="K330" s="29"/>
      <c r="L330" s="29"/>
      <c r="M330" s="29"/>
      <c r="N330" s="29"/>
      <c r="O330" s="87">
        <v>0</v>
      </c>
      <c r="S330" s="63"/>
      <c r="T330" s="63"/>
      <c r="U330" s="228">
        <v>0</v>
      </c>
      <c r="V330" s="63"/>
      <c r="W330" s="64"/>
      <c r="X330" s="63"/>
    </row>
    <row r="331" spans="2:24">
      <c r="B331" s="3"/>
      <c r="F331" s="109"/>
      <c r="G331" s="63"/>
      <c r="H331" s="63"/>
      <c r="I331" s="63"/>
      <c r="J331" s="63"/>
      <c r="K331" s="63"/>
      <c r="L331" s="63"/>
      <c r="M331" s="63"/>
      <c r="N331" s="63"/>
      <c r="O331" s="63"/>
      <c r="S331" s="63"/>
      <c r="T331" s="63"/>
      <c r="U331" s="29"/>
      <c r="V331" s="63"/>
      <c r="W331" s="64"/>
      <c r="X331" s="63"/>
    </row>
    <row r="332" spans="2:24">
      <c r="B332" s="3"/>
      <c r="F332" s="109"/>
      <c r="G332" s="63"/>
      <c r="H332" s="63"/>
      <c r="I332" s="63"/>
      <c r="J332" s="63"/>
      <c r="K332" s="63"/>
      <c r="L332" s="63"/>
      <c r="M332" s="63"/>
      <c r="N332" s="63"/>
      <c r="O332" s="63"/>
      <c r="S332" s="63"/>
      <c r="T332" s="63"/>
      <c r="U332" s="29"/>
      <c r="V332" s="63"/>
      <c r="W332" s="64"/>
      <c r="X332" s="63"/>
    </row>
    <row r="333" spans="2:24">
      <c r="B333" s="3" t="s">
        <v>309</v>
      </c>
      <c r="F333" s="109"/>
      <c r="G333" s="63"/>
      <c r="H333" s="63"/>
      <c r="I333" s="63"/>
      <c r="J333" s="63"/>
      <c r="K333" s="63"/>
      <c r="L333" s="63"/>
      <c r="M333" s="63"/>
      <c r="N333" s="63"/>
      <c r="O333" s="63"/>
      <c r="S333" s="63"/>
      <c r="T333" s="63"/>
      <c r="U333" s="63"/>
      <c r="V333" s="63"/>
      <c r="W333" s="64"/>
      <c r="X333" s="63"/>
    </row>
    <row r="334" spans="2:24">
      <c r="B334" s="3"/>
      <c r="F334" s="109"/>
      <c r="G334" s="63"/>
      <c r="H334" s="63"/>
      <c r="I334" s="63"/>
      <c r="J334" s="63"/>
      <c r="K334" s="63"/>
      <c r="L334" s="63"/>
      <c r="M334" s="63"/>
      <c r="N334" s="63"/>
      <c r="O334" s="63"/>
      <c r="S334" s="63"/>
      <c r="T334" s="63"/>
      <c r="U334" s="63"/>
      <c r="V334" s="63"/>
      <c r="W334" s="64"/>
      <c r="X334" s="63"/>
    </row>
    <row r="335" spans="2:24">
      <c r="B335" s="108" t="s">
        <v>284</v>
      </c>
      <c r="F335" s="109"/>
      <c r="G335" s="63"/>
      <c r="H335" s="63"/>
      <c r="I335" s="63"/>
      <c r="J335" s="63"/>
      <c r="K335" s="63"/>
      <c r="L335" s="63"/>
      <c r="M335" s="63"/>
      <c r="N335" s="63"/>
      <c r="O335" s="63"/>
      <c r="S335" s="63"/>
      <c r="T335" s="63"/>
      <c r="U335" s="63"/>
      <c r="V335" s="63"/>
      <c r="W335" s="64"/>
      <c r="X335" s="63"/>
    </row>
    <row r="336" spans="2:24">
      <c r="B336" s="61" t="s">
        <v>292</v>
      </c>
      <c r="F336" s="102">
        <f t="shared" ref="F336:F345" si="110">SUM(G336:O336)</f>
        <v>83.070642177115133</v>
      </c>
      <c r="G336" s="454">
        <f>'Aanpassing gegevens (aug. 2016)'!J100</f>
        <v>2</v>
      </c>
      <c r="H336" s="87">
        <v>1</v>
      </c>
      <c r="I336" s="87">
        <v>4</v>
      </c>
      <c r="J336" s="102">
        <f t="shared" ref="J336:J345" si="111">U336+V336</f>
        <v>41.32064217711514</v>
      </c>
      <c r="K336" s="87">
        <v>0</v>
      </c>
      <c r="L336" s="87">
        <v>2</v>
      </c>
      <c r="M336" s="87">
        <v>31.75</v>
      </c>
      <c r="N336" s="87">
        <v>1</v>
      </c>
      <c r="O336" s="87">
        <v>0</v>
      </c>
      <c r="S336" s="63"/>
      <c r="T336" s="63"/>
      <c r="U336" s="228">
        <v>41.32064217711514</v>
      </c>
      <c r="V336" s="228">
        <v>0</v>
      </c>
      <c r="W336" s="64"/>
      <c r="X336" s="63"/>
    </row>
    <row r="337" spans="2:24">
      <c r="B337" s="61" t="s">
        <v>293</v>
      </c>
      <c r="F337" s="102">
        <f t="shared" si="110"/>
        <v>193.87630244368387</v>
      </c>
      <c r="G337" s="454">
        <f>'Aanpassing gegevens (aug. 2016)'!J101</f>
        <v>3</v>
      </c>
      <c r="H337" s="87">
        <v>2</v>
      </c>
      <c r="I337" s="87">
        <v>5</v>
      </c>
      <c r="J337" s="102">
        <f t="shared" si="111"/>
        <v>67.876302443683869</v>
      </c>
      <c r="K337" s="87">
        <v>94</v>
      </c>
      <c r="L337" s="87">
        <v>1</v>
      </c>
      <c r="M337" s="87">
        <v>20</v>
      </c>
      <c r="N337" s="87">
        <v>1</v>
      </c>
      <c r="O337" s="87">
        <v>0</v>
      </c>
      <c r="S337" s="63"/>
      <c r="T337" s="63"/>
      <c r="U337" s="228">
        <v>61.876302443683869</v>
      </c>
      <c r="V337" s="228">
        <v>6</v>
      </c>
      <c r="W337" s="64"/>
      <c r="X337" s="63"/>
    </row>
    <row r="338" spans="2:24">
      <c r="B338" s="61" t="s">
        <v>294</v>
      </c>
      <c r="F338" s="102">
        <f t="shared" si="110"/>
        <v>63.857735294117646</v>
      </c>
      <c r="G338" s="454">
        <f>'Aanpassing gegevens (aug. 2016)'!J102</f>
        <v>0</v>
      </c>
      <c r="H338" s="87">
        <v>3</v>
      </c>
      <c r="I338" s="87">
        <v>1</v>
      </c>
      <c r="J338" s="102">
        <f t="shared" si="111"/>
        <v>22.857735294117649</v>
      </c>
      <c r="K338" s="87">
        <v>27</v>
      </c>
      <c r="L338" s="87">
        <v>0</v>
      </c>
      <c r="M338" s="87">
        <v>9</v>
      </c>
      <c r="N338" s="87">
        <v>1</v>
      </c>
      <c r="O338" s="87">
        <v>0</v>
      </c>
      <c r="S338" s="63"/>
      <c r="T338" s="63"/>
      <c r="U338" s="228">
        <v>22.857735294117649</v>
      </c>
      <c r="V338" s="228">
        <v>0</v>
      </c>
      <c r="W338" s="64"/>
      <c r="X338" s="63"/>
    </row>
    <row r="339" spans="2:24">
      <c r="B339" s="61" t="s">
        <v>295</v>
      </c>
      <c r="F339" s="102">
        <f t="shared" si="110"/>
        <v>19.870310053241464</v>
      </c>
      <c r="G339" s="454">
        <f>'Aanpassing gegevens (aug. 2016)'!J103</f>
        <v>0</v>
      </c>
      <c r="H339" s="87">
        <v>0</v>
      </c>
      <c r="I339" s="87">
        <v>2</v>
      </c>
      <c r="J339" s="102">
        <f t="shared" si="111"/>
        <v>8.8703100532414645</v>
      </c>
      <c r="K339" s="87">
        <v>8</v>
      </c>
      <c r="L339" s="87">
        <v>0</v>
      </c>
      <c r="M339" s="87">
        <v>1</v>
      </c>
      <c r="N339" s="87">
        <v>0</v>
      </c>
      <c r="O339" s="87">
        <v>0</v>
      </c>
      <c r="S339" s="63"/>
      <c r="T339" s="63"/>
      <c r="U339" s="228">
        <v>7.8703100532414654</v>
      </c>
      <c r="V339" s="228">
        <v>1</v>
      </c>
      <c r="W339" s="64"/>
      <c r="X339" s="63"/>
    </row>
    <row r="340" spans="2:24">
      <c r="B340" s="26" t="s">
        <v>296</v>
      </c>
      <c r="F340" s="102">
        <f t="shared" si="110"/>
        <v>21.039344640086874</v>
      </c>
      <c r="G340" s="454">
        <f>'Aanpassing gegevens (aug. 2016)'!J104</f>
        <v>0</v>
      </c>
      <c r="H340" s="87">
        <v>0</v>
      </c>
      <c r="I340" s="87">
        <v>0</v>
      </c>
      <c r="J340" s="102">
        <f t="shared" si="111"/>
        <v>8.039344640086874</v>
      </c>
      <c r="K340" s="87">
        <v>13</v>
      </c>
      <c r="L340" s="87">
        <v>0</v>
      </c>
      <c r="M340" s="87">
        <v>0</v>
      </c>
      <c r="N340" s="87">
        <v>0</v>
      </c>
      <c r="O340" s="87">
        <v>0</v>
      </c>
      <c r="S340" s="63"/>
      <c r="T340" s="63"/>
      <c r="U340" s="228">
        <v>8.039344640086874</v>
      </c>
      <c r="V340" s="228">
        <v>0</v>
      </c>
      <c r="W340" s="64"/>
      <c r="X340" s="63"/>
    </row>
    <row r="341" spans="2:24">
      <c r="B341" s="61" t="s">
        <v>297</v>
      </c>
      <c r="F341" s="102">
        <f t="shared" si="110"/>
        <v>6</v>
      </c>
      <c r="G341" s="454">
        <f>'Aanpassing gegevens (aug. 2016)'!J105</f>
        <v>0</v>
      </c>
      <c r="H341" s="87">
        <v>0</v>
      </c>
      <c r="I341" s="87">
        <v>0</v>
      </c>
      <c r="J341" s="102">
        <f t="shared" si="111"/>
        <v>0</v>
      </c>
      <c r="K341" s="87">
        <v>6</v>
      </c>
      <c r="L341" s="87">
        <v>0</v>
      </c>
      <c r="M341" s="87">
        <v>0</v>
      </c>
      <c r="N341" s="87">
        <v>0</v>
      </c>
      <c r="O341" s="87">
        <v>0</v>
      </c>
      <c r="S341" s="63"/>
      <c r="T341" s="63"/>
      <c r="U341" s="228">
        <v>0</v>
      </c>
      <c r="V341" s="228">
        <v>0</v>
      </c>
      <c r="W341" s="64"/>
      <c r="X341" s="63"/>
    </row>
    <row r="342" spans="2:24">
      <c r="B342" s="61" t="s">
        <v>298</v>
      </c>
      <c r="F342" s="102">
        <f t="shared" si="110"/>
        <v>0</v>
      </c>
      <c r="G342" s="454">
        <f>'Aanpassing gegevens (aug. 2016)'!J106</f>
        <v>0</v>
      </c>
      <c r="H342" s="87">
        <v>0</v>
      </c>
      <c r="I342" s="87">
        <v>0</v>
      </c>
      <c r="J342" s="102">
        <f t="shared" si="111"/>
        <v>0</v>
      </c>
      <c r="K342" s="87">
        <v>0</v>
      </c>
      <c r="L342" s="87">
        <v>0</v>
      </c>
      <c r="M342" s="87">
        <v>0</v>
      </c>
      <c r="N342" s="87">
        <v>0</v>
      </c>
      <c r="O342" s="87">
        <v>0</v>
      </c>
      <c r="S342" s="63"/>
      <c r="T342" s="63"/>
      <c r="U342" s="228">
        <v>0</v>
      </c>
      <c r="V342" s="228">
        <v>0</v>
      </c>
      <c r="W342" s="64"/>
      <c r="X342" s="63"/>
    </row>
    <row r="343" spans="2:24">
      <c r="B343" s="61" t="s">
        <v>299</v>
      </c>
      <c r="F343" s="102">
        <f t="shared" si="110"/>
        <v>4</v>
      </c>
      <c r="G343" s="454">
        <f>'Aanpassing gegevens (aug. 2016)'!J107</f>
        <v>0</v>
      </c>
      <c r="H343" s="87">
        <v>0</v>
      </c>
      <c r="I343" s="87">
        <v>0</v>
      </c>
      <c r="J343" s="102">
        <f t="shared" si="111"/>
        <v>4</v>
      </c>
      <c r="K343" s="87">
        <v>0</v>
      </c>
      <c r="L343" s="87">
        <v>0</v>
      </c>
      <c r="M343" s="87">
        <v>0</v>
      </c>
      <c r="N343" s="87">
        <v>0</v>
      </c>
      <c r="O343" s="87">
        <v>0</v>
      </c>
      <c r="S343" s="63"/>
      <c r="T343" s="63"/>
      <c r="U343" s="228">
        <v>4</v>
      </c>
      <c r="V343" s="228">
        <v>0</v>
      </c>
      <c r="W343" s="64"/>
      <c r="X343" s="63"/>
    </row>
    <row r="344" spans="2:24">
      <c r="B344" s="23" t="s">
        <v>300</v>
      </c>
      <c r="F344" s="102">
        <f t="shared" si="110"/>
        <v>0</v>
      </c>
      <c r="G344" s="454">
        <f>'Aanpassing gegevens (aug. 2016)'!J108</f>
        <v>0</v>
      </c>
      <c r="H344" s="87">
        <v>0</v>
      </c>
      <c r="I344" s="87">
        <v>0</v>
      </c>
      <c r="J344" s="102">
        <f t="shared" si="111"/>
        <v>0</v>
      </c>
      <c r="K344" s="87">
        <v>0</v>
      </c>
      <c r="L344" s="87">
        <v>0</v>
      </c>
      <c r="M344" s="87">
        <v>0</v>
      </c>
      <c r="N344" s="87">
        <v>0</v>
      </c>
      <c r="O344" s="87">
        <v>0</v>
      </c>
      <c r="S344" s="63"/>
      <c r="T344" s="63"/>
      <c r="U344" s="228">
        <v>0</v>
      </c>
      <c r="V344" s="228">
        <v>0</v>
      </c>
      <c r="W344" s="64"/>
      <c r="X344" s="63"/>
    </row>
    <row r="345" spans="2:24">
      <c r="B345" s="23" t="s">
        <v>301</v>
      </c>
      <c r="F345" s="102">
        <f t="shared" si="110"/>
        <v>1</v>
      </c>
      <c r="G345" s="454">
        <f>'Aanpassing gegevens (aug. 2016)'!J109</f>
        <v>0</v>
      </c>
      <c r="H345" s="87">
        <v>0</v>
      </c>
      <c r="I345" s="87">
        <v>0</v>
      </c>
      <c r="J345" s="102">
        <f t="shared" si="111"/>
        <v>1</v>
      </c>
      <c r="K345" s="87">
        <v>0</v>
      </c>
      <c r="L345" s="87">
        <v>0</v>
      </c>
      <c r="M345" s="87">
        <v>0</v>
      </c>
      <c r="N345" s="87">
        <v>0</v>
      </c>
      <c r="O345" s="87">
        <v>0</v>
      </c>
      <c r="S345" s="63"/>
      <c r="T345" s="63"/>
      <c r="U345" s="228">
        <v>1</v>
      </c>
      <c r="V345" s="228">
        <v>0</v>
      </c>
      <c r="W345" s="64"/>
      <c r="X345" s="63"/>
    </row>
    <row r="346" spans="2:24">
      <c r="B346" s="23"/>
      <c r="F346" s="109"/>
      <c r="G346" s="63"/>
      <c r="H346" s="63"/>
      <c r="I346" s="63"/>
      <c r="J346" s="63"/>
      <c r="K346" s="63"/>
      <c r="L346" s="63"/>
      <c r="M346" s="63"/>
      <c r="N346" s="63"/>
      <c r="O346" s="63"/>
      <c r="S346" s="63"/>
      <c r="T346" s="63"/>
      <c r="U346" s="63"/>
      <c r="V346" s="63"/>
      <c r="W346" s="64"/>
      <c r="X346" s="63"/>
    </row>
    <row r="347" spans="2:24">
      <c r="B347" s="108" t="s">
        <v>289</v>
      </c>
      <c r="F347" s="109"/>
      <c r="G347" s="63"/>
      <c r="H347" s="63"/>
      <c r="I347" s="63"/>
      <c r="J347" s="63"/>
      <c r="K347" s="63"/>
      <c r="L347" s="63"/>
      <c r="M347" s="63"/>
      <c r="N347" s="63"/>
      <c r="O347" s="63"/>
      <c r="S347" s="63"/>
      <c r="T347" s="63"/>
      <c r="U347" s="63"/>
      <c r="V347" s="63"/>
      <c r="W347" s="64"/>
      <c r="X347" s="63"/>
    </row>
    <row r="348" spans="2:24">
      <c r="B348" s="61" t="s">
        <v>292</v>
      </c>
      <c r="F348" s="102">
        <f t="shared" ref="F348:F356" si="112">SUM(G348:O348)</f>
        <v>11</v>
      </c>
      <c r="G348" s="454">
        <f>'Aanpassing gegevens (aug. 2016)'!J112</f>
        <v>0</v>
      </c>
      <c r="H348" s="87">
        <v>0</v>
      </c>
      <c r="I348" s="87">
        <v>0</v>
      </c>
      <c r="J348" s="102">
        <f t="shared" ref="J348:J357" si="113">U348+V348</f>
        <v>0</v>
      </c>
      <c r="K348" s="87">
        <v>1</v>
      </c>
      <c r="L348" s="87">
        <v>0</v>
      </c>
      <c r="M348" s="87">
        <v>10</v>
      </c>
      <c r="N348" s="87">
        <v>0</v>
      </c>
      <c r="O348" s="87">
        <v>0</v>
      </c>
      <c r="S348" s="63"/>
      <c r="T348" s="63"/>
      <c r="U348" s="228">
        <v>0</v>
      </c>
      <c r="V348" s="228">
        <v>0</v>
      </c>
      <c r="W348" s="64"/>
      <c r="X348" s="63"/>
    </row>
    <row r="349" spans="2:24">
      <c r="B349" s="61" t="s">
        <v>293</v>
      </c>
      <c r="F349" s="102">
        <f t="shared" si="112"/>
        <v>5</v>
      </c>
      <c r="G349" s="454">
        <f>'Aanpassing gegevens (aug. 2016)'!J113</f>
        <v>0</v>
      </c>
      <c r="H349" s="87">
        <v>1</v>
      </c>
      <c r="I349" s="87">
        <v>0</v>
      </c>
      <c r="J349" s="102">
        <f t="shared" si="113"/>
        <v>1</v>
      </c>
      <c r="K349" s="87">
        <v>0</v>
      </c>
      <c r="L349" s="87">
        <v>0</v>
      </c>
      <c r="M349" s="87">
        <v>3</v>
      </c>
      <c r="N349" s="87">
        <v>0</v>
      </c>
      <c r="O349" s="87">
        <v>0</v>
      </c>
      <c r="S349" s="63"/>
      <c r="T349" s="63"/>
      <c r="U349" s="228">
        <v>1</v>
      </c>
      <c r="V349" s="228">
        <v>0</v>
      </c>
      <c r="W349" s="64"/>
      <c r="X349" s="63"/>
    </row>
    <row r="350" spans="2:24">
      <c r="B350" s="61" t="s">
        <v>294</v>
      </c>
      <c r="F350" s="102">
        <f t="shared" si="112"/>
        <v>5</v>
      </c>
      <c r="G350" s="454">
        <f>'Aanpassing gegevens (aug. 2016)'!J114</f>
        <v>0</v>
      </c>
      <c r="H350" s="87">
        <v>0</v>
      </c>
      <c r="I350" s="87">
        <v>0</v>
      </c>
      <c r="J350" s="102">
        <f t="shared" si="113"/>
        <v>2</v>
      </c>
      <c r="K350" s="87">
        <v>0</v>
      </c>
      <c r="L350" s="87">
        <v>0</v>
      </c>
      <c r="M350" s="87">
        <v>3</v>
      </c>
      <c r="N350" s="87">
        <v>0</v>
      </c>
      <c r="O350" s="87">
        <v>0</v>
      </c>
      <c r="S350" s="63"/>
      <c r="T350" s="63"/>
      <c r="U350" s="228">
        <v>2</v>
      </c>
      <c r="V350" s="228">
        <v>0</v>
      </c>
      <c r="W350" s="64"/>
      <c r="X350" s="63"/>
    </row>
    <row r="351" spans="2:24">
      <c r="B351" s="61" t="s">
        <v>295</v>
      </c>
      <c r="F351" s="102">
        <f t="shared" si="112"/>
        <v>16.538029010238908</v>
      </c>
      <c r="G351" s="454">
        <f>'Aanpassing gegevens (aug. 2016)'!J115</f>
        <v>0</v>
      </c>
      <c r="H351" s="87">
        <v>1</v>
      </c>
      <c r="I351" s="87">
        <v>0</v>
      </c>
      <c r="J351" s="102">
        <f t="shared" si="113"/>
        <v>1.5380290102389078</v>
      </c>
      <c r="K351" s="87">
        <v>1</v>
      </c>
      <c r="L351" s="87">
        <v>0</v>
      </c>
      <c r="M351" s="87">
        <v>13</v>
      </c>
      <c r="N351" s="87">
        <v>0</v>
      </c>
      <c r="O351" s="87">
        <v>0</v>
      </c>
      <c r="S351" s="63"/>
      <c r="T351" s="63"/>
      <c r="U351" s="228">
        <v>1.5380290102389078</v>
      </c>
      <c r="V351" s="228">
        <v>0</v>
      </c>
      <c r="W351" s="64"/>
      <c r="X351" s="63"/>
    </row>
    <row r="352" spans="2:24">
      <c r="B352" s="26" t="s">
        <v>296</v>
      </c>
      <c r="F352" s="102">
        <f t="shared" si="112"/>
        <v>3</v>
      </c>
      <c r="G352" s="454">
        <f>'Aanpassing gegevens (aug. 2016)'!J116</f>
        <v>0</v>
      </c>
      <c r="H352" s="87">
        <v>0</v>
      </c>
      <c r="I352" s="87">
        <v>0</v>
      </c>
      <c r="J352" s="102">
        <f t="shared" si="113"/>
        <v>2</v>
      </c>
      <c r="K352" s="87">
        <v>0</v>
      </c>
      <c r="L352" s="87">
        <v>1</v>
      </c>
      <c r="M352" s="87">
        <v>0</v>
      </c>
      <c r="N352" s="87">
        <v>0</v>
      </c>
      <c r="O352" s="87">
        <v>0</v>
      </c>
      <c r="S352" s="63"/>
      <c r="T352" s="63"/>
      <c r="U352" s="228">
        <v>2</v>
      </c>
      <c r="V352" s="228">
        <v>0</v>
      </c>
      <c r="W352" s="64"/>
      <c r="X352" s="63"/>
    </row>
    <row r="353" spans="2:24">
      <c r="B353" s="61" t="s">
        <v>297</v>
      </c>
      <c r="F353" s="102">
        <f t="shared" si="112"/>
        <v>3.1461965436438195</v>
      </c>
      <c r="G353" s="454">
        <f>'Aanpassing gegevens (aug. 2016)'!J117</f>
        <v>0</v>
      </c>
      <c r="H353" s="87">
        <v>0</v>
      </c>
      <c r="I353" s="87">
        <v>0</v>
      </c>
      <c r="J353" s="102">
        <f t="shared" si="113"/>
        <v>3.1461965436438195</v>
      </c>
      <c r="K353" s="87">
        <v>0</v>
      </c>
      <c r="L353" s="87">
        <v>0</v>
      </c>
      <c r="M353" s="87">
        <v>0</v>
      </c>
      <c r="N353" s="87">
        <v>0</v>
      </c>
      <c r="O353" s="87">
        <v>0</v>
      </c>
      <c r="S353" s="63"/>
      <c r="T353" s="63"/>
      <c r="U353" s="228">
        <v>3.1461965436438195</v>
      </c>
      <c r="V353" s="228">
        <v>0</v>
      </c>
      <c r="W353" s="64"/>
      <c r="X353" s="63"/>
    </row>
    <row r="354" spans="2:24">
      <c r="B354" s="61" t="s">
        <v>298</v>
      </c>
      <c r="F354" s="102">
        <f t="shared" si="112"/>
        <v>3</v>
      </c>
      <c r="G354" s="454">
        <f>'Aanpassing gegevens (aug. 2016)'!J118</f>
        <v>0</v>
      </c>
      <c r="H354" s="87">
        <v>0</v>
      </c>
      <c r="I354" s="87">
        <v>0</v>
      </c>
      <c r="J354" s="102">
        <f t="shared" si="113"/>
        <v>1</v>
      </c>
      <c r="K354" s="87">
        <v>0</v>
      </c>
      <c r="L354" s="87">
        <v>0</v>
      </c>
      <c r="M354" s="87">
        <v>2</v>
      </c>
      <c r="N354" s="87">
        <v>0</v>
      </c>
      <c r="O354" s="87">
        <v>0</v>
      </c>
      <c r="S354" s="63"/>
      <c r="T354" s="63"/>
      <c r="U354" s="228">
        <v>1</v>
      </c>
      <c r="V354" s="228">
        <v>0</v>
      </c>
      <c r="W354" s="64"/>
      <c r="X354" s="63"/>
    </row>
    <row r="355" spans="2:24">
      <c r="B355" s="61" t="s">
        <v>299</v>
      </c>
      <c r="F355" s="102">
        <f t="shared" si="112"/>
        <v>2</v>
      </c>
      <c r="G355" s="454">
        <f>'Aanpassing gegevens (aug. 2016)'!J119</f>
        <v>0</v>
      </c>
      <c r="H355" s="87">
        <v>0</v>
      </c>
      <c r="I355" s="87">
        <v>0</v>
      </c>
      <c r="J355" s="102">
        <f t="shared" si="113"/>
        <v>0</v>
      </c>
      <c r="K355" s="87">
        <v>0</v>
      </c>
      <c r="L355" s="87">
        <v>0</v>
      </c>
      <c r="M355" s="87">
        <v>0</v>
      </c>
      <c r="N355" s="87">
        <v>2</v>
      </c>
      <c r="O355" s="87">
        <v>0</v>
      </c>
      <c r="S355" s="63"/>
      <c r="T355" s="63"/>
      <c r="U355" s="228">
        <v>0</v>
      </c>
      <c r="V355" s="228">
        <v>0</v>
      </c>
      <c r="W355" s="64"/>
      <c r="X355" s="63"/>
    </row>
    <row r="356" spans="2:24">
      <c r="B356" s="23" t="s">
        <v>300</v>
      </c>
      <c r="F356" s="102">
        <f t="shared" si="112"/>
        <v>0</v>
      </c>
      <c r="G356" s="454">
        <f>'Aanpassing gegevens (aug. 2016)'!J120</f>
        <v>0</v>
      </c>
      <c r="H356" s="87">
        <v>0</v>
      </c>
      <c r="I356" s="87">
        <v>0</v>
      </c>
      <c r="J356" s="102">
        <f t="shared" si="113"/>
        <v>0</v>
      </c>
      <c r="K356" s="87">
        <v>0</v>
      </c>
      <c r="L356" s="87">
        <v>0</v>
      </c>
      <c r="M356" s="87">
        <v>0</v>
      </c>
      <c r="N356" s="87">
        <v>0</v>
      </c>
      <c r="O356" s="87">
        <v>0</v>
      </c>
      <c r="S356" s="63"/>
      <c r="T356" s="63"/>
      <c r="U356" s="228">
        <v>0</v>
      </c>
      <c r="V356" s="228">
        <v>0</v>
      </c>
      <c r="W356" s="64"/>
      <c r="X356" s="63"/>
    </row>
    <row r="357" spans="2:24">
      <c r="B357" s="23" t="s">
        <v>301</v>
      </c>
      <c r="F357" s="102">
        <f>SUM(G357:O357)</f>
        <v>4.9095053921948955</v>
      </c>
      <c r="G357" s="454">
        <f>'Aanpassing gegevens (aug. 2016)'!J121</f>
        <v>0</v>
      </c>
      <c r="H357" s="87">
        <v>0</v>
      </c>
      <c r="I357" s="87">
        <v>0</v>
      </c>
      <c r="J357" s="102">
        <f t="shared" si="113"/>
        <v>4.9095053921948955</v>
      </c>
      <c r="K357" s="87">
        <v>0</v>
      </c>
      <c r="L357" s="87">
        <v>0</v>
      </c>
      <c r="M357" s="87">
        <v>0</v>
      </c>
      <c r="N357" s="87">
        <v>0</v>
      </c>
      <c r="O357" s="87">
        <v>0</v>
      </c>
      <c r="S357" s="63"/>
      <c r="T357" s="63"/>
      <c r="U357" s="228">
        <v>4.9095053921948955</v>
      </c>
      <c r="V357" s="228">
        <v>0</v>
      </c>
      <c r="W357" s="64"/>
      <c r="X357" s="63"/>
    </row>
    <row r="358" spans="2:24">
      <c r="B358" s="23"/>
      <c r="F358" s="64"/>
      <c r="G358" s="63"/>
      <c r="H358" s="63"/>
      <c r="I358" s="63"/>
      <c r="J358" s="63"/>
      <c r="K358" s="63"/>
      <c r="L358" s="63"/>
      <c r="M358" s="63"/>
      <c r="N358" s="63"/>
      <c r="O358" s="63"/>
      <c r="S358" s="63"/>
      <c r="T358" s="63"/>
      <c r="U358" s="63"/>
      <c r="V358" s="63"/>
      <c r="W358" s="64"/>
      <c r="X358" s="63"/>
    </row>
    <row r="359" spans="2:24">
      <c r="B359" s="108" t="s">
        <v>290</v>
      </c>
      <c r="F359" s="64"/>
      <c r="G359" s="63"/>
      <c r="H359" s="63"/>
      <c r="I359" s="63"/>
      <c r="J359" s="63"/>
      <c r="K359" s="63"/>
      <c r="L359" s="63"/>
      <c r="M359" s="63"/>
      <c r="N359" s="63"/>
      <c r="O359" s="63"/>
      <c r="S359" s="63"/>
      <c r="T359" s="63"/>
      <c r="U359" s="63"/>
      <c r="V359" s="63"/>
      <c r="W359" s="64"/>
      <c r="X359" s="63"/>
    </row>
    <row r="360" spans="2:24">
      <c r="B360" s="23" t="s">
        <v>302</v>
      </c>
      <c r="F360" s="102">
        <f>SUM(G360:O360)</f>
        <v>0</v>
      </c>
      <c r="G360" s="454">
        <f>'Aanpassing gegevens (aug. 2016)'!J124</f>
        <v>0</v>
      </c>
      <c r="H360" s="87">
        <v>0</v>
      </c>
      <c r="I360" s="29"/>
      <c r="J360" s="102">
        <f t="shared" ref="J360" si="114">U360+V360</f>
        <v>0</v>
      </c>
      <c r="K360" s="29"/>
      <c r="L360" s="29"/>
      <c r="M360" s="29"/>
      <c r="N360" s="29"/>
      <c r="O360" s="87">
        <v>0</v>
      </c>
      <c r="S360" s="63"/>
      <c r="T360" s="63"/>
      <c r="U360" s="228">
        <v>0</v>
      </c>
      <c r="V360" s="63"/>
      <c r="W360" s="64"/>
      <c r="X360" s="63"/>
    </row>
    <row r="361" spans="2:24">
      <c r="F361" s="114"/>
      <c r="G361" s="63"/>
      <c r="H361" s="63"/>
      <c r="I361" s="63"/>
      <c r="J361" s="63"/>
      <c r="K361" s="63"/>
      <c r="L361" s="63"/>
      <c r="M361" s="63"/>
      <c r="N361" s="63"/>
      <c r="O361" s="63"/>
    </row>
    <row r="362" spans="2:24">
      <c r="F362" s="64"/>
      <c r="G362" s="63"/>
      <c r="H362" s="63"/>
      <c r="I362" s="63"/>
      <c r="J362" s="63"/>
      <c r="K362" s="63"/>
      <c r="L362" s="63"/>
      <c r="M362" s="63"/>
      <c r="N362" s="63"/>
      <c r="O362" s="63"/>
    </row>
    <row r="363" spans="2:24" s="2" customFormat="1">
      <c r="B363" s="2" t="s">
        <v>311</v>
      </c>
      <c r="F363" s="65"/>
      <c r="G363" s="66"/>
      <c r="H363" s="66"/>
      <c r="I363" s="66"/>
      <c r="J363" s="66"/>
      <c r="K363" s="66"/>
      <c r="L363" s="66"/>
      <c r="M363" s="66"/>
      <c r="N363" s="66"/>
      <c r="O363" s="66"/>
      <c r="W363" s="49"/>
    </row>
    <row r="364" spans="2:24">
      <c r="F364" s="64"/>
      <c r="G364" s="63"/>
      <c r="H364" s="63"/>
      <c r="I364" s="63"/>
      <c r="J364" s="63"/>
      <c r="K364" s="63"/>
      <c r="L364" s="63"/>
      <c r="M364" s="63"/>
      <c r="N364" s="63"/>
      <c r="O364" s="63"/>
    </row>
    <row r="365" spans="2:24">
      <c r="B365" s="3" t="s">
        <v>306</v>
      </c>
      <c r="F365" s="64"/>
      <c r="G365" s="63"/>
      <c r="H365" s="63"/>
      <c r="I365" s="63"/>
      <c r="J365" s="63"/>
      <c r="K365" s="63"/>
      <c r="L365" s="63"/>
      <c r="M365" s="63"/>
      <c r="N365" s="63"/>
      <c r="O365" s="63"/>
    </row>
    <row r="366" spans="2:24">
      <c r="B366" s="3"/>
      <c r="F366" s="64"/>
      <c r="G366" s="63"/>
      <c r="H366" s="63"/>
      <c r="I366" s="63"/>
      <c r="J366" s="63"/>
      <c r="K366" s="63"/>
      <c r="L366" s="63"/>
      <c r="M366" s="63"/>
      <c r="N366" s="63"/>
      <c r="O366" s="63"/>
    </row>
    <row r="367" spans="2:24">
      <c r="B367" s="108" t="s">
        <v>284</v>
      </c>
      <c r="F367" s="64"/>
      <c r="G367" s="63"/>
      <c r="H367" s="63"/>
      <c r="I367" s="63"/>
      <c r="J367" s="63"/>
      <c r="K367" s="63"/>
      <c r="L367" s="63"/>
      <c r="M367" s="63"/>
      <c r="N367" s="63"/>
      <c r="O367" s="63"/>
    </row>
    <row r="368" spans="2:24">
      <c r="B368" s="23" t="s">
        <v>285</v>
      </c>
      <c r="F368" s="102">
        <f t="shared" ref="F368:F371" si="115">SUM(G368:O368)</f>
        <v>6867363.5361743895</v>
      </c>
      <c r="G368" s="87">
        <v>134269</v>
      </c>
      <c r="H368" s="87">
        <v>182881</v>
      </c>
      <c r="I368" s="87">
        <v>382498</v>
      </c>
      <c r="J368" s="87">
        <v>1987995</v>
      </c>
      <c r="K368" s="87">
        <v>2186530</v>
      </c>
      <c r="L368" s="87">
        <v>99547</v>
      </c>
      <c r="M368" s="87">
        <v>1844133.833333334</v>
      </c>
      <c r="N368" s="87">
        <v>49509.70284105523</v>
      </c>
      <c r="O368" s="87">
        <v>0</v>
      </c>
    </row>
    <row r="369" spans="2:15">
      <c r="B369" s="23" t="s">
        <v>286</v>
      </c>
      <c r="F369" s="102">
        <f t="shared" si="115"/>
        <v>27117.580699669044</v>
      </c>
      <c r="G369" s="87">
        <v>5</v>
      </c>
      <c r="H369" s="87">
        <v>40</v>
      </c>
      <c r="I369" s="87">
        <v>2414</v>
      </c>
      <c r="J369" s="87">
        <v>5058</v>
      </c>
      <c r="K369" s="87">
        <v>10689</v>
      </c>
      <c r="L369" s="87">
        <v>659</v>
      </c>
      <c r="M369" s="87">
        <v>7824.666666666667</v>
      </c>
      <c r="N369" s="87">
        <v>427.91403300237721</v>
      </c>
      <c r="O369" s="87">
        <v>0</v>
      </c>
    </row>
    <row r="370" spans="2:15">
      <c r="B370" s="61" t="s">
        <v>287</v>
      </c>
      <c r="F370" s="102">
        <f t="shared" si="115"/>
        <v>77615.096119499911</v>
      </c>
      <c r="G370" s="87">
        <v>2263</v>
      </c>
      <c r="H370" s="87">
        <v>2717</v>
      </c>
      <c r="I370" s="87">
        <v>5699</v>
      </c>
      <c r="J370" s="87">
        <v>27331</v>
      </c>
      <c r="K370" s="87">
        <v>22043</v>
      </c>
      <c r="L370" s="87">
        <v>1087</v>
      </c>
      <c r="M370" s="87">
        <v>16067.083333333334</v>
      </c>
      <c r="N370" s="87">
        <v>408.0127861665855</v>
      </c>
      <c r="O370" s="87">
        <v>0</v>
      </c>
    </row>
    <row r="371" spans="2:15">
      <c r="B371" s="61" t="s">
        <v>288</v>
      </c>
      <c r="F371" s="102">
        <f t="shared" si="115"/>
        <v>28088.480903794149</v>
      </c>
      <c r="G371" s="87">
        <v>714</v>
      </c>
      <c r="H371" s="87">
        <v>676</v>
      </c>
      <c r="I371" s="87">
        <v>1936</v>
      </c>
      <c r="J371" s="87">
        <v>8477</v>
      </c>
      <c r="K371" s="87">
        <v>8824</v>
      </c>
      <c r="L371" s="87">
        <v>403</v>
      </c>
      <c r="M371" s="87">
        <v>6768.833333333333</v>
      </c>
      <c r="N371" s="87">
        <v>289.64757046081792</v>
      </c>
      <c r="O371" s="87">
        <v>0</v>
      </c>
    </row>
    <row r="372" spans="2:15">
      <c r="B372" s="23"/>
      <c r="F372" s="109"/>
      <c r="G372" s="63"/>
      <c r="H372" s="63"/>
      <c r="I372" s="63"/>
      <c r="J372" s="63"/>
      <c r="K372" s="63"/>
      <c r="L372" s="63"/>
      <c r="M372" s="63"/>
      <c r="N372" s="63"/>
      <c r="O372" s="63"/>
    </row>
    <row r="373" spans="2:15">
      <c r="B373" s="108" t="s">
        <v>289</v>
      </c>
      <c r="F373" s="109"/>
      <c r="G373" s="63"/>
      <c r="H373" s="63"/>
      <c r="I373" s="63"/>
      <c r="J373" s="63"/>
      <c r="K373" s="63"/>
      <c r="L373" s="63"/>
      <c r="M373" s="63"/>
      <c r="N373" s="63"/>
      <c r="O373" s="63"/>
    </row>
    <row r="374" spans="2:15">
      <c r="B374" s="23" t="s">
        <v>285</v>
      </c>
      <c r="F374" s="102">
        <f t="shared" ref="F374:F377" si="116">SUM(G374:O374)</f>
        <v>0</v>
      </c>
      <c r="G374" s="87">
        <v>0</v>
      </c>
      <c r="H374" s="87">
        <v>0</v>
      </c>
      <c r="I374" s="87">
        <v>0</v>
      </c>
      <c r="J374" s="87">
        <v>0</v>
      </c>
      <c r="K374" s="87">
        <v>0</v>
      </c>
      <c r="L374" s="87">
        <v>0</v>
      </c>
      <c r="M374" s="87">
        <v>0</v>
      </c>
      <c r="N374" s="87">
        <v>0</v>
      </c>
      <c r="O374" s="87">
        <v>0</v>
      </c>
    </row>
    <row r="375" spans="2:15">
      <c r="B375" s="23" t="s">
        <v>286</v>
      </c>
      <c r="F375" s="102">
        <f t="shared" si="116"/>
        <v>0</v>
      </c>
      <c r="G375" s="87">
        <v>0</v>
      </c>
      <c r="H375" s="87">
        <v>0</v>
      </c>
      <c r="I375" s="87">
        <v>0</v>
      </c>
      <c r="J375" s="87">
        <v>0</v>
      </c>
      <c r="K375" s="87">
        <v>0</v>
      </c>
      <c r="L375" s="87">
        <v>0</v>
      </c>
      <c r="M375" s="87">
        <v>0</v>
      </c>
      <c r="N375" s="87">
        <v>0</v>
      </c>
      <c r="O375" s="87">
        <v>0</v>
      </c>
    </row>
    <row r="376" spans="2:15">
      <c r="B376" s="61" t="s">
        <v>287</v>
      </c>
      <c r="F376" s="102">
        <f t="shared" si="116"/>
        <v>2</v>
      </c>
      <c r="G376" s="87">
        <v>0</v>
      </c>
      <c r="H376" s="87">
        <v>0</v>
      </c>
      <c r="I376" s="87">
        <v>1</v>
      </c>
      <c r="J376" s="87">
        <v>0</v>
      </c>
      <c r="K376" s="87">
        <v>0</v>
      </c>
      <c r="L376" s="87">
        <v>1</v>
      </c>
      <c r="M376" s="87">
        <v>0</v>
      </c>
      <c r="N376" s="87">
        <v>0</v>
      </c>
      <c r="O376" s="87">
        <v>0</v>
      </c>
    </row>
    <row r="377" spans="2:15">
      <c r="B377" s="61" t="s">
        <v>288</v>
      </c>
      <c r="F377" s="102">
        <f t="shared" si="116"/>
        <v>2</v>
      </c>
      <c r="G377" s="87">
        <v>1</v>
      </c>
      <c r="H377" s="87">
        <v>0</v>
      </c>
      <c r="I377" s="87">
        <v>1</v>
      </c>
      <c r="J377" s="87">
        <v>0</v>
      </c>
      <c r="K377" s="87">
        <v>0</v>
      </c>
      <c r="L377" s="87">
        <v>0</v>
      </c>
      <c r="M377" s="87">
        <v>0</v>
      </c>
      <c r="N377" s="87">
        <v>0</v>
      </c>
      <c r="O377" s="87">
        <v>0</v>
      </c>
    </row>
    <row r="378" spans="2:15">
      <c r="B378" s="23"/>
      <c r="F378" s="109"/>
      <c r="G378" s="63"/>
      <c r="H378" s="63"/>
      <c r="I378" s="63"/>
      <c r="J378" s="63"/>
      <c r="K378" s="63"/>
      <c r="L378" s="63"/>
      <c r="M378" s="63"/>
      <c r="N378" s="63"/>
      <c r="O378" s="63"/>
    </row>
    <row r="379" spans="2:15">
      <c r="B379" s="108" t="s">
        <v>290</v>
      </c>
      <c r="F379" s="109"/>
      <c r="G379" s="63"/>
      <c r="H379" s="63"/>
      <c r="I379" s="63"/>
      <c r="J379" s="63"/>
      <c r="K379" s="63"/>
      <c r="L379" s="63"/>
      <c r="M379" s="63"/>
      <c r="N379" s="63"/>
      <c r="O379" s="63"/>
    </row>
    <row r="380" spans="2:15">
      <c r="B380" s="23" t="s">
        <v>291</v>
      </c>
      <c r="F380" s="102">
        <f t="shared" ref="F380" si="117">SUM(G380:O380)</f>
        <v>0</v>
      </c>
      <c r="G380" s="29"/>
      <c r="H380" s="87">
        <v>0</v>
      </c>
      <c r="I380" s="29"/>
      <c r="J380" s="87">
        <v>0</v>
      </c>
      <c r="K380" s="29"/>
      <c r="L380" s="29"/>
      <c r="M380" s="29"/>
      <c r="N380" s="29"/>
      <c r="O380" s="87">
        <v>0</v>
      </c>
    </row>
    <row r="381" spans="2:15">
      <c r="B381" s="3"/>
      <c r="F381" s="109"/>
      <c r="G381" s="63"/>
      <c r="H381" s="63"/>
      <c r="I381" s="63"/>
      <c r="J381" s="63"/>
      <c r="K381" s="63"/>
      <c r="L381" s="63"/>
      <c r="M381" s="63"/>
      <c r="N381" s="63"/>
      <c r="O381" s="63"/>
    </row>
    <row r="382" spans="2:15">
      <c r="B382" s="3"/>
      <c r="F382" s="109"/>
      <c r="G382" s="63"/>
      <c r="H382" s="63"/>
      <c r="I382" s="63"/>
      <c r="J382" s="63"/>
      <c r="K382" s="63"/>
      <c r="L382" s="63"/>
      <c r="M382" s="63"/>
      <c r="N382" s="63"/>
      <c r="O382" s="63"/>
    </row>
    <row r="383" spans="2:15">
      <c r="B383" s="3" t="s">
        <v>305</v>
      </c>
      <c r="F383" s="109"/>
      <c r="G383" s="63"/>
      <c r="H383" s="63"/>
      <c r="I383" s="63"/>
      <c r="J383" s="63"/>
      <c r="K383" s="63"/>
      <c r="L383" s="63"/>
      <c r="M383" s="63"/>
      <c r="N383" s="63"/>
      <c r="O383" s="63"/>
    </row>
    <row r="384" spans="2:15">
      <c r="B384" s="3"/>
      <c r="F384" s="109"/>
      <c r="G384" s="63"/>
      <c r="H384" s="63"/>
      <c r="I384" s="63"/>
      <c r="J384" s="63"/>
      <c r="K384" s="63"/>
      <c r="L384" s="63"/>
      <c r="M384" s="63"/>
      <c r="N384" s="63"/>
      <c r="O384" s="63"/>
    </row>
    <row r="385" spans="2:15">
      <c r="B385" s="108" t="s">
        <v>284</v>
      </c>
      <c r="F385" s="109"/>
      <c r="G385" s="63"/>
      <c r="H385" s="63"/>
      <c r="I385" s="63"/>
      <c r="J385" s="63"/>
      <c r="K385" s="63"/>
      <c r="L385" s="63"/>
      <c r="M385" s="63"/>
      <c r="N385" s="63"/>
      <c r="O385" s="63"/>
    </row>
    <row r="386" spans="2:15">
      <c r="B386" s="61" t="s">
        <v>292</v>
      </c>
      <c r="F386" s="102">
        <f t="shared" ref="F386:F395" si="118">SUM(G386:O386)</f>
        <v>9632.6666666666661</v>
      </c>
      <c r="G386" s="87">
        <v>228</v>
      </c>
      <c r="H386" s="87">
        <v>195</v>
      </c>
      <c r="I386" s="87">
        <v>765</v>
      </c>
      <c r="J386" s="87">
        <v>2810</v>
      </c>
      <c r="K386" s="87">
        <v>3131</v>
      </c>
      <c r="L386" s="87">
        <v>139</v>
      </c>
      <c r="M386" s="87">
        <v>2248.9999999999995</v>
      </c>
      <c r="N386" s="87">
        <v>115.66666666666667</v>
      </c>
      <c r="O386" s="87">
        <v>0</v>
      </c>
    </row>
    <row r="387" spans="2:15">
      <c r="B387" s="61" t="s">
        <v>293</v>
      </c>
      <c r="F387" s="102">
        <f t="shared" si="118"/>
        <v>12452.863636363636</v>
      </c>
      <c r="G387" s="87">
        <v>182</v>
      </c>
      <c r="H387" s="87">
        <v>258</v>
      </c>
      <c r="I387" s="87">
        <v>539</v>
      </c>
      <c r="J387" s="87">
        <v>3452</v>
      </c>
      <c r="K387" s="87">
        <v>4342</v>
      </c>
      <c r="L387" s="87">
        <v>143</v>
      </c>
      <c r="M387" s="87">
        <v>3351.363636363636</v>
      </c>
      <c r="N387" s="87">
        <v>185.5</v>
      </c>
      <c r="O387" s="87">
        <v>0</v>
      </c>
    </row>
    <row r="388" spans="2:15">
      <c r="B388" s="61" t="s">
        <v>294</v>
      </c>
      <c r="F388" s="102">
        <f t="shared" si="118"/>
        <v>6491.015151515151</v>
      </c>
      <c r="G388" s="87">
        <v>60</v>
      </c>
      <c r="H388" s="87">
        <v>96</v>
      </c>
      <c r="I388" s="87">
        <v>363</v>
      </c>
      <c r="J388" s="87">
        <v>1774</v>
      </c>
      <c r="K388" s="87">
        <v>2039</v>
      </c>
      <c r="L388" s="87">
        <v>38</v>
      </c>
      <c r="M388" s="87">
        <v>1967.181818181818</v>
      </c>
      <c r="N388" s="87">
        <v>153.83333333333334</v>
      </c>
      <c r="O388" s="87">
        <v>0</v>
      </c>
    </row>
    <row r="389" spans="2:15">
      <c r="B389" s="61" t="s">
        <v>295</v>
      </c>
      <c r="F389" s="102">
        <f t="shared" si="118"/>
        <v>3436.5449568308786</v>
      </c>
      <c r="G389" s="87">
        <v>63</v>
      </c>
      <c r="H389" s="87">
        <v>60</v>
      </c>
      <c r="I389" s="87">
        <v>116</v>
      </c>
      <c r="J389" s="87">
        <v>955</v>
      </c>
      <c r="K389" s="87">
        <v>1257</v>
      </c>
      <c r="L389" s="87">
        <v>20</v>
      </c>
      <c r="M389" s="87">
        <v>664.04495683087862</v>
      </c>
      <c r="N389" s="87">
        <v>301.5</v>
      </c>
      <c r="O389" s="87">
        <v>0</v>
      </c>
    </row>
    <row r="390" spans="2:15">
      <c r="B390" s="26" t="s">
        <v>296</v>
      </c>
      <c r="F390" s="102">
        <f t="shared" si="118"/>
        <v>2781.4095886236669</v>
      </c>
      <c r="G390" s="87">
        <v>18</v>
      </c>
      <c r="H390" s="87">
        <v>10</v>
      </c>
      <c r="I390" s="87">
        <v>70</v>
      </c>
      <c r="J390" s="87">
        <v>784</v>
      </c>
      <c r="K390" s="87">
        <v>623</v>
      </c>
      <c r="L390" s="87">
        <v>4</v>
      </c>
      <c r="M390" s="87">
        <v>829.40958862366688</v>
      </c>
      <c r="N390" s="87">
        <v>443</v>
      </c>
      <c r="O390" s="87">
        <v>0</v>
      </c>
    </row>
    <row r="391" spans="2:15">
      <c r="B391" s="61" t="s">
        <v>297</v>
      </c>
      <c r="F391" s="102">
        <f t="shared" si="118"/>
        <v>1147.9582789074532</v>
      </c>
      <c r="G391" s="87">
        <v>6</v>
      </c>
      <c r="H391" s="87">
        <v>0</v>
      </c>
      <c r="I391" s="87">
        <v>10</v>
      </c>
      <c r="J391" s="87">
        <v>373</v>
      </c>
      <c r="K391" s="87">
        <v>327</v>
      </c>
      <c r="L391" s="87">
        <v>3</v>
      </c>
      <c r="M391" s="87">
        <v>427.95827890745318</v>
      </c>
      <c r="N391" s="87">
        <v>1</v>
      </c>
      <c r="O391" s="87">
        <v>0</v>
      </c>
    </row>
    <row r="392" spans="2:15">
      <c r="B392" s="61" t="s">
        <v>298</v>
      </c>
      <c r="F392" s="102">
        <f t="shared" si="118"/>
        <v>751.13263018345583</v>
      </c>
      <c r="G392" s="87">
        <v>0</v>
      </c>
      <c r="H392" s="87">
        <v>1</v>
      </c>
      <c r="I392" s="87">
        <v>5</v>
      </c>
      <c r="J392" s="87">
        <v>222</v>
      </c>
      <c r="K392" s="87">
        <v>174</v>
      </c>
      <c r="L392" s="87">
        <v>0</v>
      </c>
      <c r="M392" s="87">
        <v>349.13263018345577</v>
      </c>
      <c r="N392" s="87">
        <v>0</v>
      </c>
      <c r="O392" s="87">
        <v>0</v>
      </c>
    </row>
    <row r="393" spans="2:15">
      <c r="B393" s="61" t="s">
        <v>299</v>
      </c>
      <c r="F393" s="102">
        <f t="shared" si="118"/>
        <v>533.85019206145967</v>
      </c>
      <c r="G393" s="87">
        <v>0</v>
      </c>
      <c r="H393" s="87">
        <v>0</v>
      </c>
      <c r="I393" s="87">
        <v>1</v>
      </c>
      <c r="J393" s="87">
        <v>82</v>
      </c>
      <c r="K393" s="87">
        <v>76</v>
      </c>
      <c r="L393" s="87">
        <v>0</v>
      </c>
      <c r="M393" s="87">
        <v>144.85019206145967</v>
      </c>
      <c r="N393" s="87">
        <v>230</v>
      </c>
      <c r="O393" s="87">
        <v>0</v>
      </c>
    </row>
    <row r="394" spans="2:15">
      <c r="B394" s="23" t="s">
        <v>300</v>
      </c>
      <c r="F394" s="102">
        <f t="shared" si="118"/>
        <v>105.4225352112676</v>
      </c>
      <c r="G394" s="87">
        <v>0</v>
      </c>
      <c r="H394" s="87">
        <v>0</v>
      </c>
      <c r="I394" s="87">
        <v>0</v>
      </c>
      <c r="J394" s="87">
        <v>28</v>
      </c>
      <c r="K394" s="87">
        <v>27</v>
      </c>
      <c r="L394" s="87">
        <v>0</v>
      </c>
      <c r="M394" s="87">
        <v>50.422535211267601</v>
      </c>
      <c r="N394" s="87">
        <v>0</v>
      </c>
      <c r="O394" s="87">
        <v>0</v>
      </c>
    </row>
    <row r="395" spans="2:15">
      <c r="B395" s="23" t="s">
        <v>301</v>
      </c>
      <c r="F395" s="102">
        <f t="shared" si="118"/>
        <v>98.090909090909093</v>
      </c>
      <c r="G395" s="87">
        <v>0</v>
      </c>
      <c r="H395" s="87">
        <v>0</v>
      </c>
      <c r="I395" s="87">
        <v>0</v>
      </c>
      <c r="J395" s="87">
        <v>22</v>
      </c>
      <c r="K395" s="87">
        <v>23</v>
      </c>
      <c r="L395" s="87">
        <v>0</v>
      </c>
      <c r="M395" s="87">
        <v>44.090909090909086</v>
      </c>
      <c r="N395" s="87">
        <v>9</v>
      </c>
      <c r="O395" s="87">
        <v>0</v>
      </c>
    </row>
    <row r="396" spans="2:15">
      <c r="B396" s="23"/>
      <c r="F396" s="109"/>
      <c r="G396" s="63"/>
      <c r="H396" s="63"/>
      <c r="I396" s="63"/>
      <c r="J396" s="63"/>
      <c r="K396" s="63"/>
      <c r="L396" s="63"/>
      <c r="M396" s="63"/>
      <c r="N396" s="63"/>
      <c r="O396" s="63"/>
    </row>
    <row r="397" spans="2:15">
      <c r="B397" s="108" t="s">
        <v>289</v>
      </c>
      <c r="F397" s="109"/>
      <c r="G397" s="63"/>
      <c r="H397" s="63"/>
      <c r="I397" s="63"/>
      <c r="J397" s="63"/>
      <c r="K397" s="63"/>
      <c r="L397" s="63"/>
      <c r="M397" s="63"/>
      <c r="N397" s="63"/>
      <c r="O397" s="63"/>
    </row>
    <row r="398" spans="2:15">
      <c r="B398" s="61" t="s">
        <v>292</v>
      </c>
      <c r="F398" s="102">
        <f t="shared" ref="F398:F407" si="119">SUM(G398:O398)</f>
        <v>17</v>
      </c>
      <c r="G398" s="87">
        <v>0</v>
      </c>
      <c r="H398" s="87">
        <v>2</v>
      </c>
      <c r="I398" s="87">
        <v>3</v>
      </c>
      <c r="J398" s="87">
        <v>0</v>
      </c>
      <c r="K398" s="87">
        <v>9</v>
      </c>
      <c r="L398" s="87">
        <v>2</v>
      </c>
      <c r="M398" s="87">
        <v>0</v>
      </c>
      <c r="N398" s="87">
        <v>1</v>
      </c>
      <c r="O398" s="87">
        <v>0</v>
      </c>
    </row>
    <row r="399" spans="2:15">
      <c r="B399" s="61" t="s">
        <v>293</v>
      </c>
      <c r="F399" s="102">
        <f t="shared" si="119"/>
        <v>57</v>
      </c>
      <c r="G399" s="87">
        <v>4</v>
      </c>
      <c r="H399" s="87">
        <v>22</v>
      </c>
      <c r="I399" s="87">
        <v>10</v>
      </c>
      <c r="J399" s="87">
        <v>0</v>
      </c>
      <c r="K399" s="87">
        <v>10</v>
      </c>
      <c r="L399" s="87">
        <v>8</v>
      </c>
      <c r="M399" s="87">
        <v>0</v>
      </c>
      <c r="N399" s="87">
        <v>3</v>
      </c>
      <c r="O399" s="87">
        <v>0</v>
      </c>
    </row>
    <row r="400" spans="2:15">
      <c r="B400" s="61" t="s">
        <v>294</v>
      </c>
      <c r="F400" s="102">
        <f t="shared" si="119"/>
        <v>78.5</v>
      </c>
      <c r="G400" s="87">
        <v>4</v>
      </c>
      <c r="H400" s="87">
        <v>10</v>
      </c>
      <c r="I400" s="87">
        <v>19</v>
      </c>
      <c r="J400" s="87">
        <v>0</v>
      </c>
      <c r="K400" s="87">
        <v>4</v>
      </c>
      <c r="L400" s="87">
        <v>13</v>
      </c>
      <c r="M400" s="87">
        <v>0</v>
      </c>
      <c r="N400" s="87">
        <v>28.5</v>
      </c>
      <c r="O400" s="87">
        <v>0</v>
      </c>
    </row>
    <row r="401" spans="2:15">
      <c r="B401" s="61" t="s">
        <v>295</v>
      </c>
      <c r="F401" s="102">
        <f t="shared" si="119"/>
        <v>173</v>
      </c>
      <c r="G401" s="87">
        <v>21</v>
      </c>
      <c r="H401" s="87">
        <v>36</v>
      </c>
      <c r="I401" s="87">
        <v>34</v>
      </c>
      <c r="J401" s="87">
        <v>0</v>
      </c>
      <c r="K401" s="87">
        <v>22</v>
      </c>
      <c r="L401" s="87">
        <v>24</v>
      </c>
      <c r="M401" s="87">
        <v>0</v>
      </c>
      <c r="N401" s="87">
        <v>36</v>
      </c>
      <c r="O401" s="87">
        <v>0</v>
      </c>
    </row>
    <row r="402" spans="2:15">
      <c r="B402" s="26" t="s">
        <v>296</v>
      </c>
      <c r="F402" s="102">
        <f t="shared" si="119"/>
        <v>264</v>
      </c>
      <c r="G402" s="87">
        <v>17</v>
      </c>
      <c r="H402" s="87">
        <v>33</v>
      </c>
      <c r="I402" s="87">
        <v>70</v>
      </c>
      <c r="J402" s="87">
        <v>62</v>
      </c>
      <c r="K402" s="87">
        <v>25</v>
      </c>
      <c r="L402" s="87">
        <v>20</v>
      </c>
      <c r="M402" s="87">
        <v>0</v>
      </c>
      <c r="N402" s="87">
        <v>37</v>
      </c>
      <c r="O402" s="87">
        <v>0</v>
      </c>
    </row>
    <row r="403" spans="2:15">
      <c r="B403" s="61" t="s">
        <v>297</v>
      </c>
      <c r="F403" s="102">
        <f t="shared" si="119"/>
        <v>149</v>
      </c>
      <c r="G403" s="87">
        <v>8</v>
      </c>
      <c r="H403" s="87">
        <v>18</v>
      </c>
      <c r="I403" s="87">
        <v>70</v>
      </c>
      <c r="J403" s="87">
        <v>0</v>
      </c>
      <c r="K403" s="87">
        <v>45</v>
      </c>
      <c r="L403" s="87">
        <v>8</v>
      </c>
      <c r="M403" s="87">
        <v>0</v>
      </c>
      <c r="N403" s="87">
        <v>0</v>
      </c>
      <c r="O403" s="87">
        <v>0</v>
      </c>
    </row>
    <row r="404" spans="2:15">
      <c r="B404" s="61" t="s">
        <v>298</v>
      </c>
      <c r="F404" s="102">
        <f t="shared" si="119"/>
        <v>187</v>
      </c>
      <c r="G404" s="87">
        <v>3</v>
      </c>
      <c r="H404" s="87">
        <v>2</v>
      </c>
      <c r="I404" s="87">
        <v>48</v>
      </c>
      <c r="J404" s="87">
        <v>86</v>
      </c>
      <c r="K404" s="87">
        <v>42</v>
      </c>
      <c r="L404" s="87">
        <v>6</v>
      </c>
      <c r="M404" s="87">
        <v>0</v>
      </c>
      <c r="N404" s="87">
        <v>0</v>
      </c>
      <c r="O404" s="87">
        <v>0</v>
      </c>
    </row>
    <row r="405" spans="2:15">
      <c r="B405" s="61" t="s">
        <v>299</v>
      </c>
      <c r="F405" s="102">
        <f t="shared" si="119"/>
        <v>71.75</v>
      </c>
      <c r="G405" s="87">
        <v>0</v>
      </c>
      <c r="H405" s="87">
        <v>2</v>
      </c>
      <c r="I405" s="87">
        <v>17</v>
      </c>
      <c r="J405" s="87">
        <v>0</v>
      </c>
      <c r="K405" s="87">
        <v>20</v>
      </c>
      <c r="L405" s="87">
        <v>5</v>
      </c>
      <c r="M405" s="87">
        <v>0</v>
      </c>
      <c r="N405" s="87">
        <v>27.75</v>
      </c>
      <c r="O405" s="87">
        <v>0</v>
      </c>
    </row>
    <row r="406" spans="2:15">
      <c r="B406" s="23" t="s">
        <v>300</v>
      </c>
      <c r="F406" s="102">
        <f t="shared" si="119"/>
        <v>107</v>
      </c>
      <c r="G406" s="87">
        <v>0</v>
      </c>
      <c r="H406" s="87">
        <v>0</v>
      </c>
      <c r="I406" s="87">
        <v>13</v>
      </c>
      <c r="J406" s="87">
        <v>79</v>
      </c>
      <c r="K406" s="87">
        <v>10</v>
      </c>
      <c r="L406" s="87">
        <v>5</v>
      </c>
      <c r="M406" s="87">
        <v>0</v>
      </c>
      <c r="N406" s="87">
        <v>0</v>
      </c>
      <c r="O406" s="87">
        <v>0</v>
      </c>
    </row>
    <row r="407" spans="2:15">
      <c r="B407" s="23" t="s">
        <v>301</v>
      </c>
      <c r="F407" s="102">
        <f t="shared" si="119"/>
        <v>131.25</v>
      </c>
      <c r="G407" s="87">
        <v>0</v>
      </c>
      <c r="H407" s="87">
        <v>0</v>
      </c>
      <c r="I407" s="87">
        <v>5</v>
      </c>
      <c r="J407" s="87">
        <v>34</v>
      </c>
      <c r="K407" s="87">
        <v>10</v>
      </c>
      <c r="L407" s="87">
        <v>3</v>
      </c>
      <c r="M407" s="87">
        <v>0</v>
      </c>
      <c r="N407" s="87">
        <v>79.25</v>
      </c>
      <c r="O407" s="87">
        <v>0</v>
      </c>
    </row>
    <row r="408" spans="2:15">
      <c r="B408" s="23"/>
      <c r="F408" s="109"/>
      <c r="G408" s="63"/>
      <c r="H408" s="63"/>
      <c r="I408" s="63"/>
      <c r="J408" s="63"/>
      <c r="K408" s="63"/>
      <c r="L408" s="63"/>
      <c r="M408" s="63"/>
      <c r="N408" s="63"/>
      <c r="O408" s="63"/>
    </row>
    <row r="409" spans="2:15">
      <c r="B409" s="108" t="s">
        <v>290</v>
      </c>
      <c r="F409" s="109"/>
      <c r="G409" s="63"/>
      <c r="H409" s="63"/>
      <c r="I409" s="63"/>
      <c r="J409" s="63"/>
      <c r="K409" s="63"/>
      <c r="L409" s="63"/>
      <c r="M409" s="63"/>
      <c r="N409" s="63"/>
      <c r="O409" s="63"/>
    </row>
    <row r="410" spans="2:15">
      <c r="B410" s="23" t="s">
        <v>302</v>
      </c>
      <c r="F410" s="102">
        <f t="shared" ref="F410" si="120">SUM(G410:O410)</f>
        <v>7</v>
      </c>
      <c r="G410" s="29"/>
      <c r="H410" s="87">
        <v>4</v>
      </c>
      <c r="I410" s="29"/>
      <c r="J410" s="87">
        <v>3</v>
      </c>
      <c r="K410" s="29"/>
      <c r="L410" s="29"/>
      <c r="M410" s="29"/>
      <c r="N410" s="29"/>
      <c r="O410" s="87">
        <v>0</v>
      </c>
    </row>
    <row r="411" spans="2:15">
      <c r="B411" s="22"/>
      <c r="F411" s="109"/>
      <c r="G411" s="63"/>
      <c r="H411" s="63"/>
      <c r="I411" s="63"/>
      <c r="J411" s="63"/>
      <c r="K411" s="63"/>
      <c r="L411" s="63"/>
      <c r="M411" s="63"/>
      <c r="N411" s="63"/>
      <c r="O411" s="63"/>
    </row>
    <row r="412" spans="2:15">
      <c r="B412" s="22"/>
      <c r="F412" s="109"/>
      <c r="G412" s="63"/>
      <c r="H412" s="63"/>
      <c r="I412" s="63"/>
      <c r="J412" s="63"/>
      <c r="K412" s="63"/>
      <c r="L412" s="63"/>
      <c r="M412" s="63"/>
      <c r="N412" s="63"/>
      <c r="O412" s="63"/>
    </row>
    <row r="413" spans="2:15">
      <c r="B413" s="22"/>
      <c r="F413" s="109"/>
      <c r="G413" s="63"/>
      <c r="H413" s="63"/>
      <c r="I413" s="63"/>
      <c r="J413" s="63"/>
      <c r="K413" s="63"/>
      <c r="L413" s="63"/>
      <c r="M413" s="63"/>
      <c r="N413" s="63"/>
      <c r="O413" s="63"/>
    </row>
    <row r="414" spans="2:15">
      <c r="B414" s="22"/>
      <c r="F414" s="109"/>
      <c r="G414" s="63"/>
      <c r="H414" s="63"/>
      <c r="I414" s="63"/>
      <c r="J414" s="63"/>
      <c r="K414" s="63"/>
      <c r="L414" s="63"/>
      <c r="M414" s="63"/>
      <c r="N414" s="63"/>
      <c r="O414" s="63"/>
    </row>
    <row r="415" spans="2:15">
      <c r="B415" s="3" t="s">
        <v>307</v>
      </c>
      <c r="F415" s="109"/>
      <c r="G415" s="63"/>
      <c r="H415" s="63"/>
      <c r="I415" s="63"/>
      <c r="J415" s="63"/>
      <c r="K415" s="63"/>
      <c r="L415" s="63"/>
      <c r="M415" s="63"/>
      <c r="N415" s="63"/>
      <c r="O415" s="63"/>
    </row>
    <row r="416" spans="2:15">
      <c r="B416" s="3"/>
      <c r="F416" s="109"/>
      <c r="G416" s="63"/>
      <c r="H416" s="63"/>
      <c r="I416" s="63"/>
      <c r="J416" s="63"/>
      <c r="K416" s="63"/>
      <c r="L416" s="63"/>
      <c r="M416" s="63"/>
      <c r="N416" s="63"/>
      <c r="O416" s="63"/>
    </row>
    <row r="417" spans="2:15">
      <c r="B417" s="108" t="s">
        <v>284</v>
      </c>
      <c r="F417" s="109"/>
      <c r="G417" s="63"/>
      <c r="H417" s="63"/>
      <c r="I417" s="63"/>
      <c r="J417" s="63"/>
      <c r="K417" s="63"/>
      <c r="L417" s="63"/>
      <c r="M417" s="63"/>
      <c r="N417" s="63"/>
      <c r="O417" s="63"/>
    </row>
    <row r="418" spans="2:15">
      <c r="B418" s="23" t="s">
        <v>285</v>
      </c>
      <c r="F418" s="102">
        <f t="shared" ref="F418:F421" si="121">SUM(G418:O418)</f>
        <v>44901.529936338906</v>
      </c>
      <c r="G418" s="454">
        <f>'Aanpassing gegevens (aug. 2016)'!J128</f>
        <v>802</v>
      </c>
      <c r="H418" s="87">
        <v>1909</v>
      </c>
      <c r="I418" s="87">
        <v>3792</v>
      </c>
      <c r="J418" s="87">
        <v>11591</v>
      </c>
      <c r="K418" s="87">
        <v>15685</v>
      </c>
      <c r="L418" s="87">
        <v>526</v>
      </c>
      <c r="M418" s="87">
        <v>9961.5299363389022</v>
      </c>
      <c r="N418" s="87">
        <v>635</v>
      </c>
      <c r="O418" s="87">
        <v>0</v>
      </c>
    </row>
    <row r="419" spans="2:15">
      <c r="B419" s="23" t="s">
        <v>286</v>
      </c>
      <c r="F419" s="102">
        <f t="shared" si="121"/>
        <v>488.77014958405482</v>
      </c>
      <c r="G419" s="454">
        <f>'Aanpassing gegevens (aug. 2016)'!J129</f>
        <v>3</v>
      </c>
      <c r="H419" s="87">
        <v>14</v>
      </c>
      <c r="I419" s="87">
        <v>52</v>
      </c>
      <c r="J419" s="87">
        <v>147</v>
      </c>
      <c r="K419" s="87">
        <v>146</v>
      </c>
      <c r="L419" s="87">
        <v>4</v>
      </c>
      <c r="M419" s="87">
        <v>120.77014958405479</v>
      </c>
      <c r="N419" s="87">
        <v>2</v>
      </c>
      <c r="O419" s="87">
        <v>0</v>
      </c>
    </row>
    <row r="420" spans="2:15">
      <c r="B420" s="61" t="s">
        <v>287</v>
      </c>
      <c r="F420" s="102">
        <f t="shared" si="121"/>
        <v>482.53137489747826</v>
      </c>
      <c r="G420" s="454">
        <f>'Aanpassing gegevens (aug. 2016)'!J130</f>
        <v>10</v>
      </c>
      <c r="H420" s="87">
        <v>14</v>
      </c>
      <c r="I420" s="87">
        <v>33</v>
      </c>
      <c r="J420" s="87">
        <v>166</v>
      </c>
      <c r="K420" s="87">
        <v>112</v>
      </c>
      <c r="L420" s="87">
        <v>12</v>
      </c>
      <c r="M420" s="87">
        <v>134.53137489747829</v>
      </c>
      <c r="N420" s="87">
        <v>1</v>
      </c>
      <c r="O420" s="87">
        <v>0</v>
      </c>
    </row>
    <row r="421" spans="2:15">
      <c r="B421" s="61" t="s">
        <v>288</v>
      </c>
      <c r="F421" s="102">
        <f t="shared" si="121"/>
        <v>354.46123218045</v>
      </c>
      <c r="G421" s="454">
        <f>'Aanpassing gegevens (aug. 2016)'!J131</f>
        <v>3</v>
      </c>
      <c r="H421" s="87">
        <v>5</v>
      </c>
      <c r="I421" s="87">
        <v>25</v>
      </c>
      <c r="J421" s="87">
        <v>106</v>
      </c>
      <c r="K421" s="87">
        <v>121</v>
      </c>
      <c r="L421" s="87">
        <v>3</v>
      </c>
      <c r="M421" s="87">
        <v>90.461232180449969</v>
      </c>
      <c r="N421" s="87">
        <v>1</v>
      </c>
      <c r="O421" s="87">
        <v>0</v>
      </c>
    </row>
    <row r="422" spans="2:15">
      <c r="B422" s="23"/>
      <c r="F422" s="109"/>
      <c r="G422" s="63"/>
      <c r="H422" s="63"/>
      <c r="I422" s="63"/>
      <c r="J422" s="63"/>
      <c r="K422" s="63"/>
      <c r="L422" s="63"/>
      <c r="M422" s="63"/>
      <c r="N422" s="63"/>
      <c r="O422" s="63"/>
    </row>
    <row r="423" spans="2:15">
      <c r="B423" s="108" t="s">
        <v>289</v>
      </c>
      <c r="F423" s="109"/>
      <c r="G423" s="63"/>
      <c r="H423" s="63"/>
      <c r="I423" s="63"/>
      <c r="J423" s="63"/>
      <c r="K423" s="63"/>
      <c r="L423" s="63"/>
      <c r="M423" s="63"/>
      <c r="N423" s="63"/>
      <c r="O423" s="63"/>
    </row>
    <row r="424" spans="2:15">
      <c r="B424" s="23" t="s">
        <v>285</v>
      </c>
      <c r="F424" s="102">
        <f t="shared" ref="F424:F427" si="122">SUM(G424:O424)</f>
        <v>0</v>
      </c>
      <c r="G424" s="454">
        <f>'Aanpassing gegevens (aug. 2016)'!J134</f>
        <v>0</v>
      </c>
      <c r="H424" s="87">
        <v>0</v>
      </c>
      <c r="I424" s="87">
        <v>0</v>
      </c>
      <c r="J424" s="87">
        <v>0</v>
      </c>
      <c r="K424" s="87">
        <v>0</v>
      </c>
      <c r="L424" s="87">
        <v>0</v>
      </c>
      <c r="M424" s="87">
        <v>0</v>
      </c>
      <c r="N424" s="87">
        <v>0</v>
      </c>
      <c r="O424" s="87">
        <v>0</v>
      </c>
    </row>
    <row r="425" spans="2:15">
      <c r="B425" s="23" t="s">
        <v>286</v>
      </c>
      <c r="F425" s="102">
        <f t="shared" si="122"/>
        <v>0</v>
      </c>
      <c r="G425" s="454">
        <f>'Aanpassing gegevens (aug. 2016)'!J135</f>
        <v>0</v>
      </c>
      <c r="H425" s="87">
        <v>0</v>
      </c>
      <c r="I425" s="87">
        <v>0</v>
      </c>
      <c r="J425" s="87">
        <v>0</v>
      </c>
      <c r="K425" s="87">
        <v>0</v>
      </c>
      <c r="L425" s="87">
        <v>0</v>
      </c>
      <c r="M425" s="87">
        <v>0</v>
      </c>
      <c r="N425" s="87">
        <v>0</v>
      </c>
      <c r="O425" s="87">
        <v>0</v>
      </c>
    </row>
    <row r="426" spans="2:15">
      <c r="B426" s="61" t="s">
        <v>287</v>
      </c>
      <c r="F426" s="102">
        <f t="shared" si="122"/>
        <v>1</v>
      </c>
      <c r="G426" s="454">
        <f>'Aanpassing gegevens (aug. 2016)'!J136</f>
        <v>0</v>
      </c>
      <c r="H426" s="87">
        <v>0</v>
      </c>
      <c r="I426" s="87">
        <v>1</v>
      </c>
      <c r="J426" s="87">
        <v>0</v>
      </c>
      <c r="K426" s="87">
        <v>0</v>
      </c>
      <c r="L426" s="87">
        <v>0</v>
      </c>
      <c r="M426" s="87">
        <v>0</v>
      </c>
      <c r="N426" s="87">
        <v>0</v>
      </c>
      <c r="O426" s="87">
        <v>0</v>
      </c>
    </row>
    <row r="427" spans="2:15">
      <c r="B427" s="61" t="s">
        <v>288</v>
      </c>
      <c r="F427" s="102">
        <f t="shared" si="122"/>
        <v>0</v>
      </c>
      <c r="G427" s="454">
        <f>'Aanpassing gegevens (aug. 2016)'!J137</f>
        <v>0</v>
      </c>
      <c r="H427" s="87">
        <v>0</v>
      </c>
      <c r="I427" s="87">
        <v>0</v>
      </c>
      <c r="J427" s="87">
        <v>0</v>
      </c>
      <c r="K427" s="87">
        <v>0</v>
      </c>
      <c r="L427" s="87">
        <v>0</v>
      </c>
      <c r="M427" s="87">
        <v>0</v>
      </c>
      <c r="N427" s="87">
        <v>0</v>
      </c>
      <c r="O427" s="87">
        <v>0</v>
      </c>
    </row>
    <row r="428" spans="2:15">
      <c r="B428" s="23"/>
      <c r="F428" s="109"/>
      <c r="G428" s="63"/>
      <c r="H428" s="63"/>
      <c r="I428" s="63"/>
      <c r="J428" s="63"/>
      <c r="K428" s="63"/>
      <c r="L428" s="63"/>
      <c r="M428" s="63"/>
      <c r="N428" s="63"/>
      <c r="O428" s="63"/>
    </row>
    <row r="429" spans="2:15">
      <c r="B429" s="108" t="s">
        <v>290</v>
      </c>
      <c r="F429" s="109"/>
      <c r="G429" s="63"/>
      <c r="H429" s="63"/>
      <c r="I429" s="63"/>
      <c r="J429" s="63"/>
      <c r="K429" s="63"/>
      <c r="L429" s="63"/>
      <c r="M429" s="63"/>
      <c r="N429" s="63"/>
      <c r="O429" s="63"/>
    </row>
    <row r="430" spans="2:15">
      <c r="B430" s="23" t="s">
        <v>291</v>
      </c>
      <c r="F430" s="102">
        <f t="shared" ref="F430" si="123">SUM(G430:O430)</f>
        <v>0</v>
      </c>
      <c r="G430" s="454">
        <f>'Aanpassing gegevens (aug. 2016)'!J140</f>
        <v>0</v>
      </c>
      <c r="H430" s="87">
        <v>0</v>
      </c>
      <c r="I430" s="29"/>
      <c r="J430" s="87">
        <v>0</v>
      </c>
      <c r="K430" s="29"/>
      <c r="L430" s="29"/>
      <c r="M430" s="29"/>
      <c r="N430" s="29"/>
      <c r="O430" s="87">
        <v>0</v>
      </c>
    </row>
    <row r="431" spans="2:15">
      <c r="B431" s="3"/>
      <c r="F431" s="109"/>
      <c r="G431" s="63"/>
      <c r="H431" s="63"/>
      <c r="I431" s="63"/>
      <c r="J431" s="63"/>
      <c r="K431" s="63"/>
      <c r="L431" s="63"/>
      <c r="M431" s="63"/>
      <c r="N431" s="63"/>
      <c r="O431" s="63"/>
    </row>
    <row r="432" spans="2:15">
      <c r="B432" s="3"/>
      <c r="F432" s="109"/>
      <c r="G432" s="63"/>
      <c r="H432" s="63"/>
      <c r="I432" s="63"/>
      <c r="J432" s="63"/>
      <c r="K432" s="63"/>
      <c r="L432" s="63"/>
      <c r="M432" s="63"/>
      <c r="N432" s="63"/>
      <c r="O432" s="63"/>
    </row>
    <row r="433" spans="2:15">
      <c r="B433" s="3" t="s">
        <v>308</v>
      </c>
      <c r="F433" s="109"/>
      <c r="G433" s="63"/>
      <c r="H433" s="63"/>
      <c r="I433" s="63"/>
      <c r="J433" s="63"/>
      <c r="K433" s="63"/>
      <c r="L433" s="63"/>
      <c r="M433" s="63"/>
      <c r="N433" s="63"/>
      <c r="O433" s="63"/>
    </row>
    <row r="434" spans="2:15">
      <c r="B434" s="3"/>
      <c r="F434" s="109"/>
      <c r="G434" s="63"/>
      <c r="H434" s="63"/>
      <c r="I434" s="63"/>
      <c r="J434" s="63"/>
      <c r="K434" s="63"/>
      <c r="L434" s="63"/>
      <c r="M434" s="63"/>
      <c r="N434" s="63"/>
      <c r="O434" s="63"/>
    </row>
    <row r="435" spans="2:15">
      <c r="B435" s="108" t="s">
        <v>284</v>
      </c>
      <c r="F435" s="109"/>
      <c r="G435" s="63"/>
      <c r="H435" s="63"/>
      <c r="I435" s="63"/>
      <c r="J435" s="63"/>
      <c r="K435" s="63"/>
      <c r="L435" s="63"/>
      <c r="M435" s="63"/>
      <c r="N435" s="63"/>
      <c r="O435" s="63"/>
    </row>
    <row r="436" spans="2:15">
      <c r="B436" s="23" t="s">
        <v>285</v>
      </c>
      <c r="F436" s="102">
        <f t="shared" ref="F436:F439" si="124">SUM(G436:O436)</f>
        <v>55801</v>
      </c>
      <c r="G436" s="454">
        <f>'Aanpassing gegevens (aug. 2016)'!J144</f>
        <v>1844</v>
      </c>
      <c r="H436" s="87">
        <v>1473</v>
      </c>
      <c r="I436" s="87">
        <v>3576</v>
      </c>
      <c r="J436" s="87">
        <v>22277</v>
      </c>
      <c r="K436" s="87">
        <v>17564</v>
      </c>
      <c r="L436" s="87">
        <v>1802</v>
      </c>
      <c r="M436" s="87">
        <v>6810</v>
      </c>
      <c r="N436" s="87">
        <v>455</v>
      </c>
      <c r="O436" s="87">
        <v>0</v>
      </c>
    </row>
    <row r="437" spans="2:15">
      <c r="B437" s="23" t="s">
        <v>286</v>
      </c>
      <c r="F437" s="102">
        <f t="shared" si="124"/>
        <v>14557</v>
      </c>
      <c r="G437" s="454">
        <f>'Aanpassing gegevens (aug. 2016)'!J145</f>
        <v>92</v>
      </c>
      <c r="H437" s="87">
        <v>406</v>
      </c>
      <c r="I437" s="87">
        <v>846</v>
      </c>
      <c r="J437" s="87">
        <v>8288</v>
      </c>
      <c r="K437" s="87">
        <v>3270</v>
      </c>
      <c r="L437" s="87">
        <v>5</v>
      </c>
      <c r="M437" s="87">
        <v>1650</v>
      </c>
      <c r="N437" s="87">
        <v>0</v>
      </c>
      <c r="O437" s="87">
        <v>0</v>
      </c>
    </row>
    <row r="438" spans="2:15">
      <c r="B438" s="61" t="s">
        <v>287</v>
      </c>
      <c r="F438" s="102">
        <f t="shared" si="124"/>
        <v>5875</v>
      </c>
      <c r="G438" s="454">
        <f>'Aanpassing gegevens (aug. 2016)'!J146</f>
        <v>217</v>
      </c>
      <c r="H438" s="87">
        <v>177</v>
      </c>
      <c r="I438" s="87">
        <v>535</v>
      </c>
      <c r="J438" s="87">
        <v>68</v>
      </c>
      <c r="K438" s="87">
        <v>2509</v>
      </c>
      <c r="L438" s="87">
        <v>265</v>
      </c>
      <c r="M438" s="87">
        <v>2099</v>
      </c>
      <c r="N438" s="87">
        <v>5</v>
      </c>
      <c r="O438" s="87">
        <v>0</v>
      </c>
    </row>
    <row r="439" spans="2:15">
      <c r="B439" s="61" t="s">
        <v>288</v>
      </c>
      <c r="F439" s="102">
        <f t="shared" si="124"/>
        <v>5616</v>
      </c>
      <c r="G439" s="454">
        <f>'Aanpassing gegevens (aug. 2016)'!J147</f>
        <v>227</v>
      </c>
      <c r="H439" s="87">
        <v>86</v>
      </c>
      <c r="I439" s="87">
        <v>365</v>
      </c>
      <c r="J439" s="87">
        <v>7</v>
      </c>
      <c r="K439" s="87">
        <v>3518</v>
      </c>
      <c r="L439" s="87">
        <v>201</v>
      </c>
      <c r="M439" s="87">
        <v>1117</v>
      </c>
      <c r="N439" s="87">
        <v>95</v>
      </c>
      <c r="O439" s="87">
        <v>0</v>
      </c>
    </row>
    <row r="440" spans="2:15">
      <c r="B440" s="23"/>
      <c r="F440" s="109"/>
      <c r="G440" s="63"/>
      <c r="H440" s="63"/>
      <c r="I440" s="63"/>
      <c r="J440" s="63"/>
      <c r="K440" s="63"/>
      <c r="L440" s="63"/>
      <c r="M440" s="63"/>
      <c r="N440" s="63"/>
      <c r="O440" s="63"/>
    </row>
    <row r="441" spans="2:15">
      <c r="B441" s="108" t="s">
        <v>289</v>
      </c>
      <c r="F441" s="109"/>
      <c r="G441" s="63"/>
      <c r="H441" s="63"/>
      <c r="I441" s="63"/>
      <c r="J441" s="63"/>
      <c r="K441" s="63"/>
      <c r="L441" s="63"/>
      <c r="M441" s="63"/>
      <c r="N441" s="63"/>
      <c r="O441" s="63"/>
    </row>
    <row r="442" spans="2:15">
      <c r="B442" s="23" t="s">
        <v>285</v>
      </c>
      <c r="F442" s="102">
        <f t="shared" ref="F442:F445" si="125">SUM(G442:O442)</f>
        <v>0</v>
      </c>
      <c r="G442" s="454">
        <f>'Aanpassing gegevens (aug. 2016)'!J150</f>
        <v>0</v>
      </c>
      <c r="H442" s="87">
        <v>0</v>
      </c>
      <c r="I442" s="87">
        <v>0</v>
      </c>
      <c r="J442" s="87">
        <v>0</v>
      </c>
      <c r="K442" s="87">
        <v>0</v>
      </c>
      <c r="L442" s="87">
        <v>0</v>
      </c>
      <c r="M442" s="87">
        <v>0</v>
      </c>
      <c r="N442" s="87">
        <v>0</v>
      </c>
      <c r="O442" s="87">
        <v>0</v>
      </c>
    </row>
    <row r="443" spans="2:15">
      <c r="B443" s="23" t="s">
        <v>286</v>
      </c>
      <c r="F443" s="102">
        <f t="shared" si="125"/>
        <v>0</v>
      </c>
      <c r="G443" s="454">
        <f>'Aanpassing gegevens (aug. 2016)'!J151</f>
        <v>0</v>
      </c>
      <c r="H443" s="87">
        <v>0</v>
      </c>
      <c r="I443" s="87">
        <v>0</v>
      </c>
      <c r="J443" s="87">
        <v>0</v>
      </c>
      <c r="K443" s="87">
        <v>0</v>
      </c>
      <c r="L443" s="87">
        <v>0</v>
      </c>
      <c r="M443" s="87">
        <v>0</v>
      </c>
      <c r="N443" s="87">
        <v>0</v>
      </c>
      <c r="O443" s="87">
        <v>0</v>
      </c>
    </row>
    <row r="444" spans="2:15">
      <c r="B444" s="61" t="s">
        <v>287</v>
      </c>
      <c r="F444" s="102">
        <f t="shared" si="125"/>
        <v>0</v>
      </c>
      <c r="G444" s="454">
        <f>'Aanpassing gegevens (aug. 2016)'!J152</f>
        <v>0</v>
      </c>
      <c r="H444" s="87">
        <v>0</v>
      </c>
      <c r="I444" s="87">
        <v>0</v>
      </c>
      <c r="J444" s="87">
        <v>0</v>
      </c>
      <c r="K444" s="87">
        <v>0</v>
      </c>
      <c r="L444" s="87">
        <v>0</v>
      </c>
      <c r="M444" s="87">
        <v>0</v>
      </c>
      <c r="N444" s="87">
        <v>0</v>
      </c>
      <c r="O444" s="87">
        <v>0</v>
      </c>
    </row>
    <row r="445" spans="2:15">
      <c r="B445" s="61" t="s">
        <v>288</v>
      </c>
      <c r="F445" s="102">
        <f t="shared" si="125"/>
        <v>0</v>
      </c>
      <c r="G445" s="454">
        <f>'Aanpassing gegevens (aug. 2016)'!J153</f>
        <v>0</v>
      </c>
      <c r="H445" s="87">
        <v>0</v>
      </c>
      <c r="I445" s="87">
        <v>0</v>
      </c>
      <c r="J445" s="87">
        <v>0</v>
      </c>
      <c r="K445" s="87">
        <v>0</v>
      </c>
      <c r="L445" s="87">
        <v>0</v>
      </c>
      <c r="M445" s="87">
        <v>0</v>
      </c>
      <c r="N445" s="87">
        <v>0</v>
      </c>
      <c r="O445" s="87">
        <v>0</v>
      </c>
    </row>
    <row r="446" spans="2:15">
      <c r="B446" s="23"/>
      <c r="F446" s="109"/>
      <c r="G446" s="63"/>
      <c r="H446" s="63"/>
      <c r="I446" s="63"/>
      <c r="J446" s="63"/>
      <c r="K446" s="63"/>
      <c r="L446" s="63"/>
      <c r="M446" s="63"/>
      <c r="N446" s="63"/>
      <c r="O446" s="63"/>
    </row>
    <row r="447" spans="2:15">
      <c r="B447" s="108" t="s">
        <v>290</v>
      </c>
      <c r="F447" s="109"/>
      <c r="G447" s="63"/>
      <c r="H447" s="63"/>
      <c r="I447" s="63"/>
      <c r="J447" s="63"/>
      <c r="K447" s="63"/>
      <c r="L447" s="63"/>
      <c r="M447" s="63"/>
      <c r="N447" s="63"/>
      <c r="O447" s="63"/>
    </row>
    <row r="448" spans="2:15">
      <c r="B448" s="23" t="s">
        <v>291</v>
      </c>
      <c r="F448" s="102">
        <f t="shared" ref="F448" si="126">SUM(G448:O448)</f>
        <v>0</v>
      </c>
      <c r="G448" s="454">
        <f>'Aanpassing gegevens (aug. 2016)'!J156</f>
        <v>0</v>
      </c>
      <c r="H448" s="87">
        <v>0</v>
      </c>
      <c r="I448" s="29"/>
      <c r="J448" s="87">
        <v>0</v>
      </c>
      <c r="K448" s="29"/>
      <c r="L448" s="29"/>
      <c r="M448" s="29"/>
      <c r="N448" s="29"/>
      <c r="O448" s="87">
        <v>0</v>
      </c>
    </row>
    <row r="449" spans="2:15">
      <c r="B449" s="3"/>
      <c r="F449" s="109"/>
      <c r="G449" s="63"/>
      <c r="H449" s="63"/>
      <c r="I449" s="63"/>
      <c r="J449" s="63"/>
      <c r="K449" s="63"/>
      <c r="L449" s="63"/>
      <c r="M449" s="63"/>
      <c r="N449" s="63"/>
      <c r="O449" s="63"/>
    </row>
    <row r="450" spans="2:15">
      <c r="B450" s="3"/>
      <c r="F450" s="109"/>
      <c r="G450" s="63"/>
      <c r="H450" s="63"/>
      <c r="I450" s="63"/>
      <c r="J450" s="63"/>
      <c r="K450" s="63"/>
      <c r="L450" s="63"/>
      <c r="M450" s="63"/>
      <c r="N450" s="63"/>
      <c r="O450" s="63"/>
    </row>
    <row r="451" spans="2:15">
      <c r="B451" s="3" t="s">
        <v>309</v>
      </c>
      <c r="F451" s="109"/>
      <c r="G451" s="63"/>
      <c r="H451" s="63"/>
      <c r="I451" s="63"/>
      <c r="J451" s="63"/>
      <c r="K451" s="63"/>
      <c r="L451" s="63"/>
      <c r="M451" s="63"/>
      <c r="N451" s="63"/>
      <c r="O451" s="63"/>
    </row>
    <row r="452" spans="2:15">
      <c r="B452" s="3"/>
      <c r="F452" s="109"/>
      <c r="G452" s="63"/>
      <c r="H452" s="63"/>
      <c r="I452" s="63"/>
      <c r="J452" s="63"/>
      <c r="K452" s="63"/>
      <c r="L452" s="63"/>
      <c r="M452" s="63"/>
      <c r="N452" s="63"/>
      <c r="O452" s="63"/>
    </row>
    <row r="453" spans="2:15">
      <c r="B453" s="108" t="s">
        <v>284</v>
      </c>
      <c r="F453" s="109"/>
      <c r="G453" s="63"/>
      <c r="H453" s="63"/>
      <c r="I453" s="63"/>
      <c r="J453" s="63"/>
      <c r="K453" s="63"/>
      <c r="L453" s="63"/>
      <c r="M453" s="63"/>
      <c r="N453" s="63"/>
      <c r="O453" s="63"/>
    </row>
    <row r="454" spans="2:15">
      <c r="B454" s="61" t="s">
        <v>292</v>
      </c>
      <c r="F454" s="102">
        <f t="shared" ref="F454:F463" si="127">SUM(G454:O454)</f>
        <v>99.804572355945226</v>
      </c>
      <c r="G454" s="454">
        <f>'Aanpassing gegevens (aug. 2016)'!J160</f>
        <v>2</v>
      </c>
      <c r="H454" s="87">
        <v>4</v>
      </c>
      <c r="I454" s="87">
        <v>4</v>
      </c>
      <c r="J454" s="87">
        <v>43</v>
      </c>
      <c r="K454" s="87">
        <v>0</v>
      </c>
      <c r="L454" s="87">
        <v>0</v>
      </c>
      <c r="M454" s="87">
        <v>45.804572355945218</v>
      </c>
      <c r="N454" s="87">
        <v>1</v>
      </c>
      <c r="O454" s="87">
        <v>0</v>
      </c>
    </row>
    <row r="455" spans="2:15">
      <c r="B455" s="61" t="s">
        <v>293</v>
      </c>
      <c r="F455" s="102">
        <f t="shared" si="127"/>
        <v>171.34703687696799</v>
      </c>
      <c r="G455" s="454">
        <f>'Aanpassing gegevens (aug. 2016)'!J161</f>
        <v>0</v>
      </c>
      <c r="H455" s="87">
        <v>0</v>
      </c>
      <c r="I455" s="87">
        <v>8</v>
      </c>
      <c r="J455" s="87">
        <v>69</v>
      </c>
      <c r="K455" s="87">
        <v>41</v>
      </c>
      <c r="L455" s="87">
        <v>4</v>
      </c>
      <c r="M455" s="87">
        <v>48.347036876967991</v>
      </c>
      <c r="N455" s="87">
        <v>1</v>
      </c>
      <c r="O455" s="87">
        <v>0</v>
      </c>
    </row>
    <row r="456" spans="2:15">
      <c r="B456" s="61" t="s">
        <v>294</v>
      </c>
      <c r="F456" s="102">
        <f t="shared" si="127"/>
        <v>69.163322366970377</v>
      </c>
      <c r="G456" s="454">
        <f>'Aanpassing gegevens (aug. 2016)'!J162</f>
        <v>1</v>
      </c>
      <c r="H456" s="87">
        <v>0</v>
      </c>
      <c r="I456" s="87">
        <v>3</v>
      </c>
      <c r="J456" s="87">
        <v>36</v>
      </c>
      <c r="K456" s="87">
        <v>10</v>
      </c>
      <c r="L456" s="87">
        <v>0</v>
      </c>
      <c r="M456" s="87">
        <v>18.163322366970373</v>
      </c>
      <c r="N456" s="87">
        <v>1</v>
      </c>
      <c r="O456" s="87">
        <v>0</v>
      </c>
    </row>
    <row r="457" spans="2:15">
      <c r="B457" s="61" t="s">
        <v>295</v>
      </c>
      <c r="F457" s="102">
        <f t="shared" si="127"/>
        <v>28</v>
      </c>
      <c r="G457" s="454">
        <f>'Aanpassing gegevens (aug. 2016)'!J163</f>
        <v>0</v>
      </c>
      <c r="H457" s="87">
        <v>0</v>
      </c>
      <c r="I457" s="87">
        <v>0</v>
      </c>
      <c r="J457" s="87">
        <v>24</v>
      </c>
      <c r="K457" s="87">
        <v>3</v>
      </c>
      <c r="L457" s="87">
        <v>0</v>
      </c>
      <c r="M457" s="87">
        <v>1</v>
      </c>
      <c r="N457" s="87">
        <v>0</v>
      </c>
      <c r="O457" s="87">
        <v>0</v>
      </c>
    </row>
    <row r="458" spans="2:15">
      <c r="B458" s="26" t="s">
        <v>296</v>
      </c>
      <c r="F458" s="102">
        <f t="shared" si="127"/>
        <v>11.49988974836166</v>
      </c>
      <c r="G458" s="454">
        <f>'Aanpassing gegevens (aug. 2016)'!J164</f>
        <v>0</v>
      </c>
      <c r="H458" s="87">
        <v>1</v>
      </c>
      <c r="I458" s="87">
        <v>0</v>
      </c>
      <c r="J458" s="87">
        <v>6</v>
      </c>
      <c r="K458" s="87">
        <v>4</v>
      </c>
      <c r="L458" s="87">
        <v>0</v>
      </c>
      <c r="M458" s="87">
        <v>0.49988974836166067</v>
      </c>
      <c r="N458" s="87">
        <v>0</v>
      </c>
      <c r="O458" s="87">
        <v>0</v>
      </c>
    </row>
    <row r="459" spans="2:15">
      <c r="B459" s="61" t="s">
        <v>297</v>
      </c>
      <c r="F459" s="102">
        <f t="shared" si="127"/>
        <v>0</v>
      </c>
      <c r="G459" s="454">
        <f>'Aanpassing gegevens (aug. 2016)'!J165</f>
        <v>0</v>
      </c>
      <c r="H459" s="87">
        <v>0</v>
      </c>
      <c r="I459" s="87">
        <v>0</v>
      </c>
      <c r="J459" s="87">
        <v>2</v>
      </c>
      <c r="K459" s="87">
        <v>-4</v>
      </c>
      <c r="L459" s="87">
        <v>0</v>
      </c>
      <c r="M459" s="87">
        <v>0</v>
      </c>
      <c r="N459" s="87">
        <v>2</v>
      </c>
      <c r="O459" s="87">
        <v>0</v>
      </c>
    </row>
    <row r="460" spans="2:15">
      <c r="B460" s="61" t="s">
        <v>298</v>
      </c>
      <c r="F460" s="102">
        <f t="shared" si="127"/>
        <v>0</v>
      </c>
      <c r="G460" s="454">
        <f>'Aanpassing gegevens (aug. 2016)'!J166</f>
        <v>0</v>
      </c>
      <c r="H460" s="87">
        <v>0</v>
      </c>
      <c r="I460" s="87">
        <v>0</v>
      </c>
      <c r="J460" s="87">
        <v>0</v>
      </c>
      <c r="K460" s="87">
        <v>0</v>
      </c>
      <c r="L460" s="87">
        <v>0</v>
      </c>
      <c r="M460" s="87">
        <v>0</v>
      </c>
      <c r="N460" s="87">
        <v>0</v>
      </c>
      <c r="O460" s="87">
        <v>0</v>
      </c>
    </row>
    <row r="461" spans="2:15">
      <c r="B461" s="61" t="s">
        <v>299</v>
      </c>
      <c r="F461" s="102">
        <f t="shared" si="127"/>
        <v>0</v>
      </c>
      <c r="G461" s="454">
        <f>'Aanpassing gegevens (aug. 2016)'!J167</f>
        <v>0</v>
      </c>
      <c r="H461" s="87">
        <v>0</v>
      </c>
      <c r="I461" s="87">
        <v>0</v>
      </c>
      <c r="J461" s="87">
        <v>0</v>
      </c>
      <c r="K461" s="87">
        <v>0</v>
      </c>
      <c r="L461" s="87">
        <v>0</v>
      </c>
      <c r="M461" s="87">
        <v>0</v>
      </c>
      <c r="N461" s="87">
        <v>0</v>
      </c>
      <c r="O461" s="87">
        <v>0</v>
      </c>
    </row>
    <row r="462" spans="2:15">
      <c r="B462" s="23" t="s">
        <v>300</v>
      </c>
      <c r="F462" s="102">
        <f t="shared" si="127"/>
        <v>0</v>
      </c>
      <c r="G462" s="454">
        <f>'Aanpassing gegevens (aug. 2016)'!J168</f>
        <v>0</v>
      </c>
      <c r="H462" s="87">
        <v>0</v>
      </c>
      <c r="I462" s="87">
        <v>0</v>
      </c>
      <c r="J462" s="87">
        <v>0</v>
      </c>
      <c r="K462" s="87">
        <v>0</v>
      </c>
      <c r="L462" s="87">
        <v>0</v>
      </c>
      <c r="M462" s="87">
        <v>0</v>
      </c>
      <c r="N462" s="87">
        <v>0</v>
      </c>
      <c r="O462" s="87">
        <v>0</v>
      </c>
    </row>
    <row r="463" spans="2:15">
      <c r="B463" s="23" t="s">
        <v>301</v>
      </c>
      <c r="F463" s="102">
        <f t="shared" si="127"/>
        <v>0</v>
      </c>
      <c r="G463" s="454">
        <f>'Aanpassing gegevens (aug. 2016)'!J169</f>
        <v>0</v>
      </c>
      <c r="H463" s="87">
        <v>0</v>
      </c>
      <c r="I463" s="87">
        <v>0</v>
      </c>
      <c r="J463" s="87">
        <v>0</v>
      </c>
      <c r="K463" s="87">
        <v>0</v>
      </c>
      <c r="L463" s="87">
        <v>0</v>
      </c>
      <c r="M463" s="87">
        <v>0</v>
      </c>
      <c r="N463" s="87">
        <v>0</v>
      </c>
      <c r="O463" s="87">
        <v>0</v>
      </c>
    </row>
    <row r="464" spans="2:15">
      <c r="B464" s="23"/>
      <c r="F464" s="109"/>
      <c r="G464" s="63"/>
      <c r="H464" s="63"/>
      <c r="I464" s="63"/>
      <c r="J464" s="63"/>
      <c r="K464" s="63"/>
      <c r="L464" s="63"/>
      <c r="M464" s="63"/>
      <c r="N464" s="63"/>
      <c r="O464" s="63"/>
    </row>
    <row r="465" spans="2:15">
      <c r="B465" s="108" t="s">
        <v>289</v>
      </c>
      <c r="F465" s="109"/>
      <c r="G465" s="63"/>
      <c r="H465" s="63"/>
      <c r="I465" s="63"/>
      <c r="J465" s="63"/>
      <c r="K465" s="63"/>
      <c r="L465" s="63"/>
      <c r="M465" s="63"/>
      <c r="N465" s="63"/>
      <c r="O465" s="63"/>
    </row>
    <row r="466" spans="2:15">
      <c r="B466" s="61" t="s">
        <v>292</v>
      </c>
      <c r="F466" s="102">
        <f t="shared" ref="F466:F474" si="128">SUM(G466:O466)</f>
        <v>5.9997754887129622</v>
      </c>
      <c r="G466" s="454">
        <f>'Aanpassing gegevens (aug. 2016)'!J172</f>
        <v>0</v>
      </c>
      <c r="H466" s="87">
        <v>0</v>
      </c>
      <c r="I466" s="87">
        <v>0</v>
      </c>
      <c r="J466" s="87">
        <v>0</v>
      </c>
      <c r="K466" s="87">
        <v>0</v>
      </c>
      <c r="L466" s="87">
        <v>0</v>
      </c>
      <c r="M466" s="87">
        <v>5.9997754887129622</v>
      </c>
      <c r="N466" s="87">
        <v>0</v>
      </c>
      <c r="O466" s="87">
        <v>0</v>
      </c>
    </row>
    <row r="467" spans="2:15">
      <c r="B467" s="61" t="s">
        <v>293</v>
      </c>
      <c r="F467" s="102">
        <f t="shared" si="128"/>
        <v>15.999550977425926</v>
      </c>
      <c r="G467" s="454">
        <f>'Aanpassing gegevens (aug. 2016)'!J173</f>
        <v>0</v>
      </c>
      <c r="H467" s="87">
        <v>0</v>
      </c>
      <c r="I467" s="87">
        <v>0</v>
      </c>
      <c r="J467" s="87">
        <v>11</v>
      </c>
      <c r="K467" s="87">
        <v>0</v>
      </c>
      <c r="L467" s="87">
        <v>0</v>
      </c>
      <c r="M467" s="87">
        <v>4.9995509774259252</v>
      </c>
      <c r="N467" s="87">
        <v>0</v>
      </c>
      <c r="O467" s="87">
        <v>0</v>
      </c>
    </row>
    <row r="468" spans="2:15">
      <c r="B468" s="61" t="s">
        <v>294</v>
      </c>
      <c r="F468" s="102">
        <f t="shared" si="128"/>
        <v>20.249057854420467</v>
      </c>
      <c r="G468" s="454">
        <f>'Aanpassing gegevens (aug. 2016)'!J174</f>
        <v>0</v>
      </c>
      <c r="H468" s="87">
        <v>0</v>
      </c>
      <c r="I468" s="87">
        <v>0</v>
      </c>
      <c r="J468" s="87">
        <v>5</v>
      </c>
      <c r="K468" s="87">
        <v>3</v>
      </c>
      <c r="L468" s="87">
        <v>0</v>
      </c>
      <c r="M468" s="87">
        <v>12.249057854420467</v>
      </c>
      <c r="N468" s="87">
        <v>0</v>
      </c>
      <c r="O468" s="87">
        <v>0</v>
      </c>
    </row>
    <row r="469" spans="2:15">
      <c r="B469" s="61" t="s">
        <v>295</v>
      </c>
      <c r="F469" s="102">
        <f t="shared" si="128"/>
        <v>30.03254879111363</v>
      </c>
      <c r="G469" s="454">
        <f>'Aanpassing gegevens (aug. 2016)'!J175</f>
        <v>0</v>
      </c>
      <c r="H469" s="87">
        <v>0</v>
      </c>
      <c r="I469" s="87">
        <v>1</v>
      </c>
      <c r="J469" s="87">
        <v>2</v>
      </c>
      <c r="K469" s="87">
        <v>2</v>
      </c>
      <c r="L469" s="87">
        <v>0</v>
      </c>
      <c r="M469" s="87">
        <v>25.03254879111363</v>
      </c>
      <c r="N469" s="87">
        <v>0</v>
      </c>
      <c r="O469" s="87">
        <v>0</v>
      </c>
    </row>
    <row r="470" spans="2:15">
      <c r="B470" s="26" t="s">
        <v>296</v>
      </c>
      <c r="F470" s="102">
        <f t="shared" si="128"/>
        <v>9.4407851480438119</v>
      </c>
      <c r="G470" s="454">
        <f>'Aanpassing gegevens (aug. 2016)'!J176</f>
        <v>0</v>
      </c>
      <c r="H470" s="87">
        <v>0</v>
      </c>
      <c r="I470" s="87">
        <v>0</v>
      </c>
      <c r="J470" s="87">
        <v>6</v>
      </c>
      <c r="K470" s="87">
        <v>1</v>
      </c>
      <c r="L470" s="87">
        <v>1</v>
      </c>
      <c r="M470" s="87">
        <v>1.4407851480438119</v>
      </c>
      <c r="N470" s="87">
        <v>0</v>
      </c>
      <c r="O470" s="87">
        <v>0</v>
      </c>
    </row>
    <row r="471" spans="2:15">
      <c r="B471" s="61" t="s">
        <v>297</v>
      </c>
      <c r="F471" s="102">
        <f t="shared" si="128"/>
        <v>10.764017255296061</v>
      </c>
      <c r="G471" s="454">
        <f>'Aanpassing gegevens (aug. 2016)'!J177</f>
        <v>0</v>
      </c>
      <c r="H471" s="87">
        <v>0</v>
      </c>
      <c r="I471" s="87">
        <v>0</v>
      </c>
      <c r="J471" s="87">
        <v>4</v>
      </c>
      <c r="K471" s="87">
        <v>5</v>
      </c>
      <c r="L471" s="87">
        <v>0</v>
      </c>
      <c r="M471" s="87">
        <v>1.7640172552960609</v>
      </c>
      <c r="N471" s="87">
        <v>0</v>
      </c>
      <c r="O471" s="87">
        <v>0</v>
      </c>
    </row>
    <row r="472" spans="2:15">
      <c r="B472" s="61" t="s">
        <v>298</v>
      </c>
      <c r="F472" s="102">
        <f t="shared" si="128"/>
        <v>3.2499437719124167</v>
      </c>
      <c r="G472" s="454">
        <f>'Aanpassing gegevens (aug. 2016)'!J178</f>
        <v>0</v>
      </c>
      <c r="H472" s="87">
        <v>0</v>
      </c>
      <c r="I472" s="87">
        <v>2</v>
      </c>
      <c r="J472" s="87">
        <v>0</v>
      </c>
      <c r="K472" s="87">
        <v>0</v>
      </c>
      <c r="L472" s="87">
        <v>1</v>
      </c>
      <c r="M472" s="87">
        <v>0.24994377191241646</v>
      </c>
      <c r="N472" s="87">
        <v>0</v>
      </c>
      <c r="O472" s="87">
        <v>0</v>
      </c>
    </row>
    <row r="473" spans="2:15">
      <c r="B473" s="61" t="s">
        <v>299</v>
      </c>
      <c r="F473" s="102">
        <f t="shared" si="128"/>
        <v>7.220502304249079</v>
      </c>
      <c r="G473" s="454">
        <f>'Aanpassing gegevens (aug. 2016)'!J179</f>
        <v>0</v>
      </c>
      <c r="H473" s="87">
        <v>0</v>
      </c>
      <c r="I473" s="87">
        <v>0</v>
      </c>
      <c r="J473" s="87">
        <v>2</v>
      </c>
      <c r="K473" s="87">
        <v>0</v>
      </c>
      <c r="L473" s="87">
        <v>0</v>
      </c>
      <c r="M473" s="87">
        <v>4.220502304249079</v>
      </c>
      <c r="N473" s="87">
        <v>1</v>
      </c>
      <c r="O473" s="87">
        <v>0</v>
      </c>
    </row>
    <row r="474" spans="2:15">
      <c r="B474" s="23" t="s">
        <v>300</v>
      </c>
      <c r="F474" s="102">
        <f t="shared" si="128"/>
        <v>4</v>
      </c>
      <c r="G474" s="454">
        <f>'Aanpassing gegevens (aug. 2016)'!J180</f>
        <v>0</v>
      </c>
      <c r="H474" s="87">
        <v>0</v>
      </c>
      <c r="I474" s="87">
        <v>0</v>
      </c>
      <c r="J474" s="87">
        <v>4</v>
      </c>
      <c r="K474" s="87">
        <v>0</v>
      </c>
      <c r="L474" s="87">
        <v>0</v>
      </c>
      <c r="M474" s="87">
        <v>0</v>
      </c>
      <c r="N474" s="87">
        <v>0</v>
      </c>
      <c r="O474" s="87">
        <v>0</v>
      </c>
    </row>
    <row r="475" spans="2:15">
      <c r="B475" s="23" t="s">
        <v>301</v>
      </c>
      <c r="F475" s="102">
        <f>SUM(G475:O475)</f>
        <v>0</v>
      </c>
      <c r="G475" s="454">
        <f>'Aanpassing gegevens (aug. 2016)'!J181</f>
        <v>0</v>
      </c>
      <c r="H475" s="87">
        <v>0</v>
      </c>
      <c r="I475" s="87">
        <v>0</v>
      </c>
      <c r="J475" s="87">
        <v>0</v>
      </c>
      <c r="K475" s="87">
        <v>0</v>
      </c>
      <c r="L475" s="87">
        <v>0</v>
      </c>
      <c r="M475" s="87">
        <v>0</v>
      </c>
      <c r="N475" s="87">
        <v>0</v>
      </c>
      <c r="O475" s="87">
        <v>0</v>
      </c>
    </row>
    <row r="476" spans="2:15">
      <c r="B476" s="23"/>
      <c r="F476" s="64"/>
      <c r="G476" s="63"/>
      <c r="H476" s="63"/>
      <c r="I476" s="63"/>
      <c r="J476" s="63"/>
      <c r="K476" s="63"/>
      <c r="L476" s="63"/>
      <c r="M476" s="63"/>
      <c r="N476" s="63"/>
      <c r="O476" s="63"/>
    </row>
    <row r="477" spans="2:15">
      <c r="B477" s="108" t="s">
        <v>290</v>
      </c>
      <c r="F477" s="64"/>
      <c r="G477" s="63"/>
      <c r="H477" s="63"/>
      <c r="I477" s="63"/>
      <c r="J477" s="63"/>
      <c r="K477" s="63"/>
      <c r="L477" s="63"/>
      <c r="M477" s="63"/>
      <c r="N477" s="63"/>
      <c r="O477" s="63"/>
    </row>
    <row r="478" spans="2:15">
      <c r="B478" s="23" t="s">
        <v>302</v>
      </c>
      <c r="F478" s="102">
        <f>SUM(G478:O478)</f>
        <v>0</v>
      </c>
      <c r="G478" s="454">
        <f>'Aanpassing gegevens (aug. 2016)'!J184</f>
        <v>0</v>
      </c>
      <c r="H478" s="87">
        <v>0</v>
      </c>
      <c r="I478" s="29"/>
      <c r="J478" s="87">
        <v>0</v>
      </c>
      <c r="K478" s="29"/>
      <c r="L478" s="29"/>
      <c r="M478" s="29"/>
      <c r="N478" s="29"/>
      <c r="O478" s="87">
        <v>0</v>
      </c>
    </row>
    <row r="479" spans="2:15">
      <c r="B479" s="22"/>
    </row>
    <row r="480" spans="2:15">
      <c r="B480" s="22"/>
    </row>
    <row r="481" spans="2:2">
      <c r="B481" s="22"/>
    </row>
    <row r="482" spans="2:2">
      <c r="B482" s="22"/>
    </row>
    <row r="483" spans="2:2">
      <c r="B483" s="22"/>
    </row>
    <row r="484" spans="2:2">
      <c r="B484" s="22"/>
    </row>
    <row r="485" spans="2:2">
      <c r="B485" s="22"/>
    </row>
  </sheetData>
  <pageMargins left="0.75" right="0.75" top="1" bottom="1" header="0.5" footer="0.5"/>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B1:X346"/>
  <sheetViews>
    <sheetView showGridLines="0" zoomScale="85" zoomScaleNormal="85" workbookViewId="0"/>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7" customWidth="1"/>
    <col min="7" max="14" width="14.85546875" customWidth="1"/>
    <col min="15" max="15" width="15.140625" style="82" customWidth="1"/>
    <col min="17" max="17" width="22.85546875" customWidth="1"/>
    <col min="19" max="20" width="15.140625" style="82" customWidth="1"/>
    <col min="21" max="21" width="15.140625" style="236" customWidth="1"/>
    <col min="22" max="24" width="15.140625" style="82" customWidth="1"/>
  </cols>
  <sheetData>
    <row r="1" spans="2:24" ht="12" customHeight="1"/>
    <row r="2" spans="2:24" s="1" customFormat="1" ht="18">
      <c r="B2" s="1" t="s">
        <v>539</v>
      </c>
      <c r="F2" s="48" t="s">
        <v>105</v>
      </c>
      <c r="G2" s="5" t="s">
        <v>96</v>
      </c>
      <c r="H2" s="5" t="s">
        <v>97</v>
      </c>
      <c r="I2" s="5" t="s">
        <v>98</v>
      </c>
      <c r="J2" s="5" t="s">
        <v>99</v>
      </c>
      <c r="K2" s="5" t="s">
        <v>100</v>
      </c>
      <c r="L2" s="5" t="s">
        <v>101</v>
      </c>
      <c r="M2" s="5" t="s">
        <v>102</v>
      </c>
      <c r="N2" s="5" t="s">
        <v>103</v>
      </c>
      <c r="O2" s="237" t="s">
        <v>197</v>
      </c>
      <c r="Q2" s="5" t="s">
        <v>567</v>
      </c>
      <c r="S2" s="237" t="s">
        <v>653</v>
      </c>
      <c r="T2" s="237" t="s">
        <v>654</v>
      </c>
      <c r="U2" s="238" t="s">
        <v>655</v>
      </c>
      <c r="V2" s="239" t="s">
        <v>656</v>
      </c>
      <c r="W2" s="237" t="s">
        <v>657</v>
      </c>
      <c r="X2" s="237" t="s">
        <v>658</v>
      </c>
    </row>
    <row r="4" spans="2:24">
      <c r="B4" s="78" t="s">
        <v>999</v>
      </c>
    </row>
    <row r="5" spans="2:24">
      <c r="B5" s="78" t="s">
        <v>545</v>
      </c>
    </row>
    <row r="6" spans="2:24">
      <c r="B6" s="28"/>
    </row>
    <row r="7" spans="2:24">
      <c r="B7" s="22"/>
    </row>
    <row r="8" spans="2:24" s="2" customFormat="1">
      <c r="B8" s="2" t="s">
        <v>318</v>
      </c>
      <c r="F8" s="49"/>
      <c r="O8" s="113"/>
      <c r="S8" s="113"/>
      <c r="T8" s="113"/>
      <c r="U8" s="240"/>
      <c r="V8" s="113"/>
      <c r="W8" s="113"/>
      <c r="X8" s="113"/>
    </row>
    <row r="10" spans="2:24">
      <c r="B10" s="3" t="s">
        <v>307</v>
      </c>
    </row>
    <row r="11" spans="2:24">
      <c r="B11" s="3"/>
    </row>
    <row r="12" spans="2:24">
      <c r="B12" s="108" t="s">
        <v>284</v>
      </c>
    </row>
    <row r="13" spans="2:24">
      <c r="B13" s="23" t="s">
        <v>285</v>
      </c>
      <c r="G13" s="96">
        <v>676.55</v>
      </c>
      <c r="H13" s="96">
        <v>651.21893783371513</v>
      </c>
      <c r="I13" s="241">
        <f>IFERROR((SUMPRODUCT('PRD Volumes AD (2009-2012)'!S182:T182, 'TAR2013 Tarieven AD'!S13:T13)/('PRD Volumes AD (2009-2012)'!S182+'PRD Volumes AD (2009-2012)'!T182)),0)</f>
        <v>624.10384580915888</v>
      </c>
      <c r="J13" s="241">
        <f>IFERROR((SUMPRODUCT('PRD Volumes AD (2009-2012)'!U182:V182, 'TAR2013 Tarieven AD'!U13:V13)/('PRD Volumes AD (2009-2012)'!U182+'PRD Volumes AD (2009-2012)'!V182)),0)</f>
        <v>620.7290162733018</v>
      </c>
      <c r="K13" s="241">
        <f>IFERROR((SUMPRODUCT('PRD Volumes AD (2009-2012)'!W182:X182, 'TAR2013 Tarieven AD'!W13:X13)/('PRD Volumes AD (2009-2012)'!W182+'PRD Volumes AD (2009-2012)'!X182)),0)</f>
        <v>669.66856997640423</v>
      </c>
      <c r="L13" s="96">
        <v>716</v>
      </c>
      <c r="M13" s="96">
        <v>625.79999999999995</v>
      </c>
      <c r="N13" s="96">
        <v>557.53</v>
      </c>
      <c r="O13" s="96">
        <v>0</v>
      </c>
      <c r="S13" s="96">
        <v>595.83000000000004</v>
      </c>
      <c r="T13" s="96">
        <v>644</v>
      </c>
      <c r="U13" s="96">
        <v>613</v>
      </c>
      <c r="V13" s="96">
        <v>730.40112972972963</v>
      </c>
      <c r="W13" s="96">
        <v>670</v>
      </c>
      <c r="X13" s="96">
        <v>644</v>
      </c>
    </row>
    <row r="14" spans="2:24">
      <c r="B14" s="23" t="s">
        <v>286</v>
      </c>
      <c r="G14" s="96">
        <v>1351.61</v>
      </c>
      <c r="H14" s="96">
        <v>852.44444444444446</v>
      </c>
      <c r="I14" s="241">
        <f>IFERROR((SUMPRODUCT('PRD Volumes AD (2009-2012)'!S183:T183, 'TAR2013 Tarieven AD'!S14:T14)/('PRD Volumes AD (2009-2012)'!S183+'PRD Volumes AD (2009-2012)'!T183)),0)</f>
        <v>1396.6115363489359</v>
      </c>
      <c r="J14" s="241">
        <f>IFERROR((SUMPRODUCT('PRD Volumes AD (2009-2012)'!U183:V183, 'TAR2013 Tarieven AD'!U14:V14)/('PRD Volumes AD (2009-2012)'!U183+'PRD Volumes AD (2009-2012)'!V183)),0)</f>
        <v>1098</v>
      </c>
      <c r="K14" s="241">
        <f>IFERROR((SUMPRODUCT('PRD Volumes AD (2009-2012)'!W183:X183, 'TAR2013 Tarieven AD'!W14:X14)/('PRD Volumes AD (2009-2012)'!W183+'PRD Volumes AD (2009-2012)'!X183)),0)</f>
        <v>1396.7069500138246</v>
      </c>
      <c r="L14" s="96">
        <v>1862.75</v>
      </c>
      <c r="M14" s="96">
        <v>1361.47</v>
      </c>
      <c r="N14" s="96">
        <v>1940.19</v>
      </c>
      <c r="O14" s="96">
        <v>0</v>
      </c>
      <c r="S14" s="96">
        <v>1251.7311283200002</v>
      </c>
      <c r="T14" s="96">
        <v>1438</v>
      </c>
      <c r="U14" s="96">
        <v>1098</v>
      </c>
      <c r="V14" s="96">
        <v>1288.2</v>
      </c>
      <c r="W14" s="96">
        <v>1395</v>
      </c>
      <c r="X14" s="96">
        <v>1438</v>
      </c>
    </row>
    <row r="15" spans="2:24">
      <c r="B15" s="61" t="s">
        <v>287</v>
      </c>
      <c r="G15" s="96">
        <v>1351.61</v>
      </c>
      <c r="H15" s="96">
        <v>1081.022857142857</v>
      </c>
      <c r="I15" s="241">
        <f>IFERROR((SUMPRODUCT('PRD Volumes AD (2009-2012)'!S184:T184, 'TAR2013 Tarieven AD'!S15:T15)/('PRD Volumes AD (2009-2012)'!S184+'PRD Volumes AD (2009-2012)'!T184)),0)</f>
        <v>1348.1156324813214</v>
      </c>
      <c r="J15" s="241">
        <f>IFERROR((SUMPRODUCT('PRD Volumes AD (2009-2012)'!U184:V184, 'TAR2013 Tarieven AD'!U15:V15)/('PRD Volumes AD (2009-2012)'!U184+'PRD Volumes AD (2009-2012)'!V184)),0)</f>
        <v>1116.5481137899351</v>
      </c>
      <c r="K15" s="241">
        <f>IFERROR((SUMPRODUCT('PRD Volumes AD (2009-2012)'!W184:X184, 'TAR2013 Tarieven AD'!W15:X15)/('PRD Volumes AD (2009-2012)'!W184+'PRD Volumes AD (2009-2012)'!X184)),0)</f>
        <v>1397.4155788813732</v>
      </c>
      <c r="L15" s="96">
        <v>1862.75</v>
      </c>
      <c r="M15" s="96">
        <v>1361.47</v>
      </c>
      <c r="N15" s="96">
        <v>2921.43</v>
      </c>
      <c r="O15" s="96">
        <v>0</v>
      </c>
      <c r="S15" s="96">
        <v>1251.7311283200002</v>
      </c>
      <c r="T15" s="96">
        <v>1438</v>
      </c>
      <c r="U15" s="96">
        <v>1098</v>
      </c>
      <c r="V15" s="96">
        <v>1221.25</v>
      </c>
      <c r="W15" s="96">
        <v>1395</v>
      </c>
      <c r="X15" s="96">
        <v>1438</v>
      </c>
    </row>
    <row r="16" spans="2:24">
      <c r="B16" s="61" t="s">
        <v>288</v>
      </c>
      <c r="G16" s="96">
        <v>1791.64</v>
      </c>
      <c r="H16" s="96">
        <v>1336.677857142857</v>
      </c>
      <c r="I16" s="241">
        <f>IFERROR((SUMPRODUCT('PRD Volumes AD (2009-2012)'!S185:T185, 'TAR2013 Tarieven AD'!S16:T16)/('PRD Volumes AD (2009-2012)'!S185+'PRD Volumes AD (2009-2012)'!T185)),0)</f>
        <v>1809.2982272326931</v>
      </c>
      <c r="J16" s="241">
        <f>IFERROR((SUMPRODUCT('PRD Volumes AD (2009-2012)'!U185:V185, 'TAR2013 Tarieven AD'!U16:V16)/('PRD Volumes AD (2009-2012)'!U185+'PRD Volumes AD (2009-2012)'!V185)),0)</f>
        <v>1462.3814798914302</v>
      </c>
      <c r="K16" s="241">
        <f>IFERROR((SUMPRODUCT('PRD Volumes AD (2009-2012)'!W185:X185, 'TAR2013 Tarieven AD'!W16:X16)/('PRD Volumes AD (2009-2012)'!W185+'PRD Volumes AD (2009-2012)'!X185)),0)</f>
        <v>61.808510638297875</v>
      </c>
      <c r="L16" s="96">
        <v>4250</v>
      </c>
      <c r="M16" s="96">
        <v>2301.21</v>
      </c>
      <c r="N16" s="96">
        <v>2921.43</v>
      </c>
      <c r="O16" s="96">
        <v>0</v>
      </c>
      <c r="S16" s="96">
        <v>1863.8217216</v>
      </c>
      <c r="T16" s="96">
        <v>1743</v>
      </c>
      <c r="U16" s="96">
        <v>1346</v>
      </c>
      <c r="V16" s="96">
        <v>1694</v>
      </c>
      <c r="W16" s="96">
        <v>0</v>
      </c>
      <c r="X16" s="96">
        <v>1743</v>
      </c>
    </row>
    <row r="17" spans="2:24">
      <c r="B17" s="23"/>
      <c r="G17" s="82"/>
      <c r="H17" s="82"/>
      <c r="I17" s="82"/>
      <c r="J17" s="82"/>
      <c r="K17" s="82"/>
      <c r="L17" s="82"/>
      <c r="M17" s="82"/>
      <c r="N17" s="82"/>
      <c r="T17" s="112"/>
      <c r="U17" s="112"/>
      <c r="V17" s="112"/>
      <c r="W17" s="112"/>
    </row>
    <row r="18" spans="2:24">
      <c r="B18" s="108" t="s">
        <v>289</v>
      </c>
      <c r="G18" s="82"/>
      <c r="H18" s="82"/>
      <c r="I18" s="82"/>
      <c r="J18" s="82"/>
      <c r="K18" s="82"/>
      <c r="L18" s="82"/>
      <c r="M18" s="82"/>
      <c r="N18" s="82"/>
      <c r="T18" s="112"/>
      <c r="U18" s="112"/>
      <c r="V18" s="112"/>
      <c r="W18" s="112"/>
    </row>
    <row r="19" spans="2:24">
      <c r="B19" s="23" t="s">
        <v>285</v>
      </c>
      <c r="G19" s="96">
        <v>0</v>
      </c>
      <c r="H19" s="96">
        <v>0</v>
      </c>
      <c r="I19" s="241">
        <f>IFERROR((SUMPRODUCT('PRD Volumes AD (2009-2012)'!S188:T188, 'TAR2013 Tarieven AD'!S19:T19)/('PRD Volumes AD (2009-2012)'!S188+'PRD Volumes AD (2009-2012)'!T188)),0)</f>
        <v>0</v>
      </c>
      <c r="J19" s="241">
        <f>IFERROR((SUMPRODUCT('PRD Volumes AD (2009-2012)'!U188:V188, 'TAR2013 Tarieven AD'!U19:V19)/('PRD Volumes AD (2009-2012)'!U188+'PRD Volumes AD (2009-2012)'!V188)),0)</f>
        <v>0</v>
      </c>
      <c r="K19" s="241">
        <f>IFERROR((SUMPRODUCT('PRD Volumes AD (2009-2012)'!W188:X188, 'TAR2013 Tarieven AD'!W19:X19)/('PRD Volumes AD (2009-2012)'!W188+'PRD Volumes AD (2009-2012)'!X188)),0)</f>
        <v>0</v>
      </c>
      <c r="L19" s="96">
        <v>716</v>
      </c>
      <c r="M19" s="96">
        <v>6007</v>
      </c>
      <c r="N19" s="96">
        <v>0</v>
      </c>
      <c r="O19" s="96">
        <v>0</v>
      </c>
      <c r="S19" s="96">
        <v>595.83000000000004</v>
      </c>
      <c r="T19" s="96">
        <v>644</v>
      </c>
      <c r="U19" s="96">
        <v>0</v>
      </c>
      <c r="V19" s="96">
        <v>0</v>
      </c>
      <c r="W19" s="96">
        <v>7060</v>
      </c>
      <c r="X19" s="96">
        <v>644</v>
      </c>
    </row>
    <row r="20" spans="2:24">
      <c r="B20" s="23" t="s">
        <v>286</v>
      </c>
      <c r="G20" s="96">
        <v>0</v>
      </c>
      <c r="H20" s="96">
        <v>0</v>
      </c>
      <c r="I20" s="241">
        <f>IFERROR((SUMPRODUCT('PRD Volumes AD (2009-2012)'!S189:T189, 'TAR2013 Tarieven AD'!S20:T20)/('PRD Volumes AD (2009-2012)'!S189+'PRD Volumes AD (2009-2012)'!T189)),0)</f>
        <v>0</v>
      </c>
      <c r="J20" s="241">
        <f>IFERROR((SUMPRODUCT('PRD Volumes AD (2009-2012)'!U189:V189, 'TAR2013 Tarieven AD'!U20:V20)/('PRD Volumes AD (2009-2012)'!U189+'PRD Volumes AD (2009-2012)'!V189)),0)</f>
        <v>0</v>
      </c>
      <c r="K20" s="241">
        <f>IFERROR((SUMPRODUCT('PRD Volumes AD (2009-2012)'!W189:X189, 'TAR2013 Tarieven AD'!W20:X20)/('PRD Volumes AD (2009-2012)'!W189+'PRD Volumes AD (2009-2012)'!X189)),0)</f>
        <v>0</v>
      </c>
      <c r="L20" s="96">
        <v>1862.75</v>
      </c>
      <c r="M20" s="96">
        <v>6203</v>
      </c>
      <c r="N20" s="96">
        <v>0</v>
      </c>
      <c r="O20" s="96">
        <v>0</v>
      </c>
      <c r="S20" s="96">
        <v>1251.7311283200002</v>
      </c>
      <c r="T20" s="96">
        <v>1438</v>
      </c>
      <c r="U20" s="96">
        <v>0</v>
      </c>
      <c r="V20" s="96">
        <v>0</v>
      </c>
      <c r="W20" s="96">
        <v>7938</v>
      </c>
      <c r="X20" s="96">
        <v>1438</v>
      </c>
    </row>
    <row r="21" spans="2:24">
      <c r="B21" s="61" t="s">
        <v>287</v>
      </c>
      <c r="G21" s="96">
        <v>0</v>
      </c>
      <c r="H21" s="96">
        <v>0</v>
      </c>
      <c r="I21" s="241">
        <f>IFERROR((SUMPRODUCT('PRD Volumes AD (2009-2012)'!S190:T190, 'TAR2013 Tarieven AD'!S21:T21)/('PRD Volumes AD (2009-2012)'!S190+'PRD Volumes AD (2009-2012)'!T190)),0)</f>
        <v>0</v>
      </c>
      <c r="J21" s="241">
        <f>IFERROR((SUMPRODUCT('PRD Volumes AD (2009-2012)'!U190:V190, 'TAR2013 Tarieven AD'!U21:V21)/('PRD Volumes AD (2009-2012)'!U190+'PRD Volumes AD (2009-2012)'!V190)),0)</f>
        <v>0</v>
      </c>
      <c r="K21" s="241">
        <f>IFERROR((SUMPRODUCT('PRD Volumes AD (2009-2012)'!W190:X190, 'TAR2013 Tarieven AD'!W21:X21)/('PRD Volumes AD (2009-2012)'!W190+'PRD Volumes AD (2009-2012)'!X190)),0)</f>
        <v>0</v>
      </c>
      <c r="L21" s="96">
        <v>1862.75</v>
      </c>
      <c r="M21" s="96">
        <v>6203</v>
      </c>
      <c r="N21" s="96">
        <v>0</v>
      </c>
      <c r="O21" s="96">
        <v>0</v>
      </c>
      <c r="S21" s="96">
        <v>1251.7311283200002</v>
      </c>
      <c r="T21" s="96">
        <v>1438</v>
      </c>
      <c r="U21" s="96">
        <v>0</v>
      </c>
      <c r="V21" s="96">
        <v>0</v>
      </c>
      <c r="W21" s="96">
        <v>7938</v>
      </c>
      <c r="X21" s="96">
        <v>1438</v>
      </c>
    </row>
    <row r="22" spans="2:24">
      <c r="B22" s="61" t="s">
        <v>288</v>
      </c>
      <c r="G22" s="96">
        <v>0</v>
      </c>
      <c r="H22" s="96">
        <v>0</v>
      </c>
      <c r="I22" s="241">
        <f>IFERROR((SUMPRODUCT('PRD Volumes AD (2009-2012)'!S191:T191, 'TAR2013 Tarieven AD'!S22:T22)/('PRD Volumes AD (2009-2012)'!S191+'PRD Volumes AD (2009-2012)'!T191)),0)</f>
        <v>0</v>
      </c>
      <c r="J22" s="241">
        <f>IFERROR((SUMPRODUCT('PRD Volumes AD (2009-2012)'!U191:V191, 'TAR2013 Tarieven AD'!U22:V22)/('PRD Volumes AD (2009-2012)'!U191+'PRD Volumes AD (2009-2012)'!V191)),0)</f>
        <v>0</v>
      </c>
      <c r="K22" s="241">
        <f>IFERROR((SUMPRODUCT('PRD Volumes AD (2009-2012)'!W191:X191, 'TAR2013 Tarieven AD'!W22:X22)/('PRD Volumes AD (2009-2012)'!W191+'PRD Volumes AD (2009-2012)'!X191)),0)</f>
        <v>0</v>
      </c>
      <c r="L22" s="96">
        <v>4250</v>
      </c>
      <c r="M22" s="96">
        <v>7323</v>
      </c>
      <c r="N22" s="96">
        <v>0</v>
      </c>
      <c r="O22" s="96">
        <v>0</v>
      </c>
      <c r="S22" s="96">
        <v>1863.8217216</v>
      </c>
      <c r="T22" s="96">
        <v>1743</v>
      </c>
      <c r="U22" s="96">
        <v>0</v>
      </c>
      <c r="V22" s="96">
        <v>0</v>
      </c>
      <c r="W22" s="96">
        <v>8801</v>
      </c>
      <c r="X22" s="96">
        <v>1743</v>
      </c>
    </row>
    <row r="23" spans="2:24">
      <c r="B23" s="23"/>
      <c r="G23" s="82"/>
      <c r="H23" s="82"/>
      <c r="I23" s="82"/>
      <c r="J23" s="82"/>
      <c r="K23" s="82"/>
      <c r="L23" s="82"/>
      <c r="M23" s="82"/>
      <c r="N23" s="82"/>
      <c r="U23" s="112"/>
      <c r="V23" s="112"/>
      <c r="W23" s="112"/>
      <c r="X23" s="112"/>
    </row>
    <row r="24" spans="2:24">
      <c r="B24" s="108" t="s">
        <v>290</v>
      </c>
      <c r="G24" s="82"/>
      <c r="H24" s="82"/>
      <c r="I24" s="82"/>
      <c r="J24" s="82"/>
      <c r="K24" s="82"/>
      <c r="L24" s="82"/>
      <c r="M24" s="82"/>
      <c r="N24" s="82"/>
      <c r="U24" s="112"/>
      <c r="V24" s="112"/>
      <c r="W24" s="112"/>
      <c r="X24" s="112"/>
    </row>
    <row r="25" spans="2:24">
      <c r="B25" s="23" t="s">
        <v>291</v>
      </c>
      <c r="G25" s="112"/>
      <c r="H25" s="96">
        <v>0</v>
      </c>
      <c r="I25" s="112"/>
      <c r="J25" s="241">
        <f>IFERROR((SUMPRODUCT('PRD Volumes AD (2009-2012)'!U194:V194, 'TAR2013 Tarieven AD'!U25:V25)/('PRD Volumes AD (2009-2012)'!U194+'PRD Volumes AD (2009-2012)'!V194)),0)</f>
        <v>0</v>
      </c>
      <c r="K25" s="112"/>
      <c r="L25" s="112"/>
      <c r="M25" s="112"/>
      <c r="N25" s="112"/>
      <c r="O25" s="96">
        <v>0</v>
      </c>
      <c r="U25" s="96">
        <v>0</v>
      </c>
      <c r="W25" s="112"/>
    </row>
    <row r="26" spans="2:24">
      <c r="B26" s="3"/>
      <c r="G26" s="82"/>
      <c r="H26" s="82"/>
      <c r="I26" s="82"/>
      <c r="J26" s="82"/>
      <c r="K26" s="82"/>
      <c r="L26" s="82"/>
      <c r="M26" s="82"/>
      <c r="N26" s="82"/>
      <c r="T26" s="112"/>
      <c r="U26" s="112"/>
      <c r="V26" s="112"/>
      <c r="W26" s="112"/>
      <c r="X26" s="112"/>
    </row>
    <row r="27" spans="2:24">
      <c r="B27" s="3"/>
      <c r="G27" s="82"/>
      <c r="H27" s="82"/>
      <c r="I27" s="82"/>
      <c r="J27" s="82"/>
      <c r="K27" s="82"/>
      <c r="L27" s="82"/>
      <c r="M27" s="82"/>
      <c r="N27" s="82"/>
      <c r="T27" s="112"/>
      <c r="U27" s="112"/>
      <c r="V27" s="112"/>
      <c r="W27" s="112"/>
      <c r="X27" s="112"/>
    </row>
    <row r="28" spans="2:24">
      <c r="B28" s="3" t="s">
        <v>308</v>
      </c>
      <c r="G28" s="82"/>
      <c r="H28" s="82"/>
      <c r="I28" s="82"/>
      <c r="J28" s="82"/>
      <c r="K28" s="82"/>
      <c r="L28" s="82"/>
      <c r="M28" s="82"/>
      <c r="N28" s="82"/>
      <c r="T28" s="112"/>
      <c r="U28" s="112"/>
      <c r="V28" s="112"/>
      <c r="W28" s="112"/>
      <c r="X28" s="112"/>
    </row>
    <row r="29" spans="2:24">
      <c r="B29" s="3"/>
      <c r="G29" s="82"/>
      <c r="H29" s="82"/>
      <c r="I29" s="82"/>
      <c r="J29" s="82"/>
      <c r="K29" s="82"/>
      <c r="L29" s="82"/>
      <c r="M29" s="82"/>
      <c r="N29" s="82"/>
      <c r="T29" s="112"/>
      <c r="U29" s="112"/>
      <c r="V29" s="112"/>
      <c r="W29" s="112"/>
      <c r="X29" s="112"/>
    </row>
    <row r="30" spans="2:24">
      <c r="B30" s="108" t="s">
        <v>284</v>
      </c>
      <c r="G30" s="82"/>
      <c r="H30" s="82"/>
      <c r="I30" s="82"/>
      <c r="J30" s="82"/>
      <c r="K30" s="82"/>
      <c r="L30" s="82"/>
      <c r="M30" s="82"/>
      <c r="N30" s="82"/>
      <c r="T30" s="112"/>
      <c r="U30" s="112"/>
      <c r="V30" s="112"/>
      <c r="W30" s="112"/>
      <c r="X30" s="112"/>
    </row>
    <row r="31" spans="2:24">
      <c r="B31" s="23" t="s">
        <v>285</v>
      </c>
      <c r="G31" s="96">
        <v>19.399999999999999</v>
      </c>
      <c r="H31" s="96">
        <v>10.920282841741869</v>
      </c>
      <c r="I31" s="241">
        <f>IFERROR((SUMPRODUCT('PRD Volumes AD (2009-2012)'!S200:T200, 'TAR2013 Tarieven AD'!S31:T31)/('PRD Volumes AD (2009-2012)'!S200+'PRD Volumes AD (2009-2012)'!T200)),0)</f>
        <v>21.786498526200873</v>
      </c>
      <c r="J31" s="241">
        <f>IFERROR((SUMPRODUCT('PRD Volumes AD (2009-2012)'!U200:V200, 'TAR2013 Tarieven AD'!U31:V31)/('PRD Volumes AD (2009-2012)'!U200+'PRD Volumes AD (2009-2012)'!V200)),0)</f>
        <v>22.6</v>
      </c>
      <c r="K31" s="241">
        <f>IFERROR((SUMPRODUCT('PRD Volumes AD (2009-2012)'!W200:X200, 'TAR2013 Tarieven AD'!W31:X31)/('PRD Volumes AD (2009-2012)'!W200+'PRD Volumes AD (2009-2012)'!X200)),0)</f>
        <v>25.152872384358993</v>
      </c>
      <c r="L31" s="96">
        <v>22.3</v>
      </c>
      <c r="M31" s="96">
        <v>28.25</v>
      </c>
      <c r="N31" s="96">
        <v>40.42</v>
      </c>
      <c r="O31" s="96">
        <v>0</v>
      </c>
      <c r="S31" s="96">
        <v>21.188198400000001</v>
      </c>
      <c r="T31" s="96">
        <v>22</v>
      </c>
      <c r="U31" s="96">
        <v>22.6</v>
      </c>
      <c r="V31" s="96">
        <v>0</v>
      </c>
      <c r="W31" s="96">
        <v>25.22</v>
      </c>
      <c r="X31" s="96">
        <v>22</v>
      </c>
    </row>
    <row r="32" spans="2:24">
      <c r="B32" s="23" t="s">
        <v>286</v>
      </c>
      <c r="G32" s="96">
        <v>20.079999999999998</v>
      </c>
      <c r="H32" s="96">
        <v>0</v>
      </c>
      <c r="I32" s="241">
        <f>IFERROR((SUMPRODUCT('PRD Volumes AD (2009-2012)'!S201:T201, 'TAR2013 Tarieven AD'!S32:T32)/('PRD Volumes AD (2009-2012)'!S201+'PRD Volumes AD (2009-2012)'!T201)),0)</f>
        <v>22.702565872802978</v>
      </c>
      <c r="J32" s="241">
        <f>IFERROR((SUMPRODUCT('PRD Volumes AD (2009-2012)'!U201:V201, 'TAR2013 Tarieven AD'!U32:V32)/('PRD Volumes AD (2009-2012)'!U201+'PRD Volumes AD (2009-2012)'!V201)),0)</f>
        <v>27.5</v>
      </c>
      <c r="K32" s="241">
        <f>IFERROR((SUMPRODUCT('PRD Volumes AD (2009-2012)'!W201:X201, 'TAR2013 Tarieven AD'!W32:X32)/('PRD Volumes AD (2009-2012)'!W201+'PRD Volumes AD (2009-2012)'!X201)),0)</f>
        <v>30.027340517241377</v>
      </c>
      <c r="L32" s="96">
        <v>28.15</v>
      </c>
      <c r="M32" s="96">
        <v>29.42</v>
      </c>
      <c r="N32" s="96">
        <v>40.42</v>
      </c>
      <c r="O32" s="96">
        <v>0</v>
      </c>
      <c r="S32" s="96">
        <v>25.151078400000003</v>
      </c>
      <c r="T32" s="96">
        <v>22</v>
      </c>
      <c r="U32" s="96">
        <v>27.5</v>
      </c>
      <c r="V32" s="96">
        <v>0</v>
      </c>
      <c r="W32" s="96">
        <v>31.27</v>
      </c>
      <c r="X32" s="96">
        <v>22</v>
      </c>
    </row>
    <row r="33" spans="2:24">
      <c r="B33" s="61" t="s">
        <v>287</v>
      </c>
      <c r="G33" s="96">
        <v>28.17</v>
      </c>
      <c r="H33" s="96">
        <v>14.062218370883883</v>
      </c>
      <c r="I33" s="241">
        <f>IFERROR((SUMPRODUCT('PRD Volumes AD (2009-2012)'!S202:T202, 'TAR2013 Tarieven AD'!S33:T33)/('PRD Volumes AD (2009-2012)'!S202+'PRD Volumes AD (2009-2012)'!T202)),0)</f>
        <v>23.120719009700057</v>
      </c>
      <c r="J33" s="241">
        <f>IFERROR((SUMPRODUCT('PRD Volumes AD (2009-2012)'!U202:V202, 'TAR2013 Tarieven AD'!U33:V33)/('PRD Volumes AD (2009-2012)'!U202+'PRD Volumes AD (2009-2012)'!V202)),0)</f>
        <v>27.5</v>
      </c>
      <c r="K33" s="241">
        <f>IFERROR((SUMPRODUCT('PRD Volumes AD (2009-2012)'!W202:X202, 'TAR2013 Tarieven AD'!W33:X33)/('PRD Volumes AD (2009-2012)'!W202+'PRD Volumes AD (2009-2012)'!X202)),0)</f>
        <v>31.016523437500002</v>
      </c>
      <c r="L33" s="96">
        <v>28.15</v>
      </c>
      <c r="M33" s="96">
        <v>29.42</v>
      </c>
      <c r="N33" s="96">
        <v>40.42</v>
      </c>
      <c r="O33" s="96">
        <v>0</v>
      </c>
      <c r="S33" s="96">
        <v>25.151078400000003</v>
      </c>
      <c r="T33" s="96">
        <v>22</v>
      </c>
      <c r="U33" s="96">
        <v>27.5</v>
      </c>
      <c r="V33" s="96">
        <v>0</v>
      </c>
      <c r="W33" s="96">
        <v>31.27</v>
      </c>
      <c r="X33" s="96">
        <v>22</v>
      </c>
    </row>
    <row r="34" spans="2:24">
      <c r="B34" s="61" t="s">
        <v>288</v>
      </c>
      <c r="G34" s="96">
        <v>32.18</v>
      </c>
      <c r="H34" s="96">
        <v>16.782499999999999</v>
      </c>
      <c r="I34" s="241">
        <f>IFERROR((SUMPRODUCT('PRD Volumes AD (2009-2012)'!S203:T203, 'TAR2013 Tarieven AD'!S34:T34)/('PRD Volumes AD (2009-2012)'!S203+'PRD Volumes AD (2009-2012)'!T203)),0)</f>
        <v>22.185350072870314</v>
      </c>
      <c r="J34" s="241">
        <f>IFERROR((SUMPRODUCT('PRD Volumes AD (2009-2012)'!U203:V203, 'TAR2013 Tarieven AD'!U34:V34)/('PRD Volumes AD (2009-2012)'!U203+'PRD Volumes AD (2009-2012)'!V203)),0)</f>
        <v>27.5</v>
      </c>
      <c r="K34" s="241">
        <f>IFERROR((SUMPRODUCT('PRD Volumes AD (2009-2012)'!W203:X203, 'TAR2013 Tarieven AD'!W34:X34)/('PRD Volumes AD (2009-2012)'!W203+'PRD Volumes AD (2009-2012)'!X203)),0)</f>
        <v>31.07295652173913</v>
      </c>
      <c r="L34" s="96">
        <v>0</v>
      </c>
      <c r="M34" s="96">
        <v>33.31</v>
      </c>
      <c r="N34" s="96">
        <v>40.42</v>
      </c>
      <c r="O34" s="96">
        <v>0</v>
      </c>
      <c r="S34" s="96">
        <v>25.151078400000003</v>
      </c>
      <c r="T34" s="96">
        <v>22</v>
      </c>
      <c r="U34" s="96">
        <v>27.5</v>
      </c>
      <c r="V34" s="96">
        <v>0</v>
      </c>
      <c r="W34" s="96">
        <v>31.27</v>
      </c>
      <c r="X34" s="96">
        <v>22</v>
      </c>
    </row>
    <row r="35" spans="2:24">
      <c r="B35" s="23"/>
      <c r="G35" s="82"/>
      <c r="H35" s="82"/>
      <c r="I35" s="82"/>
      <c r="J35" s="82"/>
      <c r="K35" s="82"/>
      <c r="L35" s="82"/>
      <c r="M35" s="82"/>
      <c r="N35" s="82"/>
      <c r="T35" s="112"/>
      <c r="U35" s="112"/>
      <c r="V35" s="112"/>
      <c r="W35" s="112"/>
    </row>
    <row r="36" spans="2:24">
      <c r="B36" s="108" t="s">
        <v>289</v>
      </c>
      <c r="G36" s="82"/>
      <c r="H36" s="82"/>
      <c r="I36" s="82"/>
      <c r="J36" s="82"/>
      <c r="K36" s="82"/>
      <c r="L36" s="82"/>
      <c r="M36" s="82"/>
      <c r="N36" s="82"/>
      <c r="T36" s="112"/>
      <c r="U36" s="112"/>
      <c r="V36" s="112"/>
      <c r="W36" s="112"/>
    </row>
    <row r="37" spans="2:24">
      <c r="B37" s="23" t="s">
        <v>285</v>
      </c>
      <c r="G37" s="96">
        <v>0</v>
      </c>
      <c r="H37" s="96">
        <v>0</v>
      </c>
      <c r="I37" s="241">
        <f>IFERROR((SUMPRODUCT('PRD Volumes AD (2009-2012)'!S206:T206, 'TAR2013 Tarieven AD'!S37:T37)/('PRD Volumes AD (2009-2012)'!S206+'PRD Volumes AD (2009-2012)'!T206)),0)</f>
        <v>0</v>
      </c>
      <c r="J37" s="241">
        <f>IFERROR((SUMPRODUCT('PRD Volumes AD (2009-2012)'!U206:V206, 'TAR2013 Tarieven AD'!U37:V37)/('PRD Volumes AD (2009-2012)'!U206+'PRD Volumes AD (2009-2012)'!V206)),0)</f>
        <v>0</v>
      </c>
      <c r="K37" s="241">
        <f>IFERROR((SUMPRODUCT('PRD Volumes AD (2009-2012)'!W206:X206, 'TAR2013 Tarieven AD'!W37:X37)/('PRD Volumes AD (2009-2012)'!W206+'PRD Volumes AD (2009-2012)'!X206)),0)</f>
        <v>0</v>
      </c>
      <c r="L37" s="96">
        <v>22.3</v>
      </c>
      <c r="M37" s="96">
        <v>81.7</v>
      </c>
      <c r="N37" s="96">
        <v>0</v>
      </c>
      <c r="O37" s="96">
        <v>0</v>
      </c>
      <c r="S37" s="96">
        <v>0</v>
      </c>
      <c r="T37" s="96">
        <v>0</v>
      </c>
      <c r="U37" s="96">
        <v>0</v>
      </c>
      <c r="V37" s="96">
        <v>0</v>
      </c>
      <c r="W37" s="96">
        <v>0</v>
      </c>
      <c r="X37" s="96">
        <v>0</v>
      </c>
    </row>
    <row r="38" spans="2:24">
      <c r="B38" s="23" t="s">
        <v>286</v>
      </c>
      <c r="G38" s="96">
        <v>0</v>
      </c>
      <c r="H38" s="96">
        <v>0</v>
      </c>
      <c r="I38" s="241">
        <f>IFERROR((SUMPRODUCT('PRD Volumes AD (2009-2012)'!S207:T207, 'TAR2013 Tarieven AD'!S38:T38)/('PRD Volumes AD (2009-2012)'!S207+'PRD Volumes AD (2009-2012)'!T207)),0)</f>
        <v>0</v>
      </c>
      <c r="J38" s="241">
        <f>IFERROR((SUMPRODUCT('PRD Volumes AD (2009-2012)'!U207:V207, 'TAR2013 Tarieven AD'!U38:V38)/('PRD Volumes AD (2009-2012)'!U207+'PRD Volumes AD (2009-2012)'!V207)),0)</f>
        <v>0</v>
      </c>
      <c r="K38" s="241">
        <f>IFERROR((SUMPRODUCT('PRD Volumes AD (2009-2012)'!W207:X207, 'TAR2013 Tarieven AD'!W38:X38)/('PRD Volumes AD (2009-2012)'!W207+'PRD Volumes AD (2009-2012)'!X207)),0)</f>
        <v>0</v>
      </c>
      <c r="L38" s="96">
        <v>28.15</v>
      </c>
      <c r="M38" s="96">
        <v>81.7</v>
      </c>
      <c r="N38" s="96">
        <v>0</v>
      </c>
      <c r="O38" s="96">
        <v>0</v>
      </c>
      <c r="S38" s="96">
        <v>0</v>
      </c>
      <c r="T38" s="96">
        <v>0</v>
      </c>
      <c r="U38" s="96">
        <v>0</v>
      </c>
      <c r="V38" s="96">
        <v>0</v>
      </c>
      <c r="W38" s="96">
        <v>0</v>
      </c>
      <c r="X38" s="96">
        <v>0</v>
      </c>
    </row>
    <row r="39" spans="2:24">
      <c r="B39" s="61" t="s">
        <v>287</v>
      </c>
      <c r="G39" s="96">
        <v>0</v>
      </c>
      <c r="H39" s="96">
        <v>0</v>
      </c>
      <c r="I39" s="241">
        <f>IFERROR((SUMPRODUCT('PRD Volumes AD (2009-2012)'!S208:T208, 'TAR2013 Tarieven AD'!S39:T39)/('PRD Volumes AD (2009-2012)'!S208+'PRD Volumes AD (2009-2012)'!T208)),0)</f>
        <v>0</v>
      </c>
      <c r="J39" s="241">
        <f>IFERROR((SUMPRODUCT('PRD Volumes AD (2009-2012)'!U208:V208, 'TAR2013 Tarieven AD'!U39:V39)/('PRD Volumes AD (2009-2012)'!U208+'PRD Volumes AD (2009-2012)'!V208)),0)</f>
        <v>0</v>
      </c>
      <c r="K39" s="241">
        <f>IFERROR((SUMPRODUCT('PRD Volumes AD (2009-2012)'!W208:X208, 'TAR2013 Tarieven AD'!W39:X39)/('PRD Volumes AD (2009-2012)'!W208+'PRD Volumes AD (2009-2012)'!X208)),0)</f>
        <v>0</v>
      </c>
      <c r="L39" s="96">
        <v>28.15</v>
      </c>
      <c r="M39" s="96">
        <v>81.7</v>
      </c>
      <c r="N39" s="96">
        <v>0</v>
      </c>
      <c r="O39" s="96">
        <v>0</v>
      </c>
      <c r="S39" s="96">
        <v>0</v>
      </c>
      <c r="T39" s="96">
        <v>0</v>
      </c>
      <c r="U39" s="96">
        <v>0</v>
      </c>
      <c r="V39" s="96">
        <v>0</v>
      </c>
      <c r="W39" s="96">
        <v>0</v>
      </c>
      <c r="X39" s="96">
        <v>0</v>
      </c>
    </row>
    <row r="40" spans="2:24">
      <c r="B40" s="61" t="s">
        <v>288</v>
      </c>
      <c r="G40" s="96">
        <v>179.21</v>
      </c>
      <c r="H40" s="96">
        <v>0</v>
      </c>
      <c r="I40" s="241">
        <f>IFERROR((SUMPRODUCT('PRD Volumes AD (2009-2012)'!S209:T209, 'TAR2013 Tarieven AD'!S40:T40)/('PRD Volumes AD (2009-2012)'!S209+'PRD Volumes AD (2009-2012)'!T209)),0)</f>
        <v>0</v>
      </c>
      <c r="J40" s="241">
        <f>IFERROR((SUMPRODUCT('PRD Volumes AD (2009-2012)'!U209:V209, 'TAR2013 Tarieven AD'!U40:V40)/('PRD Volumes AD (2009-2012)'!U209+'PRD Volumes AD (2009-2012)'!V209)),0)</f>
        <v>0</v>
      </c>
      <c r="K40" s="241">
        <f>IFERROR((SUMPRODUCT('PRD Volumes AD (2009-2012)'!W209:X209, 'TAR2013 Tarieven AD'!W40:X40)/('PRD Volumes AD (2009-2012)'!W209+'PRD Volumes AD (2009-2012)'!X209)),0)</f>
        <v>31.27</v>
      </c>
      <c r="L40" s="96">
        <v>0</v>
      </c>
      <c r="M40" s="96">
        <v>81.7</v>
      </c>
      <c r="N40" s="96">
        <v>0</v>
      </c>
      <c r="O40" s="96">
        <v>0</v>
      </c>
      <c r="S40" s="96">
        <v>0</v>
      </c>
      <c r="T40" s="96">
        <v>0</v>
      </c>
      <c r="U40" s="96">
        <v>0</v>
      </c>
      <c r="V40" s="96">
        <v>0</v>
      </c>
      <c r="W40" s="96">
        <v>31.27</v>
      </c>
      <c r="X40" s="96">
        <v>0</v>
      </c>
    </row>
    <row r="41" spans="2:24">
      <c r="B41" s="23"/>
      <c r="G41" s="82"/>
      <c r="H41" s="82"/>
      <c r="I41" s="82"/>
      <c r="J41" s="82"/>
      <c r="K41" s="82"/>
      <c r="L41" s="82"/>
      <c r="M41" s="82"/>
      <c r="N41" s="82"/>
      <c r="T41" s="112"/>
      <c r="U41" s="112"/>
      <c r="V41" s="112"/>
      <c r="W41" s="112"/>
      <c r="X41" s="112"/>
    </row>
    <row r="42" spans="2:24">
      <c r="B42" s="108" t="s">
        <v>290</v>
      </c>
      <c r="G42" s="82"/>
      <c r="H42" s="82"/>
      <c r="I42" s="82"/>
      <c r="J42" s="82"/>
      <c r="K42" s="82"/>
      <c r="L42" s="82"/>
      <c r="M42" s="82"/>
      <c r="N42" s="82"/>
      <c r="T42" s="112"/>
      <c r="U42" s="112"/>
    </row>
    <row r="43" spans="2:24">
      <c r="B43" s="23" t="s">
        <v>291</v>
      </c>
      <c r="G43" s="112"/>
      <c r="H43" s="96">
        <v>0</v>
      </c>
      <c r="I43" s="112"/>
      <c r="J43" s="241">
        <f>IFERROR((SUMPRODUCT('PRD Volumes AD (2009-2012)'!U212:V212, 'TAR2013 Tarieven AD'!U43:V43)/('PRD Volumes AD (2009-2012)'!U212+'PRD Volumes AD (2009-2012)'!V212)),0)</f>
        <v>0</v>
      </c>
      <c r="K43" s="112"/>
      <c r="L43" s="112"/>
      <c r="M43" s="112"/>
      <c r="N43" s="112"/>
      <c r="O43" s="96">
        <v>0</v>
      </c>
      <c r="U43" s="96">
        <v>0</v>
      </c>
    </row>
    <row r="44" spans="2:24">
      <c r="B44" s="3"/>
      <c r="G44" s="82"/>
      <c r="H44" s="82"/>
      <c r="I44" s="82"/>
      <c r="J44" s="82"/>
      <c r="K44" s="82"/>
      <c r="L44" s="82"/>
      <c r="M44" s="82"/>
      <c r="N44" s="82"/>
      <c r="U44" s="112"/>
    </row>
    <row r="45" spans="2:24">
      <c r="B45" s="3"/>
      <c r="G45" s="82"/>
      <c r="H45" s="82"/>
      <c r="I45" s="82"/>
      <c r="J45" s="82"/>
      <c r="K45" s="82"/>
      <c r="L45" s="82"/>
      <c r="M45" s="82"/>
      <c r="N45" s="82"/>
      <c r="U45" s="112"/>
    </row>
    <row r="46" spans="2:24">
      <c r="B46" s="3" t="s">
        <v>309</v>
      </c>
      <c r="G46" s="82"/>
      <c r="H46" s="82"/>
      <c r="I46" s="82"/>
      <c r="J46" s="82"/>
      <c r="K46" s="82"/>
      <c r="L46" s="82"/>
      <c r="M46" s="82"/>
      <c r="N46" s="82"/>
      <c r="U46" s="82"/>
    </row>
    <row r="47" spans="2:24">
      <c r="B47" s="3"/>
      <c r="G47" s="82"/>
      <c r="H47" s="82"/>
      <c r="I47" s="82"/>
      <c r="J47" s="82"/>
      <c r="K47" s="82"/>
      <c r="L47" s="82"/>
      <c r="M47" s="82"/>
      <c r="N47" s="82"/>
      <c r="U47" s="82"/>
    </row>
    <row r="48" spans="2:24">
      <c r="B48" s="108" t="s">
        <v>284</v>
      </c>
      <c r="G48" s="82"/>
      <c r="H48" s="82"/>
      <c r="I48" s="82"/>
      <c r="J48" s="82"/>
      <c r="K48" s="82"/>
      <c r="L48" s="82"/>
      <c r="M48" s="82"/>
      <c r="N48" s="82"/>
      <c r="U48" s="82"/>
    </row>
    <row r="49" spans="2:24">
      <c r="B49" s="61" t="s">
        <v>292</v>
      </c>
      <c r="G49" s="96">
        <v>4401.8999999999996</v>
      </c>
      <c r="H49" s="96">
        <v>0</v>
      </c>
      <c r="I49" s="241">
        <f>IFERROR((SUMPRODUCT('PRD Volumes AD (2009-2012)'!S218:T218, 'TAR2013 Tarieven AD'!S49:T49)/('PRD Volumes AD (2009-2012)'!S218+'PRD Volumes AD (2009-2012)'!T218)),0)</f>
        <v>3885.0930800447545</v>
      </c>
      <c r="J49" s="241">
        <f>IFERROR((SUMPRODUCT('PRD Volumes AD (2009-2012)'!U218:V218, 'TAR2013 Tarieven AD'!U49:V49)/('PRD Volumes AD (2009-2012)'!U218+'PRD Volumes AD (2009-2012)'!V218)),0)</f>
        <v>3945.8422250329436</v>
      </c>
      <c r="K49" s="241">
        <f>IFERROR((SUMPRODUCT('PRD Volumes AD (2009-2012)'!W218:X218, 'TAR2013 Tarieven AD'!W49:X49)/('PRD Volumes AD (2009-2012)'!W218+'PRD Volumes AD (2009-2012)'!X218)),0)</f>
        <v>3718</v>
      </c>
      <c r="L49" s="96">
        <v>4250</v>
      </c>
      <c r="M49" s="96">
        <v>3658.5</v>
      </c>
      <c r="N49" s="96">
        <v>2921.43</v>
      </c>
      <c r="O49" s="96">
        <v>0</v>
      </c>
      <c r="S49" s="96">
        <v>3997.8273177600004</v>
      </c>
      <c r="T49" s="96">
        <v>3718</v>
      </c>
      <c r="U49" s="96">
        <v>3929</v>
      </c>
      <c r="V49" s="96">
        <v>4091</v>
      </c>
      <c r="W49" s="96">
        <v>0</v>
      </c>
      <c r="X49" s="96">
        <v>3718</v>
      </c>
    </row>
    <row r="50" spans="2:24">
      <c r="B50" s="61" t="s">
        <v>293</v>
      </c>
      <c r="G50" s="96">
        <v>4562.68</v>
      </c>
      <c r="H50" s="96">
        <v>16483.75</v>
      </c>
      <c r="I50" s="241">
        <f>IFERROR((SUMPRODUCT('PRD Volumes AD (2009-2012)'!S219:T219, 'TAR2013 Tarieven AD'!S50:T50)/('PRD Volumes AD (2009-2012)'!S219+'PRD Volumes AD (2009-2012)'!T219)),0)</f>
        <v>4195.8830174631166</v>
      </c>
      <c r="J50" s="241">
        <f>IFERROR((SUMPRODUCT('PRD Volumes AD (2009-2012)'!U219:V219, 'TAR2013 Tarieven AD'!U50:V50)/('PRD Volumes AD (2009-2012)'!U219+'PRD Volumes AD (2009-2012)'!V219)),0)</f>
        <v>4294.0320068584015</v>
      </c>
      <c r="K50" s="241">
        <f>IFERROR((SUMPRODUCT('PRD Volumes AD (2009-2012)'!W219:X219, 'TAR2013 Tarieven AD'!W50:X50)/('PRD Volumes AD (2009-2012)'!W219+'PRD Volumes AD (2009-2012)'!X219)),0)</f>
        <v>0</v>
      </c>
      <c r="L50" s="96">
        <v>4250</v>
      </c>
      <c r="M50" s="96">
        <v>4114.7700000000004</v>
      </c>
      <c r="N50" s="96">
        <v>2921.43</v>
      </c>
      <c r="O50" s="96">
        <v>0</v>
      </c>
      <c r="S50" s="96">
        <v>4549.2594278400002</v>
      </c>
      <c r="T50" s="96">
        <v>3934</v>
      </c>
      <c r="U50" s="96">
        <v>4301</v>
      </c>
      <c r="V50" s="96">
        <v>3988</v>
      </c>
      <c r="W50" s="96">
        <v>0</v>
      </c>
      <c r="X50" s="96">
        <v>3934</v>
      </c>
    </row>
    <row r="51" spans="2:24">
      <c r="B51" s="61" t="s">
        <v>294</v>
      </c>
      <c r="G51" s="96">
        <v>6658.95</v>
      </c>
      <c r="H51" s="96">
        <v>8614</v>
      </c>
      <c r="I51" s="241">
        <f>IFERROR((SUMPRODUCT('PRD Volumes AD (2009-2012)'!S220:T220, 'TAR2013 Tarieven AD'!S51:T51)/('PRD Volumes AD (2009-2012)'!S220+'PRD Volumes AD (2009-2012)'!T220)),0)</f>
        <v>5587.971690860747</v>
      </c>
      <c r="J51" s="241">
        <f>IFERROR((SUMPRODUCT('PRD Volumes AD (2009-2012)'!U220:V220, 'TAR2013 Tarieven AD'!U51:V51)/('PRD Volumes AD (2009-2012)'!U220+'PRD Volumes AD (2009-2012)'!V220)),0)</f>
        <v>6333.2915084557908</v>
      </c>
      <c r="K51" s="241">
        <f>IFERROR((SUMPRODUCT('PRD Volumes AD (2009-2012)'!W220:X220, 'TAR2013 Tarieven AD'!W51:X51)/('PRD Volumes AD (2009-2012)'!W220+'PRD Volumes AD (2009-2012)'!X220)),0)</f>
        <v>0</v>
      </c>
      <c r="L51" s="96">
        <v>7390</v>
      </c>
      <c r="M51" s="96">
        <v>5917.86</v>
      </c>
      <c r="N51" s="96">
        <v>3746.57</v>
      </c>
      <c r="O51" s="96">
        <v>0</v>
      </c>
      <c r="S51" s="96">
        <v>6153.9087974399999</v>
      </c>
      <c r="T51" s="96">
        <v>5022</v>
      </c>
      <c r="U51" s="96">
        <v>6349</v>
      </c>
      <c r="V51" s="96">
        <v>6176</v>
      </c>
      <c r="W51" s="96">
        <v>0</v>
      </c>
      <c r="X51" s="96">
        <v>5022</v>
      </c>
    </row>
    <row r="52" spans="2:24">
      <c r="B52" s="61" t="s">
        <v>295</v>
      </c>
      <c r="G52" s="96">
        <v>0</v>
      </c>
      <c r="H52" s="96">
        <v>0</v>
      </c>
      <c r="I52" s="241">
        <f>IFERROR((SUMPRODUCT('PRD Volumes AD (2009-2012)'!S221:T221, 'TAR2013 Tarieven AD'!S52:T52)/('PRD Volumes AD (2009-2012)'!S221+'PRD Volumes AD (2009-2012)'!T221)),0)</f>
        <v>0</v>
      </c>
      <c r="J52" s="241">
        <f>IFERROR((SUMPRODUCT('PRD Volumes AD (2009-2012)'!U221:V221, 'TAR2013 Tarieven AD'!U52:V52)/('PRD Volumes AD (2009-2012)'!U221+'PRD Volumes AD (2009-2012)'!V221)),0)</f>
        <v>8576</v>
      </c>
      <c r="K52" s="241">
        <f>IFERROR((SUMPRODUCT('PRD Volumes AD (2009-2012)'!W221:X221, 'TAR2013 Tarieven AD'!W52:X52)/('PRD Volumes AD (2009-2012)'!W221+'PRD Volumes AD (2009-2012)'!X221)),0)</f>
        <v>0</v>
      </c>
      <c r="L52" s="96">
        <v>0</v>
      </c>
      <c r="M52" s="96">
        <v>0</v>
      </c>
      <c r="N52" s="96">
        <v>17249.830000000002</v>
      </c>
      <c r="O52" s="96">
        <v>0</v>
      </c>
      <c r="S52" s="96">
        <v>0</v>
      </c>
      <c r="T52" s="96">
        <v>0</v>
      </c>
      <c r="U52" s="96">
        <v>8576</v>
      </c>
      <c r="V52" s="96">
        <v>7155</v>
      </c>
      <c r="W52" s="96">
        <v>0</v>
      </c>
      <c r="X52" s="96">
        <v>0</v>
      </c>
    </row>
    <row r="53" spans="2:24">
      <c r="B53" s="26" t="s">
        <v>296</v>
      </c>
      <c r="G53" s="96">
        <v>0</v>
      </c>
      <c r="H53" s="96">
        <v>16044</v>
      </c>
      <c r="I53" s="241">
        <f>IFERROR((SUMPRODUCT('PRD Volumes AD (2009-2012)'!S222:T222, 'TAR2013 Tarieven AD'!S53:T53)/('PRD Volumes AD (2009-2012)'!S222+'PRD Volumes AD (2009-2012)'!T222)),0)</f>
        <v>0</v>
      </c>
      <c r="J53" s="241">
        <f>IFERROR((SUMPRODUCT('PRD Volumes AD (2009-2012)'!U222:V222, 'TAR2013 Tarieven AD'!U53:V53)/('PRD Volumes AD (2009-2012)'!U222+'PRD Volumes AD (2009-2012)'!V222)),0)</f>
        <v>0</v>
      </c>
      <c r="K53" s="241">
        <f>IFERROR((SUMPRODUCT('PRD Volumes AD (2009-2012)'!W222:X222, 'TAR2013 Tarieven AD'!W53:X53)/('PRD Volumes AD (2009-2012)'!W222+'PRD Volumes AD (2009-2012)'!X222)),0)</f>
        <v>0</v>
      </c>
      <c r="L53" s="96">
        <v>0</v>
      </c>
      <c r="M53" s="96">
        <v>0</v>
      </c>
      <c r="N53" s="96">
        <v>17249.830000000002</v>
      </c>
      <c r="O53" s="96">
        <v>0</v>
      </c>
      <c r="S53" s="96">
        <v>0</v>
      </c>
      <c r="T53" s="96">
        <v>0</v>
      </c>
      <c r="U53" s="96">
        <v>0</v>
      </c>
      <c r="V53" s="96">
        <v>0</v>
      </c>
      <c r="W53" s="96">
        <v>0</v>
      </c>
      <c r="X53" s="96">
        <v>0</v>
      </c>
    </row>
    <row r="54" spans="2:24">
      <c r="B54" s="61" t="s">
        <v>297</v>
      </c>
      <c r="G54" s="96">
        <v>0</v>
      </c>
      <c r="H54" s="96">
        <v>0</v>
      </c>
      <c r="I54" s="241">
        <f>IFERROR((SUMPRODUCT('PRD Volumes AD (2009-2012)'!S223:T223, 'TAR2013 Tarieven AD'!S54:T54)/('PRD Volumes AD (2009-2012)'!S223+'PRD Volumes AD (2009-2012)'!T223)),0)</f>
        <v>0</v>
      </c>
      <c r="J54" s="241">
        <f>IFERROR((SUMPRODUCT('PRD Volumes AD (2009-2012)'!U223:V223, 'TAR2013 Tarieven AD'!U54:V54)/('PRD Volumes AD (2009-2012)'!U223+'PRD Volumes AD (2009-2012)'!V223)),0)</f>
        <v>0</v>
      </c>
      <c r="K54" s="241">
        <f>IFERROR((SUMPRODUCT('PRD Volumes AD (2009-2012)'!W223:X223, 'TAR2013 Tarieven AD'!W54:X54)/('PRD Volumes AD (2009-2012)'!W223+'PRD Volumes AD (2009-2012)'!X223)),0)</f>
        <v>0</v>
      </c>
      <c r="L54" s="96">
        <v>0</v>
      </c>
      <c r="M54" s="96">
        <v>0</v>
      </c>
      <c r="N54" s="96">
        <v>17249.830000000002</v>
      </c>
      <c r="O54" s="96">
        <v>0</v>
      </c>
      <c r="S54" s="96">
        <v>0</v>
      </c>
      <c r="T54" s="96">
        <v>0</v>
      </c>
      <c r="U54" s="96">
        <v>0</v>
      </c>
      <c r="V54" s="96">
        <v>0</v>
      </c>
      <c r="W54" s="96">
        <v>0</v>
      </c>
      <c r="X54" s="96">
        <v>0</v>
      </c>
    </row>
    <row r="55" spans="2:24">
      <c r="B55" s="61" t="s">
        <v>298</v>
      </c>
      <c r="G55" s="96">
        <v>0</v>
      </c>
      <c r="H55" s="96">
        <v>0</v>
      </c>
      <c r="I55" s="241">
        <f>IFERROR((SUMPRODUCT('PRD Volumes AD (2009-2012)'!S224:T224, 'TAR2013 Tarieven AD'!S55:T55)/('PRD Volumes AD (2009-2012)'!S224+'PRD Volumes AD (2009-2012)'!T224)),0)</f>
        <v>0</v>
      </c>
      <c r="J55" s="241">
        <f>IFERROR((SUMPRODUCT('PRD Volumes AD (2009-2012)'!U224:V224, 'TAR2013 Tarieven AD'!U55:V55)/('PRD Volumes AD (2009-2012)'!U224+'PRD Volumes AD (2009-2012)'!V224)),0)</f>
        <v>0</v>
      </c>
      <c r="K55" s="241">
        <f>IFERROR((SUMPRODUCT('PRD Volumes AD (2009-2012)'!W224:X224, 'TAR2013 Tarieven AD'!W55:X55)/('PRD Volumes AD (2009-2012)'!W224+'PRD Volumes AD (2009-2012)'!X224)),0)</f>
        <v>0</v>
      </c>
      <c r="L55" s="96">
        <v>0</v>
      </c>
      <c r="M55" s="96">
        <v>0</v>
      </c>
      <c r="N55" s="96">
        <v>0</v>
      </c>
      <c r="O55" s="96">
        <v>0</v>
      </c>
      <c r="S55" s="96">
        <v>0</v>
      </c>
      <c r="T55" s="96">
        <v>0</v>
      </c>
      <c r="U55" s="96">
        <v>0</v>
      </c>
      <c r="V55" s="96">
        <v>0</v>
      </c>
      <c r="W55" s="96">
        <v>0</v>
      </c>
      <c r="X55" s="96">
        <v>0</v>
      </c>
    </row>
    <row r="56" spans="2:24">
      <c r="B56" s="61" t="s">
        <v>299</v>
      </c>
      <c r="G56" s="96">
        <v>0</v>
      </c>
      <c r="H56" s="96">
        <v>0</v>
      </c>
      <c r="I56" s="241">
        <f>IFERROR((SUMPRODUCT('PRD Volumes AD (2009-2012)'!S225:T225, 'TAR2013 Tarieven AD'!S56:T56)/('PRD Volumes AD (2009-2012)'!S225+'PRD Volumes AD (2009-2012)'!T225)),0)</f>
        <v>0</v>
      </c>
      <c r="J56" s="241">
        <f>IFERROR((SUMPRODUCT('PRD Volumes AD (2009-2012)'!U225:V225, 'TAR2013 Tarieven AD'!U56:V56)/('PRD Volumes AD (2009-2012)'!U225+'PRD Volumes AD (2009-2012)'!V225)),0)</f>
        <v>0</v>
      </c>
      <c r="K56" s="241">
        <f>IFERROR((SUMPRODUCT('PRD Volumes AD (2009-2012)'!W225:X225, 'TAR2013 Tarieven AD'!W56:X56)/('PRD Volumes AD (2009-2012)'!W225+'PRD Volumes AD (2009-2012)'!X225)),0)</f>
        <v>0</v>
      </c>
      <c r="L56" s="96">
        <v>0</v>
      </c>
      <c r="M56" s="96">
        <v>0</v>
      </c>
      <c r="N56" s="96">
        <v>0</v>
      </c>
      <c r="O56" s="96">
        <v>0</v>
      </c>
      <c r="S56" s="96">
        <v>0</v>
      </c>
      <c r="T56" s="96">
        <v>0</v>
      </c>
      <c r="U56" s="96">
        <v>0</v>
      </c>
      <c r="V56" s="96">
        <v>0</v>
      </c>
      <c r="W56" s="96">
        <v>0</v>
      </c>
      <c r="X56" s="96">
        <v>0</v>
      </c>
    </row>
    <row r="57" spans="2:24">
      <c r="B57" s="23" t="s">
        <v>300</v>
      </c>
      <c r="G57" s="96">
        <v>0</v>
      </c>
      <c r="H57" s="96">
        <v>0</v>
      </c>
      <c r="I57" s="241">
        <f>IFERROR((SUMPRODUCT('PRD Volumes AD (2009-2012)'!S226:T226, 'TAR2013 Tarieven AD'!S57:T57)/('PRD Volumes AD (2009-2012)'!S226+'PRD Volumes AD (2009-2012)'!T226)),0)</f>
        <v>0</v>
      </c>
      <c r="J57" s="241">
        <f>IFERROR((SUMPRODUCT('PRD Volumes AD (2009-2012)'!U226:V226, 'TAR2013 Tarieven AD'!U57:V57)/('PRD Volumes AD (2009-2012)'!U226+'PRD Volumes AD (2009-2012)'!V226)),0)</f>
        <v>0</v>
      </c>
      <c r="K57" s="241">
        <f>IFERROR((SUMPRODUCT('PRD Volumes AD (2009-2012)'!W226:X226, 'TAR2013 Tarieven AD'!W57:X57)/('PRD Volumes AD (2009-2012)'!W226+'PRD Volumes AD (2009-2012)'!X226)),0)</f>
        <v>0</v>
      </c>
      <c r="L57" s="96">
        <v>0</v>
      </c>
      <c r="M57" s="96">
        <v>0</v>
      </c>
      <c r="N57" s="96">
        <v>0</v>
      </c>
      <c r="O57" s="96">
        <v>0</v>
      </c>
      <c r="S57" s="96">
        <v>0</v>
      </c>
      <c r="T57" s="96">
        <v>0</v>
      </c>
      <c r="U57" s="96">
        <v>0</v>
      </c>
      <c r="V57" s="96">
        <v>0</v>
      </c>
      <c r="W57" s="96">
        <v>0</v>
      </c>
      <c r="X57" s="96">
        <v>0</v>
      </c>
    </row>
    <row r="58" spans="2:24">
      <c r="B58" s="23" t="s">
        <v>301</v>
      </c>
      <c r="G58" s="96">
        <v>0</v>
      </c>
      <c r="H58" s="96">
        <v>0</v>
      </c>
      <c r="I58" s="241">
        <f>IFERROR((SUMPRODUCT('PRD Volumes AD (2009-2012)'!S227:T227, 'TAR2013 Tarieven AD'!S58:T58)/('PRD Volumes AD (2009-2012)'!S227+'PRD Volumes AD (2009-2012)'!T227)),0)</f>
        <v>0</v>
      </c>
      <c r="J58" s="241">
        <f>IFERROR((SUMPRODUCT('PRD Volumes AD (2009-2012)'!U227:V227, 'TAR2013 Tarieven AD'!U58:V58)/('PRD Volumes AD (2009-2012)'!U227+'PRD Volumes AD (2009-2012)'!V227)),0)</f>
        <v>0</v>
      </c>
      <c r="K58" s="241">
        <f>IFERROR((SUMPRODUCT('PRD Volumes AD (2009-2012)'!W227:X227, 'TAR2013 Tarieven AD'!W58:X58)/('PRD Volumes AD (2009-2012)'!W227+'PRD Volumes AD (2009-2012)'!X227)),0)</f>
        <v>0</v>
      </c>
      <c r="L58" s="96">
        <v>0</v>
      </c>
      <c r="M58" s="96">
        <v>0</v>
      </c>
      <c r="N58" s="96">
        <v>0</v>
      </c>
      <c r="O58" s="96">
        <v>0</v>
      </c>
      <c r="S58" s="96">
        <v>0</v>
      </c>
      <c r="T58" s="96">
        <v>0</v>
      </c>
      <c r="U58" s="96">
        <v>0</v>
      </c>
      <c r="V58" s="96">
        <v>0</v>
      </c>
      <c r="W58" s="96">
        <v>0</v>
      </c>
      <c r="X58" s="96">
        <v>0</v>
      </c>
    </row>
    <row r="59" spans="2:24">
      <c r="B59" s="23"/>
      <c r="G59" s="82"/>
      <c r="H59" s="82"/>
      <c r="I59" s="82"/>
      <c r="J59" s="82"/>
      <c r="K59" s="82"/>
      <c r="L59" s="82"/>
      <c r="M59" s="82"/>
      <c r="N59" s="82"/>
      <c r="U59" s="82"/>
    </row>
    <row r="60" spans="2:24">
      <c r="B60" s="108" t="s">
        <v>289</v>
      </c>
      <c r="G60" s="82"/>
      <c r="H60" s="82"/>
      <c r="I60" s="82"/>
      <c r="J60" s="82"/>
      <c r="K60" s="82"/>
      <c r="L60" s="82"/>
      <c r="M60" s="82"/>
      <c r="N60" s="82"/>
      <c r="U60" s="82"/>
    </row>
    <row r="61" spans="2:24">
      <c r="B61" s="61" t="s">
        <v>292</v>
      </c>
      <c r="G61" s="96">
        <v>0</v>
      </c>
      <c r="H61" s="96">
        <v>0</v>
      </c>
      <c r="I61" s="241">
        <f>IFERROR((SUMPRODUCT('PRD Volumes AD (2009-2012)'!S230:T230, 'TAR2013 Tarieven AD'!S61:T61)/('PRD Volumes AD (2009-2012)'!S230+'PRD Volumes AD (2009-2012)'!T230)),0)</f>
        <v>0</v>
      </c>
      <c r="J61" s="241">
        <f>IFERROR((SUMPRODUCT('PRD Volumes AD (2009-2012)'!U230:V230, 'TAR2013 Tarieven AD'!U61:V61)/('PRD Volumes AD (2009-2012)'!U230+'PRD Volumes AD (2009-2012)'!V230)),0)</f>
        <v>0</v>
      </c>
      <c r="K61" s="241">
        <f>IFERROR((SUMPRODUCT('PRD Volumes AD (2009-2012)'!W230:X230, 'TAR2013 Tarieven AD'!W61:X61)/('PRD Volumes AD (2009-2012)'!W230+'PRD Volumes AD (2009-2012)'!X230)),0)</f>
        <v>0</v>
      </c>
      <c r="L61" s="96">
        <v>4250</v>
      </c>
      <c r="M61" s="96">
        <v>7323</v>
      </c>
      <c r="N61" s="96">
        <v>0</v>
      </c>
      <c r="O61" s="96">
        <v>0</v>
      </c>
      <c r="S61" s="96">
        <v>3997.8273177600004</v>
      </c>
      <c r="T61" s="96">
        <v>3718</v>
      </c>
      <c r="U61" s="96">
        <v>0</v>
      </c>
      <c r="V61" s="96">
        <v>0</v>
      </c>
      <c r="W61" s="96">
        <v>0</v>
      </c>
      <c r="X61" s="96">
        <v>3718</v>
      </c>
    </row>
    <row r="62" spans="2:24">
      <c r="B62" s="61" t="s">
        <v>293</v>
      </c>
      <c r="G62" s="96">
        <v>17962.13</v>
      </c>
      <c r="H62" s="96">
        <v>0</v>
      </c>
      <c r="I62" s="241">
        <f>IFERROR((SUMPRODUCT('PRD Volumes AD (2009-2012)'!S231:T231, 'TAR2013 Tarieven AD'!S62:T62)/('PRD Volumes AD (2009-2012)'!S231+'PRD Volumes AD (2009-2012)'!T231)),0)</f>
        <v>3934</v>
      </c>
      <c r="J62" s="241">
        <f>IFERROR((SUMPRODUCT('PRD Volumes AD (2009-2012)'!U231:V231, 'TAR2013 Tarieven AD'!U62:V62)/('PRD Volumes AD (2009-2012)'!U231+'PRD Volumes AD (2009-2012)'!V231)),0)</f>
        <v>0</v>
      </c>
      <c r="K62" s="241">
        <f>IFERROR((SUMPRODUCT('PRD Volumes AD (2009-2012)'!W231:X231, 'TAR2013 Tarieven AD'!W62:X62)/('PRD Volumes AD (2009-2012)'!W231+'PRD Volumes AD (2009-2012)'!X231)),0)</f>
        <v>0</v>
      </c>
      <c r="L62" s="96">
        <v>4250</v>
      </c>
      <c r="M62" s="96">
        <v>13183</v>
      </c>
      <c r="N62" s="96">
        <v>0</v>
      </c>
      <c r="O62" s="96">
        <v>0</v>
      </c>
      <c r="S62" s="96">
        <v>4549.2594278400002</v>
      </c>
      <c r="T62" s="96">
        <v>3934</v>
      </c>
      <c r="U62" s="96">
        <v>0</v>
      </c>
      <c r="V62" s="96">
        <v>0</v>
      </c>
      <c r="W62" s="96">
        <v>0</v>
      </c>
      <c r="X62" s="96">
        <v>3934</v>
      </c>
    </row>
    <row r="63" spans="2:24">
      <c r="B63" s="61" t="s">
        <v>294</v>
      </c>
      <c r="G63" s="96">
        <v>0</v>
      </c>
      <c r="H63" s="96">
        <v>0</v>
      </c>
      <c r="I63" s="241">
        <f>IFERROR((SUMPRODUCT('PRD Volumes AD (2009-2012)'!S232:T232, 'TAR2013 Tarieven AD'!S63:T63)/('PRD Volumes AD (2009-2012)'!S232+'PRD Volumes AD (2009-2012)'!T232)),0)</f>
        <v>5022</v>
      </c>
      <c r="J63" s="241">
        <f>IFERROR((SUMPRODUCT('PRD Volumes AD (2009-2012)'!U232:V232, 'TAR2013 Tarieven AD'!U63:V63)/('PRD Volumes AD (2009-2012)'!U232+'PRD Volumes AD (2009-2012)'!V232)),0)</f>
        <v>0</v>
      </c>
      <c r="K63" s="241">
        <f>IFERROR((SUMPRODUCT('PRD Volumes AD (2009-2012)'!W232:X232, 'TAR2013 Tarieven AD'!W63:X63)/('PRD Volumes AD (2009-2012)'!W232+'PRD Volumes AD (2009-2012)'!X232)),0)</f>
        <v>14714</v>
      </c>
      <c r="L63" s="96">
        <v>7390</v>
      </c>
      <c r="M63" s="96">
        <v>13484</v>
      </c>
      <c r="N63" s="96">
        <v>0</v>
      </c>
      <c r="O63" s="96">
        <v>0</v>
      </c>
      <c r="S63" s="96">
        <v>6153.9087974399999</v>
      </c>
      <c r="T63" s="96">
        <v>5022</v>
      </c>
      <c r="U63" s="96">
        <v>0</v>
      </c>
      <c r="V63" s="96">
        <v>0</v>
      </c>
      <c r="W63" s="96">
        <v>14714</v>
      </c>
      <c r="X63" s="96">
        <v>5022</v>
      </c>
    </row>
    <row r="64" spans="2:24">
      <c r="B64" s="61" t="s">
        <v>295</v>
      </c>
      <c r="G64" s="96">
        <v>0</v>
      </c>
      <c r="H64" s="96">
        <v>0</v>
      </c>
      <c r="I64" s="241">
        <f>IFERROR((SUMPRODUCT('PRD Volumes AD (2009-2012)'!S233:T233, 'TAR2013 Tarieven AD'!S64:T64)/('PRD Volumes AD (2009-2012)'!S233+'PRD Volumes AD (2009-2012)'!T233)),0)</f>
        <v>0</v>
      </c>
      <c r="J64" s="241">
        <f>IFERROR((SUMPRODUCT('PRD Volumes AD (2009-2012)'!U233:V233, 'TAR2013 Tarieven AD'!U64:V64)/('PRD Volumes AD (2009-2012)'!U233+'PRD Volumes AD (2009-2012)'!V233)),0)</f>
        <v>0</v>
      </c>
      <c r="K64" s="241">
        <f>IFERROR((SUMPRODUCT('PRD Volumes AD (2009-2012)'!W233:X233, 'TAR2013 Tarieven AD'!W64:X64)/('PRD Volumes AD (2009-2012)'!W233+'PRD Volumes AD (2009-2012)'!X233)),0)</f>
        <v>36075</v>
      </c>
      <c r="L64" s="96">
        <v>0</v>
      </c>
      <c r="M64" s="96">
        <v>0</v>
      </c>
      <c r="N64" s="96">
        <v>0</v>
      </c>
      <c r="O64" s="96">
        <v>0</v>
      </c>
      <c r="S64" s="96">
        <v>0</v>
      </c>
      <c r="T64" s="96">
        <v>0</v>
      </c>
      <c r="U64" s="96">
        <v>0</v>
      </c>
      <c r="V64" s="96">
        <v>0</v>
      </c>
      <c r="W64" s="96">
        <v>36075</v>
      </c>
      <c r="X64" s="96">
        <v>0</v>
      </c>
    </row>
    <row r="65" spans="2:24">
      <c r="B65" s="26" t="s">
        <v>296</v>
      </c>
      <c r="G65" s="96">
        <v>0</v>
      </c>
      <c r="H65" s="96">
        <v>0</v>
      </c>
      <c r="I65" s="241">
        <f>IFERROR((SUMPRODUCT('PRD Volumes AD (2009-2012)'!S234:T234, 'TAR2013 Tarieven AD'!S65:T65)/('PRD Volumes AD (2009-2012)'!S234+'PRD Volumes AD (2009-2012)'!T234)),0)</f>
        <v>0</v>
      </c>
      <c r="J65" s="241">
        <f>IFERROR((SUMPRODUCT('PRD Volumes AD (2009-2012)'!U234:V234, 'TAR2013 Tarieven AD'!U65:V65)/('PRD Volumes AD (2009-2012)'!U234+'PRD Volumes AD (2009-2012)'!V234)),0)</f>
        <v>0</v>
      </c>
      <c r="K65" s="241">
        <f>IFERROR((SUMPRODUCT('PRD Volumes AD (2009-2012)'!W234:X234, 'TAR2013 Tarieven AD'!W65:X65)/('PRD Volumes AD (2009-2012)'!W234+'PRD Volumes AD (2009-2012)'!X234)),0)</f>
        <v>34600</v>
      </c>
      <c r="L65" s="96">
        <v>0</v>
      </c>
      <c r="M65" s="96">
        <v>0</v>
      </c>
      <c r="N65" s="96">
        <v>0</v>
      </c>
      <c r="O65" s="96">
        <v>0</v>
      </c>
      <c r="S65" s="96">
        <v>0</v>
      </c>
      <c r="T65" s="96">
        <v>0</v>
      </c>
      <c r="U65" s="96">
        <v>0</v>
      </c>
      <c r="V65" s="96">
        <v>0</v>
      </c>
      <c r="W65" s="96">
        <v>34600</v>
      </c>
      <c r="X65" s="96">
        <v>0</v>
      </c>
    </row>
    <row r="66" spans="2:24">
      <c r="B66" s="61" t="s">
        <v>297</v>
      </c>
      <c r="G66" s="96">
        <v>0</v>
      </c>
      <c r="H66" s="96">
        <v>0</v>
      </c>
      <c r="I66" s="241">
        <f>IFERROR((SUMPRODUCT('PRD Volumes AD (2009-2012)'!S235:T235, 'TAR2013 Tarieven AD'!S66:T66)/('PRD Volumes AD (2009-2012)'!S235+'PRD Volumes AD (2009-2012)'!T235)),0)</f>
        <v>0</v>
      </c>
      <c r="J66" s="241">
        <f>IFERROR((SUMPRODUCT('PRD Volumes AD (2009-2012)'!U235:V235, 'TAR2013 Tarieven AD'!U66:V66)/('PRD Volumes AD (2009-2012)'!U235+'PRD Volumes AD (2009-2012)'!V235)),0)</f>
        <v>0</v>
      </c>
      <c r="K66" s="241">
        <f>IFERROR((SUMPRODUCT('PRD Volumes AD (2009-2012)'!W235:X235, 'TAR2013 Tarieven AD'!W66:X66)/('PRD Volumes AD (2009-2012)'!W235+'PRD Volumes AD (2009-2012)'!X235)),0)</f>
        <v>52427</v>
      </c>
      <c r="L66" s="96">
        <v>0</v>
      </c>
      <c r="M66" s="96">
        <v>0</v>
      </c>
      <c r="N66" s="96">
        <v>0</v>
      </c>
      <c r="O66" s="96">
        <v>0</v>
      </c>
      <c r="S66" s="96">
        <v>0</v>
      </c>
      <c r="T66" s="96">
        <v>0</v>
      </c>
      <c r="U66" s="96">
        <v>0</v>
      </c>
      <c r="V66" s="96">
        <v>0</v>
      </c>
      <c r="W66" s="96">
        <v>52427</v>
      </c>
      <c r="X66" s="96">
        <v>0</v>
      </c>
    </row>
    <row r="67" spans="2:24">
      <c r="B67" s="61" t="s">
        <v>298</v>
      </c>
      <c r="G67" s="96">
        <v>0</v>
      </c>
      <c r="H67" s="96">
        <v>0</v>
      </c>
      <c r="I67" s="241">
        <f>IFERROR((SUMPRODUCT('PRD Volumes AD (2009-2012)'!S236:T236, 'TAR2013 Tarieven AD'!S67:T67)/('PRD Volumes AD (2009-2012)'!S236+'PRD Volumes AD (2009-2012)'!T236)),0)</f>
        <v>0</v>
      </c>
      <c r="J67" s="241">
        <f>IFERROR((SUMPRODUCT('PRD Volumes AD (2009-2012)'!U236:V236, 'TAR2013 Tarieven AD'!U67:V67)/('PRD Volumes AD (2009-2012)'!U236+'PRD Volumes AD (2009-2012)'!V236)),0)</f>
        <v>0</v>
      </c>
      <c r="K67" s="241">
        <f>IFERROR((SUMPRODUCT('PRD Volumes AD (2009-2012)'!W236:X236, 'TAR2013 Tarieven AD'!W67:X67)/('PRD Volumes AD (2009-2012)'!W236+'PRD Volumes AD (2009-2012)'!X236)),0)</f>
        <v>52427</v>
      </c>
      <c r="L67" s="96">
        <v>0</v>
      </c>
      <c r="M67" s="96">
        <v>0</v>
      </c>
      <c r="N67" s="96">
        <v>0</v>
      </c>
      <c r="O67" s="96">
        <v>0</v>
      </c>
      <c r="S67" s="96">
        <v>0</v>
      </c>
      <c r="T67" s="96">
        <v>0</v>
      </c>
      <c r="U67" s="96">
        <v>0</v>
      </c>
      <c r="V67" s="96">
        <v>0</v>
      </c>
      <c r="W67" s="96">
        <v>52427</v>
      </c>
      <c r="X67" s="96">
        <v>0</v>
      </c>
    </row>
    <row r="68" spans="2:24">
      <c r="B68" s="61" t="s">
        <v>299</v>
      </c>
      <c r="G68" s="96">
        <v>0</v>
      </c>
      <c r="H68" s="96">
        <v>0</v>
      </c>
      <c r="I68" s="241">
        <f>IFERROR((SUMPRODUCT('PRD Volumes AD (2009-2012)'!S237:T237, 'TAR2013 Tarieven AD'!S68:T68)/('PRD Volumes AD (2009-2012)'!S237+'PRD Volumes AD (2009-2012)'!T237)),0)</f>
        <v>0</v>
      </c>
      <c r="J68" s="241">
        <f>IFERROR((SUMPRODUCT('PRD Volumes AD (2009-2012)'!U237:V237, 'TAR2013 Tarieven AD'!U68:V68)/('PRD Volumes AD (2009-2012)'!U237+'PRD Volumes AD (2009-2012)'!V237)),0)</f>
        <v>0</v>
      </c>
      <c r="K68" s="241">
        <f>IFERROR((SUMPRODUCT('PRD Volumes AD (2009-2012)'!W237:X237, 'TAR2013 Tarieven AD'!W68:X68)/('PRD Volumes AD (2009-2012)'!W237+'PRD Volumes AD (2009-2012)'!X237)),0)</f>
        <v>0</v>
      </c>
      <c r="L68" s="96">
        <v>0</v>
      </c>
      <c r="M68" s="96">
        <v>0</v>
      </c>
      <c r="N68" s="96">
        <v>0</v>
      </c>
      <c r="O68" s="96">
        <v>0</v>
      </c>
      <c r="S68" s="96">
        <v>0</v>
      </c>
      <c r="T68" s="96">
        <v>0</v>
      </c>
      <c r="U68" s="96">
        <v>0</v>
      </c>
      <c r="V68" s="96">
        <v>0</v>
      </c>
      <c r="W68" s="96">
        <v>0</v>
      </c>
      <c r="X68" s="96">
        <v>0</v>
      </c>
    </row>
    <row r="69" spans="2:24">
      <c r="B69" s="23" t="s">
        <v>300</v>
      </c>
      <c r="G69" s="96">
        <v>0</v>
      </c>
      <c r="H69" s="96">
        <v>0</v>
      </c>
      <c r="I69" s="241">
        <f>IFERROR((SUMPRODUCT('PRD Volumes AD (2009-2012)'!S238:T238, 'TAR2013 Tarieven AD'!S69:T69)/('PRD Volumes AD (2009-2012)'!S238+'PRD Volumes AD (2009-2012)'!T238)),0)</f>
        <v>0</v>
      </c>
      <c r="J69" s="241">
        <f>IFERROR((SUMPRODUCT('PRD Volumes AD (2009-2012)'!U238:V238, 'TAR2013 Tarieven AD'!U69:V69)/('PRD Volumes AD (2009-2012)'!U238+'PRD Volumes AD (2009-2012)'!V238)),0)</f>
        <v>0</v>
      </c>
      <c r="K69" s="241">
        <f>IFERROR((SUMPRODUCT('PRD Volumes AD (2009-2012)'!W238:X238, 'TAR2013 Tarieven AD'!W69:X69)/('PRD Volumes AD (2009-2012)'!W238+'PRD Volumes AD (2009-2012)'!X238)),0)</f>
        <v>0</v>
      </c>
      <c r="L69" s="96">
        <v>0</v>
      </c>
      <c r="M69" s="96">
        <v>0</v>
      </c>
      <c r="N69" s="96">
        <v>0</v>
      </c>
      <c r="O69" s="96">
        <v>0</v>
      </c>
      <c r="S69" s="96">
        <v>0</v>
      </c>
      <c r="T69" s="96">
        <v>0</v>
      </c>
      <c r="U69" s="96">
        <v>0</v>
      </c>
      <c r="V69" s="96">
        <v>0</v>
      </c>
      <c r="W69" s="96">
        <v>0</v>
      </c>
      <c r="X69" s="96">
        <v>0</v>
      </c>
    </row>
    <row r="70" spans="2:24">
      <c r="B70" s="23" t="s">
        <v>301</v>
      </c>
      <c r="G70" s="96">
        <v>0</v>
      </c>
      <c r="H70" s="96">
        <v>0</v>
      </c>
      <c r="I70" s="241">
        <f>IFERROR((SUMPRODUCT('PRD Volumes AD (2009-2012)'!S239:T239, 'TAR2013 Tarieven AD'!S70:T70)/('PRD Volumes AD (2009-2012)'!S239+'PRD Volumes AD (2009-2012)'!T239)),0)</f>
        <v>0</v>
      </c>
      <c r="J70" s="241">
        <f>IFERROR((SUMPRODUCT('PRD Volumes AD (2009-2012)'!U239:V239, 'TAR2013 Tarieven AD'!U70:V70)/('PRD Volumes AD (2009-2012)'!U239+'PRD Volumes AD (2009-2012)'!V239)),0)</f>
        <v>0</v>
      </c>
      <c r="K70" s="241">
        <f>IFERROR((SUMPRODUCT('PRD Volumes AD (2009-2012)'!W239:X239, 'TAR2013 Tarieven AD'!W70:X70)/('PRD Volumes AD (2009-2012)'!W239+'PRD Volumes AD (2009-2012)'!X239)),0)</f>
        <v>0</v>
      </c>
      <c r="L70" s="96">
        <v>0</v>
      </c>
      <c r="M70" s="96">
        <v>0</v>
      </c>
      <c r="N70" s="96">
        <v>0</v>
      </c>
      <c r="O70" s="96">
        <v>0</v>
      </c>
      <c r="S70" s="96">
        <v>0</v>
      </c>
      <c r="T70" s="96">
        <v>0</v>
      </c>
      <c r="U70" s="96">
        <v>0</v>
      </c>
      <c r="V70" s="96">
        <v>0</v>
      </c>
      <c r="W70" s="96">
        <v>0</v>
      </c>
      <c r="X70" s="96">
        <v>0</v>
      </c>
    </row>
    <row r="71" spans="2:24">
      <c r="B71" s="23"/>
      <c r="G71" s="82"/>
      <c r="H71" s="82"/>
      <c r="I71" s="82"/>
      <c r="J71" s="82"/>
      <c r="K71" s="82"/>
      <c r="L71" s="82"/>
      <c r="M71" s="82"/>
      <c r="N71" s="82"/>
      <c r="U71" s="82"/>
    </row>
    <row r="72" spans="2:24">
      <c r="B72" s="108" t="s">
        <v>290</v>
      </c>
      <c r="G72" s="82"/>
      <c r="H72" s="82"/>
      <c r="I72" s="82"/>
      <c r="J72" s="82"/>
      <c r="K72" s="82"/>
      <c r="L72" s="82"/>
      <c r="M72" s="82"/>
      <c r="N72" s="82"/>
      <c r="U72" s="82"/>
    </row>
    <row r="73" spans="2:24">
      <c r="B73" s="23" t="s">
        <v>302</v>
      </c>
      <c r="G73" s="112"/>
      <c r="H73" s="96">
        <v>0</v>
      </c>
      <c r="I73" s="112"/>
      <c r="J73" s="241">
        <f>IFERROR((SUMPRODUCT('PRD Volumes AD (2009-2012)'!U242:V242, 'TAR2013 Tarieven AD'!U73:V73)/('PRD Volumes AD (2009-2012)'!U242+'PRD Volumes AD (2009-2012)'!V242)),0)</f>
        <v>0</v>
      </c>
      <c r="K73" s="112"/>
      <c r="L73" s="112"/>
      <c r="M73" s="112"/>
      <c r="N73" s="112"/>
      <c r="O73" s="96">
        <v>0</v>
      </c>
      <c r="U73" s="96">
        <v>0</v>
      </c>
    </row>
    <row r="74" spans="2:24">
      <c r="B74" s="22"/>
      <c r="O74"/>
    </row>
    <row r="75" spans="2:24">
      <c r="B75" s="22"/>
      <c r="O75"/>
    </row>
    <row r="76" spans="2:24" s="2" customFormat="1">
      <c r="B76" s="2" t="s">
        <v>319</v>
      </c>
      <c r="F76" s="49"/>
      <c r="S76" s="113"/>
      <c r="T76" s="113"/>
      <c r="U76" s="240"/>
      <c r="V76" s="113"/>
      <c r="W76" s="113"/>
      <c r="X76" s="113"/>
    </row>
    <row r="77" spans="2:24">
      <c r="O77"/>
    </row>
    <row r="78" spans="2:24">
      <c r="B78" s="3" t="s">
        <v>307</v>
      </c>
      <c r="O78"/>
    </row>
    <row r="79" spans="2:24">
      <c r="B79" s="3"/>
      <c r="O79"/>
    </row>
    <row r="80" spans="2:24">
      <c r="B80" s="108" t="s">
        <v>284</v>
      </c>
      <c r="J80" s="242"/>
      <c r="O80"/>
    </row>
    <row r="81" spans="2:22">
      <c r="B81" s="23" t="s">
        <v>285</v>
      </c>
      <c r="G81" s="96">
        <v>690</v>
      </c>
      <c r="H81" s="96">
        <v>680</v>
      </c>
      <c r="I81" s="96">
        <v>697</v>
      </c>
      <c r="J81" s="241">
        <f>IFERROR((SUMPRODUCT('PRD Volumes AD (2009-2012)'!U300:V300, 'TAR2013 Tarieven AD'!U81:V81)/('PRD Volumes AD (2009-2012)'!U300+'PRD Volumes AD (2009-2012)'!V300)),0)</f>
        <v>601.22720478993074</v>
      </c>
      <c r="K81" s="96">
        <v>670</v>
      </c>
      <c r="L81" s="96">
        <v>639.85</v>
      </c>
      <c r="M81" s="96">
        <v>677.5</v>
      </c>
      <c r="N81" s="96">
        <v>709.05</v>
      </c>
      <c r="O81" s="96"/>
      <c r="U81" s="231">
        <v>597</v>
      </c>
      <c r="V81" s="232">
        <v>643</v>
      </c>
    </row>
    <row r="82" spans="2:22">
      <c r="B82" s="23" t="s">
        <v>286</v>
      </c>
      <c r="G82" s="96">
        <v>1315</v>
      </c>
      <c r="H82" s="96">
        <v>1244</v>
      </c>
      <c r="I82" s="96">
        <v>1608</v>
      </c>
      <c r="J82" s="241">
        <f>IFERROR((SUMPRODUCT('PRD Volumes AD (2009-2012)'!U301:V301, 'TAR2013 Tarieven AD'!U82:V82)/('PRD Volumes AD (2009-2012)'!U301+'PRD Volumes AD (2009-2012)'!V301)),0)</f>
        <v>1062</v>
      </c>
      <c r="K82" s="96">
        <v>1398</v>
      </c>
      <c r="L82" s="96">
        <v>1700</v>
      </c>
      <c r="M82" s="96">
        <v>1355</v>
      </c>
      <c r="N82" s="96">
        <v>2283.5100000000002</v>
      </c>
      <c r="O82" s="96"/>
      <c r="U82" s="231">
        <v>1062</v>
      </c>
      <c r="V82" s="232">
        <v>0</v>
      </c>
    </row>
    <row r="83" spans="2:22">
      <c r="B83" s="61" t="s">
        <v>287</v>
      </c>
      <c r="G83" s="96">
        <v>1315</v>
      </c>
      <c r="H83" s="96">
        <v>1244</v>
      </c>
      <c r="I83" s="96">
        <v>1608</v>
      </c>
      <c r="J83" s="241">
        <f>IFERROR((SUMPRODUCT('PRD Volumes AD (2009-2012)'!U302:V302, 'TAR2013 Tarieven AD'!U83:V83)/('PRD Volumes AD (2009-2012)'!U302+'PRD Volumes AD (2009-2012)'!V302)),0)</f>
        <v>1073.8495436948635</v>
      </c>
      <c r="K83" s="96">
        <v>1398</v>
      </c>
      <c r="L83" s="96">
        <v>1700</v>
      </c>
      <c r="M83" s="96">
        <v>1355</v>
      </c>
      <c r="N83" s="96">
        <v>3179.41</v>
      </c>
      <c r="O83" s="96"/>
      <c r="U83" s="231">
        <v>1062</v>
      </c>
      <c r="V83" s="232">
        <v>1152</v>
      </c>
    </row>
    <row r="84" spans="2:22">
      <c r="B84" s="61" t="s">
        <v>288</v>
      </c>
      <c r="G84" s="96">
        <v>1834</v>
      </c>
      <c r="H84" s="96">
        <v>1583</v>
      </c>
      <c r="I84" s="96">
        <v>2053</v>
      </c>
      <c r="J84" s="241">
        <f>IFERROR((SUMPRODUCT('PRD Volumes AD (2009-2012)'!U303:V303, 'TAR2013 Tarieven AD'!U84:V84)/('PRD Volumes AD (2009-2012)'!U303+'PRD Volumes AD (2009-2012)'!V303)),0)</f>
        <v>1306.1504931213422</v>
      </c>
      <c r="K84" s="96">
        <v>1957</v>
      </c>
      <c r="L84" s="96">
        <v>2500</v>
      </c>
      <c r="M84" s="96">
        <v>2275</v>
      </c>
      <c r="N84" s="96">
        <v>3288.89</v>
      </c>
      <c r="O84" s="96"/>
      <c r="U84" s="231">
        <v>1302</v>
      </c>
      <c r="V84" s="232">
        <v>1412</v>
      </c>
    </row>
    <row r="85" spans="2:22">
      <c r="B85" s="23"/>
      <c r="G85" s="82"/>
      <c r="H85" s="82"/>
      <c r="I85" s="82"/>
      <c r="J85" s="243"/>
      <c r="K85" s="82"/>
      <c r="L85" s="82"/>
      <c r="M85" s="82"/>
      <c r="N85" s="82"/>
      <c r="U85" s="233"/>
      <c r="V85" s="234"/>
    </row>
    <row r="86" spans="2:22">
      <c r="B86" s="108" t="s">
        <v>289</v>
      </c>
      <c r="G86" s="82"/>
      <c r="H86" s="82"/>
      <c r="I86" s="82"/>
      <c r="J86" s="243"/>
      <c r="K86" s="82"/>
      <c r="L86" s="82"/>
      <c r="M86" s="82"/>
      <c r="N86" s="82"/>
      <c r="U86" s="233"/>
      <c r="V86" s="234"/>
    </row>
    <row r="87" spans="2:22">
      <c r="B87" s="23" t="s">
        <v>285</v>
      </c>
      <c r="G87" s="96"/>
      <c r="H87" s="96"/>
      <c r="I87" s="96">
        <v>4797</v>
      </c>
      <c r="J87" s="241">
        <f>IFERROR((SUMPRODUCT('PRD Volumes AD (2009-2012)'!U306:V306, 'TAR2013 Tarieven AD'!U87:V87)/('PRD Volumes AD (2009-2012)'!U306+'PRD Volumes AD (2009-2012)'!V306)),0)</f>
        <v>0</v>
      </c>
      <c r="K87" s="96">
        <v>5093</v>
      </c>
      <c r="L87" s="96"/>
      <c r="M87" s="96">
        <v>5520</v>
      </c>
      <c r="N87" s="96">
        <v>8390.39</v>
      </c>
      <c r="O87" s="96"/>
      <c r="U87" s="231">
        <v>4381</v>
      </c>
      <c r="V87" s="232">
        <v>0</v>
      </c>
    </row>
    <row r="88" spans="2:22">
      <c r="B88" s="23" t="s">
        <v>286</v>
      </c>
      <c r="G88" s="96"/>
      <c r="H88" s="96"/>
      <c r="I88" s="96">
        <v>5708</v>
      </c>
      <c r="J88" s="241">
        <f>IFERROR((SUMPRODUCT('PRD Volumes AD (2009-2012)'!U307:V307, 'TAR2013 Tarieven AD'!U88:V88)/('PRD Volumes AD (2009-2012)'!U307+'PRD Volumes AD (2009-2012)'!V307)),0)</f>
        <v>0</v>
      </c>
      <c r="K88" s="96">
        <v>6035</v>
      </c>
      <c r="L88" s="96"/>
      <c r="M88" s="96">
        <v>5700</v>
      </c>
      <c r="N88" s="96"/>
      <c r="O88" s="96"/>
      <c r="U88" s="231">
        <v>5018</v>
      </c>
      <c r="V88" s="232">
        <v>0</v>
      </c>
    </row>
    <row r="89" spans="2:22">
      <c r="B89" s="61" t="s">
        <v>287</v>
      </c>
      <c r="G89" s="96"/>
      <c r="H89" s="96"/>
      <c r="I89" s="96">
        <v>5708</v>
      </c>
      <c r="J89" s="241">
        <f>IFERROR((SUMPRODUCT('PRD Volumes AD (2009-2012)'!U308:V308, 'TAR2013 Tarieven AD'!U89:V89)/('PRD Volumes AD (2009-2012)'!U308+'PRD Volumes AD (2009-2012)'!V308)),0)</f>
        <v>0</v>
      </c>
      <c r="K89" s="96">
        <v>6035</v>
      </c>
      <c r="L89" s="96"/>
      <c r="M89" s="96">
        <v>5700</v>
      </c>
      <c r="N89" s="96"/>
      <c r="O89" s="96"/>
      <c r="U89" s="231">
        <v>5018</v>
      </c>
      <c r="V89" s="232">
        <v>0</v>
      </c>
    </row>
    <row r="90" spans="2:22">
      <c r="B90" s="61" t="s">
        <v>288</v>
      </c>
      <c r="G90" s="96"/>
      <c r="H90" s="96"/>
      <c r="I90" s="96">
        <v>6153</v>
      </c>
      <c r="J90" s="241">
        <f>IFERROR((SUMPRODUCT('PRD Volumes AD (2009-2012)'!U309:V309, 'TAR2013 Tarieven AD'!U90:V90)/('PRD Volumes AD (2009-2012)'!U309+'PRD Volumes AD (2009-2012)'!V309)),0)</f>
        <v>0</v>
      </c>
      <c r="K90" s="96">
        <v>6260</v>
      </c>
      <c r="L90" s="96"/>
      <c r="M90" s="96">
        <v>6736</v>
      </c>
      <c r="N90" s="96"/>
      <c r="O90" s="96"/>
      <c r="U90" s="231">
        <v>5257</v>
      </c>
      <c r="V90" s="232">
        <v>0</v>
      </c>
    </row>
    <row r="91" spans="2:22">
      <c r="B91" s="23"/>
      <c r="G91" s="82"/>
      <c r="H91" s="82"/>
      <c r="I91" s="82"/>
      <c r="J91" s="243"/>
      <c r="K91" s="82"/>
      <c r="L91" s="82"/>
      <c r="M91" s="82"/>
      <c r="N91" s="82"/>
      <c r="U91" s="233"/>
      <c r="V91" s="234"/>
    </row>
    <row r="92" spans="2:22">
      <c r="B92" s="108" t="s">
        <v>290</v>
      </c>
      <c r="G92" s="82"/>
      <c r="H92" s="82"/>
      <c r="I92" s="82"/>
      <c r="J92" s="243"/>
      <c r="K92" s="82"/>
      <c r="L92" s="82"/>
      <c r="M92" s="82"/>
      <c r="N92" s="82"/>
      <c r="U92" s="233"/>
      <c r="V92" s="234"/>
    </row>
    <row r="93" spans="2:22">
      <c r="B93" s="23" t="s">
        <v>291</v>
      </c>
      <c r="G93" s="112"/>
      <c r="H93" s="96">
        <v>0</v>
      </c>
      <c r="I93" s="112"/>
      <c r="J93" s="241">
        <f>IFERROR((SUMPRODUCT('PRD Volumes AD (2009-2012)'!U312:V312, 'TAR2013 Tarieven AD'!U93:V93)/('PRD Volumes AD (2009-2012)'!U312+'PRD Volumes AD (2009-2012)'!V312)),0)</f>
        <v>0</v>
      </c>
      <c r="K93" s="112"/>
      <c r="L93" s="112"/>
      <c r="M93" s="112"/>
      <c r="N93" s="112"/>
      <c r="O93" s="96">
        <v>0</v>
      </c>
      <c r="U93" s="231">
        <v>0</v>
      </c>
      <c r="V93" s="234"/>
    </row>
    <row r="94" spans="2:22">
      <c r="B94" s="3"/>
      <c r="G94" s="82"/>
      <c r="H94" s="82"/>
      <c r="I94" s="82"/>
      <c r="J94" s="243"/>
      <c r="K94" s="82"/>
      <c r="L94" s="82"/>
      <c r="M94" s="82"/>
      <c r="N94" s="82"/>
      <c r="U94" s="233"/>
      <c r="V94" s="234"/>
    </row>
    <row r="95" spans="2:22">
      <c r="B95" s="3"/>
      <c r="G95" s="82"/>
      <c r="H95" s="82"/>
      <c r="I95" s="82"/>
      <c r="J95" s="243"/>
      <c r="K95" s="82"/>
      <c r="L95" s="82"/>
      <c r="M95" s="82"/>
      <c r="N95" s="82"/>
      <c r="U95" s="233"/>
      <c r="V95" s="234"/>
    </row>
    <row r="96" spans="2:22">
      <c r="B96" s="3" t="s">
        <v>308</v>
      </c>
      <c r="G96" s="82"/>
      <c r="H96" s="82"/>
      <c r="I96" s="82"/>
      <c r="J96" s="243"/>
      <c r="K96" s="82"/>
      <c r="L96" s="82"/>
      <c r="M96" s="82"/>
      <c r="N96" s="82"/>
      <c r="U96" s="233"/>
      <c r="V96" s="234"/>
    </row>
    <row r="97" spans="2:22">
      <c r="B97" s="3"/>
      <c r="G97" s="82"/>
      <c r="H97" s="82"/>
      <c r="I97" s="82"/>
      <c r="J97" s="243"/>
      <c r="K97" s="82"/>
      <c r="L97" s="82"/>
      <c r="M97" s="82"/>
      <c r="N97" s="82"/>
      <c r="U97" s="233"/>
      <c r="V97" s="234"/>
    </row>
    <row r="98" spans="2:22">
      <c r="B98" s="108" t="s">
        <v>284</v>
      </c>
      <c r="G98" s="82"/>
      <c r="H98" s="82"/>
      <c r="I98" s="82"/>
      <c r="J98" s="243"/>
      <c r="K98" s="82"/>
      <c r="L98" s="82"/>
      <c r="M98" s="82"/>
      <c r="N98" s="82"/>
      <c r="U98" s="233"/>
      <c r="V98" s="234"/>
    </row>
    <row r="99" spans="2:22">
      <c r="B99" s="23" t="s">
        <v>285</v>
      </c>
      <c r="G99" s="96">
        <v>19.2</v>
      </c>
      <c r="H99" s="96">
        <v>24.767540515263203</v>
      </c>
      <c r="I99" s="96">
        <v>21.5</v>
      </c>
      <c r="J99" s="241">
        <f>IFERROR((SUMPRODUCT('PRD Volumes AD (2009-2012)'!U318:V318, 'TAR2013 Tarieven AD'!U99:V99)/('PRD Volumes AD (2009-2012)'!U318+'PRD Volumes AD (2009-2012)'!V318)),0)</f>
        <v>22.614859318564783</v>
      </c>
      <c r="K99" s="96">
        <v>25.1</v>
      </c>
      <c r="L99" s="96">
        <v>16.5</v>
      </c>
      <c r="M99" s="96">
        <v>30</v>
      </c>
      <c r="N99" s="96">
        <v>43.99</v>
      </c>
      <c r="O99" s="96"/>
      <c r="U99" s="231">
        <v>22</v>
      </c>
      <c r="V99" s="232">
        <v>30</v>
      </c>
    </row>
    <row r="100" spans="2:22">
      <c r="B100" s="23" t="s">
        <v>286</v>
      </c>
      <c r="G100" s="96">
        <v>20.76</v>
      </c>
      <c r="H100" s="96">
        <v>26.130656035338365</v>
      </c>
      <c r="I100" s="96">
        <v>21.5</v>
      </c>
      <c r="J100" s="241">
        <f>IFERROR((SUMPRODUCT('PRD Volumes AD (2009-2012)'!U319:V319, 'TAR2013 Tarieven AD'!U100:V100)/('PRD Volumes AD (2009-2012)'!U319+'PRD Volumes AD (2009-2012)'!V319)),0)</f>
        <v>27</v>
      </c>
      <c r="K100" s="96">
        <v>31</v>
      </c>
      <c r="L100" s="96">
        <v>26</v>
      </c>
      <c r="M100" s="96">
        <v>30</v>
      </c>
      <c r="N100" s="96">
        <v>43.99</v>
      </c>
      <c r="O100" s="96"/>
      <c r="U100" s="231">
        <v>27</v>
      </c>
      <c r="V100" s="232">
        <v>30</v>
      </c>
    </row>
    <row r="101" spans="2:22">
      <c r="B101" s="61" t="s">
        <v>287</v>
      </c>
      <c r="G101" s="96">
        <v>23.78</v>
      </c>
      <c r="H101" s="96">
        <v>27.560693160663117</v>
      </c>
      <c r="I101" s="96">
        <v>21.5</v>
      </c>
      <c r="J101" s="241">
        <f>IFERROR((SUMPRODUCT('PRD Volumes AD (2009-2012)'!U320:V320, 'TAR2013 Tarieven AD'!U101:V101)/('PRD Volumes AD (2009-2012)'!U320+'PRD Volumes AD (2009-2012)'!V320)),0)</f>
        <v>27.736942600864374</v>
      </c>
      <c r="K101" s="96">
        <v>31</v>
      </c>
      <c r="L101" s="96">
        <v>26</v>
      </c>
      <c r="M101" s="96">
        <v>30</v>
      </c>
      <c r="N101" s="96">
        <v>43.99</v>
      </c>
      <c r="O101" s="96"/>
      <c r="U101" s="231">
        <v>27</v>
      </c>
      <c r="V101" s="232">
        <v>30</v>
      </c>
    </row>
    <row r="102" spans="2:22">
      <c r="B102" s="61" t="s">
        <v>288</v>
      </c>
      <c r="G102" s="96">
        <v>27.06</v>
      </c>
      <c r="H102" s="96">
        <v>28.631758660544328</v>
      </c>
      <c r="I102" s="96">
        <v>21.5</v>
      </c>
      <c r="J102" s="241">
        <f>IFERROR((SUMPRODUCT('PRD Volumes AD (2009-2012)'!U321:V321, 'TAR2013 Tarieven AD'!U102:V102)/('PRD Volumes AD (2009-2012)'!U321+'PRD Volumes AD (2009-2012)'!V321)),0)</f>
        <v>29.11836385662367</v>
      </c>
      <c r="K102" s="96">
        <v>31</v>
      </c>
      <c r="L102" s="96">
        <v>20</v>
      </c>
      <c r="M102" s="96">
        <v>35</v>
      </c>
      <c r="N102" s="96">
        <v>43.99</v>
      </c>
      <c r="O102" s="96"/>
      <c r="U102" s="231">
        <v>27</v>
      </c>
      <c r="V102" s="232">
        <v>30</v>
      </c>
    </row>
    <row r="103" spans="2:22">
      <c r="B103" s="23"/>
      <c r="G103" s="82"/>
      <c r="H103" s="82"/>
      <c r="I103" s="82"/>
      <c r="J103" s="243"/>
      <c r="K103" s="82"/>
      <c r="L103" s="82"/>
      <c r="M103" s="82"/>
      <c r="N103" s="82"/>
      <c r="U103" s="233"/>
      <c r="V103" s="234"/>
    </row>
    <row r="104" spans="2:22">
      <c r="B104" s="108" t="s">
        <v>289</v>
      </c>
      <c r="G104" s="82"/>
      <c r="H104" s="82"/>
      <c r="I104" s="82"/>
      <c r="J104" s="243"/>
      <c r="K104" s="82"/>
      <c r="L104" s="82"/>
      <c r="M104" s="82"/>
      <c r="N104" s="82"/>
      <c r="U104" s="233"/>
      <c r="V104" s="234"/>
    </row>
    <row r="105" spans="2:22">
      <c r="B105" s="23" t="s">
        <v>285</v>
      </c>
      <c r="G105" s="96">
        <v>19.2</v>
      </c>
      <c r="H105" s="96"/>
      <c r="I105" s="96">
        <v>21.5</v>
      </c>
      <c r="J105" s="241">
        <f>IFERROR((SUMPRODUCT('PRD Volumes AD (2009-2012)'!U324:V324, 'TAR2013 Tarieven AD'!U105:V105)/('PRD Volumes AD (2009-2012)'!U324+'PRD Volumes AD (2009-2012)'!V324)),0)</f>
        <v>0</v>
      </c>
      <c r="K105" s="96">
        <v>25.1</v>
      </c>
      <c r="L105" s="96"/>
      <c r="M105" s="96">
        <v>62</v>
      </c>
      <c r="N105" s="96">
        <v>91.02</v>
      </c>
      <c r="O105" s="96"/>
      <c r="U105" s="231">
        <v>22</v>
      </c>
      <c r="V105" s="232">
        <v>40</v>
      </c>
    </row>
    <row r="106" spans="2:22">
      <c r="B106" s="23" t="s">
        <v>286</v>
      </c>
      <c r="G106" s="96">
        <v>20.76</v>
      </c>
      <c r="H106" s="96"/>
      <c r="I106" s="96">
        <v>21.5</v>
      </c>
      <c r="J106" s="241">
        <f>IFERROR((SUMPRODUCT('PRD Volumes AD (2009-2012)'!U325:V325, 'TAR2013 Tarieven AD'!U106:V106)/('PRD Volumes AD (2009-2012)'!U325+'PRD Volumes AD (2009-2012)'!V325)),0)</f>
        <v>0</v>
      </c>
      <c r="K106" s="96">
        <v>31</v>
      </c>
      <c r="L106" s="96"/>
      <c r="M106" s="96">
        <v>62</v>
      </c>
      <c r="N106" s="96">
        <v>91.02</v>
      </c>
      <c r="O106" s="96"/>
      <c r="U106" s="231">
        <v>27</v>
      </c>
      <c r="V106" s="232">
        <v>40</v>
      </c>
    </row>
    <row r="107" spans="2:22">
      <c r="B107" s="61" t="s">
        <v>287</v>
      </c>
      <c r="G107" s="96">
        <v>23.78</v>
      </c>
      <c r="H107" s="96"/>
      <c r="I107" s="96">
        <v>21.5</v>
      </c>
      <c r="J107" s="241">
        <f>IFERROR((SUMPRODUCT('PRD Volumes AD (2009-2012)'!U326:V326, 'TAR2013 Tarieven AD'!U107:V107)/('PRD Volumes AD (2009-2012)'!U326+'PRD Volumes AD (2009-2012)'!V326)),0)</f>
        <v>0</v>
      </c>
      <c r="K107" s="96">
        <v>31</v>
      </c>
      <c r="L107" s="96"/>
      <c r="M107" s="96">
        <v>62</v>
      </c>
      <c r="N107" s="96">
        <v>91.02</v>
      </c>
      <c r="O107" s="96"/>
      <c r="U107" s="231">
        <v>27</v>
      </c>
      <c r="V107" s="232">
        <v>40</v>
      </c>
    </row>
    <row r="108" spans="2:22">
      <c r="B108" s="61" t="s">
        <v>288</v>
      </c>
      <c r="G108" s="96">
        <v>27.06</v>
      </c>
      <c r="H108" s="96"/>
      <c r="I108" s="96">
        <v>21.5</v>
      </c>
      <c r="J108" s="241">
        <f>IFERROR((SUMPRODUCT('PRD Volumes AD (2009-2012)'!U327:V327, 'TAR2013 Tarieven AD'!U108:V108)/('PRD Volumes AD (2009-2012)'!U327+'PRD Volumes AD (2009-2012)'!V327)),0)</f>
        <v>0</v>
      </c>
      <c r="K108" s="96">
        <v>31</v>
      </c>
      <c r="L108" s="96"/>
      <c r="M108" s="96">
        <v>62</v>
      </c>
      <c r="N108" s="96">
        <v>91.02</v>
      </c>
      <c r="O108" s="96"/>
      <c r="U108" s="231">
        <v>27</v>
      </c>
      <c r="V108" s="232">
        <v>40</v>
      </c>
    </row>
    <row r="109" spans="2:22">
      <c r="B109" s="23"/>
      <c r="G109" s="82"/>
      <c r="H109" s="82"/>
      <c r="I109" s="82"/>
      <c r="J109" s="243"/>
      <c r="K109" s="82"/>
      <c r="L109" s="82"/>
      <c r="M109" s="82"/>
      <c r="N109" s="82"/>
      <c r="U109" s="234"/>
      <c r="V109" s="234"/>
    </row>
    <row r="110" spans="2:22">
      <c r="B110" s="108" t="s">
        <v>290</v>
      </c>
      <c r="G110" s="82"/>
      <c r="H110" s="82"/>
      <c r="I110" s="82"/>
      <c r="J110" s="243"/>
      <c r="K110" s="82"/>
      <c r="L110" s="82"/>
      <c r="M110" s="82"/>
      <c r="N110" s="82"/>
      <c r="U110" s="233"/>
      <c r="V110" s="234"/>
    </row>
    <row r="111" spans="2:22">
      <c r="B111" s="23" t="s">
        <v>291</v>
      </c>
      <c r="G111" s="112"/>
      <c r="H111" s="96">
        <v>0</v>
      </c>
      <c r="I111" s="112"/>
      <c r="J111" s="241">
        <f>IFERROR((SUMPRODUCT('PRD Volumes AD (2009-2012)'!U330:V330, 'TAR2013 Tarieven AD'!U111:V111)/('PRD Volumes AD (2009-2012)'!U330+'PRD Volumes AD (2009-2012)'!V330)),0)</f>
        <v>0</v>
      </c>
      <c r="K111" s="112"/>
      <c r="L111" s="112"/>
      <c r="M111" s="112"/>
      <c r="N111" s="112"/>
      <c r="O111" s="96">
        <v>0</v>
      </c>
      <c r="U111" s="231">
        <v>0</v>
      </c>
      <c r="V111" s="235"/>
    </row>
    <row r="112" spans="2:22">
      <c r="B112" s="3"/>
      <c r="G112" s="82"/>
      <c r="H112" s="82"/>
      <c r="I112" s="82"/>
      <c r="J112" s="243"/>
      <c r="K112" s="82"/>
      <c r="L112" s="82"/>
      <c r="M112" s="82"/>
      <c r="N112" s="82"/>
      <c r="U112" s="233"/>
      <c r="V112" s="234"/>
    </row>
    <row r="113" spans="2:22">
      <c r="B113" s="3"/>
      <c r="G113" s="82"/>
      <c r="H113" s="82"/>
      <c r="I113" s="82"/>
      <c r="J113" s="243"/>
      <c r="K113" s="82"/>
      <c r="L113" s="82"/>
      <c r="M113" s="82"/>
      <c r="N113" s="82"/>
      <c r="U113" s="233"/>
      <c r="V113" s="234"/>
    </row>
    <row r="114" spans="2:22">
      <c r="B114" s="3" t="s">
        <v>309</v>
      </c>
      <c r="G114" s="82"/>
      <c r="H114" s="82"/>
      <c r="I114" s="82"/>
      <c r="J114" s="243"/>
      <c r="K114" s="82"/>
      <c r="L114" s="82"/>
      <c r="M114" s="82"/>
      <c r="N114" s="82"/>
      <c r="U114" s="233"/>
      <c r="V114" s="234"/>
    </row>
    <row r="115" spans="2:22">
      <c r="B115" s="3"/>
      <c r="G115" s="82"/>
      <c r="H115" s="82"/>
      <c r="I115" s="82"/>
      <c r="J115" s="243"/>
      <c r="K115" s="82"/>
      <c r="L115" s="82"/>
      <c r="M115" s="82"/>
      <c r="N115" s="82"/>
      <c r="U115" s="233"/>
      <c r="V115" s="234"/>
    </row>
    <row r="116" spans="2:22">
      <c r="B116" s="108" t="s">
        <v>284</v>
      </c>
      <c r="G116" s="82"/>
      <c r="H116" s="82"/>
      <c r="I116" s="82"/>
      <c r="J116" s="243"/>
      <c r="K116" s="82"/>
      <c r="L116" s="82"/>
      <c r="M116" s="82"/>
      <c r="N116" s="82"/>
      <c r="U116" s="233"/>
      <c r="V116" s="234"/>
    </row>
    <row r="117" spans="2:22">
      <c r="B117" s="61" t="s">
        <v>292</v>
      </c>
      <c r="G117" s="96">
        <v>2582</v>
      </c>
      <c r="H117" s="96">
        <v>1600</v>
      </c>
      <c r="I117" s="96">
        <v>2016</v>
      </c>
      <c r="J117" s="241">
        <f>IFERROR((SUMPRODUCT('PRD Volumes AD (2009-2012)'!U336:V336, 'TAR2013 Tarieven AD'!U117:V117)/('PRD Volumes AD (2009-2012)'!U336+'PRD Volumes AD (2009-2012)'!V336)),0)</f>
        <v>1463</v>
      </c>
      <c r="K117" s="96">
        <v>1677</v>
      </c>
      <c r="L117" s="96">
        <v>1450</v>
      </c>
      <c r="M117" s="96">
        <v>1000</v>
      </c>
      <c r="N117" s="96">
        <v>2372.33</v>
      </c>
      <c r="O117" s="96"/>
      <c r="U117" s="231">
        <v>1463</v>
      </c>
      <c r="V117" s="232">
        <v>1587</v>
      </c>
    </row>
    <row r="118" spans="2:22">
      <c r="B118" s="61" t="s">
        <v>293</v>
      </c>
      <c r="G118" s="96">
        <v>2582</v>
      </c>
      <c r="H118" s="96">
        <v>1600</v>
      </c>
      <c r="I118" s="96">
        <v>2469</v>
      </c>
      <c r="J118" s="241">
        <f>IFERROR((SUMPRODUCT('PRD Volumes AD (2009-2012)'!U337:V337, 'TAR2013 Tarieven AD'!U118:V118)/('PRD Volumes AD (2009-2012)'!U337+'PRD Volumes AD (2009-2012)'!V337)),0)</f>
        <v>1613.0218687615907</v>
      </c>
      <c r="K118" s="96">
        <v>1677</v>
      </c>
      <c r="L118" s="96">
        <v>1450</v>
      </c>
      <c r="M118" s="96">
        <v>1000</v>
      </c>
      <c r="N118" s="96">
        <v>2372.33</v>
      </c>
      <c r="O118" s="96"/>
      <c r="U118" s="231">
        <v>1601</v>
      </c>
      <c r="V118" s="232">
        <v>1737</v>
      </c>
    </row>
    <row r="119" spans="2:22">
      <c r="B119" s="61" t="s">
        <v>294</v>
      </c>
      <c r="G119" s="96">
        <v>3807</v>
      </c>
      <c r="H119" s="96">
        <v>1600</v>
      </c>
      <c r="I119" s="96">
        <v>2885</v>
      </c>
      <c r="J119" s="241">
        <f>IFERROR((SUMPRODUCT('PRD Volumes AD (2009-2012)'!U338:V338, 'TAR2013 Tarieven AD'!U119:V119)/('PRD Volumes AD (2009-2012)'!U338+'PRD Volumes AD (2009-2012)'!V338)),0)</f>
        <v>2380</v>
      </c>
      <c r="K119" s="96">
        <v>2383</v>
      </c>
      <c r="L119" s="96">
        <v>2500</v>
      </c>
      <c r="M119" s="96">
        <v>1000</v>
      </c>
      <c r="N119" s="96"/>
      <c r="O119" s="96"/>
      <c r="U119" s="231">
        <v>2380</v>
      </c>
      <c r="V119" s="232">
        <v>2582</v>
      </c>
    </row>
    <row r="120" spans="2:22">
      <c r="B120" s="61" t="s">
        <v>295</v>
      </c>
      <c r="G120" s="96">
        <v>3807</v>
      </c>
      <c r="H120" s="96">
        <v>1600</v>
      </c>
      <c r="I120" s="96">
        <v>4068</v>
      </c>
      <c r="J120" s="241">
        <f>IFERROR((SUMPRODUCT('PRD Volumes AD (2009-2012)'!U339:V339, 'TAR2013 Tarieven AD'!U120:V120)/('PRD Volumes AD (2009-2012)'!U339+'PRD Volumes AD (2009-2012)'!V339)),0)</f>
        <v>3182.3352093182552</v>
      </c>
      <c r="K120" s="96">
        <v>2600</v>
      </c>
      <c r="L120" s="96"/>
      <c r="M120" s="96">
        <v>1000</v>
      </c>
      <c r="N120" s="96"/>
      <c r="O120" s="96"/>
      <c r="U120" s="231">
        <v>3193</v>
      </c>
      <c r="V120" s="232">
        <v>3098.4</v>
      </c>
    </row>
    <row r="121" spans="2:22">
      <c r="B121" s="26" t="s">
        <v>296</v>
      </c>
      <c r="G121" s="96"/>
      <c r="H121" s="96">
        <v>1750</v>
      </c>
      <c r="I121" s="96">
        <v>5251</v>
      </c>
      <c r="J121" s="241">
        <f>IFERROR((SUMPRODUCT('PRD Volumes AD (2009-2012)'!U340:V340, 'TAR2013 Tarieven AD'!U121:V121)/('PRD Volumes AD (2009-2012)'!U340+'PRD Volumes AD (2009-2012)'!V340)),0)</f>
        <v>3388</v>
      </c>
      <c r="K121" s="96">
        <v>2859</v>
      </c>
      <c r="L121" s="96"/>
      <c r="M121" s="96">
        <v>1000</v>
      </c>
      <c r="N121" s="96"/>
      <c r="O121" s="96"/>
      <c r="U121" s="231">
        <v>3388</v>
      </c>
      <c r="V121" s="232">
        <v>0</v>
      </c>
    </row>
    <row r="122" spans="2:22">
      <c r="B122" s="61" t="s">
        <v>297</v>
      </c>
      <c r="G122" s="96"/>
      <c r="H122" s="96">
        <v>1750</v>
      </c>
      <c r="I122" s="96">
        <v>5737</v>
      </c>
      <c r="J122" s="241">
        <f>IFERROR((SUMPRODUCT('PRD Volumes AD (2009-2012)'!U341:V341, 'TAR2013 Tarieven AD'!U122:V122)/('PRD Volumes AD (2009-2012)'!U341+'PRD Volumes AD (2009-2012)'!V341)),0)</f>
        <v>0</v>
      </c>
      <c r="K122" s="96">
        <v>3145</v>
      </c>
      <c r="L122" s="96"/>
      <c r="M122" s="96"/>
      <c r="N122" s="96"/>
      <c r="O122" s="96"/>
      <c r="U122" s="231">
        <v>0</v>
      </c>
      <c r="V122" s="232">
        <v>0</v>
      </c>
    </row>
    <row r="123" spans="2:22">
      <c r="B123" s="61" t="s">
        <v>298</v>
      </c>
      <c r="G123" s="96"/>
      <c r="H123" s="96">
        <v>2100</v>
      </c>
      <c r="I123" s="96">
        <v>6311</v>
      </c>
      <c r="J123" s="241">
        <f>IFERROR((SUMPRODUCT('PRD Volumes AD (2009-2012)'!U342:V342, 'TAR2013 Tarieven AD'!U123:V123)/('PRD Volumes AD (2009-2012)'!U342+'PRD Volumes AD (2009-2012)'!V342)),0)</f>
        <v>0</v>
      </c>
      <c r="K123" s="96">
        <v>3464</v>
      </c>
      <c r="L123" s="96"/>
      <c r="M123" s="96"/>
      <c r="N123" s="96"/>
      <c r="O123" s="96"/>
      <c r="U123" s="232">
        <v>0</v>
      </c>
      <c r="V123" s="232">
        <v>0</v>
      </c>
    </row>
    <row r="124" spans="2:22">
      <c r="B124" s="61" t="s">
        <v>299</v>
      </c>
      <c r="G124" s="96"/>
      <c r="H124" s="96"/>
      <c r="I124" s="96">
        <v>6942</v>
      </c>
      <c r="J124" s="241">
        <f>IFERROR((SUMPRODUCT('PRD Volumes AD (2009-2012)'!U343:V343, 'TAR2013 Tarieven AD'!U124:V124)/('PRD Volumes AD (2009-2012)'!U343+'PRD Volumes AD (2009-2012)'!V343)),0)</f>
        <v>0</v>
      </c>
      <c r="K124" s="96">
        <v>3810</v>
      </c>
      <c r="L124" s="96"/>
      <c r="M124" s="96"/>
      <c r="N124" s="96"/>
      <c r="O124" s="96"/>
      <c r="U124" s="232">
        <v>0</v>
      </c>
      <c r="V124" s="232">
        <v>0</v>
      </c>
    </row>
    <row r="125" spans="2:22">
      <c r="B125" s="23" t="s">
        <v>300</v>
      </c>
      <c r="G125" s="96"/>
      <c r="H125" s="96"/>
      <c r="I125" s="96">
        <v>7637</v>
      </c>
      <c r="J125" s="241">
        <f>IFERROR((SUMPRODUCT('PRD Volumes AD (2009-2012)'!U344:V344, 'TAR2013 Tarieven AD'!U125:V125)/('PRD Volumes AD (2009-2012)'!U344+'PRD Volumes AD (2009-2012)'!V344)),0)</f>
        <v>0</v>
      </c>
      <c r="K125" s="96">
        <v>4189</v>
      </c>
      <c r="L125" s="96"/>
      <c r="M125" s="96"/>
      <c r="N125" s="96"/>
      <c r="O125" s="96"/>
      <c r="U125" s="232">
        <v>0</v>
      </c>
      <c r="V125" s="232">
        <v>0</v>
      </c>
    </row>
    <row r="126" spans="2:22">
      <c r="B126" s="23" t="s">
        <v>301</v>
      </c>
      <c r="G126" s="96"/>
      <c r="H126" s="96"/>
      <c r="I126" s="96">
        <v>8401</v>
      </c>
      <c r="J126" s="241">
        <f>IFERROR((SUMPRODUCT('PRD Volumes AD (2009-2012)'!U345:V345, 'TAR2013 Tarieven AD'!U126:V126)/('PRD Volumes AD (2009-2012)'!U345+'PRD Volumes AD (2009-2012)'!V345)),0)</f>
        <v>0</v>
      </c>
      <c r="K126" s="96">
        <v>4610</v>
      </c>
      <c r="L126" s="96"/>
      <c r="M126" s="96"/>
      <c r="N126" s="96"/>
      <c r="O126" s="96"/>
      <c r="U126" s="232">
        <v>0</v>
      </c>
      <c r="V126" s="232">
        <v>0</v>
      </c>
    </row>
    <row r="127" spans="2:22">
      <c r="B127" s="23"/>
      <c r="G127" s="82"/>
      <c r="H127" s="82"/>
      <c r="I127" s="82"/>
      <c r="J127" s="243"/>
      <c r="K127" s="82"/>
      <c r="L127" s="82"/>
      <c r="M127" s="82"/>
      <c r="N127" s="82"/>
      <c r="U127" s="233"/>
      <c r="V127" s="234"/>
    </row>
    <row r="128" spans="2:22">
      <c r="B128" s="108" t="s">
        <v>289</v>
      </c>
      <c r="G128" s="82"/>
      <c r="H128" s="82"/>
      <c r="I128" s="82"/>
      <c r="J128" s="243"/>
      <c r="K128" s="82"/>
      <c r="L128" s="82"/>
      <c r="M128" s="82"/>
      <c r="N128" s="82"/>
      <c r="U128" s="233"/>
      <c r="V128" s="234"/>
    </row>
    <row r="129" spans="2:24">
      <c r="B129" s="61" t="s">
        <v>292</v>
      </c>
      <c r="G129" s="96">
        <v>13376</v>
      </c>
      <c r="H129" s="96">
        <v>11000</v>
      </c>
      <c r="I129" s="96">
        <v>6372</v>
      </c>
      <c r="J129" s="241">
        <f>IFERROR((SUMPRODUCT('PRD Volumes AD (2009-2012)'!U348:V348, 'TAR2013 Tarieven AD'!U129:V129)/('PRD Volumes AD (2009-2012)'!U348+'PRD Volumes AD (2009-2012)'!V348)),0)</f>
        <v>0</v>
      </c>
      <c r="K129" s="96">
        <v>5011</v>
      </c>
      <c r="L129" s="96">
        <v>4250</v>
      </c>
      <c r="M129" s="96">
        <v>1650</v>
      </c>
      <c r="N129" s="96">
        <v>5305.26</v>
      </c>
      <c r="O129" s="96"/>
      <c r="U129" s="231">
        <v>5860</v>
      </c>
      <c r="V129" s="232">
        <v>4025</v>
      </c>
    </row>
    <row r="130" spans="2:24">
      <c r="B130" s="61" t="s">
        <v>293</v>
      </c>
      <c r="G130" s="96">
        <v>13376</v>
      </c>
      <c r="H130" s="96">
        <v>11000</v>
      </c>
      <c r="I130" s="96">
        <v>6825</v>
      </c>
      <c r="J130" s="241">
        <f>IFERROR((SUMPRODUCT('PRD Volumes AD (2009-2012)'!U349:V349, 'TAR2013 Tarieven AD'!U130:V130)/('PRD Volumes AD (2009-2012)'!U349+'PRD Volumes AD (2009-2012)'!V349)),0)</f>
        <v>5860</v>
      </c>
      <c r="K130" s="96">
        <v>5011</v>
      </c>
      <c r="L130" s="96">
        <v>4250</v>
      </c>
      <c r="M130" s="96">
        <v>1650</v>
      </c>
      <c r="N130" s="96">
        <v>5305.26</v>
      </c>
      <c r="O130" s="96"/>
      <c r="U130" s="231">
        <v>5860</v>
      </c>
      <c r="V130" s="232">
        <v>4025</v>
      </c>
    </row>
    <row r="131" spans="2:24">
      <c r="B131" s="61" t="s">
        <v>294</v>
      </c>
      <c r="G131" s="96">
        <v>13376</v>
      </c>
      <c r="H131" s="96">
        <v>11500</v>
      </c>
      <c r="I131" s="96">
        <v>7241</v>
      </c>
      <c r="J131" s="241">
        <f>IFERROR((SUMPRODUCT('PRD Volumes AD (2009-2012)'!U350:V350, 'TAR2013 Tarieven AD'!U131:V131)/('PRD Volumes AD (2009-2012)'!U350+'PRD Volumes AD (2009-2012)'!V350)),0)</f>
        <v>5860</v>
      </c>
      <c r="K131" s="96">
        <v>5665</v>
      </c>
      <c r="L131" s="96">
        <v>5000</v>
      </c>
      <c r="M131" s="96">
        <v>1650</v>
      </c>
      <c r="N131" s="96">
        <v>5305.26</v>
      </c>
      <c r="O131" s="96"/>
      <c r="U131" s="231">
        <v>5860</v>
      </c>
      <c r="V131" s="232">
        <v>4025</v>
      </c>
    </row>
    <row r="132" spans="2:24">
      <c r="B132" s="61" t="s">
        <v>295</v>
      </c>
      <c r="G132" s="96">
        <v>13376</v>
      </c>
      <c r="H132" s="96">
        <v>11500</v>
      </c>
      <c r="I132" s="96">
        <v>8424</v>
      </c>
      <c r="J132" s="241">
        <f>IFERROR((SUMPRODUCT('PRD Volumes AD (2009-2012)'!U351:V351, 'TAR2013 Tarieven AD'!U132:V132)/('PRD Volumes AD (2009-2012)'!U351+'PRD Volumes AD (2009-2012)'!V351)),0)</f>
        <v>5860</v>
      </c>
      <c r="K132" s="96">
        <v>7968</v>
      </c>
      <c r="L132" s="96">
        <v>5500</v>
      </c>
      <c r="M132" s="96">
        <v>1650</v>
      </c>
      <c r="N132" s="96">
        <v>5305.26</v>
      </c>
      <c r="O132" s="96"/>
      <c r="U132" s="231">
        <v>5860</v>
      </c>
      <c r="V132" s="232">
        <v>4025</v>
      </c>
    </row>
    <row r="133" spans="2:24">
      <c r="B133" s="26" t="s">
        <v>296</v>
      </c>
      <c r="G133" s="96">
        <v>13376</v>
      </c>
      <c r="H133" s="96">
        <v>11500</v>
      </c>
      <c r="I133" s="96">
        <v>9607</v>
      </c>
      <c r="J133" s="241">
        <f>IFERROR((SUMPRODUCT('PRD Volumes AD (2009-2012)'!U352:V352, 'TAR2013 Tarieven AD'!U133:V133)/('PRD Volumes AD (2009-2012)'!U352+'PRD Volumes AD (2009-2012)'!V352)),0)</f>
        <v>5860</v>
      </c>
      <c r="K133" s="96">
        <v>9447</v>
      </c>
      <c r="L133" s="96">
        <v>6000</v>
      </c>
      <c r="M133" s="96">
        <v>1650</v>
      </c>
      <c r="N133" s="96">
        <v>5305.26</v>
      </c>
      <c r="O133" s="96"/>
      <c r="U133" s="231">
        <v>5860</v>
      </c>
      <c r="V133" s="232">
        <v>4200</v>
      </c>
    </row>
    <row r="134" spans="2:24">
      <c r="B134" s="61" t="s">
        <v>297</v>
      </c>
      <c r="G134" s="96">
        <v>15568</v>
      </c>
      <c r="H134" s="96">
        <v>12600</v>
      </c>
      <c r="I134" s="96">
        <v>10093</v>
      </c>
      <c r="J134" s="241">
        <f>IFERROR((SUMPRODUCT('PRD Volumes AD (2009-2012)'!U353:V353, 'TAR2013 Tarieven AD'!U134:V134)/('PRD Volumes AD (2009-2012)'!U353+'PRD Volumes AD (2009-2012)'!V353)),0)</f>
        <v>6828</v>
      </c>
      <c r="K134" s="96">
        <v>9950</v>
      </c>
      <c r="L134" s="96">
        <v>6500</v>
      </c>
      <c r="M134" s="96">
        <v>1650</v>
      </c>
      <c r="N134" s="96">
        <v>5305.26</v>
      </c>
      <c r="O134" s="96"/>
      <c r="U134" s="231">
        <v>6828</v>
      </c>
      <c r="V134" s="232">
        <v>4375</v>
      </c>
    </row>
    <row r="135" spans="2:24">
      <c r="B135" s="61" t="s">
        <v>298</v>
      </c>
      <c r="G135" s="96">
        <v>15568</v>
      </c>
      <c r="H135" s="96">
        <v>12600</v>
      </c>
      <c r="I135" s="96">
        <v>10667</v>
      </c>
      <c r="J135" s="241">
        <f>IFERROR((SUMPRODUCT('PRD Volumes AD (2009-2012)'!U354:V354, 'TAR2013 Tarieven AD'!U135:V135)/('PRD Volumes AD (2009-2012)'!U354+'PRD Volumes AD (2009-2012)'!V354)),0)</f>
        <v>6828</v>
      </c>
      <c r="K135" s="96">
        <v>10863</v>
      </c>
      <c r="L135" s="96">
        <v>7000</v>
      </c>
      <c r="M135" s="96">
        <v>2000</v>
      </c>
      <c r="N135" s="96">
        <v>5305.26</v>
      </c>
      <c r="O135" s="96"/>
      <c r="U135" s="231">
        <v>6828</v>
      </c>
      <c r="V135" s="232">
        <v>4375</v>
      </c>
    </row>
    <row r="136" spans="2:24">
      <c r="B136" s="61" t="s">
        <v>299</v>
      </c>
      <c r="G136" s="96">
        <v>15568</v>
      </c>
      <c r="H136" s="96"/>
      <c r="I136" s="96">
        <v>11298</v>
      </c>
      <c r="J136" s="241">
        <f>IFERROR((SUMPRODUCT('PRD Volumes AD (2009-2012)'!U355:V355, 'TAR2013 Tarieven AD'!U136:V136)/('PRD Volumes AD (2009-2012)'!U355+'PRD Volumes AD (2009-2012)'!V355)),0)</f>
        <v>0</v>
      </c>
      <c r="K136" s="96">
        <v>11944</v>
      </c>
      <c r="L136" s="96"/>
      <c r="M136" s="96">
        <v>2000</v>
      </c>
      <c r="N136" s="96">
        <v>5305.26</v>
      </c>
      <c r="O136" s="96"/>
      <c r="U136" s="231">
        <v>10476</v>
      </c>
      <c r="V136" s="232">
        <v>5600</v>
      </c>
    </row>
    <row r="137" spans="2:24">
      <c r="B137" s="23" t="s">
        <v>300</v>
      </c>
      <c r="G137" s="96"/>
      <c r="H137" s="96"/>
      <c r="I137" s="96">
        <v>11993</v>
      </c>
      <c r="J137" s="241">
        <f>IFERROR((SUMPRODUCT('PRD Volumes AD (2009-2012)'!U356:V356, 'TAR2013 Tarieven AD'!U137:V137)/('PRD Volumes AD (2009-2012)'!U356+'PRD Volumes AD (2009-2012)'!V356)),0)</f>
        <v>0</v>
      </c>
      <c r="K137" s="96">
        <v>13144</v>
      </c>
      <c r="L137" s="96"/>
      <c r="M137" s="96">
        <v>2000</v>
      </c>
      <c r="N137" s="96"/>
      <c r="O137" s="96"/>
      <c r="U137" s="231">
        <v>10476</v>
      </c>
      <c r="V137" s="232">
        <v>0</v>
      </c>
    </row>
    <row r="138" spans="2:24">
      <c r="B138" s="23" t="s">
        <v>301</v>
      </c>
      <c r="G138" s="96"/>
      <c r="H138" s="96"/>
      <c r="I138" s="96">
        <v>12757</v>
      </c>
      <c r="J138" s="241">
        <f>IFERROR((SUMPRODUCT('PRD Volumes AD (2009-2012)'!U357:V357, 'TAR2013 Tarieven AD'!U138:V138)/('PRD Volumes AD (2009-2012)'!U357+'PRD Volumes AD (2009-2012)'!V357)),0)</f>
        <v>12889</v>
      </c>
      <c r="K138" s="96">
        <v>14462</v>
      </c>
      <c r="L138" s="96"/>
      <c r="M138" s="96">
        <v>2000</v>
      </c>
      <c r="N138" s="96"/>
      <c r="O138" s="96"/>
      <c r="U138" s="231">
        <v>12889</v>
      </c>
      <c r="V138" s="232">
        <v>0</v>
      </c>
    </row>
    <row r="139" spans="2:24">
      <c r="B139" s="23"/>
      <c r="G139" s="82"/>
      <c r="H139" s="82"/>
      <c r="I139" s="82"/>
      <c r="J139" s="243"/>
      <c r="K139" s="82"/>
      <c r="L139" s="82"/>
      <c r="M139" s="82"/>
      <c r="N139" s="82"/>
      <c r="U139" s="233"/>
      <c r="V139" s="234"/>
    </row>
    <row r="140" spans="2:24">
      <c r="B140" s="108" t="s">
        <v>290</v>
      </c>
      <c r="G140" s="82"/>
      <c r="H140" s="82"/>
      <c r="I140" s="82"/>
      <c r="J140" s="243"/>
      <c r="K140" s="82"/>
      <c r="L140" s="82"/>
      <c r="M140" s="82"/>
      <c r="N140" s="82"/>
      <c r="U140" s="233"/>
      <c r="V140" s="234"/>
    </row>
    <row r="141" spans="2:24">
      <c r="B141" s="23" t="s">
        <v>302</v>
      </c>
      <c r="G141" s="112"/>
      <c r="H141" s="96">
        <v>0</v>
      </c>
      <c r="I141" s="112"/>
      <c r="J141" s="241">
        <f>IFERROR((SUMPRODUCT('PRD Volumes AD (2009-2012)'!U360:V360, 'TAR2013 Tarieven AD'!U141:V141)/('PRD Volumes AD (2009-2012)'!U360+'PRD Volumes AD (2009-2012)'!V360)),0)</f>
        <v>0</v>
      </c>
      <c r="K141" s="112"/>
      <c r="L141" s="112"/>
      <c r="M141" s="112"/>
      <c r="N141" s="112"/>
      <c r="O141" s="96">
        <v>0</v>
      </c>
      <c r="U141" s="231">
        <v>0</v>
      </c>
      <c r="V141" s="234"/>
    </row>
    <row r="142" spans="2:24">
      <c r="B142" s="22"/>
      <c r="G142" s="82"/>
      <c r="H142" s="82"/>
      <c r="I142" s="82"/>
      <c r="J142" s="82"/>
      <c r="K142" s="82"/>
      <c r="L142" s="82"/>
      <c r="M142" s="82"/>
      <c r="N142" s="82"/>
    </row>
    <row r="143" spans="2:24">
      <c r="B143" s="22"/>
      <c r="G143" s="82"/>
      <c r="H143" s="82"/>
      <c r="I143" s="82"/>
      <c r="J143" s="82"/>
      <c r="K143" s="82"/>
      <c r="L143" s="82"/>
      <c r="M143" s="82"/>
      <c r="N143" s="82"/>
    </row>
    <row r="144" spans="2:24" s="2" customFormat="1">
      <c r="B144" s="2" t="s">
        <v>320</v>
      </c>
      <c r="F144" s="49"/>
      <c r="G144" s="113"/>
      <c r="H144" s="113"/>
      <c r="I144" s="113"/>
      <c r="J144" s="113"/>
      <c r="K144" s="113"/>
      <c r="L144" s="113"/>
      <c r="M144" s="113"/>
      <c r="N144" s="113"/>
      <c r="O144" s="113"/>
      <c r="S144" s="113"/>
      <c r="T144" s="113"/>
      <c r="U144" s="240"/>
      <c r="V144" s="113"/>
      <c r="W144" s="113"/>
      <c r="X144" s="113"/>
    </row>
    <row r="145" spans="2:15">
      <c r="G145" s="82"/>
      <c r="H145" s="82"/>
      <c r="I145" s="82"/>
      <c r="J145" s="82"/>
      <c r="K145" s="82"/>
      <c r="L145" s="82"/>
      <c r="M145" s="82"/>
      <c r="N145" s="82"/>
    </row>
    <row r="146" spans="2:15">
      <c r="B146" s="3" t="s">
        <v>307</v>
      </c>
      <c r="G146" s="82"/>
      <c r="H146" s="82"/>
      <c r="I146" s="82"/>
      <c r="J146" s="82"/>
      <c r="K146" s="82"/>
      <c r="L146" s="82"/>
      <c r="M146" s="82"/>
      <c r="N146" s="82"/>
    </row>
    <row r="147" spans="2:15">
      <c r="B147" s="3"/>
      <c r="G147" s="82"/>
      <c r="H147" s="82"/>
      <c r="I147" s="82"/>
      <c r="J147" s="82"/>
      <c r="K147" s="82"/>
      <c r="L147" s="82"/>
      <c r="M147" s="82"/>
      <c r="N147" s="82"/>
    </row>
    <row r="148" spans="2:15">
      <c r="B148" s="108" t="s">
        <v>284</v>
      </c>
      <c r="G148" s="82"/>
      <c r="H148" s="82"/>
      <c r="I148" s="82"/>
      <c r="J148" s="82"/>
      <c r="K148" s="82"/>
      <c r="L148" s="82"/>
      <c r="M148" s="82"/>
      <c r="N148" s="82"/>
    </row>
    <row r="149" spans="2:15">
      <c r="B149" s="23" t="s">
        <v>285</v>
      </c>
      <c r="G149" s="96">
        <v>688.58</v>
      </c>
      <c r="H149" s="96">
        <v>727.54</v>
      </c>
      <c r="I149" s="96">
        <v>687</v>
      </c>
      <c r="J149" s="96">
        <v>650</v>
      </c>
      <c r="K149" s="96">
        <v>689</v>
      </c>
      <c r="L149" s="96">
        <v>600.20000000000005</v>
      </c>
      <c r="M149" s="96">
        <v>767.92</v>
      </c>
      <c r="N149" s="96">
        <v>945.9</v>
      </c>
      <c r="O149" s="96"/>
    </row>
    <row r="150" spans="2:15">
      <c r="B150" s="23" t="s">
        <v>286</v>
      </c>
      <c r="G150" s="96">
        <v>1312.27</v>
      </c>
      <c r="H150" s="96">
        <v>1330.98</v>
      </c>
      <c r="I150" s="96">
        <v>1585</v>
      </c>
      <c r="J150" s="96">
        <v>1230</v>
      </c>
      <c r="K150" s="96">
        <v>1438</v>
      </c>
      <c r="L150" s="96">
        <v>1594.6</v>
      </c>
      <c r="M150" s="96">
        <v>1535.92</v>
      </c>
      <c r="N150" s="96">
        <v>2437.79</v>
      </c>
      <c r="O150" s="96"/>
    </row>
    <row r="151" spans="2:15">
      <c r="B151" s="61" t="s">
        <v>287</v>
      </c>
      <c r="G151" s="96">
        <v>1312.27</v>
      </c>
      <c r="H151" s="96">
        <v>1330.98</v>
      </c>
      <c r="I151" s="96">
        <v>1585</v>
      </c>
      <c r="J151" s="96">
        <v>1260</v>
      </c>
      <c r="K151" s="96">
        <v>1438</v>
      </c>
      <c r="L151" s="96">
        <v>1594.6</v>
      </c>
      <c r="M151" s="96">
        <v>1535.92</v>
      </c>
      <c r="N151" s="96">
        <v>3394.22</v>
      </c>
      <c r="O151" s="96"/>
    </row>
    <row r="152" spans="2:15">
      <c r="B152" s="61" t="s">
        <v>288</v>
      </c>
      <c r="G152" s="96">
        <v>1830.17</v>
      </c>
      <c r="H152" s="96">
        <v>1693.68</v>
      </c>
      <c r="I152" s="96">
        <v>2023</v>
      </c>
      <c r="J152" s="96">
        <v>1732</v>
      </c>
      <c r="K152" s="96">
        <v>2014</v>
      </c>
      <c r="L152" s="96">
        <v>2345</v>
      </c>
      <c r="M152" s="96">
        <v>2578.77</v>
      </c>
      <c r="N152" s="96">
        <v>3511.09</v>
      </c>
      <c r="O152" s="96"/>
    </row>
    <row r="153" spans="2:15">
      <c r="B153" s="23"/>
      <c r="G153" s="82"/>
      <c r="H153" s="82"/>
      <c r="I153" s="82"/>
      <c r="J153" s="82"/>
      <c r="K153" s="82"/>
      <c r="L153" s="82"/>
      <c r="M153" s="82"/>
      <c r="N153" s="82"/>
    </row>
    <row r="154" spans="2:15">
      <c r="B154" s="108" t="s">
        <v>289</v>
      </c>
      <c r="G154" s="82"/>
      <c r="H154" s="82"/>
      <c r="I154" s="82"/>
      <c r="J154" s="82"/>
      <c r="K154" s="82"/>
      <c r="L154" s="82"/>
      <c r="M154" s="82"/>
      <c r="N154" s="82"/>
    </row>
    <row r="155" spans="2:15">
      <c r="B155" s="23" t="s">
        <v>285</v>
      </c>
      <c r="G155" s="96"/>
      <c r="H155" s="96"/>
      <c r="I155" s="96">
        <v>687</v>
      </c>
      <c r="J155" s="96"/>
      <c r="K155" s="96">
        <v>689</v>
      </c>
      <c r="L155" s="96"/>
      <c r="M155" s="96"/>
      <c r="N155" s="96"/>
      <c r="O155" s="96"/>
    </row>
    <row r="156" spans="2:15">
      <c r="B156" s="23" t="s">
        <v>286</v>
      </c>
      <c r="G156" s="96"/>
      <c r="H156" s="96"/>
      <c r="I156" s="96">
        <v>1585</v>
      </c>
      <c r="J156" s="96"/>
      <c r="K156" s="96">
        <v>1438</v>
      </c>
      <c r="L156" s="96"/>
      <c r="M156" s="96"/>
      <c r="N156" s="96"/>
      <c r="O156" s="96"/>
    </row>
    <row r="157" spans="2:15">
      <c r="B157" s="61" t="s">
        <v>287</v>
      </c>
      <c r="G157" s="96"/>
      <c r="H157" s="96"/>
      <c r="I157" s="96">
        <v>1585</v>
      </c>
      <c r="J157" s="96"/>
      <c r="K157" s="96">
        <v>1438</v>
      </c>
      <c r="L157" s="96"/>
      <c r="M157" s="96"/>
      <c r="N157" s="96"/>
      <c r="O157" s="96"/>
    </row>
    <row r="158" spans="2:15">
      <c r="B158" s="61" t="s">
        <v>288</v>
      </c>
      <c r="G158" s="96"/>
      <c r="H158" s="96"/>
      <c r="I158" s="96">
        <v>2023</v>
      </c>
      <c r="J158" s="96"/>
      <c r="K158" s="96">
        <v>2014</v>
      </c>
      <c r="L158" s="96"/>
      <c r="M158" s="96"/>
      <c r="N158" s="96"/>
      <c r="O158" s="96"/>
    </row>
    <row r="159" spans="2:15">
      <c r="B159" s="23"/>
      <c r="G159" s="82"/>
      <c r="H159" s="82"/>
      <c r="I159" s="82"/>
      <c r="J159" s="82"/>
      <c r="K159" s="82"/>
      <c r="L159" s="82"/>
      <c r="M159" s="82"/>
      <c r="N159" s="82"/>
    </row>
    <row r="160" spans="2:15">
      <c r="B160" s="108" t="s">
        <v>290</v>
      </c>
      <c r="G160" s="82"/>
      <c r="H160" s="82"/>
      <c r="I160" s="82"/>
      <c r="J160" s="82"/>
      <c r="K160" s="82"/>
      <c r="L160" s="82"/>
      <c r="M160" s="82"/>
      <c r="N160" s="82"/>
    </row>
    <row r="161" spans="2:15">
      <c r="B161" s="23" t="s">
        <v>291</v>
      </c>
      <c r="G161" s="112"/>
      <c r="H161" s="96">
        <v>0</v>
      </c>
      <c r="I161" s="112"/>
      <c r="J161" s="96">
        <v>0</v>
      </c>
      <c r="K161" s="112"/>
      <c r="L161" s="112"/>
      <c r="M161" s="112"/>
      <c r="N161" s="112"/>
      <c r="O161" s="96">
        <v>0</v>
      </c>
    </row>
    <row r="162" spans="2:15">
      <c r="B162" s="3"/>
      <c r="G162" s="82"/>
      <c r="H162" s="82"/>
      <c r="I162" s="82"/>
      <c r="J162" s="82"/>
      <c r="K162" s="82"/>
      <c r="L162" s="82"/>
      <c r="M162" s="82"/>
      <c r="N162" s="82"/>
    </row>
    <row r="163" spans="2:15">
      <c r="B163" s="3"/>
      <c r="G163" s="82"/>
      <c r="H163" s="82"/>
      <c r="I163" s="82"/>
      <c r="J163" s="82"/>
      <c r="K163" s="82"/>
      <c r="L163" s="82"/>
      <c r="M163" s="82"/>
      <c r="N163" s="82"/>
    </row>
    <row r="164" spans="2:15">
      <c r="B164" s="3" t="s">
        <v>308</v>
      </c>
      <c r="G164" s="82"/>
      <c r="H164" s="82"/>
      <c r="I164" s="82"/>
      <c r="J164" s="82"/>
      <c r="K164" s="82"/>
      <c r="L164" s="82"/>
      <c r="M164" s="82"/>
      <c r="N164" s="82"/>
    </row>
    <row r="165" spans="2:15">
      <c r="B165" s="3"/>
      <c r="G165" s="82"/>
      <c r="H165" s="82"/>
      <c r="I165" s="82"/>
      <c r="J165" s="82"/>
      <c r="K165" s="82"/>
      <c r="L165" s="82"/>
      <c r="M165" s="82"/>
      <c r="N165" s="82"/>
    </row>
    <row r="166" spans="2:15">
      <c r="B166" s="108" t="s">
        <v>284</v>
      </c>
      <c r="G166" s="82"/>
      <c r="H166" s="82"/>
      <c r="I166" s="82"/>
      <c r="J166" s="82"/>
      <c r="K166" s="82"/>
      <c r="L166" s="82"/>
      <c r="M166" s="82"/>
      <c r="N166" s="82"/>
    </row>
    <row r="167" spans="2:15">
      <c r="B167" s="23" t="s">
        <v>285</v>
      </c>
      <c r="G167" s="96">
        <v>19.16</v>
      </c>
      <c r="H167" s="96">
        <v>26.5</v>
      </c>
      <c r="I167" s="96">
        <v>21.2</v>
      </c>
      <c r="J167" s="96">
        <v>21.3</v>
      </c>
      <c r="K167" s="96">
        <v>25.8</v>
      </c>
      <c r="L167" s="96">
        <v>15.45</v>
      </c>
      <c r="M167" s="96">
        <v>34.01</v>
      </c>
      <c r="N167" s="96">
        <v>57.4</v>
      </c>
      <c r="O167" s="96"/>
    </row>
    <row r="168" spans="2:15">
      <c r="B168" s="23" t="s">
        <v>286</v>
      </c>
      <c r="G168" s="96">
        <v>20.72</v>
      </c>
      <c r="H168" s="96">
        <v>27.96</v>
      </c>
      <c r="I168" s="96">
        <v>21.2</v>
      </c>
      <c r="J168" s="96">
        <v>26.2</v>
      </c>
      <c r="K168" s="96">
        <v>31.9</v>
      </c>
      <c r="L168" s="96">
        <v>24.4</v>
      </c>
      <c r="M168" s="96">
        <v>34.01</v>
      </c>
      <c r="N168" s="96">
        <v>46.96</v>
      </c>
      <c r="O168" s="96"/>
    </row>
    <row r="169" spans="2:15">
      <c r="B169" s="61" t="s">
        <v>287</v>
      </c>
      <c r="G169" s="96">
        <v>23.73</v>
      </c>
      <c r="H169" s="96">
        <v>29.49</v>
      </c>
      <c r="I169" s="96">
        <v>21.2</v>
      </c>
      <c r="J169" s="96">
        <v>26.2</v>
      </c>
      <c r="K169" s="96">
        <v>31.9</v>
      </c>
      <c r="L169" s="96">
        <v>24.4</v>
      </c>
      <c r="M169" s="96">
        <v>34.01</v>
      </c>
      <c r="N169" s="96">
        <v>46.96</v>
      </c>
      <c r="O169" s="96"/>
    </row>
    <row r="170" spans="2:15">
      <c r="B170" s="61" t="s">
        <v>288</v>
      </c>
      <c r="G170" s="96">
        <v>27</v>
      </c>
      <c r="H170" s="96">
        <v>30.63</v>
      </c>
      <c r="I170" s="96">
        <v>21.2</v>
      </c>
      <c r="J170" s="96">
        <v>26.2</v>
      </c>
      <c r="K170" s="96">
        <v>31.9</v>
      </c>
      <c r="L170" s="96">
        <v>18.8</v>
      </c>
      <c r="M170" s="96">
        <v>39.67</v>
      </c>
      <c r="N170" s="96">
        <v>46.96</v>
      </c>
      <c r="O170" s="96"/>
    </row>
    <row r="171" spans="2:15">
      <c r="B171" s="23"/>
      <c r="G171" s="82"/>
      <c r="H171" s="82"/>
      <c r="I171" s="82"/>
      <c r="J171" s="82"/>
      <c r="K171" s="82"/>
      <c r="L171" s="82"/>
      <c r="M171" s="82"/>
      <c r="N171" s="82"/>
    </row>
    <row r="172" spans="2:15">
      <c r="B172" s="108" t="s">
        <v>289</v>
      </c>
      <c r="G172" s="82"/>
      <c r="H172" s="82"/>
      <c r="I172" s="82"/>
      <c r="J172" s="82"/>
      <c r="K172" s="82"/>
      <c r="L172" s="82"/>
      <c r="M172" s="82"/>
      <c r="N172" s="82"/>
    </row>
    <row r="173" spans="2:15">
      <c r="B173" s="23" t="s">
        <v>285</v>
      </c>
      <c r="G173" s="96">
        <v>19.16</v>
      </c>
      <c r="H173" s="96"/>
      <c r="I173" s="96">
        <v>21.2</v>
      </c>
      <c r="J173" s="96"/>
      <c r="K173" s="96">
        <v>25.8</v>
      </c>
      <c r="L173" s="96"/>
      <c r="M173" s="96"/>
      <c r="N173" s="96"/>
      <c r="O173" s="96"/>
    </row>
    <row r="174" spans="2:15">
      <c r="B174" s="23" t="s">
        <v>286</v>
      </c>
      <c r="G174" s="96">
        <v>20.72</v>
      </c>
      <c r="H174" s="96"/>
      <c r="I174" s="96">
        <v>21.2</v>
      </c>
      <c r="J174" s="96"/>
      <c r="K174" s="96">
        <v>31.9</v>
      </c>
      <c r="L174" s="96"/>
      <c r="M174" s="96"/>
      <c r="N174" s="96"/>
      <c r="O174" s="96"/>
    </row>
    <row r="175" spans="2:15">
      <c r="B175" s="61" t="s">
        <v>287</v>
      </c>
      <c r="G175" s="96">
        <v>23.73</v>
      </c>
      <c r="H175" s="96"/>
      <c r="I175" s="96">
        <v>21.2</v>
      </c>
      <c r="J175" s="96"/>
      <c r="K175" s="96">
        <v>31.9</v>
      </c>
      <c r="L175" s="96"/>
      <c r="M175" s="96"/>
      <c r="N175" s="96"/>
      <c r="O175" s="96"/>
    </row>
    <row r="176" spans="2:15">
      <c r="B176" s="61" t="s">
        <v>288</v>
      </c>
      <c r="G176" s="96">
        <v>27</v>
      </c>
      <c r="H176" s="96"/>
      <c r="I176" s="96">
        <v>21.2</v>
      </c>
      <c r="J176" s="96"/>
      <c r="K176" s="96">
        <v>31.9</v>
      </c>
      <c r="L176" s="96"/>
      <c r="M176" s="96"/>
      <c r="N176" s="96"/>
      <c r="O176" s="96"/>
    </row>
    <row r="177" spans="2:15">
      <c r="B177" s="23"/>
      <c r="G177" s="82"/>
      <c r="H177" s="82"/>
      <c r="I177" s="82"/>
      <c r="J177" s="82"/>
      <c r="K177" s="82"/>
      <c r="L177" s="82"/>
      <c r="M177" s="82"/>
      <c r="N177" s="82"/>
    </row>
    <row r="178" spans="2:15">
      <c r="B178" s="108" t="s">
        <v>290</v>
      </c>
      <c r="G178" s="82"/>
      <c r="H178" s="82"/>
      <c r="I178" s="82"/>
      <c r="J178" s="82"/>
      <c r="K178" s="82"/>
      <c r="L178" s="82"/>
      <c r="M178" s="82"/>
      <c r="N178" s="82"/>
    </row>
    <row r="179" spans="2:15">
      <c r="B179" s="23" t="s">
        <v>291</v>
      </c>
      <c r="G179" s="112"/>
      <c r="H179" s="96">
        <v>0</v>
      </c>
      <c r="I179" s="112"/>
      <c r="J179" s="96">
        <v>0</v>
      </c>
      <c r="K179" s="112"/>
      <c r="L179" s="112"/>
      <c r="M179" s="112"/>
      <c r="N179" s="112"/>
      <c r="O179" s="96">
        <v>0</v>
      </c>
    </row>
    <row r="180" spans="2:15">
      <c r="B180" s="3"/>
      <c r="G180" s="82"/>
      <c r="H180" s="82"/>
      <c r="I180" s="82"/>
      <c r="J180" s="82"/>
      <c r="K180" s="82"/>
      <c r="L180" s="82"/>
      <c r="M180" s="82"/>
      <c r="N180" s="82"/>
    </row>
    <row r="181" spans="2:15">
      <c r="B181" s="3"/>
      <c r="G181" s="82"/>
      <c r="H181" s="82"/>
      <c r="I181" s="82"/>
      <c r="J181" s="82"/>
      <c r="K181" s="82"/>
      <c r="L181" s="82"/>
      <c r="M181" s="82"/>
      <c r="N181" s="82"/>
    </row>
    <row r="182" spans="2:15">
      <c r="B182" s="3" t="s">
        <v>309</v>
      </c>
      <c r="G182" s="82"/>
      <c r="H182" s="82"/>
      <c r="I182" s="82"/>
      <c r="J182" s="82"/>
      <c r="K182" s="82"/>
      <c r="L182" s="82"/>
      <c r="M182" s="82"/>
      <c r="N182" s="82"/>
    </row>
    <row r="183" spans="2:15">
      <c r="B183" s="3"/>
      <c r="G183" s="82"/>
      <c r="H183" s="82"/>
      <c r="I183" s="82"/>
      <c r="J183" s="82"/>
      <c r="K183" s="82"/>
      <c r="L183" s="82"/>
      <c r="M183" s="82"/>
      <c r="N183" s="82"/>
    </row>
    <row r="184" spans="2:15">
      <c r="B184" s="108" t="s">
        <v>284</v>
      </c>
      <c r="G184" s="82"/>
      <c r="H184" s="82"/>
      <c r="I184" s="82"/>
      <c r="J184" s="82"/>
      <c r="K184" s="82"/>
      <c r="L184" s="82"/>
      <c r="M184" s="82"/>
      <c r="N184" s="82"/>
    </row>
    <row r="185" spans="2:15">
      <c r="B185" s="61" t="s">
        <v>292</v>
      </c>
      <c r="G185" s="96">
        <v>2570.41</v>
      </c>
      <c r="H185" s="96">
        <v>1999.17</v>
      </c>
      <c r="I185" s="96">
        <v>2348</v>
      </c>
      <c r="J185" s="96">
        <v>1100</v>
      </c>
      <c r="K185" s="96">
        <v>2072</v>
      </c>
      <c r="L185" s="96">
        <v>1242</v>
      </c>
      <c r="M185" s="96">
        <v>1133.52</v>
      </c>
      <c r="N185" s="96">
        <v>2532.61</v>
      </c>
      <c r="O185" s="96"/>
    </row>
    <row r="186" spans="2:15">
      <c r="B186" s="61" t="s">
        <v>293</v>
      </c>
      <c r="G186" s="96">
        <v>2570.41</v>
      </c>
      <c r="H186" s="96">
        <v>1999.17</v>
      </c>
      <c r="I186" s="96">
        <v>2876</v>
      </c>
      <c r="J186" s="96">
        <v>1100</v>
      </c>
      <c r="K186" s="96">
        <v>2072</v>
      </c>
      <c r="L186" s="96">
        <v>1573</v>
      </c>
      <c r="M186" s="96">
        <v>1133.52</v>
      </c>
      <c r="N186" s="96">
        <v>2532.61</v>
      </c>
      <c r="O186" s="96"/>
    </row>
    <row r="187" spans="2:15">
      <c r="B187" s="61" t="s">
        <v>294</v>
      </c>
      <c r="G187" s="96">
        <v>3804.25</v>
      </c>
      <c r="H187" s="96">
        <v>1999.17</v>
      </c>
      <c r="I187" s="96">
        <v>3361</v>
      </c>
      <c r="J187" s="96">
        <v>2400</v>
      </c>
      <c r="K187" s="96">
        <v>2944</v>
      </c>
      <c r="L187" s="96">
        <v>2650</v>
      </c>
      <c r="M187" s="96">
        <v>1133.52</v>
      </c>
      <c r="N187" s="96">
        <v>5536.25</v>
      </c>
      <c r="O187" s="96"/>
    </row>
    <row r="188" spans="2:15">
      <c r="B188" s="61" t="s">
        <v>295</v>
      </c>
      <c r="G188" s="96">
        <v>3804.25</v>
      </c>
      <c r="H188" s="96">
        <v>1999.17</v>
      </c>
      <c r="I188" s="96">
        <v>4740</v>
      </c>
      <c r="J188" s="96">
        <v>2400</v>
      </c>
      <c r="K188" s="96">
        <v>3212</v>
      </c>
      <c r="L188" s="96">
        <v>4750</v>
      </c>
      <c r="M188" s="96">
        <v>1133.52</v>
      </c>
      <c r="N188" s="96">
        <v>5536.25</v>
      </c>
      <c r="O188" s="96"/>
    </row>
    <row r="189" spans="2:15">
      <c r="B189" s="26" t="s">
        <v>296</v>
      </c>
      <c r="G189" s="96"/>
      <c r="H189" s="96">
        <v>2186.6</v>
      </c>
      <c r="I189" s="96">
        <v>6119</v>
      </c>
      <c r="J189" s="96">
        <v>2400</v>
      </c>
      <c r="K189" s="96">
        <v>3532</v>
      </c>
      <c r="L189" s="96">
        <v>5172</v>
      </c>
      <c r="M189" s="96">
        <v>1133.52</v>
      </c>
      <c r="N189" s="96">
        <v>5536.25</v>
      </c>
      <c r="O189" s="96"/>
    </row>
    <row r="190" spans="2:15">
      <c r="B190" s="61" t="s">
        <v>297</v>
      </c>
      <c r="G190" s="96"/>
      <c r="H190" s="96">
        <v>2186.6</v>
      </c>
      <c r="I190" s="96">
        <v>6684</v>
      </c>
      <c r="J190" s="96">
        <v>2400</v>
      </c>
      <c r="K190" s="96">
        <v>3885</v>
      </c>
      <c r="L190" s="96">
        <v>7005</v>
      </c>
      <c r="M190" s="96"/>
      <c r="N190" s="96">
        <v>5536.25</v>
      </c>
      <c r="O190" s="96"/>
    </row>
    <row r="191" spans="2:15">
      <c r="B191" s="61" t="s">
        <v>298</v>
      </c>
      <c r="G191" s="96"/>
      <c r="H191" s="96">
        <v>2623.92</v>
      </c>
      <c r="I191" s="96">
        <v>7354</v>
      </c>
      <c r="J191" s="96">
        <v>2400</v>
      </c>
      <c r="K191" s="96">
        <v>4279</v>
      </c>
      <c r="L191" s="96">
        <v>7650</v>
      </c>
      <c r="M191" s="96"/>
      <c r="N191" s="96">
        <v>5536.25</v>
      </c>
      <c r="O191" s="96"/>
    </row>
    <row r="192" spans="2:15">
      <c r="B192" s="61" t="s">
        <v>299</v>
      </c>
      <c r="G192" s="96"/>
      <c r="H192" s="96"/>
      <c r="I192" s="96">
        <v>8090</v>
      </c>
      <c r="J192" s="96">
        <v>2400</v>
      </c>
      <c r="K192" s="96">
        <v>4707</v>
      </c>
      <c r="L192" s="96">
        <v>7650</v>
      </c>
      <c r="M192" s="96"/>
      <c r="N192" s="96">
        <v>5536.25</v>
      </c>
      <c r="O192" s="96"/>
    </row>
    <row r="193" spans="2:15">
      <c r="B193" s="23" t="s">
        <v>300</v>
      </c>
      <c r="G193" s="96"/>
      <c r="H193" s="96"/>
      <c r="I193" s="96">
        <v>8902</v>
      </c>
      <c r="J193" s="96">
        <v>2400</v>
      </c>
      <c r="K193" s="96">
        <v>5175</v>
      </c>
      <c r="L193" s="96">
        <v>7650</v>
      </c>
      <c r="M193" s="96"/>
      <c r="N193" s="96">
        <v>5536.25</v>
      </c>
      <c r="O193" s="96"/>
    </row>
    <row r="194" spans="2:15">
      <c r="B194" s="23" t="s">
        <v>301</v>
      </c>
      <c r="G194" s="96"/>
      <c r="H194" s="96"/>
      <c r="I194" s="96">
        <v>9791</v>
      </c>
      <c r="J194" s="96"/>
      <c r="K194" s="96">
        <v>5695</v>
      </c>
      <c r="L194" s="96"/>
      <c r="M194" s="96"/>
      <c r="N194" s="96"/>
      <c r="O194" s="96"/>
    </row>
    <row r="195" spans="2:15">
      <c r="B195" s="23"/>
      <c r="G195" s="82"/>
      <c r="H195" s="82"/>
      <c r="I195" s="82"/>
      <c r="J195" s="82"/>
      <c r="K195" s="82"/>
      <c r="L195" s="82"/>
      <c r="M195" s="82"/>
      <c r="N195" s="82"/>
    </row>
    <row r="196" spans="2:15">
      <c r="B196" s="108" t="s">
        <v>289</v>
      </c>
      <c r="G196" s="82"/>
      <c r="H196" s="82"/>
      <c r="I196" s="82"/>
      <c r="J196" s="82"/>
      <c r="K196" s="82"/>
      <c r="L196" s="82"/>
      <c r="M196" s="82"/>
      <c r="N196" s="82"/>
    </row>
    <row r="197" spans="2:15">
      <c r="B197" s="61" t="s">
        <v>292</v>
      </c>
      <c r="G197" s="96">
        <v>8353.16</v>
      </c>
      <c r="H197" s="96">
        <v>13744.33</v>
      </c>
      <c r="I197" s="96">
        <v>2348</v>
      </c>
      <c r="J197" s="96">
        <v>1100</v>
      </c>
      <c r="K197" s="96">
        <v>2072</v>
      </c>
      <c r="L197" s="96">
        <v>7650</v>
      </c>
      <c r="M197" s="96">
        <v>1870.31</v>
      </c>
      <c r="N197" s="96">
        <v>5720.33</v>
      </c>
      <c r="O197" s="96"/>
    </row>
    <row r="198" spans="2:15">
      <c r="B198" s="61" t="s">
        <v>293</v>
      </c>
      <c r="G198" s="96">
        <v>8353.16</v>
      </c>
      <c r="H198" s="96">
        <v>13744.33</v>
      </c>
      <c r="I198" s="96">
        <v>2876</v>
      </c>
      <c r="J198" s="96">
        <v>1100</v>
      </c>
      <c r="K198" s="96">
        <v>2072</v>
      </c>
      <c r="L198" s="96">
        <v>7650</v>
      </c>
      <c r="M198" s="96">
        <v>1870.31</v>
      </c>
      <c r="N198" s="96">
        <v>5720.33</v>
      </c>
      <c r="O198" s="96"/>
    </row>
    <row r="199" spans="2:15">
      <c r="B199" s="61" t="s">
        <v>294</v>
      </c>
      <c r="G199" s="96">
        <v>8353.16</v>
      </c>
      <c r="H199" s="96">
        <v>14369.08</v>
      </c>
      <c r="I199" s="96">
        <v>3361</v>
      </c>
      <c r="J199" s="96">
        <v>2400</v>
      </c>
      <c r="K199" s="96">
        <v>2944</v>
      </c>
      <c r="L199" s="96">
        <v>7650</v>
      </c>
      <c r="M199" s="96">
        <v>1870.31</v>
      </c>
      <c r="N199" s="96">
        <v>5720.33</v>
      </c>
      <c r="O199" s="96"/>
    </row>
    <row r="200" spans="2:15">
      <c r="B200" s="61" t="s">
        <v>295</v>
      </c>
      <c r="G200" s="96">
        <v>8353.16</v>
      </c>
      <c r="H200" s="96">
        <v>14369.08</v>
      </c>
      <c r="I200" s="96">
        <v>4740</v>
      </c>
      <c r="J200" s="96">
        <v>2400</v>
      </c>
      <c r="K200" s="96">
        <v>3212</v>
      </c>
      <c r="L200" s="96">
        <v>7650</v>
      </c>
      <c r="M200" s="96">
        <v>1870.31</v>
      </c>
      <c r="N200" s="96">
        <v>5720.33</v>
      </c>
      <c r="O200" s="96"/>
    </row>
    <row r="201" spans="2:15">
      <c r="B201" s="26" t="s">
        <v>296</v>
      </c>
      <c r="G201" s="96">
        <v>8353.16</v>
      </c>
      <c r="H201" s="96">
        <v>14369.08</v>
      </c>
      <c r="I201" s="96">
        <v>6119</v>
      </c>
      <c r="J201" s="96">
        <v>2400</v>
      </c>
      <c r="K201" s="96">
        <v>3532</v>
      </c>
      <c r="L201" s="96">
        <v>7650</v>
      </c>
      <c r="M201" s="96">
        <v>1870.31</v>
      </c>
      <c r="N201" s="96">
        <v>5720.33</v>
      </c>
      <c r="O201" s="96"/>
    </row>
    <row r="202" spans="2:15">
      <c r="B202" s="61" t="s">
        <v>297</v>
      </c>
      <c r="G202" s="96">
        <v>8980.9</v>
      </c>
      <c r="H202" s="96">
        <v>15743.51</v>
      </c>
      <c r="I202" s="96">
        <v>6684</v>
      </c>
      <c r="J202" s="96">
        <v>2400</v>
      </c>
      <c r="K202" s="96">
        <v>3885</v>
      </c>
      <c r="L202" s="96">
        <v>7650</v>
      </c>
      <c r="M202" s="96">
        <v>1870.31</v>
      </c>
      <c r="N202" s="96">
        <v>5720.33</v>
      </c>
      <c r="O202" s="96"/>
    </row>
    <row r="203" spans="2:15">
      <c r="B203" s="61" t="s">
        <v>298</v>
      </c>
      <c r="G203" s="96">
        <v>8980.9</v>
      </c>
      <c r="H203" s="96">
        <v>15743.51</v>
      </c>
      <c r="I203" s="96">
        <v>7354</v>
      </c>
      <c r="J203" s="96">
        <v>2400</v>
      </c>
      <c r="K203" s="96">
        <v>4279</v>
      </c>
      <c r="L203" s="96">
        <v>7650</v>
      </c>
      <c r="M203" s="96">
        <v>2267.0500000000002</v>
      </c>
      <c r="N203" s="96">
        <v>5720.33</v>
      </c>
      <c r="O203" s="96"/>
    </row>
    <row r="204" spans="2:15">
      <c r="B204" s="61" t="s">
        <v>299</v>
      </c>
      <c r="G204" s="96">
        <v>8980.9</v>
      </c>
      <c r="H204" s="96"/>
      <c r="I204" s="96">
        <v>8090</v>
      </c>
      <c r="J204" s="96">
        <v>2400</v>
      </c>
      <c r="K204" s="96">
        <v>4707</v>
      </c>
      <c r="L204" s="96">
        <v>7650</v>
      </c>
      <c r="M204" s="96">
        <v>2267.0500000000002</v>
      </c>
      <c r="N204" s="96">
        <v>5720.33</v>
      </c>
      <c r="O204" s="96"/>
    </row>
    <row r="205" spans="2:15">
      <c r="B205" s="23" t="s">
        <v>300</v>
      </c>
      <c r="G205" s="96"/>
      <c r="H205" s="96"/>
      <c r="I205" s="96">
        <v>8902</v>
      </c>
      <c r="J205" s="96">
        <v>2400</v>
      </c>
      <c r="K205" s="96">
        <v>5175</v>
      </c>
      <c r="L205" s="96">
        <v>7650</v>
      </c>
      <c r="M205" s="96">
        <v>2267.0500000000002</v>
      </c>
      <c r="N205" s="96">
        <v>5720.33</v>
      </c>
      <c r="O205" s="96"/>
    </row>
    <row r="206" spans="2:15">
      <c r="B206" s="23" t="s">
        <v>301</v>
      </c>
      <c r="G206" s="96"/>
      <c r="H206" s="96"/>
      <c r="I206" s="96">
        <v>9791</v>
      </c>
      <c r="J206" s="96">
        <v>2400</v>
      </c>
      <c r="K206" s="96">
        <v>5695</v>
      </c>
      <c r="L206" s="96"/>
      <c r="M206" s="96">
        <v>2267.0500000000002</v>
      </c>
      <c r="N206" s="96"/>
      <c r="O206" s="96"/>
    </row>
    <row r="207" spans="2:15">
      <c r="B207" s="23"/>
      <c r="G207" s="82"/>
      <c r="H207" s="82"/>
      <c r="I207" s="82"/>
      <c r="J207" s="82"/>
      <c r="K207" s="82"/>
      <c r="L207" s="82"/>
      <c r="M207" s="82"/>
      <c r="N207" s="82"/>
    </row>
    <row r="208" spans="2:15">
      <c r="B208" s="108" t="s">
        <v>290</v>
      </c>
      <c r="G208" s="82"/>
      <c r="H208" s="82"/>
      <c r="I208" s="82"/>
      <c r="J208" s="82"/>
      <c r="K208" s="82"/>
      <c r="L208" s="82"/>
      <c r="M208" s="82"/>
      <c r="N208" s="82"/>
    </row>
    <row r="209" spans="2:24">
      <c r="B209" s="23" t="s">
        <v>302</v>
      </c>
      <c r="G209" s="112"/>
      <c r="H209" s="96">
        <v>0</v>
      </c>
      <c r="I209" s="112"/>
      <c r="J209" s="96">
        <v>0</v>
      </c>
      <c r="K209" s="112"/>
      <c r="L209" s="112"/>
      <c r="M209" s="112"/>
      <c r="N209" s="112"/>
      <c r="O209" s="96">
        <v>0</v>
      </c>
    </row>
    <row r="210" spans="2:24">
      <c r="B210" s="22"/>
      <c r="G210" s="82"/>
      <c r="H210" s="82"/>
      <c r="I210" s="82"/>
      <c r="J210" s="82"/>
      <c r="K210" s="82"/>
      <c r="L210" s="82"/>
      <c r="M210" s="82"/>
      <c r="N210" s="82"/>
    </row>
    <row r="211" spans="2:24">
      <c r="B211" s="22"/>
      <c r="G211" s="82"/>
      <c r="H211" s="82"/>
      <c r="I211" s="82"/>
      <c r="J211" s="82"/>
      <c r="K211" s="82"/>
      <c r="L211" s="82"/>
      <c r="M211" s="82"/>
      <c r="N211" s="82"/>
    </row>
    <row r="212" spans="2:24" s="2" customFormat="1">
      <c r="B212" s="2" t="s">
        <v>303</v>
      </c>
      <c r="F212" s="49"/>
      <c r="G212" s="113"/>
      <c r="H212" s="113"/>
      <c r="I212" s="113"/>
      <c r="J212" s="113"/>
      <c r="K212" s="113"/>
      <c r="L212" s="113"/>
      <c r="M212" s="113"/>
      <c r="N212" s="113"/>
      <c r="O212" s="113"/>
      <c r="S212" s="113"/>
      <c r="T212" s="113"/>
      <c r="U212" s="240"/>
      <c r="V212" s="113"/>
      <c r="W212" s="113"/>
      <c r="X212" s="113"/>
    </row>
    <row r="213" spans="2:24">
      <c r="G213" s="82"/>
      <c r="H213" s="82"/>
      <c r="I213" s="82"/>
      <c r="J213" s="82"/>
      <c r="K213" s="82"/>
      <c r="L213" s="82"/>
      <c r="M213" s="82"/>
      <c r="N213" s="82"/>
    </row>
    <row r="214" spans="2:24">
      <c r="B214" s="3" t="s">
        <v>306</v>
      </c>
      <c r="G214" s="82"/>
      <c r="H214" s="82"/>
      <c r="I214" s="82"/>
      <c r="J214" s="82"/>
      <c r="K214" s="82"/>
      <c r="L214" s="82"/>
      <c r="M214" s="82"/>
      <c r="N214" s="82"/>
    </row>
    <row r="215" spans="2:24">
      <c r="B215" s="3"/>
      <c r="G215" s="82"/>
      <c r="H215" s="82"/>
      <c r="I215" s="82"/>
      <c r="J215" s="82"/>
      <c r="K215" s="82"/>
      <c r="L215" s="82"/>
      <c r="M215" s="82"/>
      <c r="N215" s="82"/>
    </row>
    <row r="216" spans="2:24">
      <c r="B216" s="108" t="s">
        <v>284</v>
      </c>
      <c r="G216" s="82"/>
      <c r="H216" s="82"/>
      <c r="I216" s="82"/>
      <c r="J216" s="82"/>
      <c r="K216" s="82"/>
      <c r="L216" s="82"/>
      <c r="M216" s="82"/>
      <c r="N216" s="82"/>
    </row>
    <row r="217" spans="2:24">
      <c r="B217" s="23" t="s">
        <v>285</v>
      </c>
      <c r="G217" s="96">
        <v>16.68</v>
      </c>
      <c r="H217" s="96">
        <v>17.28</v>
      </c>
      <c r="I217" s="96">
        <v>17.82</v>
      </c>
      <c r="J217" s="96">
        <v>17.5</v>
      </c>
      <c r="K217" s="96">
        <v>16.920000000000002</v>
      </c>
      <c r="L217" s="96">
        <v>18.3</v>
      </c>
      <c r="M217" s="96">
        <v>15.43</v>
      </c>
      <c r="N217" s="96">
        <v>11.99</v>
      </c>
      <c r="O217" s="96">
        <v>0</v>
      </c>
    </row>
    <row r="218" spans="2:24">
      <c r="B218" s="23" t="s">
        <v>286</v>
      </c>
      <c r="G218" s="96">
        <v>38.5</v>
      </c>
      <c r="H218" s="96">
        <v>34.44</v>
      </c>
      <c r="I218" s="96">
        <v>38.99</v>
      </c>
      <c r="J218" s="96">
        <v>30.1</v>
      </c>
      <c r="K218" s="96">
        <v>30.36</v>
      </c>
      <c r="L218" s="96">
        <v>42.45</v>
      </c>
      <c r="M218" s="96">
        <v>30.96</v>
      </c>
      <c r="N218" s="96">
        <v>11.99</v>
      </c>
      <c r="O218" s="96">
        <v>0</v>
      </c>
    </row>
    <row r="219" spans="2:24">
      <c r="B219" s="61" t="s">
        <v>287</v>
      </c>
      <c r="G219" s="96">
        <v>38.82</v>
      </c>
      <c r="H219" s="96">
        <v>37.32</v>
      </c>
      <c r="I219" s="96">
        <v>38.99</v>
      </c>
      <c r="J219" s="96">
        <v>30.1</v>
      </c>
      <c r="K219" s="96">
        <v>32.520000000000003</v>
      </c>
      <c r="L219" s="96">
        <v>42.45</v>
      </c>
      <c r="M219" s="96">
        <v>30.96</v>
      </c>
      <c r="N219" s="96">
        <v>11.99</v>
      </c>
      <c r="O219" s="96">
        <v>0</v>
      </c>
    </row>
    <row r="220" spans="2:24">
      <c r="B220" s="61" t="s">
        <v>288</v>
      </c>
      <c r="G220" s="96">
        <v>51.11</v>
      </c>
      <c r="H220" s="96">
        <v>61.8</v>
      </c>
      <c r="I220" s="96">
        <v>55.45</v>
      </c>
      <c r="J220" s="96">
        <v>37.700000000000003</v>
      </c>
      <c r="K220" s="96">
        <v>55.56</v>
      </c>
      <c r="L220" s="96">
        <v>58</v>
      </c>
      <c r="M220" s="96">
        <v>48.75</v>
      </c>
      <c r="N220" s="96">
        <v>11.99</v>
      </c>
      <c r="O220" s="96">
        <v>0</v>
      </c>
    </row>
    <row r="221" spans="2:24">
      <c r="B221" s="23"/>
      <c r="G221" s="82"/>
      <c r="H221" s="82"/>
      <c r="I221" s="82"/>
      <c r="J221" s="82"/>
      <c r="K221" s="82"/>
      <c r="L221" s="82"/>
      <c r="M221" s="82"/>
      <c r="N221" s="82"/>
    </row>
    <row r="222" spans="2:24">
      <c r="B222" s="108" t="s">
        <v>289</v>
      </c>
      <c r="G222" s="82"/>
      <c r="H222" s="82"/>
      <c r="I222" s="82"/>
      <c r="J222" s="82"/>
      <c r="K222" s="82"/>
      <c r="L222" s="82"/>
      <c r="M222" s="82"/>
      <c r="N222" s="82"/>
    </row>
    <row r="223" spans="2:24">
      <c r="B223" s="23" t="s">
        <v>285</v>
      </c>
      <c r="G223" s="96">
        <v>0</v>
      </c>
      <c r="H223" s="96">
        <v>0</v>
      </c>
      <c r="I223" s="96">
        <v>17.82</v>
      </c>
      <c r="J223" s="96">
        <v>0</v>
      </c>
      <c r="K223" s="96">
        <v>16.920000000000002</v>
      </c>
      <c r="L223" s="96">
        <v>0</v>
      </c>
      <c r="M223" s="96">
        <v>0</v>
      </c>
      <c r="N223" s="96">
        <v>0</v>
      </c>
      <c r="O223" s="96">
        <v>0</v>
      </c>
    </row>
    <row r="224" spans="2:24">
      <c r="B224" s="23" t="s">
        <v>286</v>
      </c>
      <c r="G224" s="96">
        <v>0</v>
      </c>
      <c r="H224" s="96">
        <v>0</v>
      </c>
      <c r="I224" s="96">
        <v>38.99</v>
      </c>
      <c r="J224" s="96">
        <v>0</v>
      </c>
      <c r="K224" s="96">
        <v>30.36</v>
      </c>
      <c r="L224" s="96">
        <v>0</v>
      </c>
      <c r="M224" s="96">
        <v>0</v>
      </c>
      <c r="N224" s="96">
        <v>0</v>
      </c>
      <c r="O224" s="96">
        <v>0</v>
      </c>
    </row>
    <row r="225" spans="2:15">
      <c r="B225" s="61" t="s">
        <v>287</v>
      </c>
      <c r="G225" s="96">
        <v>0</v>
      </c>
      <c r="H225" s="96">
        <v>0</v>
      </c>
      <c r="I225" s="96">
        <v>38.99</v>
      </c>
      <c r="J225" s="96">
        <v>0</v>
      </c>
      <c r="K225" s="96">
        <v>32.520000000000003</v>
      </c>
      <c r="L225" s="96">
        <v>42</v>
      </c>
      <c r="M225" s="96">
        <v>0</v>
      </c>
      <c r="N225" s="96">
        <v>0</v>
      </c>
      <c r="O225" s="96">
        <v>0</v>
      </c>
    </row>
    <row r="226" spans="2:15">
      <c r="B226" s="61" t="s">
        <v>288</v>
      </c>
      <c r="G226" s="96">
        <v>0</v>
      </c>
      <c r="H226" s="96">
        <v>0</v>
      </c>
      <c r="I226" s="96">
        <v>55.45</v>
      </c>
      <c r="J226" s="96">
        <v>0</v>
      </c>
      <c r="K226" s="96">
        <v>55.56</v>
      </c>
      <c r="L226" s="96">
        <v>0</v>
      </c>
      <c r="M226" s="96">
        <v>0</v>
      </c>
      <c r="N226" s="96">
        <v>0</v>
      </c>
      <c r="O226" s="96">
        <v>0</v>
      </c>
    </row>
    <row r="227" spans="2:15">
      <c r="B227" s="23"/>
      <c r="G227" s="82"/>
      <c r="H227" s="82"/>
      <c r="I227" s="82"/>
      <c r="J227" s="82"/>
      <c r="K227" s="82"/>
      <c r="L227" s="82"/>
      <c r="M227" s="82"/>
      <c r="N227" s="82"/>
    </row>
    <row r="228" spans="2:15">
      <c r="B228" s="108" t="s">
        <v>290</v>
      </c>
      <c r="G228" s="82"/>
      <c r="H228" s="82"/>
      <c r="I228" s="82"/>
      <c r="J228" s="82"/>
      <c r="K228" s="82"/>
      <c r="L228" s="82"/>
      <c r="M228" s="82"/>
      <c r="N228" s="82"/>
    </row>
    <row r="229" spans="2:15">
      <c r="B229" s="23" t="s">
        <v>291</v>
      </c>
      <c r="G229" s="112"/>
      <c r="H229" s="96">
        <v>0</v>
      </c>
      <c r="I229" s="112"/>
      <c r="J229" s="96">
        <v>0</v>
      </c>
      <c r="K229" s="112"/>
      <c r="L229" s="112"/>
      <c r="M229" s="112"/>
      <c r="N229" s="112"/>
      <c r="O229" s="96">
        <v>0</v>
      </c>
    </row>
    <row r="230" spans="2:15">
      <c r="B230" s="3"/>
      <c r="G230" s="82"/>
      <c r="H230" s="82"/>
      <c r="I230" s="82"/>
      <c r="J230" s="82"/>
      <c r="K230" s="82"/>
      <c r="L230" s="82"/>
      <c r="M230" s="82"/>
      <c r="N230" s="82"/>
    </row>
    <row r="231" spans="2:15">
      <c r="B231" s="3"/>
      <c r="G231" s="82"/>
      <c r="H231" s="82"/>
      <c r="I231" s="82"/>
      <c r="J231" s="82"/>
      <c r="K231" s="82"/>
      <c r="L231" s="82"/>
      <c r="M231" s="82"/>
      <c r="N231" s="82"/>
    </row>
    <row r="232" spans="2:15">
      <c r="B232" s="3" t="s">
        <v>305</v>
      </c>
      <c r="G232" s="82"/>
      <c r="H232" s="82"/>
      <c r="I232" s="82"/>
      <c r="J232" s="82"/>
      <c r="K232" s="82"/>
      <c r="L232" s="82"/>
      <c r="M232" s="82"/>
      <c r="N232" s="82"/>
    </row>
    <row r="233" spans="2:15">
      <c r="B233" s="3"/>
      <c r="G233" s="82"/>
      <c r="H233" s="82"/>
      <c r="I233" s="82"/>
      <c r="J233" s="82"/>
      <c r="K233" s="82"/>
      <c r="L233" s="82"/>
      <c r="M233" s="82"/>
      <c r="N233" s="82"/>
    </row>
    <row r="234" spans="2:15">
      <c r="B234" s="108" t="s">
        <v>284</v>
      </c>
      <c r="G234" s="82"/>
      <c r="H234" s="82"/>
      <c r="I234" s="82"/>
      <c r="J234" s="82"/>
      <c r="K234" s="82"/>
      <c r="L234" s="82"/>
      <c r="M234" s="82"/>
      <c r="N234" s="82"/>
    </row>
    <row r="235" spans="2:15">
      <c r="B235" s="61" t="s">
        <v>292</v>
      </c>
      <c r="G235" s="96">
        <v>56.95</v>
      </c>
      <c r="H235" s="96">
        <v>39.840000000000003</v>
      </c>
      <c r="I235" s="96">
        <v>66.11</v>
      </c>
      <c r="J235" s="96">
        <v>45.8</v>
      </c>
      <c r="K235" s="96">
        <v>58.32</v>
      </c>
      <c r="L235" s="96">
        <v>42</v>
      </c>
      <c r="M235" s="96">
        <v>22.55</v>
      </c>
      <c r="N235" s="96">
        <v>114.81</v>
      </c>
      <c r="O235" s="96">
        <v>0</v>
      </c>
    </row>
    <row r="236" spans="2:15">
      <c r="B236" s="61" t="s">
        <v>293</v>
      </c>
      <c r="G236" s="96">
        <v>64.91</v>
      </c>
      <c r="H236" s="96">
        <v>49.32</v>
      </c>
      <c r="I236" s="96">
        <v>103.48</v>
      </c>
      <c r="J236" s="96">
        <v>45.8</v>
      </c>
      <c r="K236" s="96">
        <v>96.96</v>
      </c>
      <c r="L236" s="96">
        <v>42</v>
      </c>
      <c r="M236" s="96">
        <v>22.55</v>
      </c>
      <c r="N236" s="96">
        <v>114.81</v>
      </c>
      <c r="O236" s="96">
        <v>0</v>
      </c>
    </row>
    <row r="237" spans="2:15">
      <c r="B237" s="61" t="s">
        <v>294</v>
      </c>
      <c r="G237" s="96">
        <v>90.81</v>
      </c>
      <c r="H237" s="96">
        <v>75.36</v>
      </c>
      <c r="I237" s="96">
        <v>121.22</v>
      </c>
      <c r="J237" s="96">
        <v>100.7</v>
      </c>
      <c r="K237" s="96">
        <v>177.72</v>
      </c>
      <c r="L237" s="96">
        <v>71</v>
      </c>
      <c r="M237" s="96">
        <v>22.55</v>
      </c>
      <c r="N237" s="96">
        <v>114.81</v>
      </c>
      <c r="O237" s="96">
        <v>0</v>
      </c>
    </row>
    <row r="238" spans="2:15">
      <c r="B238" s="61" t="s">
        <v>295</v>
      </c>
      <c r="G238" s="96">
        <v>90.81</v>
      </c>
      <c r="H238" s="96">
        <v>114.36</v>
      </c>
      <c r="I238" s="96">
        <v>171.08</v>
      </c>
      <c r="J238" s="96">
        <v>100.7</v>
      </c>
      <c r="K238" s="96">
        <v>231</v>
      </c>
      <c r="L238" s="96">
        <v>75</v>
      </c>
      <c r="M238" s="96">
        <v>37.200000000000003</v>
      </c>
      <c r="N238" s="96">
        <v>114.81</v>
      </c>
      <c r="O238" s="96">
        <v>0</v>
      </c>
    </row>
    <row r="239" spans="2:15">
      <c r="B239" s="26" t="s">
        <v>296</v>
      </c>
      <c r="G239" s="96">
        <v>99.95</v>
      </c>
      <c r="H239" s="96">
        <v>156.24</v>
      </c>
      <c r="I239" s="96">
        <v>220.72</v>
      </c>
      <c r="J239" s="96">
        <v>100.7</v>
      </c>
      <c r="K239" s="96">
        <v>254.88</v>
      </c>
      <c r="L239" s="96">
        <v>86</v>
      </c>
      <c r="M239" s="96">
        <v>37.200000000000003</v>
      </c>
      <c r="N239" s="96">
        <v>114.81</v>
      </c>
      <c r="O239" s="96">
        <v>0</v>
      </c>
    </row>
    <row r="240" spans="2:15">
      <c r="B240" s="61" t="s">
        <v>297</v>
      </c>
      <c r="G240" s="96">
        <v>110</v>
      </c>
      <c r="H240" s="96">
        <v>182.88</v>
      </c>
      <c r="I240" s="96">
        <v>241.16</v>
      </c>
      <c r="J240" s="96">
        <v>100.7</v>
      </c>
      <c r="K240" s="96">
        <v>292.32</v>
      </c>
      <c r="L240" s="96">
        <v>92</v>
      </c>
      <c r="M240" s="96">
        <v>37.200000000000003</v>
      </c>
      <c r="N240" s="96">
        <v>114.81</v>
      </c>
      <c r="O240" s="96">
        <v>0</v>
      </c>
    </row>
    <row r="241" spans="2:15">
      <c r="B241" s="61" t="s">
        <v>298</v>
      </c>
      <c r="G241" s="96">
        <v>121.02</v>
      </c>
      <c r="H241" s="96">
        <v>197.64</v>
      </c>
      <c r="I241" s="96">
        <v>265.39999999999998</v>
      </c>
      <c r="J241" s="96">
        <v>100.7</v>
      </c>
      <c r="K241" s="96">
        <v>321</v>
      </c>
      <c r="L241" s="96">
        <v>92</v>
      </c>
      <c r="M241" s="96">
        <v>44.88</v>
      </c>
      <c r="N241" s="96">
        <v>114.81</v>
      </c>
      <c r="O241" s="96">
        <v>0</v>
      </c>
    </row>
    <row r="242" spans="2:15">
      <c r="B242" s="61" t="s">
        <v>299</v>
      </c>
      <c r="G242" s="96">
        <v>132.94999999999999</v>
      </c>
      <c r="H242" s="96">
        <v>278.16000000000003</v>
      </c>
      <c r="I242" s="96">
        <v>291.68</v>
      </c>
      <c r="J242" s="96">
        <v>100.7</v>
      </c>
      <c r="K242" s="96">
        <v>354</v>
      </c>
      <c r="L242" s="96">
        <v>0</v>
      </c>
      <c r="M242" s="96">
        <v>44.88</v>
      </c>
      <c r="N242" s="96">
        <v>114.81</v>
      </c>
      <c r="O242" s="96">
        <v>0</v>
      </c>
    </row>
    <row r="243" spans="2:15">
      <c r="B243" s="23" t="s">
        <v>300</v>
      </c>
      <c r="G243" s="96">
        <v>0</v>
      </c>
      <c r="H243" s="96">
        <v>463.44</v>
      </c>
      <c r="I243" s="96">
        <v>321.31</v>
      </c>
      <c r="J243" s="96">
        <v>100.7</v>
      </c>
      <c r="K243" s="96">
        <v>390</v>
      </c>
      <c r="L243" s="96">
        <v>0</v>
      </c>
      <c r="M243" s="96">
        <v>44.88</v>
      </c>
      <c r="N243" s="96">
        <v>114.81</v>
      </c>
      <c r="O243" s="96">
        <v>0</v>
      </c>
    </row>
    <row r="244" spans="2:15">
      <c r="B244" s="23" t="s">
        <v>301</v>
      </c>
      <c r="G244" s="96">
        <v>0</v>
      </c>
      <c r="H244" s="96">
        <v>0</v>
      </c>
      <c r="I244" s="96">
        <v>353.03</v>
      </c>
      <c r="J244" s="96">
        <v>0</v>
      </c>
      <c r="K244" s="96">
        <v>429</v>
      </c>
      <c r="L244" s="96">
        <v>0</v>
      </c>
      <c r="M244" s="96">
        <v>44.88</v>
      </c>
      <c r="N244" s="96">
        <v>114.81</v>
      </c>
      <c r="O244" s="96">
        <v>0</v>
      </c>
    </row>
    <row r="245" spans="2:15">
      <c r="B245" s="23"/>
      <c r="G245" s="82"/>
      <c r="H245" s="82"/>
      <c r="I245" s="82"/>
      <c r="J245" s="82"/>
      <c r="K245" s="82"/>
      <c r="L245" s="82"/>
      <c r="M245" s="82"/>
      <c r="N245" s="82"/>
    </row>
    <row r="246" spans="2:15">
      <c r="B246" s="108" t="s">
        <v>289</v>
      </c>
      <c r="G246" s="82"/>
      <c r="H246" s="82"/>
      <c r="I246" s="82"/>
      <c r="J246" s="82"/>
      <c r="K246" s="82"/>
      <c r="L246" s="82"/>
      <c r="M246" s="82"/>
      <c r="N246" s="82"/>
    </row>
    <row r="247" spans="2:15">
      <c r="B247" s="61" t="s">
        <v>292</v>
      </c>
      <c r="G247" s="96">
        <v>56.95</v>
      </c>
      <c r="H247" s="96">
        <v>99.72</v>
      </c>
      <c r="I247" s="96">
        <v>66.11</v>
      </c>
      <c r="J247" s="96">
        <v>45.8</v>
      </c>
      <c r="K247" s="96">
        <v>58.32</v>
      </c>
      <c r="L247" s="96">
        <v>118</v>
      </c>
      <c r="M247" s="96">
        <v>0</v>
      </c>
      <c r="N247" s="96">
        <v>114.81</v>
      </c>
      <c r="O247" s="96">
        <v>0</v>
      </c>
    </row>
    <row r="248" spans="2:15">
      <c r="B248" s="61" t="s">
        <v>293</v>
      </c>
      <c r="G248" s="96">
        <v>64.91</v>
      </c>
      <c r="H248" s="96">
        <v>123.6</v>
      </c>
      <c r="I248" s="96">
        <v>103.48</v>
      </c>
      <c r="J248" s="96">
        <v>45.8</v>
      </c>
      <c r="K248" s="96">
        <v>96.96</v>
      </c>
      <c r="L248" s="96">
        <v>119</v>
      </c>
      <c r="M248" s="96">
        <v>0</v>
      </c>
      <c r="N248" s="96">
        <v>114.81</v>
      </c>
      <c r="O248" s="96">
        <v>0</v>
      </c>
    </row>
    <row r="249" spans="2:15">
      <c r="B249" s="61" t="s">
        <v>294</v>
      </c>
      <c r="G249" s="96">
        <v>90.81</v>
      </c>
      <c r="H249" s="96">
        <v>188.64</v>
      </c>
      <c r="I249" s="96">
        <v>121.22</v>
      </c>
      <c r="J249" s="96">
        <v>100.7</v>
      </c>
      <c r="K249" s="96">
        <v>177.72</v>
      </c>
      <c r="L249" s="96">
        <v>140</v>
      </c>
      <c r="M249" s="96">
        <v>0</v>
      </c>
      <c r="N249" s="96">
        <v>114.81</v>
      </c>
      <c r="O249" s="96">
        <v>0</v>
      </c>
    </row>
    <row r="250" spans="2:15">
      <c r="B250" s="61" t="s">
        <v>295</v>
      </c>
      <c r="G250" s="96">
        <v>90.81</v>
      </c>
      <c r="H250" s="96">
        <v>286.32</v>
      </c>
      <c r="I250" s="96">
        <v>171.08</v>
      </c>
      <c r="J250" s="96">
        <v>100.7</v>
      </c>
      <c r="K250" s="96">
        <v>231</v>
      </c>
      <c r="L250" s="96">
        <v>150</v>
      </c>
      <c r="M250" s="96">
        <v>0</v>
      </c>
      <c r="N250" s="96">
        <v>114.81</v>
      </c>
      <c r="O250" s="96">
        <v>0</v>
      </c>
    </row>
    <row r="251" spans="2:15">
      <c r="B251" s="26" t="s">
        <v>296</v>
      </c>
      <c r="G251" s="96">
        <v>99.95</v>
      </c>
      <c r="H251" s="96">
        <v>390.84</v>
      </c>
      <c r="I251" s="96">
        <v>220.72</v>
      </c>
      <c r="J251" s="96">
        <v>100.7</v>
      </c>
      <c r="K251" s="96">
        <v>254.88</v>
      </c>
      <c r="L251" s="96">
        <v>165</v>
      </c>
      <c r="M251" s="96">
        <v>0</v>
      </c>
      <c r="N251" s="96">
        <v>114.81</v>
      </c>
      <c r="O251" s="96">
        <v>0</v>
      </c>
    </row>
    <row r="252" spans="2:15">
      <c r="B252" s="61" t="s">
        <v>297</v>
      </c>
      <c r="G252" s="96">
        <v>110</v>
      </c>
      <c r="H252" s="96">
        <v>457.44</v>
      </c>
      <c r="I252" s="96">
        <v>241.16</v>
      </c>
      <c r="J252" s="96">
        <v>100.7</v>
      </c>
      <c r="K252" s="96">
        <v>292.32</v>
      </c>
      <c r="L252" s="96">
        <v>182.5</v>
      </c>
      <c r="M252" s="96">
        <v>0</v>
      </c>
      <c r="N252" s="96">
        <v>114.81</v>
      </c>
      <c r="O252" s="96">
        <v>0</v>
      </c>
    </row>
    <row r="253" spans="2:15">
      <c r="B253" s="61" t="s">
        <v>298</v>
      </c>
      <c r="G253" s="96">
        <v>121.02</v>
      </c>
      <c r="H253" s="96">
        <v>494.16</v>
      </c>
      <c r="I253" s="96">
        <v>265.39999999999998</v>
      </c>
      <c r="J253" s="96">
        <v>100.7</v>
      </c>
      <c r="K253" s="96">
        <v>321</v>
      </c>
      <c r="L253" s="96">
        <v>198</v>
      </c>
      <c r="M253" s="96">
        <v>0</v>
      </c>
      <c r="N253" s="96">
        <v>114.81</v>
      </c>
      <c r="O253" s="96">
        <v>0</v>
      </c>
    </row>
    <row r="254" spans="2:15">
      <c r="B254" s="61" t="s">
        <v>299</v>
      </c>
      <c r="G254" s="96">
        <v>132.94999999999999</v>
      </c>
      <c r="H254" s="96">
        <v>695.76</v>
      </c>
      <c r="I254" s="96">
        <v>291.68</v>
      </c>
      <c r="J254" s="96">
        <v>100.7</v>
      </c>
      <c r="K254" s="96">
        <v>354</v>
      </c>
      <c r="L254" s="96">
        <v>198</v>
      </c>
      <c r="M254" s="96">
        <v>0</v>
      </c>
      <c r="N254" s="96">
        <v>114.81</v>
      </c>
      <c r="O254" s="96">
        <v>0</v>
      </c>
    </row>
    <row r="255" spans="2:15">
      <c r="B255" s="23" t="s">
        <v>300</v>
      </c>
      <c r="G255" s="96">
        <v>0</v>
      </c>
      <c r="H255" s="96">
        <v>1158.8399999999999</v>
      </c>
      <c r="I255" s="96">
        <v>321.31</v>
      </c>
      <c r="J255" s="96">
        <v>100.7</v>
      </c>
      <c r="K255" s="96">
        <v>390</v>
      </c>
      <c r="L255" s="96">
        <v>198</v>
      </c>
      <c r="M255" s="96">
        <v>0</v>
      </c>
      <c r="N255" s="96">
        <v>114.81</v>
      </c>
      <c r="O255" s="96">
        <v>0</v>
      </c>
    </row>
    <row r="256" spans="2:15">
      <c r="B256" s="23" t="s">
        <v>301</v>
      </c>
      <c r="G256" s="96">
        <v>0</v>
      </c>
      <c r="H256" s="96">
        <v>2318.04</v>
      </c>
      <c r="I256" s="96">
        <v>353.03</v>
      </c>
      <c r="J256" s="96">
        <v>100.7</v>
      </c>
      <c r="K256" s="96">
        <v>429</v>
      </c>
      <c r="L256" s="96">
        <v>198</v>
      </c>
      <c r="M256" s="96">
        <v>0</v>
      </c>
      <c r="N256" s="96">
        <v>114.81</v>
      </c>
      <c r="O256" s="96">
        <v>0</v>
      </c>
    </row>
    <row r="257" spans="2:24">
      <c r="B257" s="23"/>
      <c r="G257" s="82"/>
      <c r="H257" s="82"/>
      <c r="I257" s="82"/>
      <c r="J257" s="82"/>
      <c r="K257" s="82"/>
      <c r="L257" s="82"/>
      <c r="M257" s="82"/>
      <c r="N257" s="82"/>
    </row>
    <row r="258" spans="2:24">
      <c r="B258" s="108" t="s">
        <v>290</v>
      </c>
      <c r="G258" s="82"/>
      <c r="H258" s="82"/>
      <c r="I258" s="82"/>
      <c r="J258" s="82"/>
      <c r="K258" s="82"/>
      <c r="L258" s="82"/>
      <c r="M258" s="82"/>
      <c r="N258" s="82"/>
    </row>
    <row r="259" spans="2:24">
      <c r="B259" s="23" t="s">
        <v>302</v>
      </c>
      <c r="G259" s="112"/>
      <c r="H259" s="96">
        <v>2415</v>
      </c>
      <c r="I259" s="112"/>
      <c r="J259" s="96">
        <v>121219.2</v>
      </c>
      <c r="K259" s="112"/>
      <c r="L259" s="112"/>
      <c r="M259" s="112"/>
      <c r="N259" s="112"/>
      <c r="O259" s="96">
        <v>0</v>
      </c>
    </row>
    <row r="260" spans="2:24">
      <c r="B260" s="22"/>
      <c r="G260" s="82"/>
      <c r="H260" s="82"/>
      <c r="I260" s="82"/>
      <c r="J260" s="82"/>
      <c r="K260" s="82"/>
      <c r="L260" s="82"/>
      <c r="M260" s="82"/>
      <c r="N260" s="82"/>
    </row>
    <row r="261" spans="2:24">
      <c r="B261" s="23"/>
      <c r="G261" s="82"/>
      <c r="H261" s="82"/>
      <c r="I261" s="82"/>
      <c r="J261" s="82"/>
      <c r="K261" s="82"/>
      <c r="L261" s="82"/>
      <c r="M261" s="82"/>
      <c r="N261" s="82"/>
    </row>
    <row r="262" spans="2:24" s="2" customFormat="1">
      <c r="B262" s="2" t="s">
        <v>304</v>
      </c>
      <c r="F262" s="49"/>
      <c r="G262" s="113"/>
      <c r="H262" s="113"/>
      <c r="I262" s="113"/>
      <c r="J262" s="113"/>
      <c r="K262" s="113"/>
      <c r="L262" s="113"/>
      <c r="M262" s="113"/>
      <c r="N262" s="113"/>
      <c r="O262" s="113"/>
      <c r="S262" s="113"/>
      <c r="T262" s="113"/>
      <c r="U262" s="240"/>
      <c r="V262" s="113"/>
      <c r="W262" s="113"/>
      <c r="X262" s="113"/>
    </row>
    <row r="263" spans="2:24">
      <c r="G263" s="82"/>
      <c r="H263" s="82"/>
      <c r="I263" s="82"/>
      <c r="J263" s="82"/>
      <c r="K263" s="82"/>
      <c r="L263" s="82"/>
      <c r="M263" s="82"/>
      <c r="N263" s="82"/>
    </row>
    <row r="264" spans="2:24">
      <c r="B264" s="3" t="s">
        <v>307</v>
      </c>
      <c r="G264" s="82"/>
      <c r="H264" s="82"/>
      <c r="I264" s="82"/>
      <c r="J264" s="82"/>
      <c r="K264" s="82"/>
      <c r="L264" s="82"/>
      <c r="M264" s="82"/>
      <c r="N264" s="82"/>
    </row>
    <row r="265" spans="2:24">
      <c r="B265" s="3"/>
      <c r="G265" s="82"/>
      <c r="H265" s="82"/>
      <c r="I265" s="82"/>
      <c r="J265" s="82"/>
      <c r="K265" s="82"/>
      <c r="L265" s="82"/>
      <c r="M265" s="82"/>
      <c r="N265" s="82"/>
    </row>
    <row r="266" spans="2:24">
      <c r="B266" s="108" t="s">
        <v>284</v>
      </c>
      <c r="G266" s="82"/>
      <c r="H266" s="82"/>
      <c r="I266" s="82"/>
      <c r="J266" s="82"/>
      <c r="K266" s="82"/>
      <c r="L266" s="82"/>
      <c r="M266" s="82"/>
      <c r="N266" s="82"/>
    </row>
    <row r="267" spans="2:24">
      <c r="B267" s="23" t="s">
        <v>285</v>
      </c>
      <c r="G267" s="96">
        <v>681.24</v>
      </c>
      <c r="H267" s="96">
        <v>768.77</v>
      </c>
      <c r="I267" s="96">
        <v>594</v>
      </c>
      <c r="J267" s="96">
        <v>690</v>
      </c>
      <c r="K267" s="96">
        <v>648</v>
      </c>
      <c r="L267" s="96">
        <v>567.45000000000005</v>
      </c>
      <c r="M267" s="96">
        <v>832</v>
      </c>
      <c r="N267" s="96">
        <v>1016.64</v>
      </c>
      <c r="O267" s="96">
        <v>0</v>
      </c>
    </row>
    <row r="268" spans="2:24">
      <c r="B268" s="23" t="s">
        <v>286</v>
      </c>
      <c r="G268" s="96">
        <v>1298.26</v>
      </c>
      <c r="H268" s="96">
        <v>1406.41</v>
      </c>
      <c r="I268" s="96">
        <v>1370</v>
      </c>
      <c r="J268" s="96">
        <v>1306</v>
      </c>
      <c r="K268" s="96">
        <v>1352</v>
      </c>
      <c r="L268" s="96">
        <v>1508</v>
      </c>
      <c r="M268" s="96">
        <v>1700</v>
      </c>
      <c r="N268" s="96">
        <v>2620.19</v>
      </c>
      <c r="O268" s="96">
        <v>0</v>
      </c>
    </row>
    <row r="269" spans="2:24">
      <c r="B269" s="61" t="s">
        <v>287</v>
      </c>
      <c r="G269" s="96">
        <v>1298.26</v>
      </c>
      <c r="H269" s="96">
        <v>1406.41</v>
      </c>
      <c r="I269" s="96">
        <v>1370</v>
      </c>
      <c r="J269" s="96">
        <v>1338</v>
      </c>
      <c r="K269" s="96">
        <v>1352</v>
      </c>
      <c r="L269" s="96">
        <v>1508</v>
      </c>
      <c r="M269" s="96">
        <v>1700</v>
      </c>
      <c r="N269" s="96">
        <v>3648.2</v>
      </c>
      <c r="O269" s="96">
        <v>0</v>
      </c>
    </row>
    <row r="270" spans="2:24">
      <c r="B270" s="61" t="s">
        <v>288</v>
      </c>
      <c r="G270" s="96">
        <v>1810.67</v>
      </c>
      <c r="H270" s="96">
        <v>1789.68</v>
      </c>
      <c r="I270" s="96">
        <v>1750</v>
      </c>
      <c r="J270" s="96">
        <v>1839</v>
      </c>
      <c r="K270" s="96">
        <v>1894</v>
      </c>
      <c r="L270" s="96">
        <v>2217</v>
      </c>
      <c r="M270" s="96">
        <v>2820</v>
      </c>
      <c r="N270" s="96">
        <v>3773.82</v>
      </c>
      <c r="O270" s="96">
        <v>0</v>
      </c>
    </row>
    <row r="271" spans="2:24">
      <c r="B271" s="23"/>
      <c r="G271" s="82"/>
      <c r="H271" s="82"/>
      <c r="I271" s="82"/>
      <c r="J271" s="82"/>
      <c r="K271" s="82"/>
      <c r="L271" s="82"/>
      <c r="M271" s="82"/>
      <c r="N271" s="82"/>
    </row>
    <row r="272" spans="2:24">
      <c r="B272" s="108" t="s">
        <v>289</v>
      </c>
      <c r="G272" s="82"/>
      <c r="H272" s="82"/>
      <c r="I272" s="82"/>
      <c r="J272" s="82"/>
      <c r="K272" s="82"/>
      <c r="L272" s="82"/>
      <c r="M272" s="82"/>
      <c r="N272" s="82"/>
    </row>
    <row r="273" spans="2:15">
      <c r="B273" s="23" t="s">
        <v>285</v>
      </c>
      <c r="G273" s="96">
        <v>0</v>
      </c>
      <c r="H273" s="96">
        <v>0</v>
      </c>
      <c r="I273" s="96">
        <v>594</v>
      </c>
      <c r="J273" s="96">
        <v>0</v>
      </c>
      <c r="K273" s="96">
        <v>648</v>
      </c>
      <c r="L273" s="96">
        <v>0</v>
      </c>
      <c r="M273" s="96">
        <v>0</v>
      </c>
      <c r="N273" s="96">
        <v>0</v>
      </c>
      <c r="O273" s="96">
        <v>0</v>
      </c>
    </row>
    <row r="274" spans="2:15">
      <c r="B274" s="23" t="s">
        <v>286</v>
      </c>
      <c r="G274" s="96">
        <v>0</v>
      </c>
      <c r="H274" s="96">
        <v>0</v>
      </c>
      <c r="I274" s="96">
        <v>1370</v>
      </c>
      <c r="J274" s="96">
        <v>0</v>
      </c>
      <c r="K274" s="96">
        <v>1352</v>
      </c>
      <c r="L274" s="96">
        <v>0</v>
      </c>
      <c r="M274" s="96">
        <v>0</v>
      </c>
      <c r="N274" s="96">
        <v>0</v>
      </c>
      <c r="O274" s="96">
        <v>0</v>
      </c>
    </row>
    <row r="275" spans="2:15">
      <c r="B275" s="61" t="s">
        <v>287</v>
      </c>
      <c r="G275" s="96">
        <v>0</v>
      </c>
      <c r="H275" s="96">
        <v>0</v>
      </c>
      <c r="I275" s="96">
        <v>1370</v>
      </c>
      <c r="J275" s="96">
        <v>0</v>
      </c>
      <c r="K275" s="96">
        <v>1352</v>
      </c>
      <c r="L275" s="96">
        <v>0</v>
      </c>
      <c r="M275" s="96">
        <v>0</v>
      </c>
      <c r="N275" s="96">
        <v>0</v>
      </c>
      <c r="O275" s="96">
        <v>0</v>
      </c>
    </row>
    <row r="276" spans="2:15">
      <c r="B276" s="61" t="s">
        <v>288</v>
      </c>
      <c r="G276" s="96">
        <v>0</v>
      </c>
      <c r="H276" s="96">
        <v>0</v>
      </c>
      <c r="I276" s="96">
        <v>1750</v>
      </c>
      <c r="J276" s="96">
        <v>0</v>
      </c>
      <c r="K276" s="96">
        <v>1894</v>
      </c>
      <c r="L276" s="96">
        <v>0</v>
      </c>
      <c r="M276" s="96">
        <v>0</v>
      </c>
      <c r="N276" s="96">
        <v>0</v>
      </c>
      <c r="O276" s="96">
        <v>0</v>
      </c>
    </row>
    <row r="277" spans="2:15">
      <c r="B277" s="23"/>
      <c r="G277" s="82"/>
      <c r="H277" s="82"/>
      <c r="I277" s="82"/>
      <c r="J277" s="82"/>
      <c r="K277" s="82"/>
      <c r="L277" s="82"/>
      <c r="M277" s="82"/>
      <c r="N277" s="82"/>
    </row>
    <row r="278" spans="2:15">
      <c r="B278" s="108" t="s">
        <v>290</v>
      </c>
      <c r="G278" s="82"/>
      <c r="H278" s="82"/>
      <c r="I278" s="82"/>
      <c r="J278" s="82"/>
      <c r="K278" s="82"/>
      <c r="L278" s="82"/>
      <c r="M278" s="82"/>
      <c r="N278" s="82"/>
    </row>
    <row r="279" spans="2:15">
      <c r="B279" s="23" t="s">
        <v>291</v>
      </c>
      <c r="G279" s="112"/>
      <c r="H279" s="96">
        <v>0</v>
      </c>
      <c r="I279" s="112"/>
      <c r="J279" s="96">
        <v>0</v>
      </c>
      <c r="K279" s="112"/>
      <c r="L279" s="112"/>
      <c r="M279" s="112"/>
      <c r="N279" s="112"/>
      <c r="O279" s="96">
        <v>0</v>
      </c>
    </row>
    <row r="280" spans="2:15">
      <c r="B280" s="3"/>
      <c r="G280" s="82"/>
      <c r="H280" s="82"/>
      <c r="I280" s="82"/>
      <c r="J280" s="82"/>
      <c r="K280" s="82"/>
      <c r="L280" s="82"/>
      <c r="M280" s="82"/>
      <c r="N280" s="82"/>
    </row>
    <row r="281" spans="2:15">
      <c r="B281" s="3"/>
      <c r="G281" s="82"/>
      <c r="H281" s="82"/>
      <c r="I281" s="82"/>
      <c r="J281" s="82"/>
      <c r="K281" s="82"/>
      <c r="L281" s="82"/>
      <c r="M281" s="82"/>
      <c r="N281" s="82"/>
    </row>
    <row r="282" spans="2:15">
      <c r="B282" s="3" t="s">
        <v>308</v>
      </c>
      <c r="G282" s="82"/>
      <c r="H282" s="82"/>
      <c r="I282" s="82"/>
      <c r="J282" s="82"/>
      <c r="K282" s="82"/>
      <c r="L282" s="82"/>
      <c r="M282" s="82"/>
      <c r="N282" s="82"/>
    </row>
    <row r="283" spans="2:15">
      <c r="B283" s="3"/>
      <c r="G283" s="82"/>
      <c r="H283" s="82"/>
      <c r="I283" s="82"/>
      <c r="J283" s="82"/>
      <c r="K283" s="82"/>
      <c r="L283" s="82"/>
      <c r="M283" s="82"/>
      <c r="N283" s="82"/>
    </row>
    <row r="284" spans="2:15">
      <c r="B284" s="108" t="s">
        <v>284</v>
      </c>
      <c r="G284" s="82"/>
      <c r="H284" s="82"/>
      <c r="I284" s="82"/>
      <c r="J284" s="82"/>
      <c r="K284" s="82"/>
      <c r="L284" s="82"/>
      <c r="M284" s="82"/>
      <c r="N284" s="82"/>
    </row>
    <row r="285" spans="2:15">
      <c r="B285" s="23" t="s">
        <v>285</v>
      </c>
      <c r="G285" s="96">
        <v>18.96</v>
      </c>
      <c r="H285" s="96">
        <v>28</v>
      </c>
      <c r="I285" s="96">
        <v>18.3</v>
      </c>
      <c r="J285" s="96">
        <v>20.7</v>
      </c>
      <c r="K285" s="96">
        <v>24.5</v>
      </c>
      <c r="L285" s="96">
        <v>14.65</v>
      </c>
      <c r="M285" s="96">
        <v>36.6</v>
      </c>
      <c r="N285" s="96">
        <v>61.64</v>
      </c>
      <c r="O285" s="96">
        <v>0</v>
      </c>
    </row>
    <row r="286" spans="2:15">
      <c r="B286" s="23" t="s">
        <v>286</v>
      </c>
      <c r="G286" s="96">
        <v>20.5</v>
      </c>
      <c r="H286" s="96">
        <v>29.54</v>
      </c>
      <c r="I286" s="96">
        <v>18.3</v>
      </c>
      <c r="J286" s="96">
        <v>25.5</v>
      </c>
      <c r="K286" s="96">
        <v>30.1</v>
      </c>
      <c r="L286" s="96">
        <v>23.1</v>
      </c>
      <c r="M286" s="96">
        <v>36.6</v>
      </c>
      <c r="N286" s="96">
        <v>50.41</v>
      </c>
      <c r="O286" s="96">
        <v>0</v>
      </c>
    </row>
    <row r="287" spans="2:15">
      <c r="B287" s="61" t="s">
        <v>287</v>
      </c>
      <c r="G287" s="96">
        <v>23.46</v>
      </c>
      <c r="H287" s="96">
        <v>31.16</v>
      </c>
      <c r="I287" s="96">
        <v>18.3</v>
      </c>
      <c r="J287" s="96">
        <v>25.5</v>
      </c>
      <c r="K287" s="96">
        <v>30.1</v>
      </c>
      <c r="L287" s="96">
        <v>23.1</v>
      </c>
      <c r="M287" s="96">
        <v>36.6</v>
      </c>
      <c r="N287" s="96">
        <v>50.41</v>
      </c>
      <c r="O287" s="96">
        <v>0</v>
      </c>
    </row>
    <row r="288" spans="2:15">
      <c r="B288" s="61" t="s">
        <v>288</v>
      </c>
      <c r="G288" s="96">
        <v>26.71</v>
      </c>
      <c r="H288" s="96">
        <v>32.36</v>
      </c>
      <c r="I288" s="96">
        <v>18.3</v>
      </c>
      <c r="J288" s="96">
        <v>25.5</v>
      </c>
      <c r="K288" s="96">
        <v>30.1</v>
      </c>
      <c r="L288" s="96">
        <v>18.5</v>
      </c>
      <c r="M288" s="96">
        <v>43.2</v>
      </c>
      <c r="N288" s="96">
        <v>50.41</v>
      </c>
      <c r="O288" s="96">
        <v>0</v>
      </c>
    </row>
    <row r="289" spans="2:15">
      <c r="B289" s="23"/>
      <c r="G289" s="82"/>
      <c r="H289" s="82"/>
      <c r="I289" s="82"/>
      <c r="J289" s="82"/>
      <c r="K289" s="82"/>
      <c r="L289" s="82"/>
      <c r="M289" s="82"/>
      <c r="N289" s="82"/>
    </row>
    <row r="290" spans="2:15">
      <c r="B290" s="108" t="s">
        <v>289</v>
      </c>
      <c r="G290" s="82"/>
      <c r="H290" s="82"/>
      <c r="I290" s="82"/>
      <c r="J290" s="82"/>
      <c r="K290" s="82"/>
      <c r="L290" s="82"/>
      <c r="M290" s="82"/>
      <c r="N290" s="82"/>
    </row>
    <row r="291" spans="2:15">
      <c r="B291" s="23" t="s">
        <v>285</v>
      </c>
      <c r="G291" s="96">
        <v>18.96</v>
      </c>
      <c r="H291" s="96">
        <v>0</v>
      </c>
      <c r="I291" s="96">
        <v>18.3</v>
      </c>
      <c r="J291" s="96">
        <v>0</v>
      </c>
      <c r="K291" s="96">
        <v>24.5</v>
      </c>
      <c r="L291" s="96">
        <v>0</v>
      </c>
      <c r="M291" s="96">
        <v>0</v>
      </c>
      <c r="N291" s="96">
        <v>0</v>
      </c>
      <c r="O291" s="96">
        <v>0</v>
      </c>
    </row>
    <row r="292" spans="2:15">
      <c r="B292" s="23" t="s">
        <v>286</v>
      </c>
      <c r="G292" s="96">
        <v>20.5</v>
      </c>
      <c r="H292" s="96">
        <v>0</v>
      </c>
      <c r="I292" s="96">
        <v>18.3</v>
      </c>
      <c r="J292" s="96">
        <v>0</v>
      </c>
      <c r="K292" s="96">
        <v>30.1</v>
      </c>
      <c r="L292" s="96">
        <v>0</v>
      </c>
      <c r="M292" s="96">
        <v>0</v>
      </c>
      <c r="N292" s="96">
        <v>0</v>
      </c>
      <c r="O292" s="96">
        <v>0</v>
      </c>
    </row>
    <row r="293" spans="2:15">
      <c r="B293" s="61" t="s">
        <v>287</v>
      </c>
      <c r="G293" s="96">
        <v>23.46</v>
      </c>
      <c r="H293" s="96">
        <v>0</v>
      </c>
      <c r="I293" s="96">
        <v>18.3</v>
      </c>
      <c r="J293" s="96">
        <v>0</v>
      </c>
      <c r="K293" s="96">
        <v>30.1</v>
      </c>
      <c r="L293" s="96">
        <v>0</v>
      </c>
      <c r="M293" s="96">
        <v>0</v>
      </c>
      <c r="N293" s="96">
        <v>0</v>
      </c>
      <c r="O293" s="96">
        <v>0</v>
      </c>
    </row>
    <row r="294" spans="2:15">
      <c r="B294" s="61" t="s">
        <v>288</v>
      </c>
      <c r="G294" s="96">
        <v>26.71</v>
      </c>
      <c r="H294" s="96">
        <v>0</v>
      </c>
      <c r="I294" s="96">
        <v>18.3</v>
      </c>
      <c r="J294" s="96">
        <v>0</v>
      </c>
      <c r="K294" s="96">
        <v>30.1</v>
      </c>
      <c r="L294" s="96">
        <v>0</v>
      </c>
      <c r="M294" s="96">
        <v>0</v>
      </c>
      <c r="N294" s="96">
        <v>0</v>
      </c>
      <c r="O294" s="96">
        <v>0</v>
      </c>
    </row>
    <row r="295" spans="2:15">
      <c r="B295" s="23"/>
      <c r="G295" s="82"/>
      <c r="H295" s="82"/>
      <c r="I295" s="82"/>
      <c r="J295" s="82"/>
      <c r="K295" s="82"/>
      <c r="L295" s="82"/>
      <c r="M295" s="82"/>
      <c r="N295" s="82"/>
    </row>
    <row r="296" spans="2:15">
      <c r="B296" s="108" t="s">
        <v>290</v>
      </c>
      <c r="G296" s="82"/>
      <c r="H296" s="82"/>
      <c r="I296" s="82"/>
      <c r="J296" s="82"/>
      <c r="K296" s="82"/>
      <c r="L296" s="82"/>
      <c r="M296" s="82"/>
      <c r="N296" s="82"/>
    </row>
    <row r="297" spans="2:15">
      <c r="B297" s="23" t="s">
        <v>291</v>
      </c>
      <c r="G297" s="112"/>
      <c r="H297" s="96">
        <v>0</v>
      </c>
      <c r="I297" s="112"/>
      <c r="J297" s="96">
        <v>0</v>
      </c>
      <c r="K297" s="112"/>
      <c r="L297" s="112"/>
      <c r="M297" s="112"/>
      <c r="N297" s="112"/>
      <c r="O297" s="96">
        <v>0</v>
      </c>
    </row>
    <row r="298" spans="2:15">
      <c r="B298" s="3"/>
      <c r="G298" s="82"/>
      <c r="H298" s="82"/>
      <c r="I298" s="82"/>
      <c r="J298" s="82"/>
      <c r="K298" s="82"/>
      <c r="L298" s="82"/>
      <c r="M298" s="82"/>
      <c r="N298" s="82"/>
    </row>
    <row r="299" spans="2:15">
      <c r="B299" s="3"/>
      <c r="G299" s="82"/>
      <c r="H299" s="82"/>
      <c r="I299" s="82"/>
      <c r="J299" s="82"/>
      <c r="K299" s="82"/>
      <c r="L299" s="82"/>
      <c r="M299" s="82"/>
      <c r="N299" s="82"/>
    </row>
    <row r="300" spans="2:15">
      <c r="B300" s="3" t="s">
        <v>309</v>
      </c>
      <c r="G300" s="82"/>
      <c r="H300" s="82"/>
      <c r="I300" s="82"/>
      <c r="J300" s="82"/>
      <c r="K300" s="82"/>
      <c r="L300" s="82"/>
      <c r="M300" s="82"/>
      <c r="N300" s="82"/>
    </row>
    <row r="301" spans="2:15">
      <c r="B301" s="3"/>
      <c r="G301" s="82"/>
      <c r="H301" s="82"/>
      <c r="I301" s="82"/>
      <c r="J301" s="82"/>
      <c r="K301" s="82"/>
      <c r="L301" s="82"/>
      <c r="M301" s="82"/>
      <c r="N301" s="82"/>
    </row>
    <row r="302" spans="2:15">
      <c r="B302" s="108" t="s">
        <v>284</v>
      </c>
      <c r="G302" s="82"/>
      <c r="H302" s="82"/>
      <c r="I302" s="82"/>
      <c r="J302" s="82"/>
      <c r="K302" s="82"/>
      <c r="L302" s="82"/>
      <c r="M302" s="82"/>
      <c r="N302" s="82"/>
    </row>
    <row r="303" spans="2:15">
      <c r="B303" s="61" t="s">
        <v>292</v>
      </c>
      <c r="G303" s="96">
        <v>2560.21</v>
      </c>
      <c r="H303" s="96">
        <v>2363.66</v>
      </c>
      <c r="I303" s="96">
        <v>2030</v>
      </c>
      <c r="J303" s="96">
        <v>1180</v>
      </c>
      <c r="K303" s="96">
        <v>1949</v>
      </c>
      <c r="L303" s="96">
        <v>1175</v>
      </c>
      <c r="M303" s="96">
        <v>1240</v>
      </c>
      <c r="N303" s="96">
        <v>2722.1</v>
      </c>
      <c r="O303" s="96">
        <v>0</v>
      </c>
    </row>
    <row r="304" spans="2:15">
      <c r="B304" s="61" t="s">
        <v>293</v>
      </c>
      <c r="G304" s="96">
        <v>2560.21</v>
      </c>
      <c r="H304" s="96">
        <v>2363.66</v>
      </c>
      <c r="I304" s="96">
        <v>2480</v>
      </c>
      <c r="J304" s="96">
        <v>1180</v>
      </c>
      <c r="K304" s="96">
        <v>1949</v>
      </c>
      <c r="L304" s="96">
        <v>1488</v>
      </c>
      <c r="M304" s="96">
        <v>1240</v>
      </c>
      <c r="N304" s="96">
        <v>2722.1</v>
      </c>
      <c r="O304" s="96">
        <v>0</v>
      </c>
    </row>
    <row r="305" spans="2:15">
      <c r="B305" s="61" t="s">
        <v>294</v>
      </c>
      <c r="G305" s="96">
        <v>3789.15</v>
      </c>
      <c r="H305" s="96">
        <v>2363.66</v>
      </c>
      <c r="I305" s="96">
        <v>2905</v>
      </c>
      <c r="J305" s="96">
        <v>2580</v>
      </c>
      <c r="K305" s="96">
        <v>2769</v>
      </c>
      <c r="L305" s="96">
        <v>2612</v>
      </c>
      <c r="M305" s="96">
        <v>1240</v>
      </c>
      <c r="N305" s="96">
        <v>5950.55</v>
      </c>
      <c r="O305" s="96">
        <v>0</v>
      </c>
    </row>
    <row r="306" spans="2:15">
      <c r="B306" s="61" t="s">
        <v>295</v>
      </c>
      <c r="G306" s="96">
        <v>3789.15</v>
      </c>
      <c r="H306" s="96">
        <v>2363.66</v>
      </c>
      <c r="I306" s="96">
        <v>4100</v>
      </c>
      <c r="J306" s="96">
        <v>2580</v>
      </c>
      <c r="K306" s="96">
        <v>3021</v>
      </c>
      <c r="L306" s="96">
        <v>4681</v>
      </c>
      <c r="M306" s="96">
        <v>1240</v>
      </c>
      <c r="N306" s="96">
        <v>5950.55</v>
      </c>
      <c r="O306" s="96">
        <v>0</v>
      </c>
    </row>
    <row r="307" spans="2:15">
      <c r="B307" s="26" t="s">
        <v>296</v>
      </c>
      <c r="G307" s="96">
        <v>0</v>
      </c>
      <c r="H307" s="96">
        <v>2585.2600000000002</v>
      </c>
      <c r="I307" s="96">
        <v>5290</v>
      </c>
      <c r="J307" s="96">
        <v>2580</v>
      </c>
      <c r="K307" s="96">
        <v>3322</v>
      </c>
      <c r="L307" s="96">
        <v>5097</v>
      </c>
      <c r="M307" s="96">
        <v>1240</v>
      </c>
      <c r="N307" s="96">
        <v>5950.55</v>
      </c>
      <c r="O307" s="96">
        <v>0</v>
      </c>
    </row>
    <row r="308" spans="2:15">
      <c r="B308" s="61" t="s">
        <v>297</v>
      </c>
      <c r="G308" s="96">
        <v>0</v>
      </c>
      <c r="H308" s="96">
        <v>2585.2600000000002</v>
      </c>
      <c r="I308" s="96">
        <v>5780</v>
      </c>
      <c r="J308" s="96">
        <v>2580</v>
      </c>
      <c r="K308" s="96">
        <v>3809</v>
      </c>
      <c r="L308" s="96">
        <v>6903</v>
      </c>
      <c r="M308" s="96">
        <v>0</v>
      </c>
      <c r="N308" s="96">
        <v>5950.55</v>
      </c>
      <c r="O308" s="96">
        <v>0</v>
      </c>
    </row>
    <row r="309" spans="2:15">
      <c r="B309" s="61" t="s">
        <v>298</v>
      </c>
      <c r="G309" s="96">
        <v>0</v>
      </c>
      <c r="H309" s="96">
        <v>3102.32</v>
      </c>
      <c r="I309" s="96">
        <v>6360</v>
      </c>
      <c r="J309" s="96">
        <v>2580</v>
      </c>
      <c r="K309" s="96">
        <v>4195</v>
      </c>
      <c r="L309" s="96">
        <v>7539</v>
      </c>
      <c r="M309" s="96">
        <v>0</v>
      </c>
      <c r="N309" s="96">
        <v>5950.55</v>
      </c>
      <c r="O309" s="96">
        <v>0</v>
      </c>
    </row>
    <row r="310" spans="2:15">
      <c r="B310" s="61" t="s">
        <v>299</v>
      </c>
      <c r="G310" s="96">
        <v>0</v>
      </c>
      <c r="H310" s="96">
        <v>0</v>
      </c>
      <c r="I310" s="96">
        <v>6990</v>
      </c>
      <c r="J310" s="96">
        <v>2580</v>
      </c>
      <c r="K310" s="96">
        <v>4615</v>
      </c>
      <c r="L310" s="96">
        <v>7539</v>
      </c>
      <c r="M310" s="96">
        <v>0</v>
      </c>
      <c r="N310" s="96">
        <v>5950.55</v>
      </c>
      <c r="O310" s="96">
        <v>0</v>
      </c>
    </row>
    <row r="311" spans="2:15">
      <c r="B311" s="23" t="s">
        <v>300</v>
      </c>
      <c r="G311" s="96">
        <v>0</v>
      </c>
      <c r="H311" s="96">
        <v>0</v>
      </c>
      <c r="I311" s="96">
        <v>7700</v>
      </c>
      <c r="J311" s="96">
        <v>2580</v>
      </c>
      <c r="K311" s="96">
        <v>5074</v>
      </c>
      <c r="L311" s="96">
        <v>7539</v>
      </c>
      <c r="M311" s="96">
        <v>0</v>
      </c>
      <c r="N311" s="96">
        <v>5950.55</v>
      </c>
      <c r="O311" s="96">
        <v>0</v>
      </c>
    </row>
    <row r="312" spans="2:15">
      <c r="B312" s="23" t="s">
        <v>301</v>
      </c>
      <c r="G312" s="96">
        <v>0</v>
      </c>
      <c r="H312" s="96">
        <v>0</v>
      </c>
      <c r="I312" s="96">
        <v>8460</v>
      </c>
      <c r="J312" s="96">
        <v>0</v>
      </c>
      <c r="K312" s="96">
        <v>5583</v>
      </c>
      <c r="L312" s="96">
        <v>0</v>
      </c>
      <c r="M312" s="96">
        <v>0</v>
      </c>
      <c r="N312" s="96">
        <v>5950.55</v>
      </c>
      <c r="O312" s="96">
        <v>0</v>
      </c>
    </row>
    <row r="313" spans="2:15">
      <c r="B313" s="23"/>
      <c r="G313" s="82"/>
      <c r="H313" s="82"/>
      <c r="I313" s="82"/>
      <c r="J313" s="82"/>
      <c r="K313" s="82"/>
      <c r="L313" s="82"/>
      <c r="M313" s="82"/>
      <c r="N313" s="82"/>
    </row>
    <row r="314" spans="2:15">
      <c r="B314" s="108" t="s">
        <v>289</v>
      </c>
      <c r="G314" s="82"/>
      <c r="H314" s="82"/>
      <c r="I314" s="82"/>
      <c r="J314" s="82"/>
      <c r="K314" s="82"/>
      <c r="L314" s="82"/>
      <c r="M314" s="82"/>
      <c r="N314" s="82"/>
    </row>
    <row r="315" spans="2:15">
      <c r="B315" s="61" t="s">
        <v>292</v>
      </c>
      <c r="G315" s="96">
        <v>8260.42</v>
      </c>
      <c r="H315" s="96">
        <v>16250.24</v>
      </c>
      <c r="I315" s="96">
        <v>2030</v>
      </c>
      <c r="J315" s="96">
        <v>1180</v>
      </c>
      <c r="K315" s="96">
        <v>1949</v>
      </c>
      <c r="L315" s="96">
        <v>7539</v>
      </c>
      <c r="M315" s="96">
        <v>2020</v>
      </c>
      <c r="N315" s="96">
        <v>6148.41</v>
      </c>
      <c r="O315" s="96">
        <v>0</v>
      </c>
    </row>
    <row r="316" spans="2:15">
      <c r="B316" s="61" t="s">
        <v>293</v>
      </c>
      <c r="G316" s="96">
        <v>8260.42</v>
      </c>
      <c r="H316" s="96">
        <v>16250.24</v>
      </c>
      <c r="I316" s="96">
        <v>2480</v>
      </c>
      <c r="J316" s="96">
        <v>1180</v>
      </c>
      <c r="K316" s="96">
        <v>1949</v>
      </c>
      <c r="L316" s="96">
        <v>7539</v>
      </c>
      <c r="M316" s="96">
        <v>2020</v>
      </c>
      <c r="N316" s="96">
        <v>6148.41</v>
      </c>
      <c r="O316" s="96">
        <v>0</v>
      </c>
    </row>
    <row r="317" spans="2:15">
      <c r="B317" s="61" t="s">
        <v>294</v>
      </c>
      <c r="G317" s="96">
        <v>8260.42</v>
      </c>
      <c r="H317" s="96">
        <v>16988.89</v>
      </c>
      <c r="I317" s="96">
        <v>2905</v>
      </c>
      <c r="J317" s="96">
        <v>2580</v>
      </c>
      <c r="K317" s="96">
        <v>2769</v>
      </c>
      <c r="L317" s="96">
        <v>7539</v>
      </c>
      <c r="M317" s="96">
        <v>2020</v>
      </c>
      <c r="N317" s="96">
        <v>6148.41</v>
      </c>
      <c r="O317" s="96">
        <v>0</v>
      </c>
    </row>
    <row r="318" spans="2:15">
      <c r="B318" s="61" t="s">
        <v>295</v>
      </c>
      <c r="G318" s="96">
        <v>8260.42</v>
      </c>
      <c r="H318" s="96">
        <v>16988.89</v>
      </c>
      <c r="I318" s="96">
        <v>4100</v>
      </c>
      <c r="J318" s="96">
        <v>2580</v>
      </c>
      <c r="K318" s="96">
        <v>3021</v>
      </c>
      <c r="L318" s="96">
        <v>7539</v>
      </c>
      <c r="M318" s="96">
        <v>2020</v>
      </c>
      <c r="N318" s="96">
        <v>6148.41</v>
      </c>
      <c r="O318" s="96">
        <v>0</v>
      </c>
    </row>
    <row r="319" spans="2:15">
      <c r="B319" s="26" t="s">
        <v>296</v>
      </c>
      <c r="G319" s="96">
        <v>8260.42</v>
      </c>
      <c r="H319" s="96">
        <v>16988.89</v>
      </c>
      <c r="I319" s="96">
        <v>5290</v>
      </c>
      <c r="J319" s="96">
        <v>2580</v>
      </c>
      <c r="K319" s="96">
        <v>3322</v>
      </c>
      <c r="L319" s="96">
        <v>7539</v>
      </c>
      <c r="M319" s="96">
        <v>2020</v>
      </c>
      <c r="N319" s="96">
        <v>6148.41</v>
      </c>
      <c r="O319" s="96">
        <v>0</v>
      </c>
    </row>
    <row r="320" spans="2:15">
      <c r="B320" s="61" t="s">
        <v>297</v>
      </c>
      <c r="G320" s="96">
        <v>8881.2000000000007</v>
      </c>
      <c r="H320" s="96">
        <v>18613.91</v>
      </c>
      <c r="I320" s="96">
        <v>5780</v>
      </c>
      <c r="J320" s="96">
        <v>2580</v>
      </c>
      <c r="K320" s="96">
        <v>3809</v>
      </c>
      <c r="L320" s="96">
        <v>7539</v>
      </c>
      <c r="M320" s="96">
        <v>2020</v>
      </c>
      <c r="N320" s="96">
        <v>6148.41</v>
      </c>
      <c r="O320" s="96">
        <v>0</v>
      </c>
    </row>
    <row r="321" spans="2:15">
      <c r="B321" s="61" t="s">
        <v>298</v>
      </c>
      <c r="G321" s="96">
        <v>8881.2000000000007</v>
      </c>
      <c r="H321" s="96">
        <v>18613.91</v>
      </c>
      <c r="I321" s="96">
        <v>6360</v>
      </c>
      <c r="J321" s="96">
        <v>2580</v>
      </c>
      <c r="K321" s="96">
        <v>4195</v>
      </c>
      <c r="L321" s="96">
        <v>7539</v>
      </c>
      <c r="M321" s="96">
        <v>2450</v>
      </c>
      <c r="N321" s="96">
        <v>6148.41</v>
      </c>
      <c r="O321" s="96">
        <v>0</v>
      </c>
    </row>
    <row r="322" spans="2:15">
      <c r="B322" s="61" t="s">
        <v>299</v>
      </c>
      <c r="G322" s="96">
        <v>8881.2000000000007</v>
      </c>
      <c r="H322" s="96">
        <v>0</v>
      </c>
      <c r="I322" s="96">
        <v>6990</v>
      </c>
      <c r="J322" s="96">
        <v>2580</v>
      </c>
      <c r="K322" s="96">
        <v>4615</v>
      </c>
      <c r="L322" s="96">
        <v>7539</v>
      </c>
      <c r="M322" s="96">
        <v>2450</v>
      </c>
      <c r="N322" s="96">
        <v>6148.41</v>
      </c>
      <c r="O322" s="96">
        <v>0</v>
      </c>
    </row>
    <row r="323" spans="2:15">
      <c r="B323" s="23" t="s">
        <v>300</v>
      </c>
      <c r="G323" s="96">
        <v>0</v>
      </c>
      <c r="H323" s="96">
        <v>0</v>
      </c>
      <c r="I323" s="96">
        <v>7700</v>
      </c>
      <c r="J323" s="96">
        <v>2580</v>
      </c>
      <c r="K323" s="96">
        <v>5074</v>
      </c>
      <c r="L323" s="96">
        <v>0</v>
      </c>
      <c r="M323" s="96">
        <v>2450</v>
      </c>
      <c r="N323" s="96">
        <v>6148.41</v>
      </c>
      <c r="O323" s="96">
        <v>0</v>
      </c>
    </row>
    <row r="324" spans="2:15">
      <c r="B324" s="23" t="s">
        <v>301</v>
      </c>
      <c r="G324" s="96">
        <v>0</v>
      </c>
      <c r="H324" s="96">
        <v>0</v>
      </c>
      <c r="I324" s="96">
        <v>8460</v>
      </c>
      <c r="J324" s="96">
        <v>2580</v>
      </c>
      <c r="K324" s="96">
        <v>5583</v>
      </c>
      <c r="L324" s="96">
        <v>0</v>
      </c>
      <c r="M324" s="96">
        <v>2450</v>
      </c>
      <c r="N324" s="96">
        <v>6148.41</v>
      </c>
      <c r="O324" s="96">
        <v>0</v>
      </c>
    </row>
    <row r="325" spans="2:15">
      <c r="B325" s="23"/>
      <c r="O325"/>
    </row>
    <row r="326" spans="2:15">
      <c r="B326" s="108" t="s">
        <v>290</v>
      </c>
      <c r="O326"/>
    </row>
    <row r="327" spans="2:15">
      <c r="B327" s="23" t="s">
        <v>302</v>
      </c>
      <c r="G327" s="28"/>
      <c r="H327" s="95">
        <v>0</v>
      </c>
      <c r="I327" s="28"/>
      <c r="J327" s="95">
        <v>0</v>
      </c>
      <c r="K327" s="28"/>
      <c r="L327" s="28"/>
      <c r="M327" s="28"/>
      <c r="N327" s="28"/>
      <c r="O327" s="95">
        <v>0</v>
      </c>
    </row>
    <row r="328" spans="2:15">
      <c r="B328" s="22"/>
    </row>
    <row r="329" spans="2:15">
      <c r="B329" s="22"/>
    </row>
    <row r="330" spans="2:15">
      <c r="B330" s="23"/>
    </row>
    <row r="331" spans="2:15">
      <c r="B331" s="23"/>
    </row>
    <row r="335" spans="2:15">
      <c r="G335" s="82"/>
      <c r="H335" s="82"/>
      <c r="I335" s="82"/>
      <c r="J335" s="82"/>
      <c r="K335" s="82"/>
      <c r="L335" s="82"/>
      <c r="M335" s="82"/>
      <c r="N335" s="82"/>
    </row>
    <row r="336" spans="2:15">
      <c r="G336" s="82"/>
      <c r="H336" s="82"/>
      <c r="I336" s="82"/>
      <c r="J336" s="82"/>
      <c r="K336" s="82"/>
      <c r="L336" s="82"/>
      <c r="M336" s="82"/>
      <c r="N336" s="82"/>
    </row>
    <row r="339" spans="2:14">
      <c r="G339" s="173"/>
      <c r="H339" s="173"/>
      <c r="I339" s="173"/>
      <c r="J339" s="173"/>
      <c r="K339" s="173"/>
      <c r="L339" s="173"/>
      <c r="M339" s="173"/>
      <c r="N339" s="173"/>
    </row>
    <row r="346" spans="2:14">
      <c r="B346" s="23"/>
    </row>
  </sheetData>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2"/>
  </sheetPr>
  <dimension ref="B1:Y249"/>
  <sheetViews>
    <sheetView showGridLines="0" zoomScale="85" zoomScaleNormal="85" workbookViewId="0">
      <pane xSplit="3" ySplit="5" topLeftCell="D6" activePane="bottomRight" state="frozen"/>
      <selection activeCell="L8" sqref="L8"/>
      <selection pane="topRight" activeCell="L8" sqref="L8"/>
      <selection pane="bottomLeft" activeCell="L8" sqref="L8"/>
      <selection pane="bottomRight" activeCell="D6" sqref="D6"/>
    </sheetView>
  </sheetViews>
  <sheetFormatPr defaultRowHeight="12.75"/>
  <cols>
    <col min="1" max="1" width="2.5703125" customWidth="1"/>
    <col min="2" max="2" width="55.140625" customWidth="1"/>
    <col min="3" max="3" width="2.5703125" customWidth="1"/>
    <col min="4" max="4" width="20" customWidth="1"/>
    <col min="5" max="5" width="2.5703125" customWidth="1"/>
    <col min="6" max="6" width="21.42578125" customWidth="1"/>
    <col min="7" max="14" width="14.85546875" customWidth="1"/>
    <col min="15" max="20" width="15.140625" customWidth="1"/>
    <col min="22" max="22" width="15.7109375" customWidth="1"/>
    <col min="23" max="25" width="15" bestFit="1" customWidth="1"/>
  </cols>
  <sheetData>
    <row r="1" spans="2:22" ht="12" customHeight="1"/>
    <row r="2" spans="2:22" s="1" customFormat="1" ht="18">
      <c r="B2" s="1" t="s">
        <v>415</v>
      </c>
      <c r="F2" s="5" t="s">
        <v>105</v>
      </c>
      <c r="G2" s="5" t="s">
        <v>96</v>
      </c>
      <c r="H2" s="5" t="s">
        <v>407</v>
      </c>
      <c r="I2" s="5" t="s">
        <v>408</v>
      </c>
      <c r="J2" s="5" t="s">
        <v>98</v>
      </c>
      <c r="K2" s="5" t="s">
        <v>409</v>
      </c>
      <c r="L2" s="5" t="s">
        <v>99</v>
      </c>
      <c r="M2" s="5" t="s">
        <v>410</v>
      </c>
      <c r="N2" s="5" t="s">
        <v>411</v>
      </c>
      <c r="O2" s="5" t="s">
        <v>100</v>
      </c>
      <c r="P2" s="5" t="s">
        <v>412</v>
      </c>
      <c r="Q2" s="5" t="s">
        <v>413</v>
      </c>
      <c r="R2" s="5" t="s">
        <v>102</v>
      </c>
      <c r="S2" s="5" t="s">
        <v>103</v>
      </c>
      <c r="T2" s="5" t="s">
        <v>414</v>
      </c>
      <c r="V2" s="5" t="s">
        <v>567</v>
      </c>
    </row>
    <row r="4" spans="2:22">
      <c r="B4" s="51" t="s">
        <v>546</v>
      </c>
    </row>
    <row r="5" spans="2:22">
      <c r="B5" s="51" t="s">
        <v>547</v>
      </c>
    </row>
    <row r="6" spans="2:22">
      <c r="B6" s="51"/>
    </row>
    <row r="9" spans="2:22" s="2" customFormat="1">
      <c r="B9" s="2" t="s">
        <v>106</v>
      </c>
    </row>
    <row r="11" spans="2:22">
      <c r="B11" s="3" t="s">
        <v>207</v>
      </c>
    </row>
    <row r="13" spans="2:22">
      <c r="B13" s="3" t="s">
        <v>142</v>
      </c>
    </row>
    <row r="14" spans="2:22">
      <c r="B14" t="s">
        <v>143</v>
      </c>
      <c r="D14" t="s">
        <v>107</v>
      </c>
      <c r="F14" s="21">
        <f>SUM(G14:T14)</f>
        <v>0</v>
      </c>
      <c r="G14" s="8">
        <v>0</v>
      </c>
      <c r="H14" s="8">
        <v>0</v>
      </c>
      <c r="I14" s="8">
        <v>0</v>
      </c>
      <c r="J14" s="8">
        <v>0</v>
      </c>
      <c r="K14" s="8">
        <v>0</v>
      </c>
      <c r="L14" s="8">
        <v>0</v>
      </c>
      <c r="M14" s="8">
        <v>0</v>
      </c>
      <c r="N14" s="8">
        <v>0</v>
      </c>
      <c r="O14" s="8">
        <v>0</v>
      </c>
      <c r="P14" s="8">
        <v>0</v>
      </c>
      <c r="Q14" s="8">
        <v>0</v>
      </c>
      <c r="R14" s="8">
        <v>0</v>
      </c>
      <c r="S14" s="8">
        <v>0</v>
      </c>
      <c r="T14" s="8">
        <v>0</v>
      </c>
      <c r="V14" s="27" t="s">
        <v>1353</v>
      </c>
    </row>
    <row r="15" spans="2:22">
      <c r="B15" t="s">
        <v>144</v>
      </c>
      <c r="D15" t="s">
        <v>107</v>
      </c>
      <c r="F15" s="21">
        <f t="shared" ref="F15:F16" si="0">SUM(G15:T15)</f>
        <v>180973359.88408056</v>
      </c>
      <c r="G15" s="8">
        <v>3224059.2715849592</v>
      </c>
      <c r="H15" s="8">
        <v>3448497.6051113578</v>
      </c>
      <c r="I15" s="8">
        <v>258370.5182510812</v>
      </c>
      <c r="J15" s="8">
        <v>6168538.6703963624</v>
      </c>
      <c r="K15" s="8">
        <v>5859372.9790582675</v>
      </c>
      <c r="L15" s="8">
        <v>33865735.587681964</v>
      </c>
      <c r="M15" s="8">
        <v>6359371.6664528679</v>
      </c>
      <c r="N15" s="8">
        <v>7513.0657443616647</v>
      </c>
      <c r="O15" s="8">
        <v>57280777.304822676</v>
      </c>
      <c r="P15" s="8">
        <v>1050247.3170040755</v>
      </c>
      <c r="Q15" s="8">
        <v>5198728.2685666634</v>
      </c>
      <c r="R15" s="8">
        <v>51794329.380688913</v>
      </c>
      <c r="S15" s="8">
        <v>5405299.0242402423</v>
      </c>
      <c r="T15" s="8">
        <v>1052519.2244767523</v>
      </c>
    </row>
    <row r="16" spans="2:22">
      <c r="B16" t="s">
        <v>145</v>
      </c>
      <c r="D16" t="s">
        <v>107</v>
      </c>
      <c r="F16" s="21">
        <f t="shared" si="0"/>
        <v>4976245251.0216341</v>
      </c>
      <c r="G16" s="8">
        <v>80923887.71678248</v>
      </c>
      <c r="H16" s="8">
        <v>95523383.661584601</v>
      </c>
      <c r="I16" s="8">
        <v>10926534.897542445</v>
      </c>
      <c r="J16" s="8">
        <v>171485375.03701904</v>
      </c>
      <c r="K16" s="8">
        <v>161132756.92410219</v>
      </c>
      <c r="L16" s="8">
        <v>944854022.89632702</v>
      </c>
      <c r="M16" s="8">
        <v>201592081.82655612</v>
      </c>
      <c r="N16" s="8">
        <v>328847.88687608438</v>
      </c>
      <c r="O16" s="8">
        <v>1649686386.3788931</v>
      </c>
      <c r="P16" s="8">
        <v>27621504.437207177</v>
      </c>
      <c r="Q16" s="8">
        <v>138286171.9438732</v>
      </c>
      <c r="R16" s="8">
        <v>1332819346.1934838</v>
      </c>
      <c r="S16" s="8">
        <v>117835518.72843735</v>
      </c>
      <c r="T16" s="8">
        <v>43229432.492949277</v>
      </c>
    </row>
    <row r="17" spans="2:20">
      <c r="G17" s="63"/>
      <c r="H17" s="63"/>
      <c r="I17" s="63"/>
      <c r="J17" s="63"/>
      <c r="K17" s="63"/>
      <c r="L17" s="63"/>
      <c r="M17" s="63"/>
      <c r="N17" s="63"/>
    </row>
    <row r="18" spans="2:20">
      <c r="B18" s="3" t="s">
        <v>146</v>
      </c>
      <c r="G18" s="63"/>
      <c r="H18" s="63"/>
      <c r="I18" s="63"/>
      <c r="J18" s="63"/>
      <c r="K18" s="63"/>
      <c r="L18" s="63"/>
      <c r="M18" s="63"/>
      <c r="N18" s="63"/>
    </row>
    <row r="19" spans="2:20">
      <c r="B19" t="s">
        <v>147</v>
      </c>
      <c r="D19" t="s">
        <v>107</v>
      </c>
      <c r="F19" s="21">
        <f>SUM(G19:T19)</f>
        <v>148389428.47245383</v>
      </c>
      <c r="G19" s="8">
        <v>3115000</v>
      </c>
      <c r="H19" s="8">
        <v>7074882</v>
      </c>
      <c r="I19" s="8">
        <v>0</v>
      </c>
      <c r="J19" s="8">
        <v>1498443.2</v>
      </c>
      <c r="K19" s="8">
        <v>1483355.8799999992</v>
      </c>
      <c r="L19" s="8">
        <v>53802219.813497603</v>
      </c>
      <c r="M19" s="8">
        <v>1768038.1800040149</v>
      </c>
      <c r="N19" s="8">
        <v>0</v>
      </c>
      <c r="O19" s="8">
        <v>31023193</v>
      </c>
      <c r="P19" s="8">
        <v>485356.69</v>
      </c>
      <c r="Q19" s="8">
        <v>3488634.1775000002</v>
      </c>
      <c r="R19" s="8">
        <v>41982305.531452239</v>
      </c>
      <c r="S19" s="8">
        <v>2139000</v>
      </c>
      <c r="T19" s="8">
        <v>529000</v>
      </c>
    </row>
    <row r="20" spans="2:20">
      <c r="B20" t="s">
        <v>139</v>
      </c>
      <c r="D20" t="s">
        <v>107</v>
      </c>
      <c r="F20" s="21">
        <f t="shared" ref="F20:F21" si="1">SUM(G20:T20)</f>
        <v>20590293.484829362</v>
      </c>
      <c r="G20" s="8">
        <v>177769.06395567622</v>
      </c>
      <c r="H20" s="8">
        <v>561389.41192135355</v>
      </c>
      <c r="I20" s="8">
        <v>0</v>
      </c>
      <c r="J20" s="8">
        <v>356961.67828274932</v>
      </c>
      <c r="K20" s="8">
        <v>819740.90954077768</v>
      </c>
      <c r="L20" s="8">
        <v>8841034.8103347979</v>
      </c>
      <c r="M20" s="8">
        <v>771867.77828551724</v>
      </c>
      <c r="N20" s="8">
        <v>0</v>
      </c>
      <c r="O20" s="249">
        <f>2629752.92942786+'Aanpassing gegevens (sep.2014)'!H23</f>
        <v>2633623.6012824052</v>
      </c>
      <c r="P20" s="8">
        <v>376501.5010629259</v>
      </c>
      <c r="Q20" s="8">
        <v>1544387.6623473833</v>
      </c>
      <c r="R20" s="8">
        <v>4084914.8947330364</v>
      </c>
      <c r="S20" s="8">
        <v>349865.88864433765</v>
      </c>
      <c r="T20" s="8">
        <v>72236.284438400151</v>
      </c>
    </row>
    <row r="21" spans="2:20">
      <c r="B21" t="s">
        <v>148</v>
      </c>
      <c r="D21" t="s">
        <v>107</v>
      </c>
      <c r="F21" s="21">
        <f t="shared" si="1"/>
        <v>580681410.68399858</v>
      </c>
      <c r="G21" s="8">
        <v>8709629.9573984798</v>
      </c>
      <c r="H21" s="8">
        <v>15639943.438248847</v>
      </c>
      <c r="I21" s="8">
        <v>0</v>
      </c>
      <c r="J21" s="8">
        <v>9994527.3776660152</v>
      </c>
      <c r="K21" s="8">
        <v>7400031.5676746368</v>
      </c>
      <c r="L21" s="8">
        <v>190992766.09889799</v>
      </c>
      <c r="M21" s="8">
        <v>4714339.5752074532</v>
      </c>
      <c r="N21" s="8">
        <v>0</v>
      </c>
      <c r="O21" s="249">
        <f>126152182.66004+'Aanpassing gegevens (sep.2014)'!H24</f>
        <v>126340716.77534908</v>
      </c>
      <c r="P21" s="8">
        <v>2969642.7028564527</v>
      </c>
      <c r="Q21" s="8">
        <v>17328259.524182606</v>
      </c>
      <c r="R21" s="8">
        <v>185276528.90557951</v>
      </c>
      <c r="S21" s="8">
        <v>10685930.329116266</v>
      </c>
      <c r="T21" s="8">
        <v>629094.4318212365</v>
      </c>
    </row>
    <row r="22" spans="2:20">
      <c r="G22" s="63"/>
      <c r="H22" s="63"/>
      <c r="I22" s="63"/>
      <c r="J22" s="63"/>
      <c r="K22" s="63"/>
      <c r="L22" s="63"/>
      <c r="M22" s="63"/>
      <c r="N22" s="63"/>
    </row>
    <row r="23" spans="2:20">
      <c r="B23" s="3" t="s">
        <v>149</v>
      </c>
      <c r="G23" s="63"/>
      <c r="H23" s="63"/>
      <c r="I23" s="63"/>
      <c r="J23" s="63"/>
      <c r="K23" s="63"/>
      <c r="L23" s="63"/>
      <c r="M23" s="63"/>
      <c r="N23" s="63"/>
    </row>
    <row r="24" spans="2:20">
      <c r="B24" t="s">
        <v>150</v>
      </c>
      <c r="D24" t="s">
        <v>107</v>
      </c>
      <c r="F24" s="21">
        <f>SUM(G24:T24)</f>
        <v>0</v>
      </c>
      <c r="G24" s="8">
        <v>0</v>
      </c>
      <c r="H24" s="8">
        <v>0</v>
      </c>
      <c r="I24" s="8">
        <v>0</v>
      </c>
      <c r="J24" s="8">
        <v>0</v>
      </c>
      <c r="K24" s="8">
        <v>0</v>
      </c>
      <c r="L24" s="8">
        <v>0</v>
      </c>
      <c r="M24" s="8">
        <v>0</v>
      </c>
      <c r="N24" s="8">
        <v>0</v>
      </c>
      <c r="O24" s="8">
        <v>0</v>
      </c>
      <c r="P24" s="8">
        <v>0</v>
      </c>
      <c r="Q24" s="8">
        <v>0</v>
      </c>
      <c r="R24" s="8">
        <v>0</v>
      </c>
      <c r="S24" s="8">
        <v>0</v>
      </c>
      <c r="T24" s="8">
        <v>0</v>
      </c>
    </row>
    <row r="25" spans="2:20">
      <c r="B25" t="s">
        <v>151</v>
      </c>
      <c r="D25" t="s">
        <v>107</v>
      </c>
      <c r="F25" s="21">
        <f t="shared" ref="F25:F26" si="2">SUM(G25:T25)</f>
        <v>3146803.7886905055</v>
      </c>
      <c r="G25" s="8">
        <v>771200.78743438434</v>
      </c>
      <c r="H25" s="8">
        <v>0</v>
      </c>
      <c r="I25" s="8">
        <v>0</v>
      </c>
      <c r="J25" s="8">
        <v>0</v>
      </c>
      <c r="K25" s="8">
        <v>0</v>
      </c>
      <c r="L25" s="8">
        <v>0</v>
      </c>
      <c r="M25" s="8">
        <v>796292.62166181765</v>
      </c>
      <c r="N25" s="8">
        <v>0</v>
      </c>
      <c r="O25" s="8">
        <v>0</v>
      </c>
      <c r="P25" s="8">
        <v>0</v>
      </c>
      <c r="Q25" s="8">
        <v>1579310.3795943037</v>
      </c>
      <c r="R25" s="8">
        <v>0</v>
      </c>
      <c r="S25" s="8">
        <v>0</v>
      </c>
      <c r="T25" s="8">
        <v>0</v>
      </c>
    </row>
    <row r="26" spans="2:20">
      <c r="B26" t="s">
        <v>152</v>
      </c>
      <c r="D26" t="s">
        <v>107</v>
      </c>
      <c r="F26" s="21">
        <f t="shared" si="2"/>
        <v>25336798.285386771</v>
      </c>
      <c r="G26" s="8">
        <v>771200.78743438493</v>
      </c>
      <c r="H26" s="8">
        <v>0</v>
      </c>
      <c r="I26" s="8">
        <v>0</v>
      </c>
      <c r="J26" s="8">
        <v>0</v>
      </c>
      <c r="K26" s="8">
        <v>0</v>
      </c>
      <c r="L26" s="8">
        <v>0</v>
      </c>
      <c r="M26" s="8">
        <v>10351804.081603641</v>
      </c>
      <c r="N26" s="8">
        <v>0</v>
      </c>
      <c r="O26" s="8">
        <v>0</v>
      </c>
      <c r="P26" s="8">
        <v>0</v>
      </c>
      <c r="Q26" s="8">
        <v>14213793.416348744</v>
      </c>
      <c r="R26" s="8">
        <v>0</v>
      </c>
      <c r="S26" s="8">
        <v>0</v>
      </c>
      <c r="T26" s="8">
        <v>0</v>
      </c>
    </row>
    <row r="27" spans="2:20">
      <c r="G27" s="63"/>
      <c r="H27" s="63"/>
      <c r="I27" s="63"/>
      <c r="J27" s="63"/>
      <c r="K27" s="63"/>
      <c r="L27" s="63"/>
      <c r="M27" s="63"/>
      <c r="N27" s="63"/>
    </row>
    <row r="28" spans="2:20">
      <c r="B28" s="3" t="s">
        <v>153</v>
      </c>
      <c r="G28" s="63"/>
      <c r="H28" s="63"/>
      <c r="I28" s="63"/>
      <c r="J28" s="63"/>
      <c r="K28" s="63"/>
      <c r="L28" s="63"/>
      <c r="M28" s="63"/>
      <c r="N28" s="63"/>
    </row>
    <row r="29" spans="2:20">
      <c r="B29" t="s">
        <v>154</v>
      </c>
      <c r="D29" t="s">
        <v>107</v>
      </c>
      <c r="F29" s="21">
        <f>SUM(G29:T29)</f>
        <v>0</v>
      </c>
      <c r="G29" s="8">
        <v>0</v>
      </c>
      <c r="H29" s="8">
        <v>0</v>
      </c>
      <c r="I29" s="8">
        <v>0</v>
      </c>
      <c r="J29" s="8">
        <v>0</v>
      </c>
      <c r="K29" s="8">
        <v>0</v>
      </c>
      <c r="L29" s="8">
        <v>0</v>
      </c>
      <c r="M29" s="8">
        <v>0</v>
      </c>
      <c r="N29" s="8">
        <v>0</v>
      </c>
      <c r="O29" s="8">
        <v>0</v>
      </c>
      <c r="P29" s="8">
        <v>0</v>
      </c>
      <c r="Q29" s="8">
        <v>0</v>
      </c>
      <c r="R29" s="8">
        <v>0</v>
      </c>
      <c r="S29" s="8">
        <v>0</v>
      </c>
      <c r="T29" s="8">
        <v>0</v>
      </c>
    </row>
    <row r="30" spans="2:20">
      <c r="B30" t="s">
        <v>155</v>
      </c>
      <c r="D30" t="s">
        <v>107</v>
      </c>
      <c r="F30" s="21">
        <f t="shared" ref="F30:F31" si="3">SUM(G30:T30)</f>
        <v>0</v>
      </c>
      <c r="G30" s="8">
        <v>0</v>
      </c>
      <c r="H30" s="8">
        <v>0</v>
      </c>
      <c r="I30" s="8">
        <v>0</v>
      </c>
      <c r="J30" s="8">
        <v>0</v>
      </c>
      <c r="K30" s="8">
        <v>0</v>
      </c>
      <c r="L30" s="8">
        <v>0</v>
      </c>
      <c r="M30" s="8">
        <v>0</v>
      </c>
      <c r="N30" s="8">
        <v>0</v>
      </c>
      <c r="O30" s="8">
        <v>0</v>
      </c>
      <c r="P30" s="8">
        <v>0</v>
      </c>
      <c r="Q30" s="8">
        <v>0</v>
      </c>
      <c r="R30" s="8">
        <v>0</v>
      </c>
      <c r="S30" s="8">
        <v>0</v>
      </c>
      <c r="T30" s="8">
        <v>0</v>
      </c>
    </row>
    <row r="31" spans="2:20">
      <c r="B31" t="s">
        <v>156</v>
      </c>
      <c r="D31" t="s">
        <v>107</v>
      </c>
      <c r="F31" s="21">
        <f t="shared" si="3"/>
        <v>0</v>
      </c>
      <c r="G31" s="8">
        <v>0</v>
      </c>
      <c r="H31" s="8">
        <v>0</v>
      </c>
      <c r="I31" s="8">
        <v>0</v>
      </c>
      <c r="J31" s="8">
        <v>0</v>
      </c>
      <c r="K31" s="8">
        <v>0</v>
      </c>
      <c r="L31" s="8">
        <v>0</v>
      </c>
      <c r="M31" s="8">
        <v>0</v>
      </c>
      <c r="N31" s="8">
        <v>0</v>
      </c>
      <c r="O31" s="8">
        <v>0</v>
      </c>
      <c r="P31" s="8">
        <v>0</v>
      </c>
      <c r="Q31" s="8">
        <v>0</v>
      </c>
      <c r="R31" s="8">
        <v>0</v>
      </c>
      <c r="S31" s="8">
        <v>0</v>
      </c>
      <c r="T31" s="8">
        <v>0</v>
      </c>
    </row>
    <row r="32" spans="2:20">
      <c r="G32" s="63"/>
      <c r="H32" s="63"/>
      <c r="I32" s="63"/>
      <c r="J32" s="63"/>
      <c r="K32" s="63"/>
      <c r="L32" s="63"/>
      <c r="M32" s="63"/>
      <c r="N32" s="63"/>
    </row>
    <row r="33" spans="2:20">
      <c r="B33" s="3" t="s">
        <v>157</v>
      </c>
      <c r="G33" s="63"/>
      <c r="H33" s="63"/>
      <c r="I33" s="63"/>
      <c r="J33" s="63"/>
      <c r="K33" s="63"/>
      <c r="L33" s="63"/>
      <c r="M33" s="63"/>
      <c r="N33" s="63"/>
    </row>
    <row r="34" spans="2:20">
      <c r="B34" t="s">
        <v>158</v>
      </c>
      <c r="D34" t="s">
        <v>107</v>
      </c>
      <c r="F34" s="21">
        <f>SUM(G34:T34)</f>
        <v>0</v>
      </c>
      <c r="G34" s="8">
        <v>0</v>
      </c>
      <c r="H34" s="8">
        <v>0</v>
      </c>
      <c r="I34" s="8">
        <v>0</v>
      </c>
      <c r="J34" s="8">
        <v>0</v>
      </c>
      <c r="K34" s="8">
        <v>0</v>
      </c>
      <c r="L34" s="8">
        <v>0</v>
      </c>
      <c r="M34" s="8">
        <v>0</v>
      </c>
      <c r="N34" s="8">
        <v>0</v>
      </c>
      <c r="O34" s="8">
        <v>0</v>
      </c>
      <c r="P34" s="8">
        <v>0</v>
      </c>
      <c r="Q34" s="8">
        <v>0</v>
      </c>
      <c r="R34" s="8">
        <v>0</v>
      </c>
      <c r="S34" s="8">
        <v>0</v>
      </c>
      <c r="T34" s="8">
        <v>0</v>
      </c>
    </row>
    <row r="35" spans="2:20">
      <c r="B35" t="s">
        <v>159</v>
      </c>
      <c r="D35" t="s">
        <v>107</v>
      </c>
      <c r="F35" s="21">
        <f t="shared" ref="F35:F36" si="4">SUM(G35:T35)</f>
        <v>0</v>
      </c>
      <c r="G35" s="8">
        <v>0</v>
      </c>
      <c r="H35" s="8">
        <v>0</v>
      </c>
      <c r="I35" s="8">
        <v>0</v>
      </c>
      <c r="J35" s="8">
        <v>0</v>
      </c>
      <c r="K35" s="8">
        <v>0</v>
      </c>
      <c r="L35" s="8">
        <v>0</v>
      </c>
      <c r="M35" s="8">
        <v>0</v>
      </c>
      <c r="N35" s="8">
        <v>0</v>
      </c>
      <c r="O35" s="8">
        <v>0</v>
      </c>
      <c r="P35" s="8">
        <v>0</v>
      </c>
      <c r="Q35" s="8">
        <v>0</v>
      </c>
      <c r="R35" s="8">
        <v>0</v>
      </c>
      <c r="S35" s="8">
        <v>0</v>
      </c>
      <c r="T35" s="8">
        <v>0</v>
      </c>
    </row>
    <row r="36" spans="2:20">
      <c r="B36" t="s">
        <v>160</v>
      </c>
      <c r="D36" t="s">
        <v>107</v>
      </c>
      <c r="F36" s="21">
        <f t="shared" si="4"/>
        <v>0</v>
      </c>
      <c r="G36" s="8">
        <v>0</v>
      </c>
      <c r="H36" s="8">
        <v>0</v>
      </c>
      <c r="I36" s="8">
        <v>0</v>
      </c>
      <c r="J36" s="8">
        <v>0</v>
      </c>
      <c r="K36" s="8">
        <v>0</v>
      </c>
      <c r="L36" s="8">
        <v>0</v>
      </c>
      <c r="M36" s="8">
        <v>0</v>
      </c>
      <c r="N36" s="8">
        <v>0</v>
      </c>
      <c r="O36" s="8">
        <v>0</v>
      </c>
      <c r="P36" s="8">
        <v>0</v>
      </c>
      <c r="Q36" s="8">
        <v>0</v>
      </c>
      <c r="R36" s="8">
        <v>0</v>
      </c>
      <c r="S36" s="8">
        <v>0</v>
      </c>
      <c r="T36" s="8">
        <v>0</v>
      </c>
    </row>
    <row r="37" spans="2:20">
      <c r="G37" s="63"/>
      <c r="H37" s="63"/>
      <c r="I37" s="63"/>
      <c r="J37" s="63"/>
      <c r="K37" s="63"/>
      <c r="L37" s="63"/>
      <c r="M37" s="63"/>
      <c r="N37" s="63"/>
    </row>
    <row r="38" spans="2:20">
      <c r="B38" s="3" t="s">
        <v>161</v>
      </c>
    </row>
    <row r="39" spans="2:20">
      <c r="B39" t="s">
        <v>162</v>
      </c>
      <c r="D39" t="s">
        <v>107</v>
      </c>
      <c r="F39" s="21">
        <f>SUM(G39:T39)</f>
        <v>148389428.47245383</v>
      </c>
      <c r="G39" s="24">
        <f>G14+G19+G24+G29+G34</f>
        <v>3115000</v>
      </c>
      <c r="H39" s="24">
        <f t="shared" ref="H39:T39" si="5">H14+H19+H24+H29+H34</f>
        <v>7074882</v>
      </c>
      <c r="I39" s="24">
        <f t="shared" si="5"/>
        <v>0</v>
      </c>
      <c r="J39" s="24">
        <f t="shared" si="5"/>
        <v>1498443.2</v>
      </c>
      <c r="K39" s="24">
        <f t="shared" si="5"/>
        <v>1483355.8799999992</v>
      </c>
      <c r="L39" s="24">
        <f t="shared" si="5"/>
        <v>53802219.813497603</v>
      </c>
      <c r="M39" s="24">
        <f t="shared" si="5"/>
        <v>1768038.1800040149</v>
      </c>
      <c r="N39" s="24">
        <f t="shared" si="5"/>
        <v>0</v>
      </c>
      <c r="O39" s="24">
        <f t="shared" si="5"/>
        <v>31023193</v>
      </c>
      <c r="P39" s="24">
        <f t="shared" si="5"/>
        <v>485356.69</v>
      </c>
      <c r="Q39" s="24">
        <f t="shared" si="5"/>
        <v>3488634.1775000002</v>
      </c>
      <c r="R39" s="24">
        <f t="shared" si="5"/>
        <v>41982305.531452239</v>
      </c>
      <c r="S39" s="24">
        <f t="shared" si="5"/>
        <v>2139000</v>
      </c>
      <c r="T39" s="24">
        <f t="shared" si="5"/>
        <v>529000</v>
      </c>
    </row>
    <row r="40" spans="2:20">
      <c r="B40" t="s">
        <v>139</v>
      </c>
      <c r="D40" t="s">
        <v>107</v>
      </c>
      <c r="F40" s="21">
        <f t="shared" ref="F40:F41" si="6">SUM(G40:T40)</f>
        <v>204710457.15760043</v>
      </c>
      <c r="G40" s="24">
        <f t="shared" ref="G40:T41" si="7">G15+G20+G25+G30+G35</f>
        <v>4173029.1229750197</v>
      </c>
      <c r="H40" s="24">
        <f t="shared" si="7"/>
        <v>4009887.0170327113</v>
      </c>
      <c r="I40" s="24">
        <f t="shared" si="7"/>
        <v>258370.5182510812</v>
      </c>
      <c r="J40" s="24">
        <f t="shared" si="7"/>
        <v>6525500.3486791113</v>
      </c>
      <c r="K40" s="24">
        <f t="shared" si="7"/>
        <v>6679113.8885990456</v>
      </c>
      <c r="L40" s="24">
        <f t="shared" si="7"/>
        <v>42706770.398016766</v>
      </c>
      <c r="M40" s="24">
        <f t="shared" si="7"/>
        <v>7927532.0664002029</v>
      </c>
      <c r="N40" s="24">
        <f t="shared" si="7"/>
        <v>7513.0657443616647</v>
      </c>
      <c r="O40" s="24">
        <f t="shared" si="7"/>
        <v>59914400.906105079</v>
      </c>
      <c r="P40" s="24">
        <f t="shared" si="7"/>
        <v>1426748.8180670014</v>
      </c>
      <c r="Q40" s="24">
        <f t="shared" si="7"/>
        <v>8322426.3105083499</v>
      </c>
      <c r="R40" s="24">
        <f t="shared" si="7"/>
        <v>55879244.275421947</v>
      </c>
      <c r="S40" s="24">
        <f t="shared" si="7"/>
        <v>5755164.91288458</v>
      </c>
      <c r="T40" s="24">
        <f t="shared" si="7"/>
        <v>1124755.5089151524</v>
      </c>
    </row>
    <row r="41" spans="2:20">
      <c r="B41" t="s">
        <v>163</v>
      </c>
      <c r="D41" t="s">
        <v>107</v>
      </c>
      <c r="F41" s="21">
        <f t="shared" si="6"/>
        <v>5582263459.9910192</v>
      </c>
      <c r="G41" s="24">
        <f t="shared" si="7"/>
        <v>90404718.461615339</v>
      </c>
      <c r="H41" s="24">
        <f t="shared" si="7"/>
        <v>111163327.09983344</v>
      </c>
      <c r="I41" s="24">
        <f t="shared" si="7"/>
        <v>10926534.897542445</v>
      </c>
      <c r="J41" s="24">
        <f t="shared" si="7"/>
        <v>181479902.41468507</v>
      </c>
      <c r="K41" s="24">
        <f t="shared" si="7"/>
        <v>168532788.49177682</v>
      </c>
      <c r="L41" s="24">
        <f t="shared" si="7"/>
        <v>1135846788.995225</v>
      </c>
      <c r="M41" s="24">
        <f t="shared" si="7"/>
        <v>216658225.4833672</v>
      </c>
      <c r="N41" s="24">
        <f t="shared" si="7"/>
        <v>328847.88687608438</v>
      </c>
      <c r="O41" s="24">
        <f t="shared" si="7"/>
        <v>1776027103.1542423</v>
      </c>
      <c r="P41" s="24">
        <f t="shared" si="7"/>
        <v>30591147.140063629</v>
      </c>
      <c r="Q41" s="24">
        <f t="shared" si="7"/>
        <v>169828224.88440457</v>
      </c>
      <c r="R41" s="24">
        <f t="shared" si="7"/>
        <v>1518095875.0990634</v>
      </c>
      <c r="S41" s="24">
        <f t="shared" si="7"/>
        <v>128521449.05755362</v>
      </c>
      <c r="T41" s="24">
        <f t="shared" si="7"/>
        <v>43858526.924770512</v>
      </c>
    </row>
    <row r="44" spans="2:20">
      <c r="B44" s="3" t="s">
        <v>208</v>
      </c>
    </row>
    <row r="46" spans="2:20">
      <c r="B46" s="3" t="s">
        <v>142</v>
      </c>
    </row>
    <row r="47" spans="2:20">
      <c r="B47" t="s">
        <v>143</v>
      </c>
      <c r="D47" t="s">
        <v>107</v>
      </c>
      <c r="F47" s="21">
        <f>SUM(G47:T47)</f>
        <v>0</v>
      </c>
      <c r="G47" s="8">
        <v>0</v>
      </c>
      <c r="H47" s="8">
        <v>0</v>
      </c>
      <c r="I47" s="8">
        <v>0</v>
      </c>
      <c r="J47" s="8">
        <v>0</v>
      </c>
      <c r="K47" s="8">
        <v>0</v>
      </c>
      <c r="L47" s="8">
        <v>0</v>
      </c>
      <c r="M47" s="8">
        <v>0</v>
      </c>
      <c r="N47" s="8">
        <v>0</v>
      </c>
      <c r="O47" s="8">
        <v>0</v>
      </c>
      <c r="P47" s="8">
        <v>0</v>
      </c>
      <c r="Q47" s="8">
        <v>0</v>
      </c>
      <c r="R47" s="8">
        <v>0</v>
      </c>
      <c r="S47" s="8">
        <v>0</v>
      </c>
      <c r="T47" s="8">
        <v>0</v>
      </c>
    </row>
    <row r="48" spans="2:20">
      <c r="B48" t="s">
        <v>144</v>
      </c>
      <c r="D48" t="s">
        <v>107</v>
      </c>
      <c r="F48" s="21">
        <f t="shared" ref="F48:F49" si="8">SUM(G48:T48)</f>
        <v>20983113.418889482</v>
      </c>
      <c r="G48" s="8">
        <v>363085.53431984165</v>
      </c>
      <c r="H48" s="8">
        <v>608678.17548521026</v>
      </c>
      <c r="I48" s="8">
        <v>0</v>
      </c>
      <c r="J48" s="8">
        <v>432671.75463806139</v>
      </c>
      <c r="K48" s="8">
        <v>387280.22645736946</v>
      </c>
      <c r="L48" s="8">
        <v>4710341.0491223903</v>
      </c>
      <c r="M48" s="8">
        <v>508176.63783324108</v>
      </c>
      <c r="N48" s="8">
        <v>0</v>
      </c>
      <c r="O48" s="8">
        <v>3695328.6062219874</v>
      </c>
      <c r="P48" s="8">
        <v>132145.19103995862</v>
      </c>
      <c r="Q48" s="8">
        <v>389159.70991576271</v>
      </c>
      <c r="R48" s="454">
        <f>'Aanpassing gegevens (aug. 2016)'!J49</f>
        <v>9664903.584200222</v>
      </c>
      <c r="S48" s="8">
        <v>91342.949655435994</v>
      </c>
      <c r="T48" s="8">
        <v>0</v>
      </c>
    </row>
    <row r="49" spans="2:25">
      <c r="B49" t="s">
        <v>145</v>
      </c>
      <c r="D49" t="s">
        <v>107</v>
      </c>
      <c r="F49" s="21">
        <f t="shared" si="8"/>
        <v>510619692.5214923</v>
      </c>
      <c r="G49" s="8">
        <v>9077138.3579960428</v>
      </c>
      <c r="H49" s="8">
        <v>13390919.860674627</v>
      </c>
      <c r="I49" s="8">
        <v>0</v>
      </c>
      <c r="J49" s="8">
        <v>9518778.6020373516</v>
      </c>
      <c r="K49" s="8">
        <v>8132884.7556047589</v>
      </c>
      <c r="L49" s="8">
        <v>117758526.22805975</v>
      </c>
      <c r="M49" s="8">
        <v>13720769.22149751</v>
      </c>
      <c r="N49" s="8">
        <v>0</v>
      </c>
      <c r="O49" s="8">
        <v>73906572.124439761</v>
      </c>
      <c r="P49" s="8">
        <v>2775049.0118391309</v>
      </c>
      <c r="Q49" s="8">
        <v>8950673.3280625436</v>
      </c>
      <c r="R49" s="454">
        <f>'Aanpassing gegevens (aug. 2016)'!J50</f>
        <v>251287493.1892058</v>
      </c>
      <c r="S49" s="8">
        <v>2100887.842075028</v>
      </c>
      <c r="T49" s="8">
        <v>0</v>
      </c>
    </row>
    <row r="50" spans="2:25">
      <c r="G50" s="63"/>
      <c r="H50" s="63"/>
      <c r="I50" s="63"/>
      <c r="J50" s="63"/>
      <c r="K50" s="63"/>
      <c r="L50" s="63"/>
      <c r="M50" s="63"/>
      <c r="N50" s="63"/>
      <c r="V50" s="63"/>
      <c r="W50" s="63"/>
      <c r="X50" s="63"/>
      <c r="Y50" s="63"/>
    </row>
    <row r="51" spans="2:25">
      <c r="B51" s="3" t="s">
        <v>146</v>
      </c>
      <c r="G51" s="63"/>
      <c r="H51" s="63"/>
      <c r="I51" s="63"/>
      <c r="J51" s="63"/>
      <c r="K51" s="63"/>
      <c r="L51" s="63"/>
      <c r="M51" s="63"/>
      <c r="N51" s="63"/>
      <c r="V51" s="63"/>
      <c r="W51" s="63"/>
      <c r="X51" s="63"/>
      <c r="Y51" s="63"/>
    </row>
    <row r="52" spans="2:25">
      <c r="B52" t="s">
        <v>147</v>
      </c>
      <c r="D52" t="s">
        <v>107</v>
      </c>
      <c r="F52" s="21">
        <f>SUM(G52:T52)</f>
        <v>63721621.734028757</v>
      </c>
      <c r="G52" s="8">
        <v>1942355</v>
      </c>
      <c r="H52" s="8">
        <v>1517196.0651499997</v>
      </c>
      <c r="I52" s="8">
        <v>0</v>
      </c>
      <c r="J52" s="8">
        <v>-42523.648406387154</v>
      </c>
      <c r="K52" s="8">
        <v>-34087.088496306409</v>
      </c>
      <c r="L52" s="8">
        <v>18879655</v>
      </c>
      <c r="M52" s="8">
        <v>1276982.2637207042</v>
      </c>
      <c r="N52" s="8">
        <v>0</v>
      </c>
      <c r="O52" s="8">
        <v>17535624.092661798</v>
      </c>
      <c r="P52" s="8">
        <v>115874.40734894649</v>
      </c>
      <c r="Q52" s="8">
        <v>1583442.61705</v>
      </c>
      <c r="R52" s="8">
        <v>20870693.025000002</v>
      </c>
      <c r="S52" s="8">
        <v>76410</v>
      </c>
      <c r="T52" s="8">
        <v>0</v>
      </c>
      <c r="V52" s="63"/>
      <c r="W52" s="63"/>
      <c r="X52" s="63"/>
      <c r="Y52" s="63"/>
    </row>
    <row r="53" spans="2:25">
      <c r="B53" t="s">
        <v>139</v>
      </c>
      <c r="D53" t="s">
        <v>107</v>
      </c>
      <c r="F53" s="21">
        <f t="shared" ref="F53:F54" si="9">SUM(G53:T53)</f>
        <v>816943.86838498409</v>
      </c>
      <c r="G53" s="8">
        <v>24901.98717948718</v>
      </c>
      <c r="H53" s="8">
        <v>19451.231604487177</v>
      </c>
      <c r="I53" s="8">
        <v>0</v>
      </c>
      <c r="J53" s="8">
        <v>-545.17497956906607</v>
      </c>
      <c r="K53" s="8">
        <v>-437.01395508085142</v>
      </c>
      <c r="L53" s="8">
        <v>242046.85897435897</v>
      </c>
      <c r="M53" s="8">
        <v>16371.567483598772</v>
      </c>
      <c r="N53" s="8">
        <v>0</v>
      </c>
      <c r="O53" s="8">
        <v>224815.69349566408</v>
      </c>
      <c r="P53" s="8">
        <v>1485.5693249864935</v>
      </c>
      <c r="Q53" s="8">
        <v>20300.546372435896</v>
      </c>
      <c r="R53" s="87">
        <v>267572.98750000005</v>
      </c>
      <c r="S53" s="8">
        <v>979.61538461538464</v>
      </c>
      <c r="T53" s="8">
        <v>0</v>
      </c>
      <c r="V53" s="63"/>
      <c r="W53" s="63"/>
      <c r="X53" s="63"/>
      <c r="Y53" s="63"/>
    </row>
    <row r="54" spans="2:25">
      <c r="B54" t="s">
        <v>148</v>
      </c>
      <c r="D54" t="s">
        <v>107</v>
      </c>
      <c r="F54" s="21">
        <f t="shared" si="9"/>
        <v>62904677.86564377</v>
      </c>
      <c r="G54" s="8">
        <v>1917453.0128205128</v>
      </c>
      <c r="H54" s="8">
        <v>1497744.8335455125</v>
      </c>
      <c r="I54" s="8">
        <v>0</v>
      </c>
      <c r="J54" s="8">
        <v>-41978.473426818091</v>
      </c>
      <c r="K54" s="8">
        <v>-33650.074541225556</v>
      </c>
      <c r="L54" s="8">
        <v>18637608.14102564</v>
      </c>
      <c r="M54" s="8">
        <v>1260610.6962371054</v>
      </c>
      <c r="N54" s="8">
        <v>0</v>
      </c>
      <c r="O54" s="8">
        <v>17310808.399166133</v>
      </c>
      <c r="P54" s="8">
        <v>114388.83802395999</v>
      </c>
      <c r="Q54" s="8">
        <v>1563142.070677564</v>
      </c>
      <c r="R54" s="87">
        <v>20603120.037500001</v>
      </c>
      <c r="S54" s="8">
        <v>75430.38461538461</v>
      </c>
      <c r="T54" s="8">
        <v>0</v>
      </c>
      <c r="V54" s="63"/>
      <c r="W54" s="63"/>
      <c r="X54" s="63"/>
      <c r="Y54" s="63"/>
    </row>
    <row r="55" spans="2:25">
      <c r="G55" s="63"/>
      <c r="H55" s="63"/>
      <c r="I55" s="63"/>
      <c r="J55" s="63"/>
      <c r="K55" s="63"/>
      <c r="L55" s="63"/>
      <c r="M55" s="63"/>
      <c r="N55" s="63"/>
    </row>
    <row r="56" spans="2:25">
      <c r="B56" s="3" t="s">
        <v>157</v>
      </c>
      <c r="G56" s="63"/>
      <c r="H56" s="63"/>
      <c r="I56" s="63"/>
      <c r="J56" s="63"/>
      <c r="K56" s="63"/>
      <c r="L56" s="63"/>
      <c r="M56" s="63"/>
      <c r="N56" s="63"/>
    </row>
    <row r="57" spans="2:25">
      <c r="B57" t="s">
        <v>158</v>
      </c>
      <c r="D57" t="s">
        <v>107</v>
      </c>
      <c r="F57" s="21">
        <f>SUM(G57:T57)</f>
        <v>0</v>
      </c>
      <c r="G57" s="8">
        <v>0</v>
      </c>
      <c r="H57" s="8">
        <v>0</v>
      </c>
      <c r="I57" s="8">
        <v>0</v>
      </c>
      <c r="J57" s="8">
        <v>0</v>
      </c>
      <c r="K57" s="8">
        <v>0</v>
      </c>
      <c r="L57" s="8">
        <v>0</v>
      </c>
      <c r="M57" s="8">
        <v>0</v>
      </c>
      <c r="N57" s="8">
        <v>0</v>
      </c>
      <c r="O57" s="8">
        <v>0</v>
      </c>
      <c r="P57" s="8">
        <v>0</v>
      </c>
      <c r="Q57" s="8">
        <v>0</v>
      </c>
      <c r="R57" s="8">
        <v>0</v>
      </c>
      <c r="S57" s="8">
        <v>0</v>
      </c>
      <c r="T57" s="8">
        <v>0</v>
      </c>
    </row>
    <row r="58" spans="2:25">
      <c r="B58" t="s">
        <v>159</v>
      </c>
      <c r="D58" t="s">
        <v>107</v>
      </c>
      <c r="F58" s="21">
        <f t="shared" ref="F58:F59" si="10">SUM(G58:T58)</f>
        <v>0</v>
      </c>
      <c r="G58" s="8">
        <v>0</v>
      </c>
      <c r="H58" s="8">
        <v>0</v>
      </c>
      <c r="I58" s="8">
        <v>0</v>
      </c>
      <c r="J58" s="8">
        <v>0</v>
      </c>
      <c r="K58" s="8">
        <v>0</v>
      </c>
      <c r="L58" s="8">
        <v>0</v>
      </c>
      <c r="M58" s="8">
        <v>0</v>
      </c>
      <c r="N58" s="8">
        <v>0</v>
      </c>
      <c r="O58" s="8">
        <v>0</v>
      </c>
      <c r="P58" s="8">
        <v>0</v>
      </c>
      <c r="Q58" s="8">
        <v>0</v>
      </c>
      <c r="R58" s="8">
        <v>0</v>
      </c>
      <c r="S58" s="8">
        <v>0</v>
      </c>
      <c r="T58" s="8">
        <v>0</v>
      </c>
    </row>
    <row r="59" spans="2:25">
      <c r="B59" t="s">
        <v>160</v>
      </c>
      <c r="D59" t="s">
        <v>107</v>
      </c>
      <c r="F59" s="21">
        <f t="shared" si="10"/>
        <v>0</v>
      </c>
      <c r="G59" s="8">
        <v>0</v>
      </c>
      <c r="H59" s="8">
        <v>0</v>
      </c>
      <c r="I59" s="8">
        <v>0</v>
      </c>
      <c r="J59" s="8">
        <v>0</v>
      </c>
      <c r="K59" s="8">
        <v>0</v>
      </c>
      <c r="L59" s="8">
        <v>0</v>
      </c>
      <c r="M59" s="8">
        <v>0</v>
      </c>
      <c r="N59" s="8">
        <v>0</v>
      </c>
      <c r="O59" s="8">
        <v>0</v>
      </c>
      <c r="P59" s="8">
        <v>0</v>
      </c>
      <c r="Q59" s="8">
        <v>0</v>
      </c>
      <c r="R59" s="8">
        <v>0</v>
      </c>
      <c r="S59" s="8">
        <v>0</v>
      </c>
      <c r="T59" s="8">
        <v>0</v>
      </c>
    </row>
    <row r="60" spans="2:25">
      <c r="G60" s="63"/>
      <c r="H60" s="63"/>
      <c r="I60" s="63"/>
      <c r="J60" s="63"/>
      <c r="K60" s="63"/>
      <c r="L60" s="63"/>
      <c r="M60" s="63"/>
      <c r="N60" s="63"/>
    </row>
    <row r="61" spans="2:25">
      <c r="B61" s="3" t="s">
        <v>161</v>
      </c>
    </row>
    <row r="62" spans="2:25">
      <c r="B62" t="s">
        <v>162</v>
      </c>
      <c r="D62" t="s">
        <v>107</v>
      </c>
      <c r="F62" s="21">
        <f>SUM(G62:T62)</f>
        <v>63721621.734028757</v>
      </c>
      <c r="G62" s="24">
        <f>G47+G52+G57</f>
        <v>1942355</v>
      </c>
      <c r="H62" s="24">
        <f t="shared" ref="H62:T62" si="11">H47+H52+H57</f>
        <v>1517196.0651499997</v>
      </c>
      <c r="I62" s="24">
        <f t="shared" si="11"/>
        <v>0</v>
      </c>
      <c r="J62" s="24">
        <f t="shared" si="11"/>
        <v>-42523.648406387154</v>
      </c>
      <c r="K62" s="24">
        <f t="shared" si="11"/>
        <v>-34087.088496306409</v>
      </c>
      <c r="L62" s="24">
        <f t="shared" si="11"/>
        <v>18879655</v>
      </c>
      <c r="M62" s="24">
        <f t="shared" si="11"/>
        <v>1276982.2637207042</v>
      </c>
      <c r="N62" s="24">
        <f t="shared" si="11"/>
        <v>0</v>
      </c>
      <c r="O62" s="24">
        <f t="shared" si="11"/>
        <v>17535624.092661798</v>
      </c>
      <c r="P62" s="24">
        <f t="shared" si="11"/>
        <v>115874.40734894649</v>
      </c>
      <c r="Q62" s="24">
        <f t="shared" si="11"/>
        <v>1583442.61705</v>
      </c>
      <c r="R62" s="24">
        <f t="shared" si="11"/>
        <v>20870693.025000002</v>
      </c>
      <c r="S62" s="24">
        <f t="shared" si="11"/>
        <v>76410</v>
      </c>
      <c r="T62" s="24">
        <f t="shared" si="11"/>
        <v>0</v>
      </c>
    </row>
    <row r="63" spans="2:25">
      <c r="B63" t="s">
        <v>139</v>
      </c>
      <c r="D63" t="s">
        <v>107</v>
      </c>
      <c r="F63" s="21">
        <f t="shared" ref="F63:F64" si="12">SUM(G63:T63)</f>
        <v>21800057.287274465</v>
      </c>
      <c r="G63" s="24">
        <f>G48+G53+G58</f>
        <v>387987.52149932884</v>
      </c>
      <c r="H63" s="24">
        <f t="shared" ref="H63:T63" si="13">H48+H53+H58</f>
        <v>628129.40708969743</v>
      </c>
      <c r="I63" s="24">
        <f t="shared" si="13"/>
        <v>0</v>
      </c>
      <c r="J63" s="24">
        <f t="shared" si="13"/>
        <v>432126.57965849235</v>
      </c>
      <c r="K63" s="24">
        <f t="shared" si="13"/>
        <v>386843.21250228863</v>
      </c>
      <c r="L63" s="24">
        <f t="shared" si="13"/>
        <v>4952387.9080967493</v>
      </c>
      <c r="M63" s="24">
        <f t="shared" si="13"/>
        <v>524548.20531683986</v>
      </c>
      <c r="N63" s="24">
        <f t="shared" si="13"/>
        <v>0</v>
      </c>
      <c r="O63" s="24">
        <f t="shared" si="13"/>
        <v>3920144.2997176517</v>
      </c>
      <c r="P63" s="24">
        <f t="shared" si="13"/>
        <v>133630.7603649451</v>
      </c>
      <c r="Q63" s="24">
        <f t="shared" si="13"/>
        <v>409460.25628819858</v>
      </c>
      <c r="R63" s="24">
        <f t="shared" si="13"/>
        <v>9932476.5717002228</v>
      </c>
      <c r="S63" s="24">
        <f t="shared" si="13"/>
        <v>92322.565040051384</v>
      </c>
      <c r="T63" s="24">
        <f t="shared" si="13"/>
        <v>0</v>
      </c>
    </row>
    <row r="64" spans="2:25">
      <c r="B64" t="s">
        <v>163</v>
      </c>
      <c r="D64" t="s">
        <v>107</v>
      </c>
      <c r="F64" s="21">
        <f t="shared" si="12"/>
        <v>573524370.3871361</v>
      </c>
      <c r="G64" s="24">
        <f>G49+G54+G59</f>
        <v>10994591.370816555</v>
      </c>
      <c r="H64" s="24">
        <f t="shared" ref="H64:T64" si="14">H49+H54+H59</f>
        <v>14888664.694220141</v>
      </c>
      <c r="I64" s="24">
        <f t="shared" si="14"/>
        <v>0</v>
      </c>
      <c r="J64" s="24">
        <f t="shared" si="14"/>
        <v>9476800.1286105327</v>
      </c>
      <c r="K64" s="24">
        <f t="shared" si="14"/>
        <v>8099234.6810635338</v>
      </c>
      <c r="L64" s="24">
        <f t="shared" si="14"/>
        <v>136396134.3690854</v>
      </c>
      <c r="M64" s="24">
        <f t="shared" si="14"/>
        <v>14981379.917734616</v>
      </c>
      <c r="N64" s="24">
        <f t="shared" si="14"/>
        <v>0</v>
      </c>
      <c r="O64" s="24">
        <f t="shared" si="14"/>
        <v>91217380.523605898</v>
      </c>
      <c r="P64" s="24">
        <f t="shared" si="14"/>
        <v>2889437.849863091</v>
      </c>
      <c r="Q64" s="24">
        <f t="shared" si="14"/>
        <v>10513815.398740107</v>
      </c>
      <c r="R64" s="24">
        <f t="shared" si="14"/>
        <v>271890613.22670579</v>
      </c>
      <c r="S64" s="24">
        <f t="shared" si="14"/>
        <v>2176318.2266904125</v>
      </c>
      <c r="T64" s="24">
        <f t="shared" si="14"/>
        <v>0</v>
      </c>
    </row>
    <row r="67" spans="2:20" s="2" customFormat="1">
      <c r="B67" s="2" t="s">
        <v>118</v>
      </c>
    </row>
    <row r="69" spans="2:20">
      <c r="B69" s="3" t="s">
        <v>207</v>
      </c>
    </row>
    <row r="71" spans="2:20">
      <c r="B71" s="3" t="s">
        <v>142</v>
      </c>
    </row>
    <row r="72" spans="2:20">
      <c r="B72" t="s">
        <v>143</v>
      </c>
      <c r="D72" s="51" t="s">
        <v>108</v>
      </c>
      <c r="F72" s="21">
        <f>SUM(G72:T72)</f>
        <v>0</v>
      </c>
      <c r="G72" s="8">
        <v>0</v>
      </c>
      <c r="H72" s="8">
        <v>0</v>
      </c>
      <c r="I72" s="8">
        <v>0</v>
      </c>
      <c r="J72" s="8">
        <v>0</v>
      </c>
      <c r="K72" s="8">
        <v>0</v>
      </c>
      <c r="L72" s="8">
        <v>0</v>
      </c>
      <c r="M72" s="8">
        <v>0</v>
      </c>
      <c r="N72" s="8">
        <v>0</v>
      </c>
      <c r="O72" s="8">
        <v>0</v>
      </c>
      <c r="P72" s="8">
        <v>0</v>
      </c>
      <c r="Q72" s="8">
        <v>0</v>
      </c>
      <c r="R72" s="8">
        <v>0</v>
      </c>
      <c r="S72" s="8">
        <v>0</v>
      </c>
      <c r="T72" s="8">
        <v>0</v>
      </c>
    </row>
    <row r="73" spans="2:20">
      <c r="B73" t="s">
        <v>144</v>
      </c>
      <c r="D73" t="s">
        <v>108</v>
      </c>
      <c r="F73" s="21">
        <f t="shared" ref="F73:F74" si="15">SUM(G73:T73)</f>
        <v>181516279.96373275</v>
      </c>
      <c r="G73" s="8">
        <v>3233731.4493997139</v>
      </c>
      <c r="H73" s="8">
        <v>3458843.0979266912</v>
      </c>
      <c r="I73" s="8">
        <v>259145.62980583444</v>
      </c>
      <c r="J73" s="8">
        <v>6187044.2864075508</v>
      </c>
      <c r="K73" s="8">
        <v>5876951.0979954414</v>
      </c>
      <c r="L73" s="8">
        <v>33967332.794445001</v>
      </c>
      <c r="M73" s="8">
        <v>6378449.7814522265</v>
      </c>
      <c r="N73" s="8">
        <v>7535.6049415947491</v>
      </c>
      <c r="O73" s="8">
        <v>57452619.636737138</v>
      </c>
      <c r="P73" s="8">
        <v>1053398.0589550876</v>
      </c>
      <c r="Q73" s="8">
        <v>5214324.453372363</v>
      </c>
      <c r="R73" s="8">
        <v>51949712.368830971</v>
      </c>
      <c r="S73" s="8">
        <v>5421514.9213129627</v>
      </c>
      <c r="T73" s="8">
        <v>1055676.7821501824</v>
      </c>
    </row>
    <row r="74" spans="2:20">
      <c r="B74" t="s">
        <v>145</v>
      </c>
      <c r="D74" t="s">
        <v>108</v>
      </c>
      <c r="F74" s="21">
        <f t="shared" si="15"/>
        <v>4809657706.8109665</v>
      </c>
      <c r="G74" s="8">
        <v>77932927.930533096</v>
      </c>
      <c r="H74" s="8">
        <v>92351110.714642644</v>
      </c>
      <c r="I74" s="8">
        <v>10700168.872429239</v>
      </c>
      <c r="J74" s="8">
        <v>165812786.87572256</v>
      </c>
      <c r="K74" s="8">
        <v>155739204.09687901</v>
      </c>
      <c r="L74" s="8">
        <v>913721252.17057097</v>
      </c>
      <c r="M74" s="8">
        <v>195818408.29058355</v>
      </c>
      <c r="N74" s="8">
        <v>322298.82559511787</v>
      </c>
      <c r="O74" s="8">
        <v>1597182825.9012926</v>
      </c>
      <c r="P74" s="8">
        <v>26650970.89156371</v>
      </c>
      <c r="Q74" s="8">
        <v>133486706.00633243</v>
      </c>
      <c r="R74" s="8">
        <v>1284868091.8632336</v>
      </c>
      <c r="S74" s="8">
        <v>112767510.36330968</v>
      </c>
      <c r="T74" s="8">
        <v>42303444.008277938</v>
      </c>
    </row>
    <row r="75" spans="2:20">
      <c r="G75" s="63"/>
      <c r="H75" s="63"/>
      <c r="I75" s="63"/>
      <c r="J75" s="63"/>
      <c r="K75" s="63"/>
      <c r="L75" s="63"/>
      <c r="M75" s="63"/>
      <c r="N75" s="63"/>
    </row>
    <row r="76" spans="2:20">
      <c r="B76" s="3" t="s">
        <v>146</v>
      </c>
      <c r="G76" s="63"/>
      <c r="H76" s="63"/>
      <c r="I76" s="63"/>
      <c r="J76" s="63"/>
      <c r="K76" s="63"/>
      <c r="L76" s="63"/>
      <c r="M76" s="63"/>
      <c r="N76" s="63"/>
    </row>
    <row r="77" spans="2:20">
      <c r="B77" t="s">
        <v>147</v>
      </c>
      <c r="D77" t="s">
        <v>108</v>
      </c>
      <c r="F77" s="21">
        <f>SUM(G77:T77)</f>
        <v>174477491.85196072</v>
      </c>
      <c r="G77" s="8">
        <v>2712000</v>
      </c>
      <c r="H77" s="8">
        <v>3588427.69</v>
      </c>
      <c r="I77" s="8">
        <v>0</v>
      </c>
      <c r="J77" s="8">
        <v>530489.13570999994</v>
      </c>
      <c r="K77" s="8">
        <v>636628.82173499966</v>
      </c>
      <c r="L77" s="8">
        <v>60751836.299999997</v>
      </c>
      <c r="M77" s="8">
        <v>3032030.2800039914</v>
      </c>
      <c r="N77" s="8">
        <v>0</v>
      </c>
      <c r="O77" s="8">
        <v>44785840</v>
      </c>
      <c r="P77" s="8">
        <v>-14725.247764999993</v>
      </c>
      <c r="Q77" s="8">
        <v>5669353.9375000009</v>
      </c>
      <c r="R77" s="8">
        <v>50384610.934776731</v>
      </c>
      <c r="S77" s="8">
        <v>2351000</v>
      </c>
      <c r="T77" s="8">
        <v>50000</v>
      </c>
    </row>
    <row r="78" spans="2:20">
      <c r="B78" t="s">
        <v>139</v>
      </c>
      <c r="D78" t="s">
        <v>108</v>
      </c>
      <c r="F78" s="21">
        <f t="shared" ref="F78:F79" si="16">SUM(G78:T78)</f>
        <v>25670789.160365853</v>
      </c>
      <c r="G78" s="8">
        <v>241557.26104653312</v>
      </c>
      <c r="H78" s="8">
        <v>997855.07443641056</v>
      </c>
      <c r="I78" s="8">
        <v>0</v>
      </c>
      <c r="J78" s="8">
        <v>431200.47857707477</v>
      </c>
      <c r="K78" s="8">
        <v>853018.37645182665</v>
      </c>
      <c r="L78" s="8">
        <v>11129426.152742147</v>
      </c>
      <c r="M78" s="8">
        <v>865521.77257154556</v>
      </c>
      <c r="N78" s="8">
        <v>0</v>
      </c>
      <c r="O78" s="249">
        <f>3500662.53943858+'Aanpassing gegevens (sep.2014)'!H25</f>
        <v>3505235.3880228302</v>
      </c>
      <c r="P78" s="8">
        <v>382058.92685318534</v>
      </c>
      <c r="Q78" s="8">
        <v>1645060.8744839123</v>
      </c>
      <c r="R78" s="8">
        <v>5104516.2319274992</v>
      </c>
      <c r="S78" s="8">
        <v>409672.91632481304</v>
      </c>
      <c r="T78" s="8">
        <v>105665.70692807896</v>
      </c>
    </row>
    <row r="79" spans="2:20">
      <c r="B79" t="s">
        <v>148</v>
      </c>
      <c r="D79" t="s">
        <v>108</v>
      </c>
      <c r="F79" s="21">
        <f t="shared" si="16"/>
        <v>731248425.60764575</v>
      </c>
      <c r="G79" s="8">
        <v>11206201.586224141</v>
      </c>
      <c r="H79" s="8">
        <v>18277435.884127185</v>
      </c>
      <c r="I79" s="8">
        <v>0</v>
      </c>
      <c r="J79" s="8">
        <v>10123799.616931938</v>
      </c>
      <c r="K79" s="8">
        <v>7205842.1076608328</v>
      </c>
      <c r="L79" s="8">
        <v>241188154.54445255</v>
      </c>
      <c r="M79" s="8">
        <v>6894991.1013655216</v>
      </c>
      <c r="N79" s="8">
        <v>0</v>
      </c>
      <c r="O79" s="249">
        <f>167815816.668582+'Aanpassing gegevens (sep.2014)'!H26</f>
        <v>168018611.53765273</v>
      </c>
      <c r="P79" s="8">
        <v>2581767.4563468364</v>
      </c>
      <c r="Q79" s="8">
        <v>21404537.365771241</v>
      </c>
      <c r="R79" s="8">
        <v>231112453.19514546</v>
      </c>
      <c r="S79" s="8">
        <v>12659315.2037788</v>
      </c>
      <c r="T79" s="8">
        <v>575316.00818862126</v>
      </c>
    </row>
    <row r="80" spans="2:20">
      <c r="G80" s="63"/>
      <c r="H80" s="63"/>
      <c r="I80" s="63"/>
      <c r="J80" s="63"/>
      <c r="K80" s="63"/>
      <c r="L80" s="63"/>
      <c r="M80" s="63"/>
      <c r="N80" s="63"/>
    </row>
    <row r="81" spans="2:20">
      <c r="B81" s="3" t="s">
        <v>149</v>
      </c>
      <c r="G81" s="63"/>
      <c r="H81" s="63"/>
      <c r="I81" s="63"/>
      <c r="J81" s="63"/>
      <c r="K81" s="63"/>
      <c r="L81" s="63"/>
      <c r="M81" s="63"/>
      <c r="N81" s="63"/>
    </row>
    <row r="82" spans="2:20">
      <c r="B82" t="s">
        <v>150</v>
      </c>
      <c r="D82" t="s">
        <v>108</v>
      </c>
      <c r="F82" s="21">
        <f>SUM(G82:T82)</f>
        <v>0</v>
      </c>
      <c r="G82" s="8">
        <v>0</v>
      </c>
      <c r="H82" s="8">
        <v>0</v>
      </c>
      <c r="I82" s="8">
        <v>0</v>
      </c>
      <c r="J82" s="8">
        <v>0</v>
      </c>
      <c r="K82" s="8">
        <v>0</v>
      </c>
      <c r="L82" s="8">
        <v>0</v>
      </c>
      <c r="M82" s="8">
        <v>0</v>
      </c>
      <c r="N82" s="8">
        <v>0</v>
      </c>
      <c r="O82" s="8">
        <v>0</v>
      </c>
      <c r="P82" s="8">
        <v>0</v>
      </c>
      <c r="Q82" s="8">
        <v>0</v>
      </c>
      <c r="R82" s="8">
        <v>0</v>
      </c>
      <c r="S82" s="8">
        <v>0</v>
      </c>
      <c r="T82" s="8">
        <v>0</v>
      </c>
    </row>
    <row r="83" spans="2:20">
      <c r="B83" t="s">
        <v>151</v>
      </c>
      <c r="D83" t="s">
        <v>108</v>
      </c>
      <c r="F83" s="21">
        <f t="shared" ref="F83:F84" si="17">SUM(G83:T83)</f>
        <v>3156244.2000565771</v>
      </c>
      <c r="G83" s="8">
        <v>773514.38979668741</v>
      </c>
      <c r="H83" s="8">
        <v>0</v>
      </c>
      <c r="I83" s="8">
        <v>0</v>
      </c>
      <c r="J83" s="8">
        <v>0</v>
      </c>
      <c r="K83" s="8">
        <v>0</v>
      </c>
      <c r="L83" s="8">
        <v>0</v>
      </c>
      <c r="M83" s="8">
        <v>798681.49952680303</v>
      </c>
      <c r="N83" s="8">
        <v>0</v>
      </c>
      <c r="O83" s="8">
        <v>0</v>
      </c>
      <c r="P83" s="8">
        <v>0</v>
      </c>
      <c r="Q83" s="8">
        <v>1584048.3107330864</v>
      </c>
      <c r="R83" s="8">
        <v>0</v>
      </c>
      <c r="S83" s="8">
        <v>0</v>
      </c>
      <c r="T83" s="8">
        <v>0</v>
      </c>
    </row>
    <row r="84" spans="2:20">
      <c r="B84" t="s">
        <v>152</v>
      </c>
      <c r="D84" t="s">
        <v>108</v>
      </c>
      <c r="F84" s="21">
        <f t="shared" si="17"/>
        <v>22256564.480186351</v>
      </c>
      <c r="G84" s="8">
        <v>6.3569503860669369E-10</v>
      </c>
      <c r="H84" s="8">
        <v>0</v>
      </c>
      <c r="I84" s="8">
        <v>0</v>
      </c>
      <c r="J84" s="8">
        <v>0</v>
      </c>
      <c r="K84" s="8">
        <v>0</v>
      </c>
      <c r="L84" s="8">
        <v>0</v>
      </c>
      <c r="M84" s="8">
        <v>9584177.9943216499</v>
      </c>
      <c r="N84" s="8">
        <v>0</v>
      </c>
      <c r="O84" s="8">
        <v>0</v>
      </c>
      <c r="P84" s="8">
        <v>0</v>
      </c>
      <c r="Q84" s="8">
        <v>12672386.485864703</v>
      </c>
      <c r="R84" s="8">
        <v>0</v>
      </c>
      <c r="S84" s="8">
        <v>0</v>
      </c>
      <c r="T84" s="8">
        <v>0</v>
      </c>
    </row>
    <row r="85" spans="2:20">
      <c r="G85" s="63"/>
      <c r="H85" s="63"/>
      <c r="I85" s="63"/>
      <c r="J85" s="63"/>
      <c r="K85" s="63"/>
      <c r="L85" s="63"/>
      <c r="M85" s="63"/>
      <c r="N85" s="63"/>
    </row>
    <row r="86" spans="2:20">
      <c r="B86" s="3" t="s">
        <v>153</v>
      </c>
      <c r="G86" s="63"/>
      <c r="H86" s="63"/>
      <c r="I86" s="63"/>
      <c r="J86" s="63"/>
      <c r="K86" s="63"/>
      <c r="L86" s="63"/>
      <c r="M86" s="63"/>
      <c r="N86" s="63"/>
    </row>
    <row r="87" spans="2:20">
      <c r="B87" t="s">
        <v>154</v>
      </c>
      <c r="D87" t="s">
        <v>108</v>
      </c>
      <c r="F87" s="21">
        <f>SUM(G87:T87)</f>
        <v>0</v>
      </c>
      <c r="G87" s="8">
        <v>0</v>
      </c>
      <c r="H87" s="8">
        <v>0</v>
      </c>
      <c r="I87" s="8">
        <v>0</v>
      </c>
      <c r="J87" s="8">
        <v>0</v>
      </c>
      <c r="K87" s="8">
        <v>0</v>
      </c>
      <c r="L87" s="8">
        <v>0</v>
      </c>
      <c r="M87" s="8">
        <v>0</v>
      </c>
      <c r="N87" s="8">
        <v>0</v>
      </c>
      <c r="O87" s="8">
        <v>0</v>
      </c>
      <c r="P87" s="8">
        <v>0</v>
      </c>
      <c r="Q87" s="8">
        <v>0</v>
      </c>
      <c r="R87" s="8">
        <v>0</v>
      </c>
      <c r="S87" s="8">
        <v>0</v>
      </c>
      <c r="T87" s="8">
        <v>0</v>
      </c>
    </row>
    <row r="88" spans="2:20">
      <c r="B88" t="s">
        <v>155</v>
      </c>
      <c r="D88" t="s">
        <v>108</v>
      </c>
      <c r="F88" s="21">
        <f t="shared" ref="F88:F89" si="18">SUM(G88:T88)</f>
        <v>0</v>
      </c>
      <c r="G88" s="8">
        <v>0</v>
      </c>
      <c r="H88" s="8">
        <v>0</v>
      </c>
      <c r="I88" s="8">
        <v>0</v>
      </c>
      <c r="J88" s="8">
        <v>0</v>
      </c>
      <c r="K88" s="8">
        <v>0</v>
      </c>
      <c r="L88" s="8">
        <v>0</v>
      </c>
      <c r="M88" s="8">
        <v>0</v>
      </c>
      <c r="N88" s="8">
        <v>0</v>
      </c>
      <c r="O88" s="8">
        <v>0</v>
      </c>
      <c r="P88" s="8">
        <v>0</v>
      </c>
      <c r="Q88" s="8">
        <v>0</v>
      </c>
      <c r="R88" s="8">
        <v>0</v>
      </c>
      <c r="S88" s="8">
        <v>0</v>
      </c>
      <c r="T88" s="8">
        <v>0</v>
      </c>
    </row>
    <row r="89" spans="2:20">
      <c r="B89" t="s">
        <v>156</v>
      </c>
      <c r="D89" t="s">
        <v>108</v>
      </c>
      <c r="F89" s="21">
        <f t="shared" si="18"/>
        <v>0</v>
      </c>
      <c r="G89" s="8">
        <v>0</v>
      </c>
      <c r="H89" s="8">
        <v>0</v>
      </c>
      <c r="I89" s="8">
        <v>0</v>
      </c>
      <c r="J89" s="8">
        <v>0</v>
      </c>
      <c r="K89" s="8">
        <v>0</v>
      </c>
      <c r="L89" s="8">
        <v>0</v>
      </c>
      <c r="M89" s="8">
        <v>0</v>
      </c>
      <c r="N89" s="8">
        <v>0</v>
      </c>
      <c r="O89" s="8">
        <v>0</v>
      </c>
      <c r="P89" s="8">
        <v>0</v>
      </c>
      <c r="Q89" s="8">
        <v>0</v>
      </c>
      <c r="R89" s="8">
        <v>0</v>
      </c>
      <c r="S89" s="8">
        <v>0</v>
      </c>
      <c r="T89" s="8">
        <v>0</v>
      </c>
    </row>
    <row r="90" spans="2:20">
      <c r="G90" s="63"/>
      <c r="H90" s="63"/>
      <c r="I90" s="63"/>
      <c r="J90" s="63"/>
      <c r="K90" s="63"/>
      <c r="L90" s="63"/>
      <c r="M90" s="63"/>
      <c r="N90" s="63"/>
    </row>
    <row r="91" spans="2:20">
      <c r="B91" s="3" t="s">
        <v>157</v>
      </c>
      <c r="G91" s="63"/>
      <c r="H91" s="63"/>
      <c r="I91" s="63"/>
      <c r="J91" s="63"/>
      <c r="K91" s="63"/>
      <c r="L91" s="63"/>
      <c r="M91" s="63"/>
      <c r="N91" s="63"/>
    </row>
    <row r="92" spans="2:20">
      <c r="B92" t="s">
        <v>158</v>
      </c>
      <c r="D92" t="s">
        <v>108</v>
      </c>
      <c r="F92" s="21">
        <f>SUM(G92:T92)</f>
        <v>0</v>
      </c>
      <c r="G92" s="8">
        <v>0</v>
      </c>
      <c r="H92" s="8">
        <v>0</v>
      </c>
      <c r="I92" s="8">
        <v>0</v>
      </c>
      <c r="J92" s="8">
        <v>0</v>
      </c>
      <c r="K92" s="8">
        <v>0</v>
      </c>
      <c r="L92" s="8">
        <v>0</v>
      </c>
      <c r="M92" s="8">
        <v>0</v>
      </c>
      <c r="N92" s="8">
        <v>0</v>
      </c>
      <c r="O92" s="8">
        <v>0</v>
      </c>
      <c r="P92" s="8">
        <v>0</v>
      </c>
      <c r="Q92" s="8">
        <v>0</v>
      </c>
      <c r="R92" s="8">
        <v>0</v>
      </c>
      <c r="S92" s="8">
        <v>0</v>
      </c>
      <c r="T92" s="8">
        <v>0</v>
      </c>
    </row>
    <row r="93" spans="2:20">
      <c r="B93" t="s">
        <v>159</v>
      </c>
      <c r="D93" t="s">
        <v>108</v>
      </c>
      <c r="F93" s="21">
        <f t="shared" ref="F93:F94" si="19">SUM(G93:T93)</f>
        <v>0</v>
      </c>
      <c r="G93" s="8">
        <v>0</v>
      </c>
      <c r="H93" s="8">
        <v>0</v>
      </c>
      <c r="I93" s="8">
        <v>0</v>
      </c>
      <c r="J93" s="8">
        <v>0</v>
      </c>
      <c r="K93" s="8">
        <v>0</v>
      </c>
      <c r="L93" s="8">
        <v>0</v>
      </c>
      <c r="M93" s="8">
        <v>0</v>
      </c>
      <c r="N93" s="8">
        <v>0</v>
      </c>
      <c r="O93" s="8">
        <v>0</v>
      </c>
      <c r="P93" s="8">
        <v>0</v>
      </c>
      <c r="Q93" s="8">
        <v>0</v>
      </c>
      <c r="R93" s="8">
        <v>0</v>
      </c>
      <c r="S93" s="8">
        <v>0</v>
      </c>
      <c r="T93" s="8">
        <v>0</v>
      </c>
    </row>
    <row r="94" spans="2:20">
      <c r="B94" t="s">
        <v>160</v>
      </c>
      <c r="D94" t="s">
        <v>108</v>
      </c>
      <c r="F94" s="21">
        <f t="shared" si="19"/>
        <v>0</v>
      </c>
      <c r="G94" s="8">
        <v>0</v>
      </c>
      <c r="H94" s="8">
        <v>0</v>
      </c>
      <c r="I94" s="8">
        <v>0</v>
      </c>
      <c r="J94" s="8">
        <v>0</v>
      </c>
      <c r="K94" s="8">
        <v>0</v>
      </c>
      <c r="L94" s="8">
        <v>0</v>
      </c>
      <c r="M94" s="8">
        <v>0</v>
      </c>
      <c r="N94" s="8">
        <v>0</v>
      </c>
      <c r="O94" s="8">
        <v>0</v>
      </c>
      <c r="P94" s="8">
        <v>0</v>
      </c>
      <c r="Q94" s="8">
        <v>0</v>
      </c>
      <c r="R94" s="8">
        <v>0</v>
      </c>
      <c r="S94" s="8">
        <v>0</v>
      </c>
      <c r="T94" s="8">
        <v>0</v>
      </c>
    </row>
    <row r="95" spans="2:20">
      <c r="G95" s="63"/>
      <c r="H95" s="63"/>
      <c r="I95" s="63"/>
      <c r="J95" s="63"/>
      <c r="K95" s="63"/>
      <c r="L95" s="63"/>
      <c r="M95" s="63"/>
      <c r="N95" s="63"/>
    </row>
    <row r="96" spans="2:20">
      <c r="B96" s="3" t="s">
        <v>161</v>
      </c>
    </row>
    <row r="97" spans="2:20">
      <c r="B97" t="s">
        <v>162</v>
      </c>
      <c r="D97" t="s">
        <v>108</v>
      </c>
      <c r="F97" s="21">
        <f>SUM(G97:T97)</f>
        <v>174477491.85196072</v>
      </c>
      <c r="G97" s="24">
        <f>G72+G77+G82+G87+G92</f>
        <v>2712000</v>
      </c>
      <c r="H97" s="24">
        <f t="shared" ref="H97:T97" si="20">H72+H77+H82+H87+H92</f>
        <v>3588427.69</v>
      </c>
      <c r="I97" s="24">
        <f t="shared" si="20"/>
        <v>0</v>
      </c>
      <c r="J97" s="24">
        <f t="shared" si="20"/>
        <v>530489.13570999994</v>
      </c>
      <c r="K97" s="24">
        <f t="shared" si="20"/>
        <v>636628.82173499966</v>
      </c>
      <c r="L97" s="24">
        <f t="shared" si="20"/>
        <v>60751836.299999997</v>
      </c>
      <c r="M97" s="24">
        <f t="shared" si="20"/>
        <v>3032030.2800039914</v>
      </c>
      <c r="N97" s="24">
        <f t="shared" si="20"/>
        <v>0</v>
      </c>
      <c r="O97" s="24">
        <f t="shared" si="20"/>
        <v>44785840</v>
      </c>
      <c r="P97" s="24">
        <f t="shared" si="20"/>
        <v>-14725.247764999993</v>
      </c>
      <c r="Q97" s="24">
        <f t="shared" si="20"/>
        <v>5669353.9375000009</v>
      </c>
      <c r="R97" s="24">
        <f t="shared" si="20"/>
        <v>50384610.934776731</v>
      </c>
      <c r="S97" s="24">
        <f t="shared" si="20"/>
        <v>2351000</v>
      </c>
      <c r="T97" s="24">
        <f t="shared" si="20"/>
        <v>50000</v>
      </c>
    </row>
    <row r="98" spans="2:20">
      <c r="B98" t="s">
        <v>139</v>
      </c>
      <c r="D98" t="s">
        <v>108</v>
      </c>
      <c r="F98" s="21">
        <f t="shared" ref="F98:F99" si="21">SUM(G98:T98)</f>
        <v>210343313.32415518</v>
      </c>
      <c r="G98" s="24">
        <f t="shared" ref="G98:T98" si="22">G73+G78+G83+G88+G93</f>
        <v>4248803.1002429342</v>
      </c>
      <c r="H98" s="24">
        <f t="shared" si="22"/>
        <v>4456698.1723631015</v>
      </c>
      <c r="I98" s="24">
        <f t="shared" si="22"/>
        <v>259145.62980583444</v>
      </c>
      <c r="J98" s="24">
        <f t="shared" si="22"/>
        <v>6618244.7649846254</v>
      </c>
      <c r="K98" s="24">
        <f t="shared" si="22"/>
        <v>6729969.4744472681</v>
      </c>
      <c r="L98" s="24">
        <f t="shared" si="22"/>
        <v>45096758.947187148</v>
      </c>
      <c r="M98" s="24">
        <f t="shared" si="22"/>
        <v>8042653.0535505759</v>
      </c>
      <c r="N98" s="24">
        <f t="shared" si="22"/>
        <v>7535.6049415947491</v>
      </c>
      <c r="O98" s="24">
        <f t="shared" si="22"/>
        <v>60957855.024759971</v>
      </c>
      <c r="P98" s="24">
        <f t="shared" si="22"/>
        <v>1435456.9858082728</v>
      </c>
      <c r="Q98" s="24">
        <f t="shared" si="22"/>
        <v>8443433.6385893617</v>
      </c>
      <c r="R98" s="24">
        <f t="shared" si="22"/>
        <v>57054228.600758471</v>
      </c>
      <c r="S98" s="24">
        <f t="shared" si="22"/>
        <v>5831187.8376377756</v>
      </c>
      <c r="T98" s="24">
        <f t="shared" si="22"/>
        <v>1161342.4890782614</v>
      </c>
    </row>
    <row r="99" spans="2:20">
      <c r="B99" t="s">
        <v>163</v>
      </c>
      <c r="D99" t="s">
        <v>108</v>
      </c>
      <c r="F99" s="21">
        <f t="shared" si="21"/>
        <v>5563162696.898797</v>
      </c>
      <c r="G99" s="24">
        <f t="shared" ref="G99:T99" si="23">G74+G79+G84+G89+G94</f>
        <v>89139129.516757235</v>
      </c>
      <c r="H99" s="24">
        <f t="shared" si="23"/>
        <v>110628546.59876983</v>
      </c>
      <c r="I99" s="24">
        <f t="shared" si="23"/>
        <v>10700168.872429239</v>
      </c>
      <c r="J99" s="24">
        <f t="shared" si="23"/>
        <v>175936586.4926545</v>
      </c>
      <c r="K99" s="24">
        <f t="shared" si="23"/>
        <v>162945046.20453984</v>
      </c>
      <c r="L99" s="24">
        <f t="shared" si="23"/>
        <v>1154909406.7150235</v>
      </c>
      <c r="M99" s="24">
        <f t="shared" si="23"/>
        <v>212297577.3862707</v>
      </c>
      <c r="N99" s="24">
        <f t="shared" si="23"/>
        <v>322298.82559511787</v>
      </c>
      <c r="O99" s="24">
        <f t="shared" si="23"/>
        <v>1765201437.4389453</v>
      </c>
      <c r="P99" s="24">
        <f t="shared" si="23"/>
        <v>29232738.347910546</v>
      </c>
      <c r="Q99" s="24">
        <f t="shared" si="23"/>
        <v>167563629.85796836</v>
      </c>
      <c r="R99" s="24">
        <f t="shared" si="23"/>
        <v>1515980545.0583789</v>
      </c>
      <c r="S99" s="24">
        <f t="shared" si="23"/>
        <v>125426825.56708848</v>
      </c>
      <c r="T99" s="24">
        <f t="shared" si="23"/>
        <v>42878760.016466558</v>
      </c>
    </row>
    <row r="102" spans="2:20">
      <c r="B102" s="3" t="s">
        <v>208</v>
      </c>
    </row>
    <row r="104" spans="2:20">
      <c r="B104" s="3" t="s">
        <v>142</v>
      </c>
    </row>
    <row r="105" spans="2:20">
      <c r="B105" t="s">
        <v>143</v>
      </c>
      <c r="D105" t="s">
        <v>108</v>
      </c>
      <c r="F105" s="21">
        <f>SUM(G105:T105)</f>
        <v>0</v>
      </c>
      <c r="G105" s="8">
        <v>0</v>
      </c>
      <c r="H105" s="8">
        <v>0</v>
      </c>
      <c r="I105" s="8">
        <v>0</v>
      </c>
      <c r="J105" s="8">
        <v>0</v>
      </c>
      <c r="K105" s="8">
        <v>0</v>
      </c>
      <c r="L105" s="8">
        <v>0</v>
      </c>
      <c r="M105" s="8">
        <v>0</v>
      </c>
      <c r="N105" s="8">
        <v>0</v>
      </c>
      <c r="O105" s="8">
        <v>0</v>
      </c>
      <c r="P105" s="8">
        <v>0</v>
      </c>
      <c r="Q105" s="8">
        <v>0</v>
      </c>
      <c r="R105" s="8">
        <v>0</v>
      </c>
      <c r="S105" s="8">
        <v>0</v>
      </c>
      <c r="T105" s="8">
        <v>0</v>
      </c>
    </row>
    <row r="106" spans="2:20">
      <c r="B106" t="s">
        <v>144</v>
      </c>
      <c r="D106" t="s">
        <v>108</v>
      </c>
      <c r="F106" s="21">
        <f t="shared" ref="F106:F107" si="24">SUM(G106:T106)</f>
        <v>20983113.418889482</v>
      </c>
      <c r="G106" s="8">
        <v>363085.53431984165</v>
      </c>
      <c r="H106" s="8">
        <v>608678.17548521026</v>
      </c>
      <c r="I106" s="8">
        <v>0</v>
      </c>
      <c r="J106" s="8">
        <v>432671.75463806139</v>
      </c>
      <c r="K106" s="8">
        <v>387280.22645736946</v>
      </c>
      <c r="L106" s="8">
        <v>4710341.0491223903</v>
      </c>
      <c r="M106" s="8">
        <v>508176.63783324108</v>
      </c>
      <c r="N106" s="8">
        <v>0</v>
      </c>
      <c r="O106" s="8">
        <v>3695328.6062219874</v>
      </c>
      <c r="P106" s="8">
        <v>132145.19103995862</v>
      </c>
      <c r="Q106" s="8">
        <v>389159.70991576271</v>
      </c>
      <c r="R106" s="454">
        <f>'Aanpassing gegevens (aug. 2016)'!J51</f>
        <v>9664903.584200222</v>
      </c>
      <c r="S106" s="8">
        <v>91342.949655435994</v>
      </c>
      <c r="T106" s="8">
        <v>0</v>
      </c>
    </row>
    <row r="107" spans="2:20">
      <c r="B107" t="s">
        <v>145</v>
      </c>
      <c r="D107" t="s">
        <v>108</v>
      </c>
      <c r="F107" s="21">
        <f t="shared" si="24"/>
        <v>489636579.10260284</v>
      </c>
      <c r="G107" s="8">
        <v>8714052.8236762024</v>
      </c>
      <c r="H107" s="8">
        <v>12782241.685189418</v>
      </c>
      <c r="I107" s="8">
        <v>0</v>
      </c>
      <c r="J107" s="8">
        <v>9086106.8473992907</v>
      </c>
      <c r="K107" s="8">
        <v>7745604.5291473903</v>
      </c>
      <c r="L107" s="8">
        <v>113048185.17893736</v>
      </c>
      <c r="M107" s="8">
        <v>13212592.583664268</v>
      </c>
      <c r="N107" s="8">
        <v>0</v>
      </c>
      <c r="O107" s="8">
        <v>70211243.518217787</v>
      </c>
      <c r="P107" s="8">
        <v>2642903.8207991719</v>
      </c>
      <c r="Q107" s="8">
        <v>8561513.6181467827</v>
      </c>
      <c r="R107" s="454">
        <f>'Aanpassing gegevens (aug. 2016)'!J52</f>
        <v>241622589.60500559</v>
      </c>
      <c r="S107" s="8">
        <v>2009544.892419592</v>
      </c>
      <c r="T107" s="8">
        <v>0</v>
      </c>
    </row>
    <row r="108" spans="2:20">
      <c r="G108" s="63"/>
      <c r="H108" s="63"/>
      <c r="I108" s="63"/>
      <c r="J108" s="63"/>
      <c r="K108" s="63"/>
      <c r="L108" s="63"/>
      <c r="M108" s="63"/>
      <c r="N108" s="63"/>
    </row>
    <row r="109" spans="2:20">
      <c r="B109" s="3" t="s">
        <v>146</v>
      </c>
      <c r="G109" s="63"/>
      <c r="H109" s="63"/>
      <c r="I109" s="63"/>
      <c r="J109" s="63"/>
      <c r="K109" s="63"/>
      <c r="L109" s="63"/>
      <c r="M109" s="63"/>
      <c r="N109" s="63"/>
    </row>
    <row r="110" spans="2:20">
      <c r="B110" t="s">
        <v>147</v>
      </c>
      <c r="D110" t="s">
        <v>108</v>
      </c>
      <c r="F110" s="21">
        <f>SUM(G110:T110)</f>
        <v>106842066.29180996</v>
      </c>
      <c r="G110" s="8">
        <v>2584135</v>
      </c>
      <c r="H110" s="8">
        <v>1181326.5824499999</v>
      </c>
      <c r="I110" s="8">
        <v>0</v>
      </c>
      <c r="J110" s="8">
        <v>187933.64231810306</v>
      </c>
      <c r="K110" s="8">
        <v>160916.60200448861</v>
      </c>
      <c r="L110" s="8">
        <v>26425085</v>
      </c>
      <c r="M110" s="8">
        <v>1997126.6652517216</v>
      </c>
      <c r="N110" s="8">
        <v>0</v>
      </c>
      <c r="O110" s="8">
        <v>31727980.04955985</v>
      </c>
      <c r="P110" s="8">
        <v>228470.44392579733</v>
      </c>
      <c r="Q110" s="8">
        <v>1349147.5562999998</v>
      </c>
      <c r="R110" s="8">
        <v>40844839.75</v>
      </c>
      <c r="S110" s="8">
        <v>155105</v>
      </c>
      <c r="T110" s="8">
        <v>0</v>
      </c>
    </row>
    <row r="111" spans="2:20">
      <c r="B111" t="s">
        <v>139</v>
      </c>
      <c r="D111" t="s">
        <v>108</v>
      </c>
      <c r="F111" s="21">
        <f t="shared" ref="F111:F112" si="25">SUM(G111:T111)</f>
        <v>3003657.8174341982</v>
      </c>
      <c r="G111" s="8">
        <v>82933.91025641025</v>
      </c>
      <c r="H111" s="8">
        <v>54047.675804487175</v>
      </c>
      <c r="I111" s="8">
        <v>0</v>
      </c>
      <c r="J111" s="8">
        <v>1319.0557116067785</v>
      </c>
      <c r="K111" s="8">
        <v>1189.0054488702024</v>
      </c>
      <c r="L111" s="8">
        <v>822876.85897435888</v>
      </c>
      <c r="M111" s="8">
        <v>58347.322983245249</v>
      </c>
      <c r="N111" s="8">
        <v>0</v>
      </c>
      <c r="O111" s="8">
        <v>856400.36198568507</v>
      </c>
      <c r="P111" s="8">
        <v>5900.2469054319272</v>
      </c>
      <c r="Q111" s="8">
        <v>57897.856287179486</v>
      </c>
      <c r="R111" s="87">
        <v>1058797.7666666668</v>
      </c>
      <c r="S111" s="8">
        <v>3947.7564102564102</v>
      </c>
      <c r="T111" s="8">
        <v>0</v>
      </c>
    </row>
    <row r="112" spans="2:20">
      <c r="B112" t="s">
        <v>148</v>
      </c>
      <c r="D112" t="s">
        <v>108</v>
      </c>
      <c r="F112" s="21">
        <f t="shared" si="25"/>
        <v>166743086.34001952</v>
      </c>
      <c r="G112" s="8">
        <v>4418654.102564102</v>
      </c>
      <c r="H112" s="8">
        <v>2625023.7401910252</v>
      </c>
      <c r="I112" s="8">
        <v>0</v>
      </c>
      <c r="J112" s="8">
        <v>144636.11317967816</v>
      </c>
      <c r="K112" s="8">
        <v>126077.52201439286</v>
      </c>
      <c r="L112" s="8">
        <v>44239816.28205128</v>
      </c>
      <c r="M112" s="8">
        <v>3199390.0385055817</v>
      </c>
      <c r="N112" s="8">
        <v>0</v>
      </c>
      <c r="O112" s="8">
        <v>48182388.0867403</v>
      </c>
      <c r="P112" s="8">
        <v>336959.0350443254</v>
      </c>
      <c r="Q112" s="8">
        <v>2854391.7706903843</v>
      </c>
      <c r="R112" s="87">
        <v>60389162.020833336</v>
      </c>
      <c r="S112" s="8">
        <v>226587.62820512819</v>
      </c>
      <c r="T112" s="8">
        <v>0</v>
      </c>
    </row>
    <row r="113" spans="2:20">
      <c r="G113" s="63"/>
      <c r="H113" s="63"/>
      <c r="I113" s="63"/>
      <c r="J113" s="63"/>
      <c r="K113" s="63"/>
      <c r="L113" s="63"/>
      <c r="M113" s="63"/>
      <c r="N113" s="63"/>
    </row>
    <row r="114" spans="2:20">
      <c r="B114" s="3" t="s">
        <v>157</v>
      </c>
      <c r="G114" s="63"/>
      <c r="H114" s="63"/>
      <c r="I114" s="63"/>
      <c r="J114" s="63"/>
      <c r="K114" s="63"/>
      <c r="L114" s="63"/>
      <c r="M114" s="63"/>
      <c r="N114" s="63"/>
    </row>
    <row r="115" spans="2:20">
      <c r="B115" t="s">
        <v>158</v>
      </c>
      <c r="D115" t="s">
        <v>108</v>
      </c>
      <c r="F115" s="21">
        <f>SUM(G115:T115)</f>
        <v>0</v>
      </c>
      <c r="G115" s="8">
        <v>0</v>
      </c>
      <c r="H115" s="8">
        <v>0</v>
      </c>
      <c r="I115" s="8">
        <v>0</v>
      </c>
      <c r="J115" s="8">
        <v>0</v>
      </c>
      <c r="K115" s="8">
        <v>0</v>
      </c>
      <c r="L115" s="8">
        <v>0</v>
      </c>
      <c r="M115" s="8">
        <v>0</v>
      </c>
      <c r="N115" s="8">
        <v>0</v>
      </c>
      <c r="O115" s="8">
        <v>0</v>
      </c>
      <c r="P115" s="8">
        <v>0</v>
      </c>
      <c r="Q115" s="8">
        <v>0</v>
      </c>
      <c r="R115" s="8">
        <v>0</v>
      </c>
      <c r="S115" s="8">
        <v>0</v>
      </c>
      <c r="T115" s="8">
        <v>0</v>
      </c>
    </row>
    <row r="116" spans="2:20">
      <c r="B116" t="s">
        <v>159</v>
      </c>
      <c r="D116" t="s">
        <v>108</v>
      </c>
      <c r="F116" s="21">
        <f t="shared" ref="F116:F117" si="26">SUM(G116:T116)</f>
        <v>0</v>
      </c>
      <c r="G116" s="8">
        <v>0</v>
      </c>
      <c r="H116" s="8">
        <v>0</v>
      </c>
      <c r="I116" s="8">
        <v>0</v>
      </c>
      <c r="J116" s="8">
        <v>0</v>
      </c>
      <c r="K116" s="8">
        <v>0</v>
      </c>
      <c r="L116" s="8">
        <v>0</v>
      </c>
      <c r="M116" s="8">
        <v>0</v>
      </c>
      <c r="N116" s="8">
        <v>0</v>
      </c>
      <c r="O116" s="8">
        <v>0</v>
      </c>
      <c r="P116" s="8">
        <v>0</v>
      </c>
      <c r="Q116" s="8">
        <v>0</v>
      </c>
      <c r="R116" s="8">
        <v>0</v>
      </c>
      <c r="S116" s="8">
        <v>0</v>
      </c>
      <c r="T116" s="8">
        <v>0</v>
      </c>
    </row>
    <row r="117" spans="2:20">
      <c r="B117" t="s">
        <v>160</v>
      </c>
      <c r="D117" t="s">
        <v>108</v>
      </c>
      <c r="F117" s="21">
        <f t="shared" si="26"/>
        <v>0</v>
      </c>
      <c r="G117" s="8">
        <v>0</v>
      </c>
      <c r="H117" s="8">
        <v>0</v>
      </c>
      <c r="I117" s="8">
        <v>0</v>
      </c>
      <c r="J117" s="8">
        <v>0</v>
      </c>
      <c r="K117" s="8">
        <v>0</v>
      </c>
      <c r="L117" s="8">
        <v>0</v>
      </c>
      <c r="M117" s="8">
        <v>0</v>
      </c>
      <c r="N117" s="8">
        <v>0</v>
      </c>
      <c r="O117" s="8">
        <v>0</v>
      </c>
      <c r="P117" s="8">
        <v>0</v>
      </c>
      <c r="Q117" s="8">
        <v>0</v>
      </c>
      <c r="R117" s="8">
        <v>0</v>
      </c>
      <c r="S117" s="8">
        <v>0</v>
      </c>
      <c r="T117" s="8">
        <v>0</v>
      </c>
    </row>
    <row r="118" spans="2:20">
      <c r="G118" s="63"/>
      <c r="H118" s="63"/>
      <c r="I118" s="63"/>
      <c r="J118" s="63"/>
      <c r="K118" s="63"/>
      <c r="L118" s="63"/>
      <c r="M118" s="63"/>
      <c r="N118" s="63"/>
    </row>
    <row r="119" spans="2:20">
      <c r="B119" s="3" t="s">
        <v>161</v>
      </c>
    </row>
    <row r="120" spans="2:20">
      <c r="B120" t="s">
        <v>162</v>
      </c>
      <c r="D120" t="s">
        <v>108</v>
      </c>
      <c r="F120" s="21">
        <f>SUM(G120:T120)</f>
        <v>106842066.29180996</v>
      </c>
      <c r="G120" s="24">
        <f>G105+G110+G115</f>
        <v>2584135</v>
      </c>
      <c r="H120" s="24">
        <f t="shared" ref="H120:T120" si="27">H105+H110+H115</f>
        <v>1181326.5824499999</v>
      </c>
      <c r="I120" s="24">
        <f t="shared" si="27"/>
        <v>0</v>
      </c>
      <c r="J120" s="24">
        <f t="shared" si="27"/>
        <v>187933.64231810306</v>
      </c>
      <c r="K120" s="24">
        <f t="shared" si="27"/>
        <v>160916.60200448861</v>
      </c>
      <c r="L120" s="24">
        <f t="shared" si="27"/>
        <v>26425085</v>
      </c>
      <c r="M120" s="24">
        <f t="shared" si="27"/>
        <v>1997126.6652517216</v>
      </c>
      <c r="N120" s="24">
        <f t="shared" si="27"/>
        <v>0</v>
      </c>
      <c r="O120" s="24">
        <f t="shared" si="27"/>
        <v>31727980.04955985</v>
      </c>
      <c r="P120" s="24">
        <f t="shared" si="27"/>
        <v>228470.44392579733</v>
      </c>
      <c r="Q120" s="24">
        <f t="shared" si="27"/>
        <v>1349147.5562999998</v>
      </c>
      <c r="R120" s="24">
        <f t="shared" si="27"/>
        <v>40844839.75</v>
      </c>
      <c r="S120" s="24">
        <f t="shared" si="27"/>
        <v>155105</v>
      </c>
      <c r="T120" s="24">
        <f t="shared" si="27"/>
        <v>0</v>
      </c>
    </row>
    <row r="121" spans="2:20">
      <c r="B121" t="s">
        <v>139</v>
      </c>
      <c r="D121" t="s">
        <v>108</v>
      </c>
      <c r="F121" s="21">
        <f t="shared" ref="F121:F122" si="28">SUM(G121:T121)</f>
        <v>23986771.236323677</v>
      </c>
      <c r="G121" s="24">
        <f>G106+G111+G116</f>
        <v>446019.4445762519</v>
      </c>
      <c r="H121" s="24">
        <f t="shared" ref="H121:T121" si="29">H106+H111+H116</f>
        <v>662725.85128969746</v>
      </c>
      <c r="I121" s="24">
        <f t="shared" si="29"/>
        <v>0</v>
      </c>
      <c r="J121" s="24">
        <f t="shared" si="29"/>
        <v>433990.81034966814</v>
      </c>
      <c r="K121" s="24">
        <f t="shared" si="29"/>
        <v>388469.23190623964</v>
      </c>
      <c r="L121" s="24">
        <f t="shared" si="29"/>
        <v>5533217.9080967493</v>
      </c>
      <c r="M121" s="24">
        <f t="shared" si="29"/>
        <v>566523.96081648627</v>
      </c>
      <c r="N121" s="24">
        <f t="shared" si="29"/>
        <v>0</v>
      </c>
      <c r="O121" s="24">
        <f t="shared" si="29"/>
        <v>4551728.9682076722</v>
      </c>
      <c r="P121" s="24">
        <f t="shared" si="29"/>
        <v>138045.43794539056</v>
      </c>
      <c r="Q121" s="24">
        <f t="shared" si="29"/>
        <v>447057.56620294217</v>
      </c>
      <c r="R121" s="24">
        <f t="shared" si="29"/>
        <v>10723701.35086689</v>
      </c>
      <c r="S121" s="24">
        <f t="shared" si="29"/>
        <v>95290.7060656924</v>
      </c>
      <c r="T121" s="24">
        <f t="shared" si="29"/>
        <v>0</v>
      </c>
    </row>
    <row r="122" spans="2:20">
      <c r="B122" t="s">
        <v>163</v>
      </c>
      <c r="D122" t="s">
        <v>108</v>
      </c>
      <c r="F122" s="21">
        <f t="shared" si="28"/>
        <v>656379665.44262242</v>
      </c>
      <c r="G122" s="24">
        <f>G107+G112+G117</f>
        <v>13132706.926240304</v>
      </c>
      <c r="H122" s="24">
        <f t="shared" ref="H122:T122" si="30">H107+H112+H117</f>
        <v>15407265.425380444</v>
      </c>
      <c r="I122" s="24">
        <f t="shared" si="30"/>
        <v>0</v>
      </c>
      <c r="J122" s="24">
        <f t="shared" si="30"/>
        <v>9230742.9605789687</v>
      </c>
      <c r="K122" s="24">
        <f t="shared" si="30"/>
        <v>7871682.0511617828</v>
      </c>
      <c r="L122" s="24">
        <f t="shared" si="30"/>
        <v>157288001.46098864</v>
      </c>
      <c r="M122" s="24">
        <f t="shared" si="30"/>
        <v>16411982.62216985</v>
      </c>
      <c r="N122" s="24">
        <f t="shared" si="30"/>
        <v>0</v>
      </c>
      <c r="O122" s="24">
        <f t="shared" si="30"/>
        <v>118393631.60495809</v>
      </c>
      <c r="P122" s="24">
        <f t="shared" si="30"/>
        <v>2979862.8558434974</v>
      </c>
      <c r="Q122" s="24">
        <f t="shared" si="30"/>
        <v>11415905.388837166</v>
      </c>
      <c r="R122" s="24">
        <f t="shared" si="30"/>
        <v>302011751.62583894</v>
      </c>
      <c r="S122" s="24">
        <f t="shared" si="30"/>
        <v>2236132.52062472</v>
      </c>
      <c r="T122" s="24">
        <f t="shared" si="30"/>
        <v>0</v>
      </c>
    </row>
    <row r="125" spans="2:20" s="2" customFormat="1">
      <c r="B125" s="2" t="s">
        <v>119</v>
      </c>
    </row>
    <row r="127" spans="2:20">
      <c r="B127" s="3" t="s">
        <v>207</v>
      </c>
    </row>
    <row r="129" spans="2:20">
      <c r="B129" s="3" t="s">
        <v>142</v>
      </c>
    </row>
    <row r="130" spans="2:20">
      <c r="B130" t="s">
        <v>143</v>
      </c>
      <c r="D130" t="s">
        <v>109</v>
      </c>
      <c r="F130" s="21">
        <f>SUM(G130:T130)</f>
        <v>0</v>
      </c>
      <c r="G130" s="8">
        <v>0</v>
      </c>
      <c r="H130" s="8">
        <v>0</v>
      </c>
      <c r="I130" s="8">
        <v>0</v>
      </c>
      <c r="J130" s="8">
        <v>0</v>
      </c>
      <c r="K130" s="8">
        <v>0</v>
      </c>
      <c r="L130" s="8">
        <v>0</v>
      </c>
      <c r="M130" s="8">
        <v>0</v>
      </c>
      <c r="N130" s="8">
        <v>0</v>
      </c>
      <c r="O130" s="8">
        <v>0</v>
      </c>
      <c r="P130" s="8">
        <v>0</v>
      </c>
      <c r="Q130" s="8">
        <v>0</v>
      </c>
      <c r="R130" s="8">
        <v>0</v>
      </c>
      <c r="S130" s="8">
        <v>0</v>
      </c>
      <c r="T130" s="8">
        <v>0</v>
      </c>
    </row>
    <row r="131" spans="2:20">
      <c r="B131" t="s">
        <v>144</v>
      </c>
      <c r="D131" t="s">
        <v>109</v>
      </c>
      <c r="F131" s="21">
        <f t="shared" ref="F131:F132" si="31">SUM(G131:T131)</f>
        <v>184239024.16318873</v>
      </c>
      <c r="G131" s="8">
        <v>3282237.421140709</v>
      </c>
      <c r="H131" s="8">
        <v>3510725.7443955913</v>
      </c>
      <c r="I131" s="8">
        <v>263032.81425292196</v>
      </c>
      <c r="J131" s="8">
        <v>6279849.9507036628</v>
      </c>
      <c r="K131" s="8">
        <v>5965105.3644653726</v>
      </c>
      <c r="L131" s="8">
        <v>34476842.786361672</v>
      </c>
      <c r="M131" s="8">
        <v>6474126.5281740082</v>
      </c>
      <c r="N131" s="8">
        <v>7648.6390157186697</v>
      </c>
      <c r="O131" s="8">
        <v>58314408.931288183</v>
      </c>
      <c r="P131" s="8">
        <v>1069199.0298394137</v>
      </c>
      <c r="Q131" s="8">
        <v>5292539.3201729478</v>
      </c>
      <c r="R131" s="8">
        <v>52728958.05436343</v>
      </c>
      <c r="S131" s="8">
        <v>5502837.6451326562</v>
      </c>
      <c r="T131" s="8">
        <v>1071511.9338824351</v>
      </c>
    </row>
    <row r="132" spans="2:20">
      <c r="B132" t="s">
        <v>145</v>
      </c>
      <c r="D132" t="s">
        <v>109</v>
      </c>
      <c r="F132" s="21">
        <f t="shared" si="31"/>
        <v>4697563548.2499428</v>
      </c>
      <c r="G132" s="8">
        <v>75819684.428350374</v>
      </c>
      <c r="H132" s="8">
        <v>90225651.630966678</v>
      </c>
      <c r="I132" s="8">
        <v>10597638.591262756</v>
      </c>
      <c r="J132" s="8">
        <v>162020128.72815472</v>
      </c>
      <c r="K132" s="8">
        <v>152110186.79386675</v>
      </c>
      <c r="L132" s="8">
        <v>892950228.16676772</v>
      </c>
      <c r="M132" s="8">
        <v>192281557.88676831</v>
      </c>
      <c r="N132" s="8">
        <v>319484.66896332591</v>
      </c>
      <c r="O132" s="8">
        <v>1562826159.3585236</v>
      </c>
      <c r="P132" s="8">
        <v>25981536.425097745</v>
      </c>
      <c r="Q132" s="8">
        <v>130196467.27625446</v>
      </c>
      <c r="R132" s="8">
        <v>1251412155.1868186</v>
      </c>
      <c r="S132" s="8">
        <v>108956185.37362663</v>
      </c>
      <c r="T132" s="8">
        <v>41866483.73451966</v>
      </c>
    </row>
    <row r="133" spans="2:20">
      <c r="G133" s="63"/>
      <c r="H133" s="63"/>
      <c r="I133" s="63"/>
      <c r="J133" s="63"/>
      <c r="K133" s="63"/>
      <c r="L133" s="63"/>
      <c r="M133" s="63"/>
      <c r="N133" s="63"/>
    </row>
    <row r="134" spans="2:20">
      <c r="B134" s="3" t="s">
        <v>146</v>
      </c>
      <c r="G134" s="63"/>
      <c r="H134" s="63"/>
      <c r="I134" s="63"/>
      <c r="J134" s="63"/>
      <c r="K134" s="63"/>
      <c r="L134" s="63"/>
      <c r="M134" s="63"/>
      <c r="N134" s="63"/>
    </row>
    <row r="135" spans="2:20">
      <c r="B135" t="s">
        <v>147</v>
      </c>
      <c r="D135" t="s">
        <v>109</v>
      </c>
      <c r="F135" s="21">
        <f>SUM(G135:T135)</f>
        <v>213872529.98067707</v>
      </c>
      <c r="G135" s="8">
        <v>2330953.17</v>
      </c>
      <c r="H135" s="8">
        <v>3685919.9047984867</v>
      </c>
      <c r="I135" s="8">
        <v>0</v>
      </c>
      <c r="J135" s="8">
        <v>2396579.1436693151</v>
      </c>
      <c r="K135" s="8">
        <v>0</v>
      </c>
      <c r="L135" s="8">
        <v>73602190.249999985</v>
      </c>
      <c r="M135" s="8">
        <v>3587995.1900000037</v>
      </c>
      <c r="N135" s="8">
        <v>0</v>
      </c>
      <c r="O135" s="8">
        <v>62410583.522282146</v>
      </c>
      <c r="P135" s="8">
        <v>0</v>
      </c>
      <c r="Q135" s="8">
        <v>2660843.8711937498</v>
      </c>
      <c r="R135" s="8">
        <v>58352823.68534705</v>
      </c>
      <c r="S135" s="8">
        <v>4743044.2433863636</v>
      </c>
      <c r="T135" s="8">
        <v>101597</v>
      </c>
    </row>
    <row r="136" spans="2:20">
      <c r="B136" t="s">
        <v>139</v>
      </c>
      <c r="D136" t="s">
        <v>109</v>
      </c>
      <c r="F136" s="21">
        <f t="shared" ref="F136:F137" si="32">SUM(G136:T136)</f>
        <v>31778936.58160774</v>
      </c>
      <c r="G136" s="8">
        <v>305265.02271475631</v>
      </c>
      <c r="H136" s="8">
        <v>1222323.0941418961</v>
      </c>
      <c r="I136" s="8">
        <v>0</v>
      </c>
      <c r="J136" s="8">
        <v>479851.02819581894</v>
      </c>
      <c r="K136" s="8">
        <v>872470.77043635584</v>
      </c>
      <c r="L136" s="8">
        <v>14286440.363023289</v>
      </c>
      <c r="M136" s="8">
        <v>793520.97122835985</v>
      </c>
      <c r="N136" s="8">
        <v>0</v>
      </c>
      <c r="O136" s="249">
        <f>4746887.61085856+'Aanpassing gegevens (sep.2014)'!H27</f>
        <v>4751748.5233660182</v>
      </c>
      <c r="P136" s="8">
        <v>387164.78559422033</v>
      </c>
      <c r="Q136" s="8">
        <v>1628935.5433666261</v>
      </c>
      <c r="R136" s="8">
        <v>6370549.551764613</v>
      </c>
      <c r="S136" s="8">
        <v>565220.11627625721</v>
      </c>
      <c r="T136" s="8">
        <v>115446.81149952534</v>
      </c>
    </row>
    <row r="137" spans="2:20">
      <c r="B137" t="s">
        <v>148</v>
      </c>
      <c r="D137" t="s">
        <v>109</v>
      </c>
      <c r="F137" s="21">
        <f t="shared" si="32"/>
        <v>924310745.39082968</v>
      </c>
      <c r="G137" s="8">
        <v>13399982.757302746</v>
      </c>
      <c r="H137" s="8">
        <v>21015194.233045682</v>
      </c>
      <c r="I137" s="8">
        <v>0</v>
      </c>
      <c r="J137" s="8">
        <v>12192384.726659412</v>
      </c>
      <c r="K137" s="8">
        <v>6441458.9688393883</v>
      </c>
      <c r="L137" s="8">
        <v>304121726.74959606</v>
      </c>
      <c r="M137" s="8">
        <v>9792890.1866576485</v>
      </c>
      <c r="N137" s="8">
        <v>0</v>
      </c>
      <c r="O137" s="249">
        <f>227996749.830034+'Aanpassing gegevens (sep.2014)'!H28</f>
        <v>228197725.70963335</v>
      </c>
      <c r="P137" s="8">
        <v>2233329.1825978179</v>
      </c>
      <c r="Q137" s="8">
        <v>22757513.75408493</v>
      </c>
      <c r="R137" s="8">
        <v>286561414.1266551</v>
      </c>
      <c r="S137" s="8">
        <v>17027029.058945589</v>
      </c>
      <c r="T137" s="8">
        <v>570095.93681192514</v>
      </c>
    </row>
    <row r="138" spans="2:20">
      <c r="G138" s="63"/>
      <c r="H138" s="63"/>
      <c r="I138" s="63"/>
      <c r="J138" s="63"/>
      <c r="K138" s="63"/>
      <c r="L138" s="63"/>
      <c r="M138" s="63"/>
      <c r="N138" s="63"/>
    </row>
    <row r="139" spans="2:20">
      <c r="B139" s="3" t="s">
        <v>149</v>
      </c>
      <c r="G139" s="63"/>
      <c r="H139" s="63"/>
      <c r="I139" s="63"/>
      <c r="J139" s="63"/>
      <c r="K139" s="63"/>
      <c r="L139" s="63"/>
      <c r="M139" s="63"/>
      <c r="N139" s="63"/>
    </row>
    <row r="140" spans="2:20">
      <c r="B140" t="s">
        <v>150</v>
      </c>
      <c r="D140" t="s">
        <v>109</v>
      </c>
      <c r="F140" s="21">
        <f>SUM(G140:T140)</f>
        <v>0</v>
      </c>
      <c r="G140" s="8">
        <v>0</v>
      </c>
      <c r="H140" s="8">
        <v>0</v>
      </c>
      <c r="I140" s="8">
        <v>0</v>
      </c>
      <c r="J140" s="8">
        <v>0</v>
      </c>
      <c r="K140" s="8">
        <v>0</v>
      </c>
      <c r="L140" s="8">
        <v>0</v>
      </c>
      <c r="M140" s="8">
        <v>0</v>
      </c>
      <c r="N140" s="8">
        <v>0</v>
      </c>
      <c r="O140" s="8">
        <v>0</v>
      </c>
      <c r="P140" s="8">
        <v>0</v>
      </c>
      <c r="Q140" s="8">
        <v>0</v>
      </c>
      <c r="R140" s="8">
        <v>0</v>
      </c>
      <c r="S140" s="8">
        <v>0</v>
      </c>
      <c r="T140" s="8">
        <v>0</v>
      </c>
    </row>
    <row r="141" spans="2:20">
      <c r="B141" t="s">
        <v>151</v>
      </c>
      <c r="D141" t="s">
        <v>109</v>
      </c>
      <c r="F141" s="21">
        <f t="shared" ref="F141:F142" si="33">SUM(G141:T141)</f>
        <v>2418470.7574137882</v>
      </c>
      <c r="G141" s="8">
        <v>6.9732407017010231E-10</v>
      </c>
      <c r="H141" s="8">
        <v>0</v>
      </c>
      <c r="I141" s="8">
        <v>0</v>
      </c>
      <c r="J141" s="8">
        <v>0</v>
      </c>
      <c r="K141" s="8">
        <v>0</v>
      </c>
      <c r="L141" s="8">
        <v>0</v>
      </c>
      <c r="M141" s="8">
        <v>810661.72201970499</v>
      </c>
      <c r="N141" s="8">
        <v>0</v>
      </c>
      <c r="O141" s="8">
        <v>0</v>
      </c>
      <c r="P141" s="8">
        <v>0</v>
      </c>
      <c r="Q141" s="8">
        <v>1607809.0353940825</v>
      </c>
      <c r="R141" s="8">
        <v>0</v>
      </c>
      <c r="S141" s="8">
        <v>0</v>
      </c>
      <c r="T141" s="8">
        <v>0</v>
      </c>
    </row>
    <row r="142" spans="2:20">
      <c r="B142" t="s">
        <v>152</v>
      </c>
      <c r="D142" t="s">
        <v>109</v>
      </c>
      <c r="F142" s="21">
        <f t="shared" si="33"/>
        <v>20171942.189975355</v>
      </c>
      <c r="G142" s="8">
        <v>-5.2093605984308331E-11</v>
      </c>
      <c r="H142" s="8">
        <v>0</v>
      </c>
      <c r="I142" s="8">
        <v>0</v>
      </c>
      <c r="J142" s="8">
        <v>0</v>
      </c>
      <c r="K142" s="8">
        <v>0</v>
      </c>
      <c r="L142" s="8">
        <v>0</v>
      </c>
      <c r="M142" s="8">
        <v>8917278.942216767</v>
      </c>
      <c r="N142" s="8">
        <v>0</v>
      </c>
      <c r="O142" s="8">
        <v>0</v>
      </c>
      <c r="P142" s="8">
        <v>0</v>
      </c>
      <c r="Q142" s="8">
        <v>11254663.247758588</v>
      </c>
      <c r="R142" s="8">
        <v>0</v>
      </c>
      <c r="S142" s="8">
        <v>0</v>
      </c>
      <c r="T142" s="8">
        <v>0</v>
      </c>
    </row>
    <row r="143" spans="2:20">
      <c r="G143" s="63"/>
      <c r="H143" s="63"/>
      <c r="I143" s="63"/>
      <c r="J143" s="63"/>
      <c r="K143" s="63"/>
      <c r="L143" s="63"/>
      <c r="M143" s="63"/>
      <c r="N143" s="63"/>
    </row>
    <row r="144" spans="2:20">
      <c r="B144" s="3" t="s">
        <v>153</v>
      </c>
      <c r="G144" s="63"/>
      <c r="H144" s="63"/>
      <c r="I144" s="63"/>
      <c r="J144" s="63"/>
      <c r="K144" s="63"/>
      <c r="L144" s="63"/>
      <c r="M144" s="63"/>
      <c r="N144" s="63"/>
    </row>
    <row r="145" spans="2:20">
      <c r="B145" t="s">
        <v>154</v>
      </c>
      <c r="D145" t="s">
        <v>109</v>
      </c>
      <c r="F145" s="21">
        <f>SUM(G145:T145)</f>
        <v>0</v>
      </c>
      <c r="G145" s="8">
        <v>0</v>
      </c>
      <c r="H145" s="8">
        <v>0</v>
      </c>
      <c r="I145" s="8">
        <v>0</v>
      </c>
      <c r="J145" s="8">
        <v>0</v>
      </c>
      <c r="K145" s="8">
        <v>0</v>
      </c>
      <c r="L145" s="8">
        <v>0</v>
      </c>
      <c r="M145" s="8">
        <v>0</v>
      </c>
      <c r="N145" s="8">
        <v>0</v>
      </c>
      <c r="O145" s="8">
        <v>0</v>
      </c>
      <c r="P145" s="8">
        <v>0</v>
      </c>
      <c r="Q145" s="8">
        <v>0</v>
      </c>
      <c r="R145" s="8">
        <v>0</v>
      </c>
      <c r="S145" s="8">
        <v>0</v>
      </c>
      <c r="T145" s="8">
        <v>0</v>
      </c>
    </row>
    <row r="146" spans="2:20">
      <c r="B146" t="s">
        <v>155</v>
      </c>
      <c r="D146" t="s">
        <v>109</v>
      </c>
      <c r="F146" s="21">
        <f t="shared" ref="F146:F147" si="34">SUM(G146:T146)</f>
        <v>0</v>
      </c>
      <c r="G146" s="8">
        <v>0</v>
      </c>
      <c r="H146" s="8">
        <v>0</v>
      </c>
      <c r="I146" s="8">
        <v>0</v>
      </c>
      <c r="J146" s="8">
        <v>0</v>
      </c>
      <c r="K146" s="8">
        <v>0</v>
      </c>
      <c r="L146" s="8">
        <v>0</v>
      </c>
      <c r="M146" s="8">
        <v>0</v>
      </c>
      <c r="N146" s="8">
        <v>0</v>
      </c>
      <c r="O146" s="8">
        <v>0</v>
      </c>
      <c r="P146" s="8">
        <v>0</v>
      </c>
      <c r="Q146" s="8">
        <v>0</v>
      </c>
      <c r="R146" s="8">
        <v>0</v>
      </c>
      <c r="S146" s="8">
        <v>0</v>
      </c>
      <c r="T146" s="8">
        <v>0</v>
      </c>
    </row>
    <row r="147" spans="2:20">
      <c r="B147" t="s">
        <v>156</v>
      </c>
      <c r="D147" t="s">
        <v>109</v>
      </c>
      <c r="F147" s="21">
        <f t="shared" si="34"/>
        <v>0</v>
      </c>
      <c r="G147" s="8">
        <v>0</v>
      </c>
      <c r="H147" s="8">
        <v>0</v>
      </c>
      <c r="I147" s="8">
        <v>0</v>
      </c>
      <c r="J147" s="8">
        <v>0</v>
      </c>
      <c r="K147" s="8">
        <v>0</v>
      </c>
      <c r="L147" s="8">
        <v>0</v>
      </c>
      <c r="M147" s="8">
        <v>0</v>
      </c>
      <c r="N147" s="8">
        <v>0</v>
      </c>
      <c r="O147" s="8">
        <v>0</v>
      </c>
      <c r="P147" s="8">
        <v>0</v>
      </c>
      <c r="Q147" s="8">
        <v>0</v>
      </c>
      <c r="R147" s="8">
        <v>0</v>
      </c>
      <c r="S147" s="8">
        <v>0</v>
      </c>
      <c r="T147" s="8">
        <v>0</v>
      </c>
    </row>
    <row r="148" spans="2:20">
      <c r="G148" s="63"/>
      <c r="H148" s="63"/>
      <c r="I148" s="63"/>
      <c r="J148" s="63"/>
      <c r="K148" s="63"/>
      <c r="L148" s="63"/>
      <c r="M148" s="63"/>
      <c r="N148" s="63"/>
    </row>
    <row r="149" spans="2:20">
      <c r="B149" s="3" t="s">
        <v>157</v>
      </c>
      <c r="G149" s="63"/>
      <c r="H149" s="63"/>
      <c r="I149" s="63"/>
      <c r="J149" s="63"/>
      <c r="K149" s="63"/>
      <c r="L149" s="63"/>
      <c r="M149" s="63"/>
      <c r="N149" s="63"/>
    </row>
    <row r="150" spans="2:20">
      <c r="B150" t="s">
        <v>158</v>
      </c>
      <c r="D150" t="s">
        <v>109</v>
      </c>
      <c r="F150" s="21">
        <f>SUM(G150:T150)</f>
        <v>0</v>
      </c>
      <c r="G150" s="8">
        <v>0</v>
      </c>
      <c r="H150" s="8">
        <v>0</v>
      </c>
      <c r="I150" s="8">
        <v>0</v>
      </c>
      <c r="J150" s="8">
        <v>0</v>
      </c>
      <c r="K150" s="8">
        <v>0</v>
      </c>
      <c r="L150" s="8">
        <v>0</v>
      </c>
      <c r="M150" s="8">
        <v>0</v>
      </c>
      <c r="N150" s="8">
        <v>0</v>
      </c>
      <c r="O150" s="8">
        <v>0</v>
      </c>
      <c r="P150" s="8">
        <v>0</v>
      </c>
      <c r="Q150" s="8">
        <v>0</v>
      </c>
      <c r="R150" s="8">
        <v>0</v>
      </c>
      <c r="S150" s="8">
        <v>0</v>
      </c>
      <c r="T150" s="8">
        <v>0</v>
      </c>
    </row>
    <row r="151" spans="2:20">
      <c r="B151" t="s">
        <v>159</v>
      </c>
      <c r="D151" t="s">
        <v>109</v>
      </c>
      <c r="F151" s="21">
        <f t="shared" ref="F151:F152" si="35">SUM(G151:T151)</f>
        <v>0</v>
      </c>
      <c r="G151" s="8">
        <v>0</v>
      </c>
      <c r="H151" s="8">
        <v>0</v>
      </c>
      <c r="I151" s="8">
        <v>0</v>
      </c>
      <c r="J151" s="8">
        <v>0</v>
      </c>
      <c r="K151" s="8">
        <v>0</v>
      </c>
      <c r="L151" s="8">
        <v>0</v>
      </c>
      <c r="M151" s="8">
        <v>0</v>
      </c>
      <c r="N151" s="8">
        <v>0</v>
      </c>
      <c r="O151" s="8">
        <v>0</v>
      </c>
      <c r="P151" s="8">
        <v>0</v>
      </c>
      <c r="Q151" s="8">
        <v>0</v>
      </c>
      <c r="R151" s="8">
        <v>0</v>
      </c>
      <c r="S151" s="8">
        <v>0</v>
      </c>
      <c r="T151" s="8">
        <v>0</v>
      </c>
    </row>
    <row r="152" spans="2:20">
      <c r="B152" t="s">
        <v>160</v>
      </c>
      <c r="D152" t="s">
        <v>109</v>
      </c>
      <c r="F152" s="21">
        <f t="shared" si="35"/>
        <v>0</v>
      </c>
      <c r="G152" s="8">
        <v>0</v>
      </c>
      <c r="H152" s="8">
        <v>0</v>
      </c>
      <c r="I152" s="8">
        <v>0</v>
      </c>
      <c r="J152" s="8">
        <v>0</v>
      </c>
      <c r="K152" s="8">
        <v>0</v>
      </c>
      <c r="L152" s="8">
        <v>0</v>
      </c>
      <c r="M152" s="8">
        <v>0</v>
      </c>
      <c r="N152" s="8">
        <v>0</v>
      </c>
      <c r="O152" s="8">
        <v>0</v>
      </c>
      <c r="P152" s="8">
        <v>0</v>
      </c>
      <c r="Q152" s="8">
        <v>0</v>
      </c>
      <c r="R152" s="8">
        <v>0</v>
      </c>
      <c r="S152" s="8">
        <v>0</v>
      </c>
      <c r="T152" s="8">
        <v>0</v>
      </c>
    </row>
    <row r="153" spans="2:20">
      <c r="G153" s="63"/>
      <c r="H153" s="63"/>
      <c r="I153" s="63"/>
      <c r="J153" s="63"/>
      <c r="K153" s="63"/>
      <c r="L153" s="63"/>
      <c r="M153" s="63"/>
      <c r="N153" s="63"/>
    </row>
    <row r="154" spans="2:20">
      <c r="B154" s="3" t="s">
        <v>161</v>
      </c>
    </row>
    <row r="155" spans="2:20">
      <c r="B155" t="s">
        <v>162</v>
      </c>
      <c r="D155" t="s">
        <v>109</v>
      </c>
      <c r="F155" s="21">
        <f>SUM(G155:T155)</f>
        <v>213872529.98067707</v>
      </c>
      <c r="G155" s="24">
        <f>G130+G135+G140+G145+G150</f>
        <v>2330953.17</v>
      </c>
      <c r="H155" s="24">
        <f t="shared" ref="H155:T155" si="36">H130+H135+H140+H145+H150</f>
        <v>3685919.9047984867</v>
      </c>
      <c r="I155" s="24">
        <f t="shared" si="36"/>
        <v>0</v>
      </c>
      <c r="J155" s="24">
        <f t="shared" si="36"/>
        <v>2396579.1436693151</v>
      </c>
      <c r="K155" s="24">
        <f t="shared" si="36"/>
        <v>0</v>
      </c>
      <c r="L155" s="24">
        <f t="shared" si="36"/>
        <v>73602190.249999985</v>
      </c>
      <c r="M155" s="24">
        <f t="shared" si="36"/>
        <v>3587995.1900000037</v>
      </c>
      <c r="N155" s="24">
        <f t="shared" si="36"/>
        <v>0</v>
      </c>
      <c r="O155" s="24">
        <f t="shared" si="36"/>
        <v>62410583.522282146</v>
      </c>
      <c r="P155" s="24">
        <f t="shared" si="36"/>
        <v>0</v>
      </c>
      <c r="Q155" s="24">
        <f t="shared" si="36"/>
        <v>2660843.8711937498</v>
      </c>
      <c r="R155" s="24">
        <f t="shared" si="36"/>
        <v>58352823.68534705</v>
      </c>
      <c r="S155" s="24">
        <f t="shared" si="36"/>
        <v>4743044.2433863636</v>
      </c>
      <c r="T155" s="24">
        <f t="shared" si="36"/>
        <v>101597</v>
      </c>
    </row>
    <row r="156" spans="2:20">
      <c r="B156" t="s">
        <v>139</v>
      </c>
      <c r="D156" t="s">
        <v>109</v>
      </c>
      <c r="F156" s="21">
        <f t="shared" ref="F156:F157" si="37">SUM(G156:T156)</f>
        <v>218436431.50221023</v>
      </c>
      <c r="G156" s="24">
        <f t="shared" ref="G156:T156" si="38">G131+G136+G141+G146+G151</f>
        <v>3587502.4438554659</v>
      </c>
      <c r="H156" s="24">
        <f t="shared" si="38"/>
        <v>4733048.8385374872</v>
      </c>
      <c r="I156" s="24">
        <f t="shared" si="38"/>
        <v>263032.81425292196</v>
      </c>
      <c r="J156" s="24">
        <f t="shared" si="38"/>
        <v>6759700.9788994817</v>
      </c>
      <c r="K156" s="24">
        <f t="shared" si="38"/>
        <v>6837576.1349017285</v>
      </c>
      <c r="L156" s="24">
        <f t="shared" si="38"/>
        <v>48763283.149384961</v>
      </c>
      <c r="M156" s="24">
        <f t="shared" si="38"/>
        <v>8078309.2214220734</v>
      </c>
      <c r="N156" s="24">
        <f t="shared" si="38"/>
        <v>7648.6390157186697</v>
      </c>
      <c r="O156" s="24">
        <f t="shared" si="38"/>
        <v>63066157.454654202</v>
      </c>
      <c r="P156" s="24">
        <f t="shared" si="38"/>
        <v>1456363.815433634</v>
      </c>
      <c r="Q156" s="24">
        <f t="shared" si="38"/>
        <v>8529283.8989336565</v>
      </c>
      <c r="R156" s="24">
        <f t="shared" si="38"/>
        <v>59099507.606128044</v>
      </c>
      <c r="S156" s="24">
        <f t="shared" si="38"/>
        <v>6068057.7614089139</v>
      </c>
      <c r="T156" s="24">
        <f t="shared" si="38"/>
        <v>1186958.7453819604</v>
      </c>
    </row>
    <row r="157" spans="2:20">
      <c r="B157" t="s">
        <v>163</v>
      </c>
      <c r="D157" t="s">
        <v>109</v>
      </c>
      <c r="F157" s="21">
        <f t="shared" si="37"/>
        <v>5642046235.8307467</v>
      </c>
      <c r="G157" s="24">
        <f t="shared" ref="G157:T157" si="39">G132+G137+G142+G147+G152</f>
        <v>89219667.18565312</v>
      </c>
      <c r="H157" s="24">
        <f t="shared" si="39"/>
        <v>111240845.86401236</v>
      </c>
      <c r="I157" s="24">
        <f t="shared" si="39"/>
        <v>10597638.591262756</v>
      </c>
      <c r="J157" s="24">
        <f t="shared" si="39"/>
        <v>174212513.45481414</v>
      </c>
      <c r="K157" s="24">
        <f t="shared" si="39"/>
        <v>158551645.76270613</v>
      </c>
      <c r="L157" s="24">
        <f t="shared" si="39"/>
        <v>1197071954.9163637</v>
      </c>
      <c r="M157" s="24">
        <f t="shared" si="39"/>
        <v>210991727.0156427</v>
      </c>
      <c r="N157" s="24">
        <f t="shared" si="39"/>
        <v>319484.66896332591</v>
      </c>
      <c r="O157" s="24">
        <f t="shared" si="39"/>
        <v>1791023885.068157</v>
      </c>
      <c r="P157" s="24">
        <f t="shared" si="39"/>
        <v>28214865.607695565</v>
      </c>
      <c r="Q157" s="24">
        <f t="shared" si="39"/>
        <v>164208644.27809799</v>
      </c>
      <c r="R157" s="24">
        <f t="shared" si="39"/>
        <v>1537973569.3134737</v>
      </c>
      <c r="S157" s="24">
        <f t="shared" si="39"/>
        <v>125983214.43257222</v>
      </c>
      <c r="T157" s="24">
        <f t="shared" si="39"/>
        <v>42436579.671331584</v>
      </c>
    </row>
    <row r="160" spans="2:20">
      <c r="B160" s="3" t="s">
        <v>208</v>
      </c>
    </row>
    <row r="162" spans="2:20">
      <c r="B162" s="3" t="s">
        <v>142</v>
      </c>
    </row>
    <row r="163" spans="2:20">
      <c r="B163" t="s">
        <v>143</v>
      </c>
      <c r="D163" t="s">
        <v>109</v>
      </c>
      <c r="F163" s="21">
        <f>SUM(G163:T163)</f>
        <v>0</v>
      </c>
      <c r="G163" s="8">
        <v>0</v>
      </c>
      <c r="H163" s="8">
        <v>0</v>
      </c>
      <c r="I163" s="8">
        <v>0</v>
      </c>
      <c r="J163" s="8">
        <v>0</v>
      </c>
      <c r="K163" s="8">
        <v>0</v>
      </c>
      <c r="L163" s="8">
        <v>0</v>
      </c>
      <c r="M163" s="8">
        <v>0</v>
      </c>
      <c r="N163" s="8">
        <v>0</v>
      </c>
      <c r="O163" s="8">
        <v>0</v>
      </c>
      <c r="P163" s="8">
        <v>0</v>
      </c>
      <c r="Q163" s="8">
        <v>0</v>
      </c>
      <c r="R163" s="8">
        <v>0</v>
      </c>
      <c r="S163" s="8">
        <v>0</v>
      </c>
      <c r="T163" s="8">
        <v>0</v>
      </c>
    </row>
    <row r="164" spans="2:20">
      <c r="B164" t="s">
        <v>144</v>
      </c>
      <c r="D164" t="s">
        <v>109</v>
      </c>
      <c r="F164" s="21">
        <f t="shared" ref="F164:F165" si="40">SUM(G164:T164)</f>
        <v>21297860.120172817</v>
      </c>
      <c r="G164" s="8">
        <v>368531.81733463926</v>
      </c>
      <c r="H164" s="8">
        <v>617808.34811748832</v>
      </c>
      <c r="I164" s="8">
        <v>0</v>
      </c>
      <c r="J164" s="8">
        <v>439161.83095763228</v>
      </c>
      <c r="K164" s="8">
        <v>393089.42985422997</v>
      </c>
      <c r="L164" s="8">
        <v>4780996.164859226</v>
      </c>
      <c r="M164" s="8">
        <v>515799.28740073967</v>
      </c>
      <c r="N164" s="8">
        <v>0</v>
      </c>
      <c r="O164" s="8">
        <v>3750758.5353153166</v>
      </c>
      <c r="P164" s="8">
        <v>134127.36890555799</v>
      </c>
      <c r="Q164" s="8">
        <v>394997.1055644991</v>
      </c>
      <c r="R164" s="454">
        <f>'Aanpassing gegevens (aug. 2016)'!J53</f>
        <v>9809877.1379632242</v>
      </c>
      <c r="S164" s="8">
        <v>92713.09390026753</v>
      </c>
      <c r="T164" s="8">
        <v>0</v>
      </c>
    </row>
    <row r="165" spans="2:20">
      <c r="B165" t="s">
        <v>145</v>
      </c>
      <c r="D165" t="s">
        <v>109</v>
      </c>
      <c r="F165" s="21">
        <f t="shared" si="40"/>
        <v>475683267.66896904</v>
      </c>
      <c r="G165" s="8">
        <v>8476231.7986967061</v>
      </c>
      <c r="H165" s="8">
        <v>12356166.962349772</v>
      </c>
      <c r="I165" s="8">
        <v>0</v>
      </c>
      <c r="J165" s="8">
        <v>8783236.6191526465</v>
      </c>
      <c r="K165" s="8">
        <v>7468699.1672303714</v>
      </c>
      <c r="L165" s="8">
        <v>109962911.79176219</v>
      </c>
      <c r="M165" s="8">
        <v>12894982.185018491</v>
      </c>
      <c r="N165" s="8">
        <v>0</v>
      </c>
      <c r="O165" s="8">
        <v>67513653.635675743</v>
      </c>
      <c r="P165" s="8">
        <v>2548420.0092056007</v>
      </c>
      <c r="Q165" s="8">
        <v>8294939.2168544848</v>
      </c>
      <c r="R165" s="454">
        <f>'Aanpassing gegevens (aug. 2016)'!J54</f>
        <v>235437051.31111744</v>
      </c>
      <c r="S165" s="8">
        <v>1946974.9719056182</v>
      </c>
      <c r="T165" s="8">
        <v>0</v>
      </c>
    </row>
    <row r="166" spans="2:20">
      <c r="G166" s="63"/>
      <c r="H166" s="63"/>
      <c r="I166" s="63"/>
      <c r="J166" s="63"/>
      <c r="K166" s="63"/>
      <c r="L166" s="63"/>
      <c r="M166" s="63"/>
      <c r="N166" s="63"/>
    </row>
    <row r="167" spans="2:20">
      <c r="B167" s="3" t="s">
        <v>146</v>
      </c>
      <c r="G167" s="63"/>
      <c r="H167" s="63"/>
      <c r="I167" s="63"/>
      <c r="J167" s="63"/>
      <c r="K167" s="63"/>
      <c r="L167" s="63"/>
      <c r="M167" s="63"/>
      <c r="N167" s="63"/>
    </row>
    <row r="168" spans="2:20">
      <c r="B168" t="s">
        <v>147</v>
      </c>
      <c r="D168" t="s">
        <v>109</v>
      </c>
      <c r="F168" s="21">
        <f>SUM(G168:T168)</f>
        <v>130532424.39316049</v>
      </c>
      <c r="G168" s="8">
        <v>1594312.66</v>
      </c>
      <c r="H168" s="8">
        <v>2181109.85</v>
      </c>
      <c r="I168" s="8">
        <v>0</v>
      </c>
      <c r="J168" s="8">
        <v>1056182.8741291773</v>
      </c>
      <c r="K168" s="8">
        <v>0</v>
      </c>
      <c r="L168" s="8">
        <v>32042578</v>
      </c>
      <c r="M168" s="8">
        <v>1728862.1649999798</v>
      </c>
      <c r="N168" s="8">
        <v>0</v>
      </c>
      <c r="O168" s="8">
        <v>44412039.392991394</v>
      </c>
      <c r="P168" s="8">
        <v>0</v>
      </c>
      <c r="Q168" s="8">
        <v>900613.04575644154</v>
      </c>
      <c r="R168" s="8">
        <v>47128442.106499992</v>
      </c>
      <c r="S168" s="8">
        <v>-511715.70121648803</v>
      </c>
      <c r="T168" s="8">
        <v>0</v>
      </c>
    </row>
    <row r="169" spans="2:20">
      <c r="B169" t="s">
        <v>139</v>
      </c>
      <c r="D169" t="s">
        <v>109</v>
      </c>
      <c r="F169" s="21">
        <f t="shared" ref="F169:F170" si="41">SUM(G169:T169)</f>
        <v>6112521.9369950397</v>
      </c>
      <c r="G169" s="8">
        <v>138244.70974358974</v>
      </c>
      <c r="H169" s="8">
        <v>98193.72852087178</v>
      </c>
      <c r="I169" s="8">
        <v>0</v>
      </c>
      <c r="J169" s="8">
        <v>17325.194381666159</v>
      </c>
      <c r="K169" s="8">
        <v>3300.8193900206393</v>
      </c>
      <c r="L169" s="8">
        <v>1589887.1820512819</v>
      </c>
      <c r="M169" s="8">
        <v>107375.68321556415</v>
      </c>
      <c r="N169" s="8">
        <v>0</v>
      </c>
      <c r="O169" s="8">
        <v>1851501.9974577094</v>
      </c>
      <c r="P169" s="8">
        <v>8961.7954883042294</v>
      </c>
      <c r="Q169" s="8">
        <v>87868.860226371005</v>
      </c>
      <c r="R169" s="87">
        <v>2210397.0979455127</v>
      </c>
      <c r="S169" s="8">
        <v>-535.13142585241258</v>
      </c>
      <c r="T169" s="8">
        <v>0</v>
      </c>
    </row>
    <row r="170" spans="2:20">
      <c r="B170" t="s">
        <v>148</v>
      </c>
      <c r="D170" t="s">
        <v>109</v>
      </c>
      <c r="F170" s="21">
        <f t="shared" si="41"/>
        <v>293664135.09128523</v>
      </c>
      <c r="G170" s="8">
        <v>5941001.8643589728</v>
      </c>
      <c r="H170" s="8">
        <v>4747315.2177730184</v>
      </c>
      <c r="I170" s="8">
        <v>0</v>
      </c>
      <c r="J170" s="8">
        <v>1185663.3346248844</v>
      </c>
      <c r="K170" s="8">
        <v>124667.86545458814</v>
      </c>
      <c r="L170" s="8">
        <v>75356104.344230756</v>
      </c>
      <c r="M170" s="8">
        <v>4868867.3708675802</v>
      </c>
      <c r="N170" s="8">
        <v>0</v>
      </c>
      <c r="O170" s="8">
        <v>91465661.303575069</v>
      </c>
      <c r="P170" s="8">
        <v>333051.62508168601</v>
      </c>
      <c r="Q170" s="8">
        <v>3709951.8327808101</v>
      </c>
      <c r="R170" s="87">
        <v>106213044.45970032</v>
      </c>
      <c r="S170" s="8">
        <v>-281194.12716243055</v>
      </c>
      <c r="T170" s="8">
        <v>0</v>
      </c>
    </row>
    <row r="171" spans="2:20">
      <c r="G171" s="63"/>
      <c r="H171" s="63"/>
      <c r="I171" s="63"/>
      <c r="J171" s="63"/>
      <c r="K171" s="63"/>
      <c r="L171" s="63"/>
      <c r="M171" s="63"/>
      <c r="N171" s="63"/>
    </row>
    <row r="172" spans="2:20">
      <c r="B172" s="3" t="s">
        <v>157</v>
      </c>
      <c r="G172" s="63"/>
      <c r="H172" s="63"/>
      <c r="I172" s="63"/>
      <c r="J172" s="63"/>
      <c r="K172" s="63"/>
      <c r="L172" s="63"/>
      <c r="M172" s="63"/>
      <c r="N172" s="63"/>
    </row>
    <row r="173" spans="2:20">
      <c r="B173" t="s">
        <v>158</v>
      </c>
      <c r="D173" t="s">
        <v>109</v>
      </c>
      <c r="F173" s="21">
        <f>SUM(G173:T173)</f>
        <v>0</v>
      </c>
      <c r="G173" s="8">
        <v>0</v>
      </c>
      <c r="H173" s="8">
        <v>0</v>
      </c>
      <c r="I173" s="8">
        <v>0</v>
      </c>
      <c r="J173" s="8">
        <v>0</v>
      </c>
      <c r="K173" s="8">
        <v>0</v>
      </c>
      <c r="L173" s="8">
        <v>0</v>
      </c>
      <c r="M173" s="8">
        <v>0</v>
      </c>
      <c r="N173" s="8">
        <v>0</v>
      </c>
      <c r="O173" s="8">
        <v>0</v>
      </c>
      <c r="P173" s="8">
        <v>0</v>
      </c>
      <c r="Q173" s="8">
        <v>0</v>
      </c>
      <c r="R173" s="8">
        <v>0</v>
      </c>
      <c r="S173" s="8">
        <v>0</v>
      </c>
      <c r="T173" s="8">
        <v>0</v>
      </c>
    </row>
    <row r="174" spans="2:20">
      <c r="B174" t="s">
        <v>159</v>
      </c>
      <c r="D174" t="s">
        <v>109</v>
      </c>
      <c r="F174" s="21">
        <f t="shared" ref="F174:F175" si="42">SUM(G174:T174)</f>
        <v>0</v>
      </c>
      <c r="G174" s="8">
        <v>0</v>
      </c>
      <c r="H174" s="8">
        <v>0</v>
      </c>
      <c r="I174" s="8">
        <v>0</v>
      </c>
      <c r="J174" s="8">
        <v>0</v>
      </c>
      <c r="K174" s="8">
        <v>0</v>
      </c>
      <c r="L174" s="8">
        <v>0</v>
      </c>
      <c r="M174" s="8">
        <v>0</v>
      </c>
      <c r="N174" s="8">
        <v>0</v>
      </c>
      <c r="O174" s="8">
        <v>0</v>
      </c>
      <c r="P174" s="8">
        <v>0</v>
      </c>
      <c r="Q174" s="8">
        <v>0</v>
      </c>
      <c r="R174" s="8">
        <v>0</v>
      </c>
      <c r="S174" s="8">
        <v>0</v>
      </c>
      <c r="T174" s="8">
        <v>0</v>
      </c>
    </row>
    <row r="175" spans="2:20">
      <c r="B175" t="s">
        <v>160</v>
      </c>
      <c r="D175" t="s">
        <v>109</v>
      </c>
      <c r="F175" s="21">
        <f t="shared" si="42"/>
        <v>0</v>
      </c>
      <c r="G175" s="8">
        <v>0</v>
      </c>
      <c r="H175" s="8">
        <v>0</v>
      </c>
      <c r="I175" s="8">
        <v>0</v>
      </c>
      <c r="J175" s="8">
        <v>0</v>
      </c>
      <c r="K175" s="8">
        <v>0</v>
      </c>
      <c r="L175" s="8">
        <v>0</v>
      </c>
      <c r="M175" s="8">
        <v>0</v>
      </c>
      <c r="N175" s="8">
        <v>0</v>
      </c>
      <c r="O175" s="8">
        <v>0</v>
      </c>
      <c r="P175" s="8">
        <v>0</v>
      </c>
      <c r="Q175" s="8">
        <v>0</v>
      </c>
      <c r="R175" s="8">
        <v>0</v>
      </c>
      <c r="S175" s="8">
        <v>0</v>
      </c>
      <c r="T175" s="8">
        <v>0</v>
      </c>
    </row>
    <row r="176" spans="2:20">
      <c r="G176" s="63"/>
      <c r="H176" s="63"/>
      <c r="I176" s="63"/>
      <c r="J176" s="63"/>
      <c r="K176" s="63"/>
      <c r="L176" s="63"/>
      <c r="M176" s="63"/>
      <c r="N176" s="63"/>
    </row>
    <row r="177" spans="2:20">
      <c r="B177" s="3" t="s">
        <v>161</v>
      </c>
    </row>
    <row r="178" spans="2:20">
      <c r="B178" t="s">
        <v>162</v>
      </c>
      <c r="D178" t="s">
        <v>109</v>
      </c>
      <c r="F178" s="21">
        <f>SUM(G178:T178)</f>
        <v>130532424.39316049</v>
      </c>
      <c r="G178" s="24">
        <f>G163+G168+G173</f>
        <v>1594312.66</v>
      </c>
      <c r="H178" s="24">
        <f t="shared" ref="H178:T178" si="43">H163+H168+H173</f>
        <v>2181109.85</v>
      </c>
      <c r="I178" s="24">
        <f t="shared" si="43"/>
        <v>0</v>
      </c>
      <c r="J178" s="24">
        <f t="shared" si="43"/>
        <v>1056182.8741291773</v>
      </c>
      <c r="K178" s="24">
        <f t="shared" si="43"/>
        <v>0</v>
      </c>
      <c r="L178" s="24">
        <f t="shared" si="43"/>
        <v>32042578</v>
      </c>
      <c r="M178" s="24">
        <f t="shared" si="43"/>
        <v>1728862.1649999798</v>
      </c>
      <c r="N178" s="24">
        <f t="shared" si="43"/>
        <v>0</v>
      </c>
      <c r="O178" s="24">
        <f t="shared" si="43"/>
        <v>44412039.392991394</v>
      </c>
      <c r="P178" s="24">
        <f t="shared" si="43"/>
        <v>0</v>
      </c>
      <c r="Q178" s="24">
        <f t="shared" si="43"/>
        <v>900613.04575644154</v>
      </c>
      <c r="R178" s="24">
        <f t="shared" si="43"/>
        <v>47128442.106499992</v>
      </c>
      <c r="S178" s="24">
        <f t="shared" si="43"/>
        <v>-511715.70121648803</v>
      </c>
      <c r="T178" s="24">
        <f t="shared" si="43"/>
        <v>0</v>
      </c>
    </row>
    <row r="179" spans="2:20">
      <c r="B179" t="s">
        <v>139</v>
      </c>
      <c r="D179" t="s">
        <v>109</v>
      </c>
      <c r="F179" s="21">
        <f t="shared" ref="F179:F180" si="44">SUM(G179:T179)</f>
        <v>27410382.057167862</v>
      </c>
      <c r="G179" s="24">
        <f>G164+G169+G174</f>
        <v>506776.527078229</v>
      </c>
      <c r="H179" s="24">
        <f t="shared" ref="H179:T179" si="45">H164+H169+H174</f>
        <v>716002.07663836004</v>
      </c>
      <c r="I179" s="24">
        <f t="shared" si="45"/>
        <v>0</v>
      </c>
      <c r="J179" s="24">
        <f t="shared" si="45"/>
        <v>456487.02533929842</v>
      </c>
      <c r="K179" s="24">
        <f t="shared" si="45"/>
        <v>396390.24924425059</v>
      </c>
      <c r="L179" s="24">
        <f t="shared" si="45"/>
        <v>6370883.3469105083</v>
      </c>
      <c r="M179" s="24">
        <f t="shared" si="45"/>
        <v>623174.97061630385</v>
      </c>
      <c r="N179" s="24">
        <f t="shared" si="45"/>
        <v>0</v>
      </c>
      <c r="O179" s="24">
        <f t="shared" si="45"/>
        <v>5602260.5327730263</v>
      </c>
      <c r="P179" s="24">
        <f t="shared" si="45"/>
        <v>143089.16439386221</v>
      </c>
      <c r="Q179" s="24">
        <f t="shared" si="45"/>
        <v>482865.96579087013</v>
      </c>
      <c r="R179" s="24">
        <f t="shared" si="45"/>
        <v>12020274.235908737</v>
      </c>
      <c r="S179" s="24">
        <f t="shared" si="45"/>
        <v>92177.962474415122</v>
      </c>
      <c r="T179" s="24">
        <f t="shared" si="45"/>
        <v>0</v>
      </c>
    </row>
    <row r="180" spans="2:20">
      <c r="B180" t="s">
        <v>163</v>
      </c>
      <c r="D180" t="s">
        <v>109</v>
      </c>
      <c r="F180" s="21">
        <f t="shared" si="44"/>
        <v>769347402.76025426</v>
      </c>
      <c r="G180" s="24">
        <f>G165+G170+G175</f>
        <v>14417233.663055679</v>
      </c>
      <c r="H180" s="24">
        <f t="shared" ref="H180:T180" si="46">H165+H170+H175</f>
        <v>17103482.180122793</v>
      </c>
      <c r="I180" s="24">
        <f t="shared" si="46"/>
        <v>0</v>
      </c>
      <c r="J180" s="24">
        <f t="shared" si="46"/>
        <v>9968899.9537775312</v>
      </c>
      <c r="K180" s="24">
        <f t="shared" si="46"/>
        <v>7593367.0326849595</v>
      </c>
      <c r="L180" s="24">
        <f t="shared" si="46"/>
        <v>185319016.13599294</v>
      </c>
      <c r="M180" s="24">
        <f t="shared" si="46"/>
        <v>17763849.555886071</v>
      </c>
      <c r="N180" s="24">
        <f t="shared" si="46"/>
        <v>0</v>
      </c>
      <c r="O180" s="24">
        <f t="shared" si="46"/>
        <v>158979314.93925083</v>
      </c>
      <c r="P180" s="24">
        <f t="shared" si="46"/>
        <v>2881471.6342872865</v>
      </c>
      <c r="Q180" s="24">
        <f t="shared" si="46"/>
        <v>12004891.049635295</v>
      </c>
      <c r="R180" s="24">
        <f t="shared" si="46"/>
        <v>341650095.77081776</v>
      </c>
      <c r="S180" s="24">
        <f t="shared" si="46"/>
        <v>1665780.8447431875</v>
      </c>
      <c r="T180" s="24">
        <f t="shared" si="46"/>
        <v>0</v>
      </c>
    </row>
    <row r="183" spans="2:20" s="2" customFormat="1">
      <c r="B183" s="2" t="s">
        <v>120</v>
      </c>
    </row>
    <row r="185" spans="2:20">
      <c r="B185" s="3" t="s">
        <v>207</v>
      </c>
    </row>
    <row r="187" spans="2:20">
      <c r="B187" s="3" t="s">
        <v>142</v>
      </c>
    </row>
    <row r="188" spans="2:20">
      <c r="B188" t="s">
        <v>143</v>
      </c>
      <c r="D188" t="s">
        <v>110</v>
      </c>
      <c r="F188" s="21">
        <f>SUM(G188:T188)</f>
        <v>0</v>
      </c>
      <c r="G188" s="87">
        <v>0</v>
      </c>
      <c r="H188" s="87">
        <v>0</v>
      </c>
      <c r="I188" s="87">
        <v>0</v>
      </c>
      <c r="J188" s="87">
        <v>0</v>
      </c>
      <c r="K188" s="87">
        <v>0</v>
      </c>
      <c r="L188" s="87">
        <v>0</v>
      </c>
      <c r="M188" s="87">
        <v>0</v>
      </c>
      <c r="N188" s="87">
        <v>0</v>
      </c>
      <c r="O188" s="87">
        <v>0</v>
      </c>
      <c r="P188" s="87">
        <v>0</v>
      </c>
      <c r="Q188" s="87">
        <v>0</v>
      </c>
      <c r="R188" s="87">
        <v>0</v>
      </c>
      <c r="S188" s="87">
        <v>0</v>
      </c>
      <c r="T188" s="87">
        <v>0</v>
      </c>
    </row>
    <row r="189" spans="2:20">
      <c r="B189" t="s">
        <v>144</v>
      </c>
      <c r="D189" t="s">
        <v>110</v>
      </c>
      <c r="F189" s="21">
        <f t="shared" ref="F189:F190" si="47">SUM(G189:T189)</f>
        <v>189029238.79143164</v>
      </c>
      <c r="G189" s="87">
        <v>3367575.5940903677</v>
      </c>
      <c r="H189" s="87">
        <v>3602004.6137498766</v>
      </c>
      <c r="I189" s="87">
        <v>269871.66742349794</v>
      </c>
      <c r="J189" s="87">
        <v>6443126.0494219586</v>
      </c>
      <c r="K189" s="87">
        <v>6120198.1039414722</v>
      </c>
      <c r="L189" s="87">
        <v>35373240.698807083</v>
      </c>
      <c r="M189" s="87">
        <v>6642453.8179065334</v>
      </c>
      <c r="N189" s="87">
        <v>7847.5036301273558</v>
      </c>
      <c r="O189" s="87">
        <v>59830583.563501686</v>
      </c>
      <c r="P189" s="87">
        <v>1096998.2046152386</v>
      </c>
      <c r="Q189" s="87">
        <v>5430145.3424974447</v>
      </c>
      <c r="R189" s="87">
        <v>54099910.963776879</v>
      </c>
      <c r="S189" s="87">
        <v>5645911.4239061056</v>
      </c>
      <c r="T189" s="87">
        <v>1099371.2441633786</v>
      </c>
    </row>
    <row r="190" spans="2:20">
      <c r="B190" t="s">
        <v>145</v>
      </c>
      <c r="D190" t="s">
        <v>110</v>
      </c>
      <c r="F190" s="21">
        <f t="shared" si="47"/>
        <v>4630670961.7130079</v>
      </c>
      <c r="G190" s="87">
        <v>74423420.629397124</v>
      </c>
      <c r="H190" s="87">
        <v>88969513.959621936</v>
      </c>
      <c r="I190" s="87">
        <v>10603305.527212091</v>
      </c>
      <c r="J190" s="87">
        <v>159789526.02566484</v>
      </c>
      <c r="K190" s="87">
        <v>149944853.54656583</v>
      </c>
      <c r="L190" s="87">
        <v>880793693.40029681</v>
      </c>
      <c r="M190" s="87">
        <v>190638424.57391778</v>
      </c>
      <c r="N190" s="87">
        <v>319943.766726245</v>
      </c>
      <c r="O190" s="87">
        <v>1543629055.9383438</v>
      </c>
      <c r="P190" s="87">
        <v>25560058.167535052</v>
      </c>
      <c r="Q190" s="87">
        <v>128151430.08293965</v>
      </c>
      <c r="R190" s="87">
        <v>1229848960.2578993</v>
      </c>
      <c r="S190" s="87">
        <v>106143134.76943482</v>
      </c>
      <c r="T190" s="87">
        <v>41855641.067453787</v>
      </c>
    </row>
    <row r="191" spans="2:20">
      <c r="G191" s="63"/>
      <c r="H191" s="63"/>
      <c r="I191" s="63"/>
      <c r="J191" s="63"/>
      <c r="K191" s="63"/>
      <c r="L191" s="63"/>
      <c r="M191" s="63"/>
      <c r="N191" s="63"/>
    </row>
    <row r="192" spans="2:20">
      <c r="B192" s="3" t="s">
        <v>146</v>
      </c>
      <c r="G192" s="63"/>
      <c r="H192" s="63"/>
      <c r="I192" s="63"/>
      <c r="J192" s="63"/>
      <c r="K192" s="63"/>
      <c r="L192" s="63"/>
      <c r="M192" s="63"/>
      <c r="N192" s="63"/>
    </row>
    <row r="193" spans="2:20">
      <c r="B193" t="s">
        <v>147</v>
      </c>
      <c r="D193" t="s">
        <v>110</v>
      </c>
      <c r="F193" s="21">
        <f>SUM(G193:T193)</f>
        <v>259290855.18847868</v>
      </c>
      <c r="G193" s="87">
        <v>3440115</v>
      </c>
      <c r="H193" s="87">
        <v>4727088</v>
      </c>
      <c r="I193" s="87">
        <v>0</v>
      </c>
      <c r="J193" s="87">
        <v>6234415.2732950002</v>
      </c>
      <c r="K193" s="87">
        <v>0</v>
      </c>
      <c r="L193" s="87">
        <v>91268887</v>
      </c>
      <c r="M193" s="87">
        <v>0</v>
      </c>
      <c r="N193" s="87">
        <v>0</v>
      </c>
      <c r="O193" s="87">
        <v>84360196.430153251</v>
      </c>
      <c r="P193" s="87">
        <v>0</v>
      </c>
      <c r="Q193" s="87">
        <v>3723813</v>
      </c>
      <c r="R193" s="87">
        <v>61809884.57</v>
      </c>
      <c r="S193" s="87">
        <v>3672995.915030458</v>
      </c>
      <c r="T193" s="87">
        <v>53460</v>
      </c>
    </row>
    <row r="194" spans="2:20">
      <c r="B194" t="s">
        <v>139</v>
      </c>
      <c r="D194" t="s">
        <v>110</v>
      </c>
      <c r="F194" s="21">
        <f t="shared" ref="F194:F195" si="48">SUM(G194:T194)</f>
        <v>39140800.728786267</v>
      </c>
      <c r="G194" s="87">
        <v>383916.61776680459</v>
      </c>
      <c r="H194" s="87">
        <v>1288005.9851915871</v>
      </c>
      <c r="I194" s="87">
        <v>0</v>
      </c>
      <c r="J194" s="87">
        <v>884915.94162723236</v>
      </c>
      <c r="K194" s="87">
        <v>652188.63281520549</v>
      </c>
      <c r="L194" s="87">
        <v>18105261.585795108</v>
      </c>
      <c r="M194" s="87">
        <v>709591.99147328164</v>
      </c>
      <c r="N194" s="87">
        <v>0</v>
      </c>
      <c r="O194" s="249">
        <f>6528277.39886952+'Aanpassing gegevens (sep.2014)'!H29</f>
        <v>6533264.695102172</v>
      </c>
      <c r="P194" s="87">
        <v>251853.3574269716</v>
      </c>
      <c r="Q194" s="87">
        <v>1553592.2423121228</v>
      </c>
      <c r="R194" s="87">
        <v>7895178.6630628239</v>
      </c>
      <c r="S194" s="87">
        <v>758514.27612084569</v>
      </c>
      <c r="T194" s="87">
        <v>124516.74009211175</v>
      </c>
    </row>
    <row r="195" spans="2:20">
      <c r="B195" t="s">
        <v>148</v>
      </c>
      <c r="D195" t="s">
        <v>110</v>
      </c>
      <c r="F195" s="21">
        <f t="shared" si="48"/>
        <v>1168492879.230684</v>
      </c>
      <c r="G195" s="87">
        <v>16804580.691225812</v>
      </c>
      <c r="H195" s="87">
        <v>25000671.297913276</v>
      </c>
      <c r="I195" s="87">
        <v>0</v>
      </c>
      <c r="J195" s="87">
        <v>17858886.061220326</v>
      </c>
      <c r="K195" s="87">
        <v>5956748.2692140071</v>
      </c>
      <c r="L195" s="87">
        <v>385192517.05929047</v>
      </c>
      <c r="M195" s="87">
        <v>9337913.3400374632</v>
      </c>
      <c r="N195" s="87">
        <v>0</v>
      </c>
      <c r="O195" s="249">
        <f>311756584.356899+'Aanpassing gegevens (sep.2014)'!H30</f>
        <v>311957798.31313527</v>
      </c>
      <c r="P195" s="87">
        <v>2039542.3839183899</v>
      </c>
      <c r="Q195" s="87">
        <v>25519429.869379018</v>
      </c>
      <c r="R195" s="87">
        <v>347926716.80088526</v>
      </c>
      <c r="S195" s="87">
        <v>20384213.453387786</v>
      </c>
      <c r="T195" s="87">
        <v>513861.69107692339</v>
      </c>
    </row>
    <row r="196" spans="2:20">
      <c r="G196" s="63"/>
      <c r="H196" s="63"/>
      <c r="I196" s="63"/>
      <c r="J196" s="63"/>
      <c r="K196" s="63"/>
      <c r="L196" s="63"/>
      <c r="M196" s="63"/>
      <c r="N196" s="63"/>
    </row>
    <row r="197" spans="2:20">
      <c r="B197" s="3" t="s">
        <v>149</v>
      </c>
      <c r="G197" s="63"/>
      <c r="H197" s="63"/>
      <c r="I197" s="63"/>
      <c r="J197" s="63"/>
      <c r="K197" s="63"/>
      <c r="L197" s="63"/>
      <c r="M197" s="63"/>
      <c r="N197" s="63"/>
    </row>
    <row r="198" spans="2:20">
      <c r="B198" t="s">
        <v>150</v>
      </c>
      <c r="D198" t="s">
        <v>110</v>
      </c>
      <c r="F198" s="21">
        <f>SUM(G198:T198)</f>
        <v>0</v>
      </c>
      <c r="G198" s="87">
        <v>0</v>
      </c>
      <c r="H198" s="87">
        <v>0</v>
      </c>
      <c r="I198" s="87">
        <v>0</v>
      </c>
      <c r="J198" s="87">
        <v>0</v>
      </c>
      <c r="K198" s="87">
        <v>0</v>
      </c>
      <c r="L198" s="87">
        <v>0</v>
      </c>
      <c r="M198" s="87">
        <v>0</v>
      </c>
      <c r="N198" s="87">
        <v>0</v>
      </c>
      <c r="O198" s="87">
        <v>0</v>
      </c>
      <c r="P198" s="87">
        <v>0</v>
      </c>
      <c r="Q198" s="87">
        <v>0</v>
      </c>
      <c r="R198" s="87">
        <v>0</v>
      </c>
      <c r="S198" s="87">
        <v>0</v>
      </c>
      <c r="T198" s="87">
        <v>0</v>
      </c>
    </row>
    <row r="199" spans="2:20">
      <c r="B199" t="s">
        <v>151</v>
      </c>
      <c r="D199" t="s">
        <v>110</v>
      </c>
      <c r="F199" s="21">
        <f t="shared" ref="F199:F200" si="49">SUM(G199:T199)</f>
        <v>2481350.9971065461</v>
      </c>
      <c r="G199" s="87">
        <v>0</v>
      </c>
      <c r="H199" s="87">
        <v>0</v>
      </c>
      <c r="I199" s="87">
        <v>0</v>
      </c>
      <c r="J199" s="87">
        <v>0</v>
      </c>
      <c r="K199" s="87">
        <v>0</v>
      </c>
      <c r="L199" s="87">
        <v>0</v>
      </c>
      <c r="M199" s="87">
        <v>831738.9267922173</v>
      </c>
      <c r="N199" s="87">
        <v>0</v>
      </c>
      <c r="O199" s="87">
        <v>0</v>
      </c>
      <c r="P199" s="87">
        <v>0</v>
      </c>
      <c r="Q199" s="87">
        <v>1649612.0703143289</v>
      </c>
      <c r="R199" s="87">
        <v>0</v>
      </c>
      <c r="S199" s="87">
        <v>0</v>
      </c>
      <c r="T199" s="87">
        <v>0</v>
      </c>
    </row>
    <row r="200" spans="2:20">
      <c r="B200" t="s">
        <v>152</v>
      </c>
      <c r="D200" t="s">
        <v>110</v>
      </c>
      <c r="F200" s="21">
        <f t="shared" si="49"/>
        <v>18215061.689808168</v>
      </c>
      <c r="G200" s="87">
        <v>-5.3448039739900352E-11</v>
      </c>
      <c r="H200" s="87">
        <v>0</v>
      </c>
      <c r="I200" s="87">
        <v>0</v>
      </c>
      <c r="J200" s="87">
        <v>0</v>
      </c>
      <c r="K200" s="87">
        <v>0</v>
      </c>
      <c r="L200" s="87">
        <v>0</v>
      </c>
      <c r="M200" s="87">
        <v>8317389.2679221872</v>
      </c>
      <c r="N200" s="87">
        <v>0</v>
      </c>
      <c r="O200" s="87">
        <v>0</v>
      </c>
      <c r="P200" s="87">
        <v>0</v>
      </c>
      <c r="Q200" s="87">
        <v>9897672.4218859822</v>
      </c>
      <c r="R200" s="87">
        <v>0</v>
      </c>
      <c r="S200" s="87">
        <v>0</v>
      </c>
      <c r="T200" s="87">
        <v>0</v>
      </c>
    </row>
    <row r="201" spans="2:20">
      <c r="G201" s="63"/>
      <c r="H201" s="63"/>
      <c r="I201" s="63"/>
      <c r="J201" s="63"/>
      <c r="K201" s="63"/>
      <c r="L201" s="63"/>
      <c r="M201" s="63"/>
      <c r="N201" s="63"/>
    </row>
    <row r="202" spans="2:20">
      <c r="B202" s="3" t="s">
        <v>153</v>
      </c>
      <c r="G202" s="63"/>
      <c r="H202" s="63"/>
      <c r="I202" s="63"/>
      <c r="J202" s="63"/>
      <c r="K202" s="63"/>
      <c r="L202" s="63"/>
      <c r="M202" s="63"/>
      <c r="N202" s="63"/>
    </row>
    <row r="203" spans="2:20">
      <c r="B203" t="s">
        <v>154</v>
      </c>
      <c r="D203" t="s">
        <v>110</v>
      </c>
      <c r="F203" s="21">
        <f>SUM(G203:T203)</f>
        <v>0</v>
      </c>
      <c r="G203" s="87">
        <v>0</v>
      </c>
      <c r="H203" s="87">
        <v>0</v>
      </c>
      <c r="I203" s="87">
        <v>0</v>
      </c>
      <c r="J203" s="87">
        <v>0</v>
      </c>
      <c r="K203" s="87">
        <v>0</v>
      </c>
      <c r="L203" s="87">
        <v>0</v>
      </c>
      <c r="M203" s="87">
        <v>0</v>
      </c>
      <c r="N203" s="87">
        <v>0</v>
      </c>
      <c r="O203" s="87">
        <v>0</v>
      </c>
      <c r="P203" s="87">
        <v>0</v>
      </c>
      <c r="Q203" s="87">
        <v>0</v>
      </c>
      <c r="R203" s="87">
        <v>0</v>
      </c>
      <c r="S203" s="87">
        <v>0</v>
      </c>
      <c r="T203" s="87">
        <v>0</v>
      </c>
    </row>
    <row r="204" spans="2:20">
      <c r="B204" t="s">
        <v>155</v>
      </c>
      <c r="D204" t="s">
        <v>110</v>
      </c>
      <c r="F204" s="21">
        <f t="shared" ref="F204:F205" si="50">SUM(G204:T204)</f>
        <v>0</v>
      </c>
      <c r="G204" s="87">
        <v>0</v>
      </c>
      <c r="H204" s="87">
        <v>0</v>
      </c>
      <c r="I204" s="87">
        <v>0</v>
      </c>
      <c r="J204" s="87">
        <v>0</v>
      </c>
      <c r="K204" s="87">
        <v>0</v>
      </c>
      <c r="L204" s="87">
        <v>0</v>
      </c>
      <c r="M204" s="87">
        <v>0</v>
      </c>
      <c r="N204" s="87">
        <v>0</v>
      </c>
      <c r="O204" s="87">
        <v>0</v>
      </c>
      <c r="P204" s="87">
        <v>0</v>
      </c>
      <c r="Q204" s="87">
        <v>0</v>
      </c>
      <c r="R204" s="87">
        <v>0</v>
      </c>
      <c r="S204" s="87">
        <v>0</v>
      </c>
      <c r="T204" s="87">
        <v>0</v>
      </c>
    </row>
    <row r="205" spans="2:20">
      <c r="B205" t="s">
        <v>156</v>
      </c>
      <c r="D205" t="s">
        <v>110</v>
      </c>
      <c r="F205" s="21">
        <f t="shared" si="50"/>
        <v>0</v>
      </c>
      <c r="G205" s="87">
        <v>0</v>
      </c>
      <c r="H205" s="87">
        <v>0</v>
      </c>
      <c r="I205" s="87">
        <v>0</v>
      </c>
      <c r="J205" s="87">
        <v>0</v>
      </c>
      <c r="K205" s="87">
        <v>0</v>
      </c>
      <c r="L205" s="87">
        <v>0</v>
      </c>
      <c r="M205" s="87">
        <v>0</v>
      </c>
      <c r="N205" s="87">
        <v>0</v>
      </c>
      <c r="O205" s="87">
        <v>0</v>
      </c>
      <c r="P205" s="87">
        <v>0</v>
      </c>
      <c r="Q205" s="87">
        <v>0</v>
      </c>
      <c r="R205" s="87">
        <v>0</v>
      </c>
      <c r="S205" s="87">
        <v>0</v>
      </c>
      <c r="T205" s="87">
        <v>0</v>
      </c>
    </row>
    <row r="206" spans="2:20">
      <c r="G206" s="63"/>
      <c r="H206" s="63"/>
      <c r="I206" s="63"/>
      <c r="J206" s="63"/>
      <c r="K206" s="63"/>
      <c r="L206" s="63"/>
      <c r="M206" s="63"/>
      <c r="N206" s="63"/>
    </row>
    <row r="207" spans="2:20">
      <c r="B207" s="3" t="s">
        <v>157</v>
      </c>
      <c r="G207" s="63"/>
      <c r="H207" s="63"/>
      <c r="I207" s="63"/>
      <c r="J207" s="63"/>
      <c r="K207" s="63"/>
      <c r="L207" s="63"/>
      <c r="M207" s="63"/>
      <c r="N207" s="63"/>
    </row>
    <row r="208" spans="2:20">
      <c r="B208" t="s">
        <v>158</v>
      </c>
      <c r="D208" t="s">
        <v>110</v>
      </c>
      <c r="F208" s="21">
        <f>SUM(G208:T208)</f>
        <v>0</v>
      </c>
      <c r="G208" s="87">
        <v>0</v>
      </c>
      <c r="H208" s="87">
        <v>0</v>
      </c>
      <c r="I208" s="87">
        <v>0</v>
      </c>
      <c r="J208" s="87">
        <v>0</v>
      </c>
      <c r="K208" s="87">
        <v>0</v>
      </c>
      <c r="L208" s="87">
        <v>0</v>
      </c>
      <c r="M208" s="87">
        <v>0</v>
      </c>
      <c r="N208" s="87">
        <v>0</v>
      </c>
      <c r="O208" s="87">
        <v>0</v>
      </c>
      <c r="P208" s="87">
        <v>0</v>
      </c>
      <c r="Q208" s="87">
        <v>0</v>
      </c>
      <c r="R208" s="87">
        <v>0</v>
      </c>
      <c r="S208" s="87">
        <v>0</v>
      </c>
      <c r="T208" s="87">
        <v>0</v>
      </c>
    </row>
    <row r="209" spans="2:20">
      <c r="B209" t="s">
        <v>159</v>
      </c>
      <c r="D209" t="s">
        <v>110</v>
      </c>
      <c r="F209" s="21">
        <f t="shared" ref="F209:F210" si="51">SUM(G209:T209)</f>
        <v>0</v>
      </c>
      <c r="G209" s="87">
        <v>0</v>
      </c>
      <c r="H209" s="87">
        <v>0</v>
      </c>
      <c r="I209" s="87">
        <v>0</v>
      </c>
      <c r="J209" s="87">
        <v>0</v>
      </c>
      <c r="K209" s="87">
        <v>0</v>
      </c>
      <c r="L209" s="87">
        <v>0</v>
      </c>
      <c r="M209" s="87">
        <v>0</v>
      </c>
      <c r="N209" s="87">
        <v>0</v>
      </c>
      <c r="O209" s="87">
        <v>0</v>
      </c>
      <c r="P209" s="87">
        <v>0</v>
      </c>
      <c r="Q209" s="87">
        <v>0</v>
      </c>
      <c r="R209" s="87">
        <v>0</v>
      </c>
      <c r="S209" s="87">
        <v>0</v>
      </c>
      <c r="T209" s="87">
        <v>0</v>
      </c>
    </row>
    <row r="210" spans="2:20">
      <c r="B210" t="s">
        <v>160</v>
      </c>
      <c r="D210" t="s">
        <v>110</v>
      </c>
      <c r="F210" s="21">
        <f t="shared" si="51"/>
        <v>0</v>
      </c>
      <c r="G210" s="87">
        <v>0</v>
      </c>
      <c r="H210" s="87">
        <v>0</v>
      </c>
      <c r="I210" s="87">
        <v>0</v>
      </c>
      <c r="J210" s="87">
        <v>0</v>
      </c>
      <c r="K210" s="87">
        <v>0</v>
      </c>
      <c r="L210" s="87">
        <v>0</v>
      </c>
      <c r="M210" s="87">
        <v>0</v>
      </c>
      <c r="N210" s="87">
        <v>0</v>
      </c>
      <c r="O210" s="87">
        <v>0</v>
      </c>
      <c r="P210" s="87">
        <v>0</v>
      </c>
      <c r="Q210" s="87">
        <v>0</v>
      </c>
      <c r="R210" s="87">
        <v>0</v>
      </c>
      <c r="S210" s="87">
        <v>0</v>
      </c>
      <c r="T210" s="87">
        <v>0</v>
      </c>
    </row>
    <row r="211" spans="2:20">
      <c r="G211" s="63"/>
      <c r="H211" s="63"/>
      <c r="I211" s="63"/>
      <c r="J211" s="63"/>
      <c r="K211" s="63"/>
      <c r="L211" s="63"/>
      <c r="M211" s="63"/>
      <c r="N211" s="63"/>
    </row>
    <row r="212" spans="2:20">
      <c r="B212" s="3" t="s">
        <v>161</v>
      </c>
    </row>
    <row r="213" spans="2:20">
      <c r="B213" t="s">
        <v>162</v>
      </c>
      <c r="D213" t="s">
        <v>110</v>
      </c>
      <c r="F213" s="21">
        <f>SUM(G213:T213)</f>
        <v>259290855.18847868</v>
      </c>
      <c r="G213" s="24">
        <f>G188+G193+G198+G203+G208</f>
        <v>3440115</v>
      </c>
      <c r="H213" s="24">
        <f t="shared" ref="H213:T213" si="52">H188+H193+H198+H203+H208</f>
        <v>4727088</v>
      </c>
      <c r="I213" s="24">
        <f t="shared" si="52"/>
        <v>0</v>
      </c>
      <c r="J213" s="24">
        <f t="shared" si="52"/>
        <v>6234415.2732950002</v>
      </c>
      <c r="K213" s="24">
        <f t="shared" si="52"/>
        <v>0</v>
      </c>
      <c r="L213" s="24">
        <f t="shared" si="52"/>
        <v>91268887</v>
      </c>
      <c r="M213" s="24">
        <f t="shared" si="52"/>
        <v>0</v>
      </c>
      <c r="N213" s="24">
        <f t="shared" si="52"/>
        <v>0</v>
      </c>
      <c r="O213" s="24">
        <f t="shared" si="52"/>
        <v>84360196.430153251</v>
      </c>
      <c r="P213" s="24">
        <f t="shared" si="52"/>
        <v>0</v>
      </c>
      <c r="Q213" s="24">
        <f t="shared" si="52"/>
        <v>3723813</v>
      </c>
      <c r="R213" s="24">
        <f t="shared" si="52"/>
        <v>61809884.57</v>
      </c>
      <c r="S213" s="24">
        <f t="shared" si="52"/>
        <v>3672995.915030458</v>
      </c>
      <c r="T213" s="24">
        <f t="shared" si="52"/>
        <v>53460</v>
      </c>
    </row>
    <row r="214" spans="2:20">
      <c r="B214" t="s">
        <v>139</v>
      </c>
      <c r="D214" t="s">
        <v>110</v>
      </c>
      <c r="F214" s="21">
        <f t="shared" ref="F214:F215" si="53">SUM(G214:T214)</f>
        <v>230651390.51732445</v>
      </c>
      <c r="G214" s="24">
        <f t="shared" ref="G214:T214" si="54">G189+G194+G199+G204+G209</f>
        <v>3751492.2118571722</v>
      </c>
      <c r="H214" s="24">
        <f t="shared" si="54"/>
        <v>4890010.598941464</v>
      </c>
      <c r="I214" s="24">
        <f t="shared" si="54"/>
        <v>269871.66742349794</v>
      </c>
      <c r="J214" s="24">
        <f t="shared" si="54"/>
        <v>7328041.991049191</v>
      </c>
      <c r="K214" s="24">
        <f t="shared" si="54"/>
        <v>6772386.7367566777</v>
      </c>
      <c r="L214" s="24">
        <f t="shared" si="54"/>
        <v>53478502.284602195</v>
      </c>
      <c r="M214" s="24">
        <f t="shared" si="54"/>
        <v>8183784.7361720325</v>
      </c>
      <c r="N214" s="24">
        <f t="shared" si="54"/>
        <v>7847.5036301273558</v>
      </c>
      <c r="O214" s="24">
        <f t="shared" si="54"/>
        <v>66363848.258603856</v>
      </c>
      <c r="P214" s="24">
        <f t="shared" si="54"/>
        <v>1348851.5620422103</v>
      </c>
      <c r="Q214" s="24">
        <f t="shared" si="54"/>
        <v>8633349.6551238969</v>
      </c>
      <c r="R214" s="24">
        <f t="shared" si="54"/>
        <v>61995089.626839705</v>
      </c>
      <c r="S214" s="24">
        <f t="shared" si="54"/>
        <v>6404425.7000269517</v>
      </c>
      <c r="T214" s="24">
        <f t="shared" si="54"/>
        <v>1223887.9842554904</v>
      </c>
    </row>
    <row r="215" spans="2:20">
      <c r="B215" t="s">
        <v>163</v>
      </c>
      <c r="D215" t="s">
        <v>110</v>
      </c>
      <c r="F215" s="21">
        <f t="shared" si="53"/>
        <v>5817378902.6335011</v>
      </c>
      <c r="G215" s="24">
        <f t="shared" ref="G215:T215" si="55">G190+G195+G200+G205+G210</f>
        <v>91228001.320622936</v>
      </c>
      <c r="H215" s="24">
        <f t="shared" si="55"/>
        <v>113970185.25753522</v>
      </c>
      <c r="I215" s="24">
        <f t="shared" si="55"/>
        <v>10603305.527212091</v>
      </c>
      <c r="J215" s="24">
        <f t="shared" si="55"/>
        <v>177648412.08688515</v>
      </c>
      <c r="K215" s="24">
        <f t="shared" si="55"/>
        <v>155901601.81577983</v>
      </c>
      <c r="L215" s="24">
        <f t="shared" si="55"/>
        <v>1265986210.4595873</v>
      </c>
      <c r="M215" s="24">
        <f t="shared" si="55"/>
        <v>208293727.18187743</v>
      </c>
      <c r="N215" s="24">
        <f t="shared" si="55"/>
        <v>319943.766726245</v>
      </c>
      <c r="O215" s="24">
        <f t="shared" si="55"/>
        <v>1855586854.2514791</v>
      </c>
      <c r="P215" s="24">
        <f t="shared" si="55"/>
        <v>27599600.551453441</v>
      </c>
      <c r="Q215" s="24">
        <f t="shared" si="55"/>
        <v>163568532.37420464</v>
      </c>
      <c r="R215" s="24">
        <f t="shared" si="55"/>
        <v>1577775677.0587845</v>
      </c>
      <c r="S215" s="24">
        <f t="shared" si="55"/>
        <v>126527348.22282261</v>
      </c>
      <c r="T215" s="24">
        <f t="shared" si="55"/>
        <v>42369502.758530714</v>
      </c>
    </row>
    <row r="218" spans="2:20">
      <c r="B218" s="3" t="s">
        <v>208</v>
      </c>
    </row>
    <row r="220" spans="2:20">
      <c r="B220" s="3" t="s">
        <v>142</v>
      </c>
    </row>
    <row r="221" spans="2:20">
      <c r="B221" t="s">
        <v>143</v>
      </c>
      <c r="D221" t="s">
        <v>110</v>
      </c>
      <c r="F221" s="21">
        <f>SUM(G221:T221)</f>
        <v>0</v>
      </c>
      <c r="G221" s="87">
        <v>0</v>
      </c>
      <c r="H221" s="87">
        <v>0</v>
      </c>
      <c r="I221" s="87">
        <v>0</v>
      </c>
      <c r="J221" s="87">
        <v>0</v>
      </c>
      <c r="K221" s="87">
        <v>0</v>
      </c>
      <c r="L221" s="87">
        <v>0</v>
      </c>
      <c r="M221" s="87">
        <v>0</v>
      </c>
      <c r="N221" s="87">
        <v>0</v>
      </c>
      <c r="O221" s="87">
        <v>0</v>
      </c>
      <c r="P221" s="87">
        <v>0</v>
      </c>
      <c r="Q221" s="87">
        <v>0</v>
      </c>
      <c r="R221" s="87">
        <v>0</v>
      </c>
      <c r="S221" s="87">
        <v>0</v>
      </c>
      <c r="T221" s="87">
        <v>0</v>
      </c>
    </row>
    <row r="222" spans="2:20">
      <c r="B222" t="s">
        <v>144</v>
      </c>
      <c r="D222" t="s">
        <v>110</v>
      </c>
      <c r="F222" s="21">
        <f t="shared" ref="F222:F223" si="56">SUM(G222:T222)</f>
        <v>21851604.483297314</v>
      </c>
      <c r="G222" s="87">
        <v>378113.64458533982</v>
      </c>
      <c r="H222" s="87">
        <v>633871.36516854295</v>
      </c>
      <c r="I222" s="87">
        <v>0</v>
      </c>
      <c r="J222" s="87">
        <v>450580.03856253065</v>
      </c>
      <c r="K222" s="87">
        <v>403309.75503043993</v>
      </c>
      <c r="L222" s="87">
        <v>4905302.0651455652</v>
      </c>
      <c r="M222" s="87">
        <v>529210.06887315889</v>
      </c>
      <c r="N222" s="87">
        <v>0</v>
      </c>
      <c r="O222" s="87">
        <v>3848278.2572335149</v>
      </c>
      <c r="P222" s="87">
        <v>137614.68049710247</v>
      </c>
      <c r="Q222" s="87">
        <v>405267.03030917607</v>
      </c>
      <c r="R222" s="454">
        <f>'Aanpassing gegevens (aug. 2016)'!J55</f>
        <v>10064933.943550268</v>
      </c>
      <c r="S222" s="87">
        <v>95123.634341674478</v>
      </c>
      <c r="T222" s="87">
        <v>0</v>
      </c>
    </row>
    <row r="223" spans="2:20">
      <c r="B223" t="s">
        <v>145</v>
      </c>
      <c r="D223" t="s">
        <v>110</v>
      </c>
      <c r="F223" s="21">
        <f t="shared" si="56"/>
        <v>466199428.14506489</v>
      </c>
      <c r="G223" s="87">
        <v>8318500.1808774788</v>
      </c>
      <c r="H223" s="87">
        <v>12043555.938202323</v>
      </c>
      <c r="I223" s="87">
        <v>0</v>
      </c>
      <c r="J223" s="87">
        <v>8561020.7326880861</v>
      </c>
      <c r="K223" s="87">
        <v>7259575.5905479211</v>
      </c>
      <c r="L223" s="87">
        <v>107916645.43320242</v>
      </c>
      <c r="M223" s="87">
        <v>12701041.652955811</v>
      </c>
      <c r="N223" s="87">
        <v>0</v>
      </c>
      <c r="O223" s="87">
        <v>65420730.372969784</v>
      </c>
      <c r="P223" s="87">
        <v>2477064.2489478434</v>
      </c>
      <c r="Q223" s="87">
        <v>8105340.6061835242</v>
      </c>
      <c r="R223" s="454">
        <f>'Aanpassing gegevens (aug. 2016)'!J56</f>
        <v>231493480.70165622</v>
      </c>
      <c r="S223" s="87">
        <v>1902472.6868334897</v>
      </c>
      <c r="T223" s="87">
        <v>0</v>
      </c>
    </row>
    <row r="224" spans="2:20">
      <c r="G224" s="63"/>
      <c r="H224" s="63"/>
      <c r="I224" s="63"/>
      <c r="J224" s="63"/>
      <c r="K224" s="63"/>
      <c r="L224" s="63"/>
      <c r="M224" s="63"/>
      <c r="N224" s="63"/>
    </row>
    <row r="225" spans="2:20">
      <c r="B225" s="3" t="s">
        <v>146</v>
      </c>
      <c r="G225" s="63"/>
      <c r="H225" s="63"/>
      <c r="I225" s="63"/>
      <c r="J225" s="63"/>
      <c r="K225" s="63"/>
      <c r="L225" s="63"/>
      <c r="M225" s="63"/>
      <c r="N225" s="63"/>
    </row>
    <row r="226" spans="2:20">
      <c r="B226" t="s">
        <v>147</v>
      </c>
      <c r="D226" t="s">
        <v>110</v>
      </c>
      <c r="F226" s="21">
        <f>SUM(G226:T226)</f>
        <v>151258158.12281066</v>
      </c>
      <c r="G226" s="87">
        <v>2314237</v>
      </c>
      <c r="H226" s="87">
        <v>692301</v>
      </c>
      <c r="I226" s="87">
        <v>0</v>
      </c>
      <c r="J226" s="87">
        <v>1119274.5533492814</v>
      </c>
      <c r="K226" s="87">
        <v>0</v>
      </c>
      <c r="L226" s="87">
        <v>30562997</v>
      </c>
      <c r="M226" s="87">
        <v>0</v>
      </c>
      <c r="N226" s="87">
        <v>0</v>
      </c>
      <c r="O226" s="87">
        <v>66372065.724516019</v>
      </c>
      <c r="P226" s="87">
        <v>0</v>
      </c>
      <c r="Q226" s="87">
        <v>820448.76</v>
      </c>
      <c r="R226" s="87">
        <v>49471670.140930884</v>
      </c>
      <c r="S226" s="87">
        <v>-94836.055985499494</v>
      </c>
      <c r="T226" s="87">
        <v>0</v>
      </c>
    </row>
    <row r="227" spans="2:20">
      <c r="B227" t="s">
        <v>139</v>
      </c>
      <c r="D227" t="s">
        <v>110</v>
      </c>
      <c r="F227" s="21">
        <f t="shared" ref="F227:F228" si="57">SUM(G227:T227)</f>
        <v>9927658.0913337469</v>
      </c>
      <c r="G227" s="87">
        <v>192480.12077589738</v>
      </c>
      <c r="H227" s="87">
        <v>138312.40272010677</v>
      </c>
      <c r="I227" s="87">
        <v>0</v>
      </c>
      <c r="J227" s="87">
        <v>46018.190233099958</v>
      </c>
      <c r="K227" s="87">
        <v>3386.6406941611772</v>
      </c>
      <c r="L227" s="87">
        <v>2444540.6850410253</v>
      </c>
      <c r="M227" s="87">
        <v>132908.6379187839</v>
      </c>
      <c r="N227" s="87">
        <v>0</v>
      </c>
      <c r="O227" s="87">
        <v>3334754.1024906505</v>
      </c>
      <c r="P227" s="87">
        <v>9194.8021710001376</v>
      </c>
      <c r="Q227" s="87">
        <v>112518.54988643754</v>
      </c>
      <c r="R227" s="87">
        <v>3522039.880725428</v>
      </c>
      <c r="S227" s="87">
        <v>-8495.9213228427343</v>
      </c>
      <c r="T227" s="87">
        <v>0</v>
      </c>
    </row>
    <row r="228" spans="2:20">
      <c r="B228" t="s">
        <v>148</v>
      </c>
      <c r="D228" t="s">
        <v>110</v>
      </c>
      <c r="F228" s="21">
        <f t="shared" si="57"/>
        <v>442629902.63513559</v>
      </c>
      <c r="G228" s="87">
        <v>8217224.7920564078</v>
      </c>
      <c r="H228" s="87">
        <v>5424734.0107150096</v>
      </c>
      <c r="I228" s="87">
        <v>0</v>
      </c>
      <c r="J228" s="87">
        <v>2289746.9444413129</v>
      </c>
      <c r="K228" s="87">
        <v>124522.58926224626</v>
      </c>
      <c r="L228" s="87">
        <v>105433819.37213974</v>
      </c>
      <c r="M228" s="87">
        <v>4862549.2845913535</v>
      </c>
      <c r="N228" s="87">
        <v>0</v>
      </c>
      <c r="O228" s="87">
        <v>156881080.1194934</v>
      </c>
      <c r="P228" s="87">
        <v>332516.16516280966</v>
      </c>
      <c r="Q228" s="87">
        <v>4514340.7905466724</v>
      </c>
      <c r="R228" s="87">
        <v>154924213.87585798</v>
      </c>
      <c r="S228" s="87">
        <v>-374845.30913131061</v>
      </c>
      <c r="T228" s="87">
        <v>0</v>
      </c>
    </row>
    <row r="229" spans="2:20">
      <c r="G229" s="63"/>
      <c r="H229" s="63"/>
      <c r="I229" s="63"/>
      <c r="J229" s="63"/>
      <c r="K229" s="63"/>
      <c r="L229" s="63"/>
      <c r="M229" s="63"/>
      <c r="N229" s="63"/>
    </row>
    <row r="230" spans="2:20">
      <c r="B230" s="3" t="s">
        <v>157</v>
      </c>
      <c r="G230" s="63"/>
      <c r="H230" s="63"/>
      <c r="I230" s="63"/>
      <c r="J230" s="63"/>
      <c r="K230" s="63"/>
      <c r="L230" s="63"/>
      <c r="M230" s="63"/>
      <c r="N230" s="63"/>
    </row>
    <row r="231" spans="2:20">
      <c r="B231" t="s">
        <v>158</v>
      </c>
      <c r="D231" t="s">
        <v>110</v>
      </c>
      <c r="F231" s="21">
        <f>SUM(G231:T231)</f>
        <v>0</v>
      </c>
      <c r="G231" s="87">
        <v>0</v>
      </c>
      <c r="H231" s="87">
        <v>0</v>
      </c>
      <c r="I231" s="87">
        <v>0</v>
      </c>
      <c r="J231" s="87">
        <v>0</v>
      </c>
      <c r="K231" s="87">
        <v>0</v>
      </c>
      <c r="L231" s="87">
        <v>0</v>
      </c>
      <c r="M231" s="87">
        <v>0</v>
      </c>
      <c r="N231" s="87">
        <v>0</v>
      </c>
      <c r="O231" s="87">
        <v>0</v>
      </c>
      <c r="P231" s="87">
        <v>0</v>
      </c>
      <c r="Q231" s="87">
        <v>0</v>
      </c>
      <c r="R231" s="87">
        <v>0</v>
      </c>
      <c r="S231" s="87">
        <v>0</v>
      </c>
      <c r="T231" s="87">
        <v>0</v>
      </c>
    </row>
    <row r="232" spans="2:20">
      <c r="B232" t="s">
        <v>159</v>
      </c>
      <c r="D232" t="s">
        <v>110</v>
      </c>
      <c r="F232" s="21">
        <f t="shared" ref="F232:F233" si="58">SUM(G232:T232)</f>
        <v>0</v>
      </c>
      <c r="G232" s="87">
        <v>0</v>
      </c>
      <c r="H232" s="87">
        <v>0</v>
      </c>
      <c r="I232" s="87">
        <v>0</v>
      </c>
      <c r="J232" s="87">
        <v>0</v>
      </c>
      <c r="K232" s="87">
        <v>0</v>
      </c>
      <c r="L232" s="87">
        <v>0</v>
      </c>
      <c r="M232" s="87">
        <v>0</v>
      </c>
      <c r="N232" s="87">
        <v>0</v>
      </c>
      <c r="O232" s="87">
        <v>0</v>
      </c>
      <c r="P232" s="87">
        <v>0</v>
      </c>
      <c r="Q232" s="87">
        <v>0</v>
      </c>
      <c r="R232" s="87">
        <v>0</v>
      </c>
      <c r="S232" s="87">
        <v>0</v>
      </c>
      <c r="T232" s="87">
        <v>0</v>
      </c>
    </row>
    <row r="233" spans="2:20">
      <c r="B233" t="s">
        <v>160</v>
      </c>
      <c r="D233" t="s">
        <v>110</v>
      </c>
      <c r="F233" s="21">
        <f t="shared" si="58"/>
        <v>0</v>
      </c>
      <c r="G233" s="87">
        <v>0</v>
      </c>
      <c r="H233" s="87">
        <v>0</v>
      </c>
      <c r="I233" s="87">
        <v>0</v>
      </c>
      <c r="J233" s="87">
        <v>0</v>
      </c>
      <c r="K233" s="87">
        <v>0</v>
      </c>
      <c r="L233" s="87">
        <v>0</v>
      </c>
      <c r="M233" s="87">
        <v>0</v>
      </c>
      <c r="N233" s="87">
        <v>0</v>
      </c>
      <c r="O233" s="87">
        <v>0</v>
      </c>
      <c r="P233" s="87">
        <v>0</v>
      </c>
      <c r="Q233" s="87">
        <v>0</v>
      </c>
      <c r="R233" s="87">
        <v>0</v>
      </c>
      <c r="S233" s="87">
        <v>0</v>
      </c>
      <c r="T233" s="87">
        <v>0</v>
      </c>
    </row>
    <row r="234" spans="2:20">
      <c r="G234" s="63"/>
      <c r="H234" s="63"/>
      <c r="I234" s="63"/>
      <c r="J234" s="63"/>
      <c r="K234" s="63"/>
      <c r="L234" s="63"/>
      <c r="M234" s="63"/>
      <c r="N234" s="63"/>
    </row>
    <row r="235" spans="2:20">
      <c r="B235" s="3" t="s">
        <v>161</v>
      </c>
    </row>
    <row r="236" spans="2:20">
      <c r="B236" t="s">
        <v>162</v>
      </c>
      <c r="D236" t="s">
        <v>110</v>
      </c>
      <c r="F236" s="21">
        <f>SUM(G236:T236)</f>
        <v>151258158.12281066</v>
      </c>
      <c r="G236" s="24">
        <f>G221+G226+G231</f>
        <v>2314237</v>
      </c>
      <c r="H236" s="24">
        <f t="shared" ref="H236:T236" si="59">H221+H226+H231</f>
        <v>692301</v>
      </c>
      <c r="I236" s="24">
        <f t="shared" si="59"/>
        <v>0</v>
      </c>
      <c r="J236" s="24">
        <f t="shared" si="59"/>
        <v>1119274.5533492814</v>
      </c>
      <c r="K236" s="24">
        <f t="shared" si="59"/>
        <v>0</v>
      </c>
      <c r="L236" s="24">
        <f t="shared" si="59"/>
        <v>30562997</v>
      </c>
      <c r="M236" s="24">
        <f t="shared" si="59"/>
        <v>0</v>
      </c>
      <c r="N236" s="24">
        <f t="shared" si="59"/>
        <v>0</v>
      </c>
      <c r="O236" s="24">
        <f t="shared" si="59"/>
        <v>66372065.724516019</v>
      </c>
      <c r="P236" s="24">
        <f t="shared" si="59"/>
        <v>0</v>
      </c>
      <c r="Q236" s="24">
        <f t="shared" si="59"/>
        <v>820448.76</v>
      </c>
      <c r="R236" s="24">
        <f t="shared" si="59"/>
        <v>49471670.140930884</v>
      </c>
      <c r="S236" s="24">
        <f t="shared" si="59"/>
        <v>-94836.055985499494</v>
      </c>
      <c r="T236" s="24">
        <f t="shared" si="59"/>
        <v>0</v>
      </c>
    </row>
    <row r="237" spans="2:20">
      <c r="B237" t="s">
        <v>139</v>
      </c>
      <c r="D237" t="s">
        <v>110</v>
      </c>
      <c r="F237" s="21">
        <f t="shared" ref="F237:F238" si="60">SUM(G237:T237)</f>
        <v>31779262.574631061</v>
      </c>
      <c r="G237" s="24">
        <f>G222+G227+G232</f>
        <v>570593.76536123722</v>
      </c>
      <c r="H237" s="24">
        <f t="shared" ref="H237:T237" si="61">H222+H227+H232</f>
        <v>772183.76788864972</v>
      </c>
      <c r="I237" s="24">
        <f t="shared" si="61"/>
        <v>0</v>
      </c>
      <c r="J237" s="24">
        <f t="shared" si="61"/>
        <v>496598.22879563062</v>
      </c>
      <c r="K237" s="24">
        <f t="shared" si="61"/>
        <v>406696.39572460111</v>
      </c>
      <c r="L237" s="24">
        <f t="shared" si="61"/>
        <v>7349842.7501865905</v>
      </c>
      <c r="M237" s="24">
        <f t="shared" si="61"/>
        <v>662118.70679194282</v>
      </c>
      <c r="N237" s="24">
        <f t="shared" si="61"/>
        <v>0</v>
      </c>
      <c r="O237" s="24">
        <f t="shared" si="61"/>
        <v>7183032.3597241659</v>
      </c>
      <c r="P237" s="24">
        <f t="shared" si="61"/>
        <v>146809.4826681026</v>
      </c>
      <c r="Q237" s="24">
        <f t="shared" si="61"/>
        <v>517785.58019561361</v>
      </c>
      <c r="R237" s="24">
        <f t="shared" si="61"/>
        <v>13586973.824275697</v>
      </c>
      <c r="S237" s="24">
        <f t="shared" si="61"/>
        <v>86627.713018831739</v>
      </c>
      <c r="T237" s="24">
        <f t="shared" si="61"/>
        <v>0</v>
      </c>
    </row>
    <row r="238" spans="2:20">
      <c r="B238" t="s">
        <v>163</v>
      </c>
      <c r="D238" t="s">
        <v>110</v>
      </c>
      <c r="F238" s="21">
        <f t="shared" si="60"/>
        <v>908829330.78020048</v>
      </c>
      <c r="G238" s="24">
        <f>G223+G228+G233</f>
        <v>16535724.972933887</v>
      </c>
      <c r="H238" s="24">
        <f t="shared" ref="H238:T238" si="62">H223+H228+H233</f>
        <v>17468289.948917333</v>
      </c>
      <c r="I238" s="24">
        <f t="shared" si="62"/>
        <v>0</v>
      </c>
      <c r="J238" s="24">
        <f t="shared" si="62"/>
        <v>10850767.677129399</v>
      </c>
      <c r="K238" s="24">
        <f t="shared" si="62"/>
        <v>7384098.1798101673</v>
      </c>
      <c r="L238" s="24">
        <f t="shared" si="62"/>
        <v>213350464.80534214</v>
      </c>
      <c r="M238" s="24">
        <f t="shared" si="62"/>
        <v>17563590.937547166</v>
      </c>
      <c r="N238" s="24">
        <f t="shared" si="62"/>
        <v>0</v>
      </c>
      <c r="O238" s="24">
        <f t="shared" si="62"/>
        <v>222301810.49246317</v>
      </c>
      <c r="P238" s="24">
        <f t="shared" si="62"/>
        <v>2809580.4141106531</v>
      </c>
      <c r="Q238" s="24">
        <f t="shared" si="62"/>
        <v>12619681.396730196</v>
      </c>
      <c r="R238" s="24">
        <f t="shared" si="62"/>
        <v>386417694.57751417</v>
      </c>
      <c r="S238" s="24">
        <f t="shared" si="62"/>
        <v>1527627.3777021791</v>
      </c>
      <c r="T238" s="24">
        <f t="shared" si="62"/>
        <v>0</v>
      </c>
    </row>
    <row r="244" spans="6:10">
      <c r="J244" s="151"/>
    </row>
    <row r="246" spans="6:10">
      <c r="F246" s="51"/>
    </row>
    <row r="249" spans="6:10">
      <c r="F249" s="51"/>
    </row>
  </sheetData>
  <phoneticPr fontId="4"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2"/>
  </sheetPr>
  <dimension ref="B1:O27"/>
  <sheetViews>
    <sheetView showGridLines="0" zoomScale="85" zoomScaleNormal="85" workbookViewId="0"/>
  </sheetViews>
  <sheetFormatPr defaultRowHeight="12.75"/>
  <cols>
    <col min="1" max="1" width="2.5703125" customWidth="1"/>
    <col min="2" max="2" width="56.7109375" customWidth="1"/>
    <col min="3" max="3" width="2.5703125" customWidth="1"/>
    <col min="4" max="4" width="15.5703125" customWidth="1"/>
    <col min="5" max="5" width="2.5703125" customWidth="1"/>
    <col min="6" max="6" width="21.42578125" customWidth="1"/>
    <col min="7" max="15" width="14.85546875" customWidth="1"/>
  </cols>
  <sheetData>
    <row r="1" spans="2:15" ht="12" customHeight="1"/>
    <row r="2" spans="2:15" s="1" customFormat="1" ht="18">
      <c r="B2" s="1" t="s">
        <v>694</v>
      </c>
      <c r="F2" s="5"/>
      <c r="G2" s="5"/>
      <c r="H2" s="5"/>
      <c r="I2" s="5"/>
      <c r="J2" s="5"/>
      <c r="K2" s="5"/>
      <c r="L2" s="5"/>
      <c r="M2" s="5"/>
      <c r="N2" s="5"/>
    </row>
    <row r="4" spans="2:15">
      <c r="B4" s="51" t="s">
        <v>548</v>
      </c>
    </row>
    <row r="5" spans="2:15">
      <c r="B5" s="51" t="s">
        <v>549</v>
      </c>
    </row>
    <row r="6" spans="2:15">
      <c r="B6" s="51" t="s">
        <v>678</v>
      </c>
    </row>
    <row r="7" spans="2:15">
      <c r="B7" s="51"/>
    </row>
    <row r="8" spans="2:15">
      <c r="B8" s="27" t="s">
        <v>693</v>
      </c>
    </row>
    <row r="10" spans="2:15" s="2" customFormat="1">
      <c r="B10" s="2" t="s">
        <v>137</v>
      </c>
    </row>
    <row r="12" spans="2:15">
      <c r="B12" s="3" t="s">
        <v>687</v>
      </c>
      <c r="G12" s="245" t="s">
        <v>451</v>
      </c>
      <c r="H12" s="245">
        <v>2009</v>
      </c>
      <c r="I12" s="245">
        <v>2010</v>
      </c>
      <c r="J12" s="245">
        <v>2011</v>
      </c>
      <c r="K12" s="245">
        <v>2012</v>
      </c>
      <c r="L12" s="245">
        <v>2013</v>
      </c>
      <c r="M12" s="245">
        <v>2014</v>
      </c>
      <c r="N12" s="245">
        <v>2015</v>
      </c>
      <c r="O12" s="245">
        <v>2016</v>
      </c>
    </row>
    <row r="13" spans="2:15">
      <c r="B13" s="51"/>
      <c r="G13" s="245"/>
      <c r="H13" s="245"/>
      <c r="I13" s="245"/>
      <c r="J13" s="245"/>
      <c r="K13" s="245"/>
      <c r="L13" s="245"/>
      <c r="M13" s="245"/>
      <c r="N13" s="245"/>
      <c r="O13" s="245"/>
    </row>
    <row r="14" spans="2:15">
      <c r="B14" s="51"/>
      <c r="G14" s="194" t="s">
        <v>676</v>
      </c>
      <c r="H14" s="194" t="s">
        <v>676</v>
      </c>
      <c r="I14" s="194" t="s">
        <v>183</v>
      </c>
      <c r="J14" s="194" t="s">
        <v>184</v>
      </c>
      <c r="K14" s="194" t="s">
        <v>185</v>
      </c>
      <c r="L14" s="194" t="s">
        <v>186</v>
      </c>
      <c r="M14" s="194" t="s">
        <v>186</v>
      </c>
      <c r="N14" s="194" t="s">
        <v>186</v>
      </c>
      <c r="O14" s="194" t="s">
        <v>186</v>
      </c>
    </row>
    <row r="16" spans="2:15">
      <c r="B16" s="51" t="s">
        <v>674</v>
      </c>
      <c r="G16" s="87">
        <v>5298000</v>
      </c>
      <c r="H16" s="87">
        <v>5319000</v>
      </c>
      <c r="I16" s="87">
        <v>6480000</v>
      </c>
      <c r="J16" s="87">
        <v>6805000</v>
      </c>
      <c r="K16" s="87">
        <v>6999000</v>
      </c>
      <c r="L16" s="87">
        <v>13120000</v>
      </c>
      <c r="M16" s="87">
        <v>25748000</v>
      </c>
      <c r="N16" s="87">
        <v>27695000</v>
      </c>
      <c r="O16" s="87">
        <v>27695000</v>
      </c>
    </row>
    <row r="17" spans="2:15">
      <c r="B17" s="51" t="s">
        <v>675</v>
      </c>
      <c r="G17" s="87">
        <v>443000</v>
      </c>
      <c r="H17" s="87">
        <v>170000</v>
      </c>
      <c r="I17" s="87">
        <v>171000</v>
      </c>
      <c r="J17" s="87">
        <v>53000</v>
      </c>
      <c r="K17" s="87">
        <v>65000</v>
      </c>
      <c r="L17" s="87">
        <v>74000</v>
      </c>
      <c r="M17" s="87">
        <v>73000</v>
      </c>
      <c r="N17" s="87">
        <v>72000</v>
      </c>
      <c r="O17" s="249">
        <v>72000</v>
      </c>
    </row>
    <row r="18" spans="2:15">
      <c r="B18" s="51" t="s">
        <v>695</v>
      </c>
      <c r="G18" s="107">
        <f>G16-G17</f>
        <v>4855000</v>
      </c>
      <c r="H18" s="107">
        <f t="shared" ref="H18:N18" si="0">H16-H17</f>
        <v>5149000</v>
      </c>
      <c r="I18" s="107">
        <f t="shared" si="0"/>
        <v>6309000</v>
      </c>
      <c r="J18" s="107">
        <f t="shared" si="0"/>
        <v>6752000</v>
      </c>
      <c r="K18" s="107">
        <f t="shared" si="0"/>
        <v>6934000</v>
      </c>
      <c r="L18" s="107">
        <f t="shared" si="0"/>
        <v>13046000</v>
      </c>
      <c r="M18" s="107">
        <f t="shared" si="0"/>
        <v>25675000</v>
      </c>
      <c r="N18" s="107">
        <f t="shared" si="0"/>
        <v>27623000</v>
      </c>
      <c r="O18" s="107">
        <f>O16-O17</f>
        <v>27623000</v>
      </c>
    </row>
    <row r="19" spans="2:15">
      <c r="B19" s="51"/>
      <c r="G19" s="54"/>
      <c r="H19" s="54"/>
      <c r="I19" s="54"/>
      <c r="J19" s="54"/>
      <c r="K19" s="54"/>
      <c r="L19" s="54"/>
      <c r="M19" s="54"/>
      <c r="N19" s="54"/>
      <c r="O19" s="54"/>
    </row>
    <row r="20" spans="2:15">
      <c r="B20" s="51" t="s">
        <v>691</v>
      </c>
      <c r="G20" s="54"/>
      <c r="H20" s="54"/>
      <c r="I20" s="150">
        <f>I18-$H$18</f>
        <v>1160000</v>
      </c>
      <c r="J20" s="150">
        <f t="shared" ref="J20" si="1">J18-$H$18</f>
        <v>1603000</v>
      </c>
      <c r="K20" s="150">
        <f>K18-$H$18</f>
        <v>1785000</v>
      </c>
      <c r="L20" s="247">
        <f>F27</f>
        <v>5176555.555555556</v>
      </c>
      <c r="M20" s="150">
        <f>M18-$H$18</f>
        <v>20526000</v>
      </c>
      <c r="N20" s="150">
        <f>N18-$H$18</f>
        <v>22474000</v>
      </c>
      <c r="O20" s="150">
        <f>O18-$H$18</f>
        <v>22474000</v>
      </c>
    </row>
    <row r="22" spans="2:15" s="258" customFormat="1">
      <c r="B22" s="261" t="s">
        <v>988</v>
      </c>
    </row>
    <row r="23" spans="2:15">
      <c r="B23" s="51" t="s">
        <v>989</v>
      </c>
      <c r="F23" s="107">
        <f>L16-K16</f>
        <v>6121000</v>
      </c>
    </row>
    <row r="24" spans="2:15">
      <c r="B24" s="51" t="s">
        <v>990</v>
      </c>
      <c r="F24" s="107">
        <f>(5/9)*F23</f>
        <v>3400555.5555555555</v>
      </c>
    </row>
    <row r="25" spans="2:15">
      <c r="B25" s="156" t="s">
        <v>696</v>
      </c>
      <c r="F25" s="107">
        <f>K16+F24</f>
        <v>10399555.555555556</v>
      </c>
    </row>
    <row r="26" spans="2:15">
      <c r="B26" s="51" t="s">
        <v>675</v>
      </c>
      <c r="F26" s="43">
        <f>L17</f>
        <v>74000</v>
      </c>
    </row>
    <row r="27" spans="2:15">
      <c r="B27" s="51" t="s">
        <v>692</v>
      </c>
      <c r="F27" s="150">
        <f>F25-H18-F26</f>
        <v>5176555.555555556</v>
      </c>
    </row>
  </sheetData>
  <phoneticPr fontId="4" type="noConversion"/>
  <pageMargins left="0.75" right="0.75" top="1" bottom="1" header="0.5" footer="0.5"/>
  <pageSetup paperSize="9"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B1:Q51"/>
  <sheetViews>
    <sheetView showGridLines="0" zoomScale="85" zoomScaleNormal="85" workbookViewId="0"/>
  </sheetViews>
  <sheetFormatPr defaultRowHeight="12.75"/>
  <cols>
    <col min="1" max="1" width="2.5703125" customWidth="1"/>
    <col min="2" max="2" width="54.85546875" customWidth="1"/>
    <col min="3" max="3" width="2.5703125" customWidth="1"/>
    <col min="4" max="4" width="14.5703125" customWidth="1"/>
    <col min="5" max="5" width="2.5703125" customWidth="1"/>
    <col min="6" max="6" width="21.42578125" customWidth="1"/>
    <col min="7" max="15" width="17.28515625" customWidth="1"/>
    <col min="16" max="16" width="5.7109375" customWidth="1"/>
    <col min="17" max="17" width="23.140625" customWidth="1"/>
  </cols>
  <sheetData>
    <row r="1" spans="2:17" ht="12" customHeight="1"/>
    <row r="2" spans="2:17" s="1" customFormat="1" ht="18">
      <c r="B2" s="1" t="s">
        <v>468</v>
      </c>
      <c r="F2" s="5" t="s">
        <v>105</v>
      </c>
      <c r="G2" s="5" t="s">
        <v>96</v>
      </c>
      <c r="H2" s="5" t="s">
        <v>97</v>
      </c>
      <c r="I2" s="5" t="s">
        <v>98</v>
      </c>
      <c r="J2" s="5" t="s">
        <v>99</v>
      </c>
      <c r="K2" s="5" t="s">
        <v>100</v>
      </c>
      <c r="L2" s="5" t="s">
        <v>101</v>
      </c>
      <c r="M2" s="5" t="s">
        <v>102</v>
      </c>
      <c r="N2" s="5" t="s">
        <v>103</v>
      </c>
      <c r="O2" s="5" t="s">
        <v>469</v>
      </c>
      <c r="Q2" s="5" t="s">
        <v>567</v>
      </c>
    </row>
    <row r="4" spans="2:17">
      <c r="B4" s="78" t="s">
        <v>833</v>
      </c>
    </row>
    <row r="6" spans="2:17">
      <c r="B6" s="183" t="s">
        <v>659</v>
      </c>
    </row>
    <row r="7" spans="2:17">
      <c r="B7" s="183" t="s">
        <v>1000</v>
      </c>
    </row>
    <row r="8" spans="2:17">
      <c r="G8" s="147"/>
      <c r="H8" s="147"/>
      <c r="I8" s="147"/>
      <c r="J8" s="147"/>
      <c r="K8" s="147"/>
      <c r="L8" s="147"/>
      <c r="M8" s="147"/>
      <c r="N8" s="147"/>
      <c r="O8" s="147"/>
    </row>
    <row r="10" spans="2:17" s="2" customFormat="1">
      <c r="B10" s="2" t="s">
        <v>609</v>
      </c>
    </row>
    <row r="12" spans="2:17">
      <c r="B12" s="23"/>
      <c r="C12" s="23"/>
      <c r="D12" s="176"/>
      <c r="E12" s="23"/>
      <c r="F12" s="23"/>
      <c r="G12" s="23"/>
      <c r="H12" s="23"/>
      <c r="I12" s="23"/>
      <c r="J12" s="23"/>
      <c r="K12" s="23"/>
      <c r="L12" s="23"/>
      <c r="M12" s="23"/>
      <c r="N12" s="23"/>
      <c r="O12" s="23"/>
    </row>
    <row r="13" spans="2:17">
      <c r="B13" s="22" t="s">
        <v>596</v>
      </c>
      <c r="C13" s="23"/>
      <c r="D13" s="23"/>
      <c r="E13" s="23"/>
      <c r="F13" s="23"/>
      <c r="G13" s="23"/>
      <c r="H13" s="23"/>
      <c r="I13" s="23"/>
      <c r="J13" s="23"/>
      <c r="K13" s="23"/>
      <c r="L13" s="23"/>
      <c r="M13" s="23"/>
      <c r="N13" s="23"/>
      <c r="O13" s="23"/>
    </row>
    <row r="14" spans="2:17">
      <c r="B14" s="135" t="s">
        <v>591</v>
      </c>
      <c r="C14" s="23"/>
      <c r="D14" s="135" t="s">
        <v>592</v>
      </c>
      <c r="E14" s="23"/>
      <c r="F14" s="177">
        <f>SUM(G14:N14)</f>
        <v>763743312911</v>
      </c>
      <c r="G14" s="178">
        <v>13935648628</v>
      </c>
      <c r="H14" s="178">
        <v>16406033920</v>
      </c>
      <c r="I14" s="178">
        <v>50817953058</v>
      </c>
      <c r="J14" s="178">
        <v>228556283671</v>
      </c>
      <c r="K14" s="178">
        <v>213487111819</v>
      </c>
      <c r="L14" s="178">
        <v>10676092808</v>
      </c>
      <c r="M14" s="178">
        <v>185279866450</v>
      </c>
      <c r="N14" s="178">
        <v>44584322557</v>
      </c>
      <c r="O14" s="178">
        <v>0</v>
      </c>
    </row>
    <row r="15" spans="2:17">
      <c r="B15" s="135" t="s">
        <v>593</v>
      </c>
      <c r="C15" s="23"/>
      <c r="D15" s="135" t="s">
        <v>592</v>
      </c>
      <c r="E15" s="23"/>
      <c r="F15" s="177">
        <f t="shared" ref="F15:F16" si="0">SUM(G15:N15)</f>
        <v>499733286902.31561</v>
      </c>
      <c r="G15" s="178">
        <v>12552127184.830252</v>
      </c>
      <c r="H15" s="178">
        <v>12607252725.282059</v>
      </c>
      <c r="I15" s="178">
        <v>34953479765.913078</v>
      </c>
      <c r="J15" s="178">
        <v>154940422010.00259</v>
      </c>
      <c r="K15" s="178">
        <v>151395501668.12152</v>
      </c>
      <c r="L15" s="178">
        <v>7835790198.2271643</v>
      </c>
      <c r="M15" s="178">
        <v>121081293807.13327</v>
      </c>
      <c r="N15" s="178">
        <v>4367419542.8056078</v>
      </c>
      <c r="O15" s="178">
        <v>0</v>
      </c>
    </row>
    <row r="16" spans="2:17">
      <c r="B16" s="135" t="s">
        <v>594</v>
      </c>
      <c r="C16" s="23"/>
      <c r="D16" s="135" t="s">
        <v>592</v>
      </c>
      <c r="E16" s="23"/>
      <c r="F16" s="177">
        <f t="shared" si="0"/>
        <v>260389713654</v>
      </c>
      <c r="G16" s="178">
        <v>2128924906</v>
      </c>
      <c r="H16" s="178">
        <v>3901353537</v>
      </c>
      <c r="I16" s="178">
        <v>15842681425</v>
      </c>
      <c r="J16" s="178">
        <v>73415328534</v>
      </c>
      <c r="K16" s="178">
        <v>60461364558</v>
      </c>
      <c r="L16" s="178">
        <v>2501732658</v>
      </c>
      <c r="M16" s="178">
        <v>62175323653</v>
      </c>
      <c r="N16" s="178">
        <v>39963004383</v>
      </c>
      <c r="O16" s="178">
        <v>0</v>
      </c>
    </row>
    <row r="17" spans="2:15">
      <c r="B17" s="23"/>
      <c r="C17" s="23"/>
      <c r="D17" s="23"/>
      <c r="E17" s="23"/>
      <c r="F17" s="23"/>
      <c r="G17" s="23"/>
      <c r="H17" s="23"/>
      <c r="I17" s="23"/>
      <c r="J17" s="23"/>
      <c r="K17" s="23"/>
      <c r="L17" s="23"/>
      <c r="M17" s="23"/>
      <c r="N17" s="23"/>
      <c r="O17" s="23"/>
    </row>
    <row r="18" spans="2:15">
      <c r="B18" s="22" t="s">
        <v>597</v>
      </c>
      <c r="C18" s="23"/>
      <c r="D18" s="176"/>
      <c r="E18" s="23"/>
      <c r="F18" s="23"/>
      <c r="G18" s="23"/>
      <c r="H18" s="23"/>
      <c r="I18" s="23"/>
      <c r="J18" s="23"/>
      <c r="K18" s="23"/>
      <c r="L18" s="23"/>
      <c r="M18" s="23"/>
      <c r="N18" s="23"/>
      <c r="O18" s="23"/>
    </row>
    <row r="19" spans="2:15">
      <c r="B19" s="135" t="s">
        <v>591</v>
      </c>
      <c r="C19" s="23"/>
      <c r="D19" s="135" t="s">
        <v>592</v>
      </c>
      <c r="E19" s="23"/>
      <c r="F19" s="177">
        <f t="shared" ref="F19:F21" si="1">SUM(G19:N19)</f>
        <v>882209267536</v>
      </c>
      <c r="G19" s="178">
        <v>15997699486</v>
      </c>
      <c r="H19" s="178">
        <v>19141037823</v>
      </c>
      <c r="I19" s="178">
        <v>58573800167</v>
      </c>
      <c r="J19" s="178">
        <v>265177851823</v>
      </c>
      <c r="K19" s="178">
        <v>246987092495</v>
      </c>
      <c r="L19" s="178">
        <v>12394963197</v>
      </c>
      <c r="M19" s="178">
        <v>212023674142</v>
      </c>
      <c r="N19" s="178">
        <v>51913148403</v>
      </c>
      <c r="O19" s="178">
        <v>0</v>
      </c>
    </row>
    <row r="20" spans="2:15">
      <c r="B20" s="135" t="s">
        <v>593</v>
      </c>
      <c r="C20" s="23"/>
      <c r="D20" s="135" t="s">
        <v>592</v>
      </c>
      <c r="E20" s="23"/>
      <c r="F20" s="177">
        <f t="shared" si="1"/>
        <v>587845614975.5105</v>
      </c>
      <c r="G20" s="178">
        <v>12607023972.32687</v>
      </c>
      <c r="H20" s="178">
        <v>14627314956.226517</v>
      </c>
      <c r="I20" s="178">
        <v>40924324263.126137</v>
      </c>
      <c r="J20" s="178">
        <v>182745270775.31216</v>
      </c>
      <c r="K20" s="178">
        <v>179111137010.93436</v>
      </c>
      <c r="L20" s="178">
        <v>9890219303.2712574</v>
      </c>
      <c r="M20" s="178">
        <v>142589740642.18515</v>
      </c>
      <c r="N20" s="178">
        <v>5350584052.1280279</v>
      </c>
      <c r="O20" s="178">
        <v>0</v>
      </c>
    </row>
    <row r="21" spans="2:15">
      <c r="B21" s="135" t="s">
        <v>594</v>
      </c>
      <c r="C21" s="23"/>
      <c r="D21" s="135" t="s">
        <v>592</v>
      </c>
      <c r="E21" s="23"/>
      <c r="F21" s="177">
        <f t="shared" si="1"/>
        <v>289444606371</v>
      </c>
      <c r="G21" s="178">
        <v>2323954675</v>
      </c>
      <c r="H21" s="178">
        <v>4649307981</v>
      </c>
      <c r="I21" s="178">
        <v>17490221869</v>
      </c>
      <c r="J21" s="178">
        <v>81680961943</v>
      </c>
      <c r="K21" s="178">
        <v>66756956736</v>
      </c>
      <c r="L21" s="178">
        <v>2679777246</v>
      </c>
      <c r="M21" s="178">
        <v>67634419153</v>
      </c>
      <c r="N21" s="178">
        <v>46229006768</v>
      </c>
      <c r="O21" s="178">
        <v>0</v>
      </c>
    </row>
    <row r="22" spans="2:15">
      <c r="B22" s="23"/>
      <c r="C22" s="23"/>
      <c r="D22" s="23"/>
      <c r="E22" s="23"/>
      <c r="F22" s="23"/>
      <c r="G22" s="23"/>
      <c r="H22" s="23"/>
      <c r="I22" s="23"/>
      <c r="J22" s="23"/>
      <c r="K22" s="23"/>
      <c r="L22" s="23"/>
      <c r="M22" s="23"/>
      <c r="N22" s="23"/>
      <c r="O22" s="23"/>
    </row>
    <row r="23" spans="2:15">
      <c r="B23" s="23"/>
      <c r="C23" s="23"/>
      <c r="D23" s="23"/>
      <c r="E23" s="23"/>
      <c r="F23" s="23"/>
      <c r="G23" s="23"/>
      <c r="H23" s="23"/>
      <c r="I23" s="23"/>
      <c r="J23" s="23"/>
      <c r="K23" s="23"/>
      <c r="L23" s="23"/>
      <c r="M23" s="23"/>
      <c r="N23" s="23"/>
      <c r="O23" s="23"/>
    </row>
    <row r="24" spans="2:15" s="2" customFormat="1">
      <c r="B24" s="2" t="s">
        <v>601</v>
      </c>
    </row>
    <row r="25" spans="2:15">
      <c r="B25" s="23"/>
      <c r="C25" s="23"/>
      <c r="D25" s="23"/>
      <c r="E25" s="23"/>
      <c r="F25" s="23"/>
      <c r="G25" s="23"/>
      <c r="H25" s="23"/>
      <c r="I25" s="23"/>
      <c r="J25" s="23"/>
      <c r="K25" s="23"/>
      <c r="L25" s="23"/>
      <c r="M25" s="23"/>
      <c r="N25" s="23"/>
      <c r="O25" s="23"/>
    </row>
    <row r="26" spans="2:15">
      <c r="B26" s="260" t="s">
        <v>709</v>
      </c>
      <c r="C26" s="23"/>
      <c r="D26" s="23"/>
      <c r="E26" s="23"/>
      <c r="F26" s="184"/>
      <c r="G26" s="185"/>
      <c r="H26" s="185"/>
      <c r="I26" s="23"/>
      <c r="J26" s="23"/>
      <c r="K26" s="23"/>
      <c r="L26" s="23"/>
      <c r="M26" s="23"/>
      <c r="N26" s="23"/>
    </row>
    <row r="27" spans="2:15">
      <c r="B27" s="135" t="s">
        <v>598</v>
      </c>
      <c r="C27" s="23"/>
      <c r="D27" s="135" t="s">
        <v>183</v>
      </c>
      <c r="E27" s="23"/>
      <c r="F27" s="186">
        <v>21486506</v>
      </c>
      <c r="G27" s="185"/>
      <c r="H27" s="185"/>
      <c r="I27" s="23"/>
      <c r="J27" s="23"/>
      <c r="K27" s="23"/>
      <c r="L27" s="23"/>
      <c r="M27" s="23"/>
      <c r="N27" s="23"/>
    </row>
    <row r="28" spans="2:15">
      <c r="B28" s="135" t="s">
        <v>599</v>
      </c>
      <c r="C28" s="23"/>
      <c r="D28" s="135" t="s">
        <v>183</v>
      </c>
      <c r="E28" s="23"/>
      <c r="F28" s="186">
        <v>114017</v>
      </c>
      <c r="G28" s="185"/>
      <c r="H28" s="185"/>
      <c r="I28" s="23"/>
      <c r="J28" s="23"/>
      <c r="K28" s="23"/>
      <c r="L28" s="23"/>
      <c r="M28" s="23"/>
      <c r="N28" s="23"/>
    </row>
    <row r="29" spans="2:15">
      <c r="B29" s="135" t="s">
        <v>600</v>
      </c>
      <c r="C29" s="23"/>
      <c r="D29" s="135" t="s">
        <v>183</v>
      </c>
      <c r="E29" s="23"/>
      <c r="F29" s="186">
        <v>1049071</v>
      </c>
      <c r="G29" s="185"/>
      <c r="H29" s="185"/>
      <c r="I29" s="23"/>
      <c r="J29" s="23"/>
      <c r="K29" s="23"/>
      <c r="L29" s="23"/>
      <c r="M29" s="23"/>
      <c r="N29" s="23"/>
    </row>
    <row r="30" spans="2:15">
      <c r="B30" s="135" t="s">
        <v>452</v>
      </c>
      <c r="C30" s="23"/>
      <c r="D30" s="135" t="s">
        <v>183</v>
      </c>
      <c r="E30" s="23"/>
      <c r="F30" s="187">
        <f>SUM(F27:F29)</f>
        <v>22649594</v>
      </c>
      <c r="G30" s="184"/>
      <c r="H30" s="23"/>
      <c r="I30" s="23"/>
      <c r="J30" s="182"/>
      <c r="K30" s="23"/>
      <c r="L30" s="23"/>
      <c r="M30" s="23"/>
      <c r="N30" s="23"/>
    </row>
    <row r="31" spans="2:15">
      <c r="B31" s="135"/>
      <c r="C31" s="23"/>
      <c r="D31" s="23"/>
      <c r="E31" s="23"/>
      <c r="F31" s="185"/>
      <c r="G31" s="23"/>
      <c r="H31" s="23"/>
      <c r="I31" s="23"/>
      <c r="J31" s="23"/>
      <c r="K31" s="23"/>
      <c r="L31" s="23"/>
      <c r="M31" s="23"/>
      <c r="N31" s="23"/>
    </row>
    <row r="32" spans="2:15">
      <c r="B32" s="260" t="s">
        <v>710</v>
      </c>
      <c r="C32" s="23"/>
      <c r="D32" s="23"/>
      <c r="E32" s="23"/>
      <c r="F32" s="23"/>
      <c r="G32" s="23"/>
      <c r="H32" s="23"/>
      <c r="I32" s="23"/>
      <c r="J32" s="23"/>
      <c r="K32" s="23"/>
      <c r="L32" s="23"/>
      <c r="M32" s="23"/>
      <c r="N32" s="23"/>
    </row>
    <row r="33" spans="2:15">
      <c r="B33" s="135" t="s">
        <v>598</v>
      </c>
      <c r="C33" s="23"/>
      <c r="D33" s="135" t="s">
        <v>184</v>
      </c>
      <c r="E33" s="23"/>
      <c r="F33" s="186">
        <v>22233337</v>
      </c>
      <c r="G33" s="23"/>
      <c r="H33" s="23"/>
      <c r="I33" s="23"/>
      <c r="J33" s="23"/>
      <c r="K33" s="23"/>
      <c r="L33" s="23"/>
      <c r="M33" s="23"/>
      <c r="N33" s="23"/>
    </row>
    <row r="34" spans="2:15">
      <c r="B34" s="135" t="s">
        <v>599</v>
      </c>
      <c r="C34" s="23"/>
      <c r="D34" s="135" t="s">
        <v>184</v>
      </c>
      <c r="E34" s="23"/>
      <c r="F34" s="186">
        <v>106074</v>
      </c>
      <c r="G34" s="23"/>
      <c r="H34" s="23"/>
      <c r="I34" s="23"/>
      <c r="J34" s="23"/>
      <c r="K34" s="23"/>
      <c r="L34" s="23"/>
      <c r="M34" s="23"/>
      <c r="N34" s="23"/>
    </row>
    <row r="35" spans="2:15">
      <c r="B35" s="135" t="s">
        <v>600</v>
      </c>
      <c r="C35" s="23"/>
      <c r="D35" s="135" t="s">
        <v>184</v>
      </c>
      <c r="E35" s="23"/>
      <c r="F35" s="186">
        <v>1052483</v>
      </c>
      <c r="G35" s="23"/>
      <c r="H35" s="23"/>
      <c r="I35" s="23"/>
      <c r="J35" s="23"/>
      <c r="K35" s="23"/>
      <c r="L35" s="23"/>
      <c r="M35" s="23"/>
      <c r="N35" s="23"/>
    </row>
    <row r="36" spans="2:15">
      <c r="B36" s="135" t="s">
        <v>452</v>
      </c>
      <c r="C36" s="23"/>
      <c r="D36" s="135" t="s">
        <v>184</v>
      </c>
      <c r="E36" s="23"/>
      <c r="F36" s="187">
        <f>SUM(F33:F35)</f>
        <v>23391894</v>
      </c>
      <c r="G36" s="184"/>
      <c r="H36" s="23"/>
      <c r="I36" s="23"/>
      <c r="J36" s="182"/>
      <c r="K36" s="23"/>
      <c r="L36" s="23"/>
      <c r="M36" s="23"/>
      <c r="N36" s="23"/>
    </row>
    <row r="37" spans="2:15">
      <c r="B37" s="135"/>
      <c r="C37" s="23"/>
      <c r="D37" s="23"/>
      <c r="E37" s="23"/>
      <c r="F37" s="185"/>
      <c r="G37" s="23"/>
      <c r="H37" s="23"/>
      <c r="I37" s="23"/>
      <c r="J37" s="23"/>
      <c r="K37" s="23"/>
      <c r="L37" s="23"/>
      <c r="M37" s="23"/>
      <c r="N37" s="23"/>
    </row>
    <row r="38" spans="2:15">
      <c r="B38" s="260" t="s">
        <v>711</v>
      </c>
      <c r="C38" s="23"/>
      <c r="D38" s="23"/>
      <c r="E38" s="23"/>
      <c r="F38" s="23"/>
      <c r="G38" s="23"/>
      <c r="H38" s="23"/>
      <c r="I38" s="23"/>
      <c r="J38" s="23"/>
      <c r="K38" s="23"/>
      <c r="L38" s="23"/>
      <c r="M38" s="23"/>
      <c r="N38" s="23"/>
    </row>
    <row r="39" spans="2:15">
      <c r="B39" s="135" t="s">
        <v>598</v>
      </c>
      <c r="C39" s="23"/>
      <c r="D39" s="135" t="s">
        <v>185</v>
      </c>
      <c r="E39" s="23"/>
      <c r="F39" s="186">
        <v>27471072</v>
      </c>
      <c r="G39" s="23"/>
      <c r="H39" s="23"/>
      <c r="I39" s="23"/>
      <c r="J39" s="23"/>
      <c r="K39" s="23"/>
      <c r="L39" s="23"/>
      <c r="M39" s="23"/>
      <c r="N39" s="23"/>
    </row>
    <row r="40" spans="2:15">
      <c r="B40" s="135" t="s">
        <v>599</v>
      </c>
      <c r="C40" s="23"/>
      <c r="D40" s="135" t="s">
        <v>185</v>
      </c>
      <c r="E40" s="23"/>
      <c r="F40" s="186">
        <v>107699</v>
      </c>
      <c r="G40" s="23"/>
      <c r="H40" s="23"/>
      <c r="I40" s="23"/>
      <c r="J40" s="23"/>
      <c r="K40" s="23"/>
      <c r="L40" s="23"/>
      <c r="M40" s="23"/>
      <c r="N40" s="23"/>
    </row>
    <row r="41" spans="2:15">
      <c r="B41" s="135" t="s">
        <v>600</v>
      </c>
      <c r="C41" s="23"/>
      <c r="D41" s="135" t="s">
        <v>185</v>
      </c>
      <c r="E41" s="23"/>
      <c r="F41" s="186">
        <v>830042</v>
      </c>
      <c r="G41" s="23"/>
      <c r="H41" s="23"/>
      <c r="I41" s="23"/>
      <c r="J41" s="23"/>
      <c r="K41" s="23"/>
      <c r="L41" s="23"/>
      <c r="M41" s="23"/>
      <c r="N41" s="23"/>
    </row>
    <row r="42" spans="2:15">
      <c r="B42" s="135" t="s">
        <v>452</v>
      </c>
      <c r="C42" s="23"/>
      <c r="D42" s="135" t="s">
        <v>185</v>
      </c>
      <c r="E42" s="23"/>
      <c r="F42" s="187">
        <f>SUM(F39:F41)</f>
        <v>28408813</v>
      </c>
      <c r="G42" s="184"/>
      <c r="H42" s="23"/>
      <c r="I42" s="23"/>
      <c r="J42" s="182"/>
      <c r="K42" s="23"/>
      <c r="L42" s="23"/>
      <c r="M42" s="23"/>
      <c r="N42" s="23"/>
    </row>
    <row r="43" spans="2:15">
      <c r="B43" s="135"/>
      <c r="C43" s="23"/>
      <c r="D43" s="23"/>
      <c r="E43" s="23"/>
      <c r="F43" s="185"/>
      <c r="G43" s="23"/>
      <c r="H43" s="23"/>
      <c r="I43" s="23"/>
      <c r="J43" s="23"/>
      <c r="K43" s="23"/>
      <c r="L43" s="23"/>
      <c r="M43" s="23"/>
      <c r="N43" s="23"/>
    </row>
    <row r="44" spans="2:15">
      <c r="B44" s="23"/>
      <c r="C44" s="23"/>
      <c r="D44" s="23"/>
      <c r="E44" s="23"/>
      <c r="F44" s="23"/>
      <c r="G44" s="23"/>
      <c r="H44" s="23"/>
      <c r="I44" s="23"/>
      <c r="J44" s="23"/>
      <c r="K44" s="23"/>
      <c r="L44" s="23"/>
      <c r="M44" s="23"/>
      <c r="N44" s="23"/>
      <c r="O44" s="23"/>
    </row>
    <row r="45" spans="2:15">
      <c r="B45" s="51" t="s">
        <v>712</v>
      </c>
      <c r="C45" s="23"/>
      <c r="D45" s="23"/>
      <c r="E45" s="23"/>
      <c r="F45" s="267">
        <v>0.02</v>
      </c>
      <c r="G45" s="23"/>
      <c r="H45" s="23"/>
      <c r="I45" s="23"/>
      <c r="J45" s="23"/>
      <c r="K45" s="23"/>
      <c r="L45" s="23"/>
      <c r="M45" s="23"/>
      <c r="N45" s="23"/>
      <c r="O45" s="23"/>
    </row>
    <row r="46" spans="2:15">
      <c r="B46" s="23"/>
      <c r="C46" s="23"/>
      <c r="D46" s="23"/>
      <c r="E46" s="23"/>
      <c r="F46" s="23"/>
      <c r="G46" s="23"/>
      <c r="H46" s="23"/>
      <c r="I46" s="23"/>
      <c r="J46" s="23"/>
      <c r="K46" s="23"/>
      <c r="L46" s="23"/>
      <c r="M46" s="23"/>
      <c r="N46" s="23"/>
      <c r="O46" s="23"/>
    </row>
    <row r="47" spans="2:15">
      <c r="B47" s="23"/>
      <c r="C47" s="23"/>
      <c r="D47" s="23"/>
      <c r="E47" s="23"/>
      <c r="F47" s="23"/>
      <c r="G47" s="23"/>
      <c r="H47" s="23"/>
      <c r="I47" s="23"/>
      <c r="J47" s="23"/>
      <c r="K47" s="23"/>
      <c r="L47" s="23"/>
      <c r="M47" s="23"/>
      <c r="N47" s="23"/>
      <c r="O47" s="23"/>
    </row>
    <row r="48" spans="2:15">
      <c r="B48" s="23"/>
      <c r="C48" s="23"/>
      <c r="D48" s="23"/>
      <c r="E48" s="23"/>
      <c r="F48" s="23"/>
      <c r="G48" s="23"/>
      <c r="H48" s="23"/>
      <c r="I48" s="23"/>
      <c r="J48" s="23"/>
      <c r="K48" s="23"/>
      <c r="L48" s="23"/>
      <c r="M48" s="23"/>
      <c r="N48" s="23"/>
      <c r="O48" s="23"/>
    </row>
    <row r="49" spans="2:15">
      <c r="B49" s="23"/>
      <c r="C49" s="23"/>
      <c r="D49" s="23"/>
      <c r="E49" s="23"/>
      <c r="F49" s="23"/>
      <c r="G49" s="23"/>
      <c r="H49" s="23"/>
      <c r="I49" s="23"/>
      <c r="J49" s="23"/>
      <c r="K49" s="23"/>
      <c r="L49" s="23"/>
      <c r="M49" s="23"/>
      <c r="N49" s="23"/>
      <c r="O49" s="23"/>
    </row>
    <row r="50" spans="2:15">
      <c r="B50" s="23"/>
      <c r="C50" s="23"/>
      <c r="D50" s="23"/>
      <c r="E50" s="23"/>
      <c r="F50" s="23"/>
      <c r="G50" s="23"/>
      <c r="H50" s="23"/>
      <c r="I50" s="23"/>
      <c r="J50" s="23"/>
      <c r="K50" s="23"/>
      <c r="L50" s="23"/>
      <c r="M50" s="23"/>
      <c r="N50" s="23"/>
      <c r="O50" s="23"/>
    </row>
    <row r="51" spans="2:15">
      <c r="B51" s="23"/>
      <c r="C51" s="23"/>
      <c r="D51" s="23"/>
      <c r="E51" s="23"/>
      <c r="F51" s="23"/>
      <c r="G51" s="23"/>
      <c r="H51" s="23"/>
      <c r="I51" s="23"/>
      <c r="J51" s="23"/>
      <c r="K51" s="23"/>
      <c r="L51" s="23"/>
      <c r="M51" s="23"/>
      <c r="N51" s="23"/>
      <c r="O51" s="23"/>
    </row>
  </sheetData>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Z151"/>
  <sheetViews>
    <sheetView showGridLines="0" zoomScale="85" zoomScaleNormal="85" workbookViewId="0"/>
  </sheetViews>
  <sheetFormatPr defaultRowHeight="14.25"/>
  <cols>
    <col min="1" max="1" width="2.5703125" style="314" customWidth="1"/>
    <col min="2" max="2" width="74.5703125" style="315" customWidth="1"/>
    <col min="3" max="3" width="2.5703125" style="315" customWidth="1"/>
    <col min="4" max="4" width="14.5703125" style="315" customWidth="1"/>
    <col min="5" max="5" width="2.5703125" style="316" customWidth="1"/>
    <col min="6" max="6" width="21.42578125" style="317" customWidth="1"/>
    <col min="7" max="14" width="14.85546875" style="316" customWidth="1"/>
    <col min="15" max="15" width="11.42578125" style="316" customWidth="1"/>
    <col min="16" max="16" width="20.7109375" style="316" customWidth="1"/>
    <col min="17" max="18" width="9.140625" style="316"/>
    <col min="19" max="24" width="15" style="316" customWidth="1"/>
    <col min="25" max="16384" width="9.140625" style="316"/>
  </cols>
  <sheetData>
    <row r="1" spans="1:24" ht="12" customHeight="1"/>
    <row r="2" spans="1:24" s="320" customFormat="1" ht="18">
      <c r="A2" s="318"/>
      <c r="B2" s="319" t="s">
        <v>838</v>
      </c>
      <c r="C2" s="319"/>
      <c r="D2" s="319"/>
      <c r="F2" s="321" t="s">
        <v>105</v>
      </c>
      <c r="G2" s="322" t="s">
        <v>96</v>
      </c>
      <c r="H2" s="322" t="s">
        <v>97</v>
      </c>
      <c r="I2" s="322" t="s">
        <v>98</v>
      </c>
      <c r="J2" s="322" t="s">
        <v>99</v>
      </c>
      <c r="K2" s="322" t="s">
        <v>100</v>
      </c>
      <c r="L2" s="322" t="s">
        <v>101</v>
      </c>
      <c r="M2" s="322" t="s">
        <v>102</v>
      </c>
      <c r="N2" s="322" t="s">
        <v>103</v>
      </c>
      <c r="P2" s="318" t="s">
        <v>567</v>
      </c>
      <c r="S2" s="318" t="s">
        <v>653</v>
      </c>
      <c r="T2" s="318" t="s">
        <v>654</v>
      </c>
      <c r="U2" s="318" t="s">
        <v>655</v>
      </c>
      <c r="V2" s="318" t="s">
        <v>656</v>
      </c>
      <c r="W2" s="318" t="s">
        <v>657</v>
      </c>
      <c r="X2" s="318" t="s">
        <v>658</v>
      </c>
    </row>
    <row r="3" spans="1:24" s="175" customFormat="1" ht="12.75">
      <c r="B3" s="323" t="s">
        <v>839</v>
      </c>
    </row>
    <row r="4" spans="1:24" s="175" customFormat="1" ht="12.75">
      <c r="B4" s="323" t="s">
        <v>992</v>
      </c>
    </row>
    <row r="5" spans="1:24">
      <c r="B5" s="324" t="s">
        <v>840</v>
      </c>
      <c r="F5" s="325"/>
      <c r="G5" s="314"/>
      <c r="H5" s="314"/>
      <c r="I5" s="314"/>
      <c r="J5" s="314"/>
      <c r="K5" s="314"/>
      <c r="L5" s="314"/>
      <c r="M5" s="314"/>
      <c r="N5" s="314"/>
    </row>
    <row r="6" spans="1:24">
      <c r="B6" s="315" t="s">
        <v>841</v>
      </c>
      <c r="F6" s="325"/>
      <c r="G6" s="314"/>
      <c r="H6" s="314"/>
      <c r="I6" s="314"/>
      <c r="J6" s="314"/>
      <c r="K6" s="314"/>
      <c r="L6" s="314"/>
      <c r="M6" s="314"/>
      <c r="N6" s="314"/>
    </row>
    <row r="7" spans="1:24">
      <c r="F7" s="325"/>
      <c r="G7" s="314"/>
      <c r="H7" s="314"/>
      <c r="I7" s="314"/>
      <c r="J7" s="314"/>
      <c r="K7" s="314"/>
      <c r="L7" s="314"/>
      <c r="M7" s="314"/>
      <c r="N7" s="314"/>
    </row>
    <row r="8" spans="1:24">
      <c r="B8" s="315" t="s">
        <v>842</v>
      </c>
      <c r="F8" s="326"/>
      <c r="G8" s="314"/>
      <c r="H8" s="314"/>
      <c r="I8" s="314"/>
      <c r="J8" s="314"/>
      <c r="K8" s="314"/>
      <c r="L8" s="314"/>
      <c r="M8" s="314"/>
      <c r="N8" s="314"/>
    </row>
    <row r="9" spans="1:24">
      <c r="B9" s="315" t="s">
        <v>1001</v>
      </c>
      <c r="F9" s="326"/>
      <c r="G9" s="314"/>
      <c r="H9" s="314"/>
      <c r="I9" s="314"/>
      <c r="J9" s="314"/>
      <c r="K9" s="314"/>
      <c r="L9" s="314"/>
      <c r="M9" s="314"/>
      <c r="N9" s="314"/>
    </row>
    <row r="10" spans="1:24">
      <c r="B10" s="315" t="s">
        <v>991</v>
      </c>
      <c r="F10" s="326"/>
      <c r="G10" s="314"/>
      <c r="H10" s="314"/>
      <c r="I10" s="314"/>
      <c r="J10" s="314"/>
      <c r="K10" s="314"/>
      <c r="L10" s="314"/>
      <c r="M10" s="314"/>
      <c r="N10" s="314"/>
    </row>
    <row r="11" spans="1:24">
      <c r="B11" s="315" t="s">
        <v>958</v>
      </c>
      <c r="F11" s="326"/>
      <c r="G11" s="314"/>
      <c r="H11" s="314"/>
      <c r="I11" s="314"/>
      <c r="J11" s="314"/>
      <c r="K11" s="314"/>
      <c r="L11" s="314"/>
      <c r="M11" s="314"/>
      <c r="N11" s="314"/>
    </row>
    <row r="12" spans="1:24">
      <c r="F12" s="327"/>
      <c r="G12" s="314"/>
      <c r="H12" s="314"/>
      <c r="I12" s="314"/>
      <c r="J12" s="314"/>
      <c r="K12" s="314"/>
      <c r="L12" s="314"/>
      <c r="M12" s="314"/>
      <c r="N12" s="314"/>
    </row>
    <row r="13" spans="1:24" s="328" customFormat="1" ht="12.75">
      <c r="B13" s="329" t="s">
        <v>843</v>
      </c>
      <c r="C13" s="329"/>
      <c r="D13" s="329"/>
      <c r="F13" s="329"/>
      <c r="G13" s="329"/>
      <c r="H13" s="329"/>
    </row>
    <row r="14" spans="1:24">
      <c r="F14" s="327"/>
      <c r="G14" s="314"/>
      <c r="H14" s="314"/>
      <c r="I14" s="314"/>
      <c r="J14" s="314"/>
      <c r="K14" s="314"/>
      <c r="L14" s="314"/>
      <c r="M14" s="314"/>
      <c r="N14" s="314"/>
    </row>
    <row r="15" spans="1:24">
      <c r="B15" s="315" t="s">
        <v>844</v>
      </c>
      <c r="D15" s="315" t="s">
        <v>845</v>
      </c>
      <c r="F15" s="327"/>
      <c r="G15" s="314"/>
      <c r="H15" s="314"/>
      <c r="I15" s="314"/>
      <c r="J15" s="314"/>
      <c r="K15" s="314"/>
      <c r="L15" s="314"/>
      <c r="M15" s="314"/>
      <c r="N15" s="314"/>
    </row>
    <row r="16" spans="1:24">
      <c r="B16" s="315" t="s">
        <v>846</v>
      </c>
      <c r="D16" s="315" t="s">
        <v>847</v>
      </c>
      <c r="F16" s="327"/>
      <c r="G16" s="314"/>
      <c r="H16" s="314"/>
      <c r="I16" s="314"/>
      <c r="J16" s="314"/>
      <c r="K16" s="314"/>
      <c r="L16" s="314"/>
      <c r="M16" s="314"/>
      <c r="N16" s="314"/>
    </row>
    <row r="17" spans="2:24">
      <c r="B17" s="315" t="s">
        <v>848</v>
      </c>
      <c r="D17" s="315" t="s">
        <v>845</v>
      </c>
      <c r="F17" s="327"/>
      <c r="G17" s="314"/>
      <c r="H17" s="314"/>
      <c r="I17" s="314"/>
      <c r="J17" s="314"/>
      <c r="K17" s="314"/>
      <c r="L17" s="314"/>
      <c r="M17" s="314"/>
      <c r="N17" s="314"/>
    </row>
    <row r="18" spans="2:24">
      <c r="F18" s="327"/>
      <c r="G18" s="314"/>
      <c r="H18" s="314"/>
      <c r="I18" s="314"/>
      <c r="J18" s="314"/>
      <c r="K18" s="314"/>
      <c r="L18" s="314"/>
      <c r="M18" s="314"/>
      <c r="N18" s="314"/>
    </row>
    <row r="19" spans="2:24">
      <c r="B19" s="330" t="s">
        <v>849</v>
      </c>
      <c r="F19" s="327"/>
      <c r="G19" s="314"/>
      <c r="H19" s="314"/>
      <c r="I19" s="314"/>
      <c r="J19" s="314"/>
      <c r="K19" s="314"/>
      <c r="L19" s="314"/>
      <c r="M19" s="314"/>
      <c r="N19" s="314"/>
    </row>
    <row r="20" spans="2:24">
      <c r="B20" s="315" t="s">
        <v>850</v>
      </c>
      <c r="D20" s="314" t="s">
        <v>183</v>
      </c>
      <c r="F20" s="331"/>
      <c r="G20" s="332"/>
      <c r="H20" s="332"/>
      <c r="I20" s="333">
        <f>T20+S20</f>
        <v>0</v>
      </c>
      <c r="J20" s="333">
        <f>U20+V20</f>
        <v>0</v>
      </c>
      <c r="K20" s="333">
        <f>X20+W20</f>
        <v>0</v>
      </c>
      <c r="L20" s="332"/>
      <c r="M20" s="332"/>
      <c r="N20" s="332"/>
      <c r="S20" s="332"/>
      <c r="T20" s="332"/>
      <c r="U20" s="332"/>
      <c r="V20" s="332"/>
      <c r="W20" s="332"/>
      <c r="X20" s="332"/>
    </row>
    <row r="21" spans="2:24">
      <c r="B21" s="315" t="s">
        <v>851</v>
      </c>
      <c r="D21" s="314" t="s">
        <v>184</v>
      </c>
      <c r="F21" s="331"/>
      <c r="G21" s="332"/>
      <c r="H21" s="332"/>
      <c r="I21" s="333">
        <f t="shared" ref="I21:I22" si="0">T21+S21</f>
        <v>0</v>
      </c>
      <c r="J21" s="333">
        <f t="shared" ref="J21:J22" si="1">U21+V21</f>
        <v>0</v>
      </c>
      <c r="K21" s="333">
        <f t="shared" ref="K21" si="2">X21+W21</f>
        <v>0</v>
      </c>
      <c r="L21" s="332"/>
      <c r="M21" s="332"/>
      <c r="N21" s="332"/>
      <c r="S21" s="332"/>
      <c r="T21" s="332"/>
      <c r="U21" s="332"/>
      <c r="V21" s="332"/>
      <c r="W21" s="332"/>
      <c r="X21" s="332"/>
    </row>
    <row r="22" spans="2:24">
      <c r="B22" s="315" t="s">
        <v>852</v>
      </c>
      <c r="D22" s="314" t="s">
        <v>185</v>
      </c>
      <c r="F22" s="331"/>
      <c r="G22" s="332"/>
      <c r="H22" s="332"/>
      <c r="I22" s="333">
        <f t="shared" si="0"/>
        <v>0</v>
      </c>
      <c r="J22" s="333">
        <f t="shared" si="1"/>
        <v>3647899</v>
      </c>
      <c r="K22" s="333">
        <f>X22+W22</f>
        <v>0</v>
      </c>
      <c r="L22" s="332"/>
      <c r="M22" s="332"/>
      <c r="N22" s="332"/>
      <c r="S22" s="332"/>
      <c r="T22" s="332"/>
      <c r="U22" s="332">
        <v>3647899</v>
      </c>
      <c r="V22" s="332"/>
      <c r="W22" s="332"/>
      <c r="X22" s="332"/>
    </row>
    <row r="23" spans="2:24">
      <c r="B23" s="334"/>
      <c r="F23" s="327"/>
      <c r="G23" s="335"/>
      <c r="H23" s="335"/>
      <c r="I23" s="335"/>
      <c r="J23" s="335"/>
      <c r="K23" s="335"/>
      <c r="L23" s="335"/>
      <c r="M23" s="335"/>
      <c r="N23" s="335"/>
    </row>
    <row r="24" spans="2:24" s="328" customFormat="1" ht="12.75">
      <c r="B24" s="329" t="s">
        <v>853</v>
      </c>
      <c r="C24" s="329"/>
      <c r="D24" s="329"/>
      <c r="F24" s="329"/>
      <c r="G24" s="329"/>
      <c r="H24" s="329"/>
    </row>
    <row r="25" spans="2:24">
      <c r="F25" s="327"/>
      <c r="G25" s="314"/>
      <c r="H25" s="314"/>
      <c r="I25" s="314"/>
      <c r="J25" s="314"/>
      <c r="K25" s="314"/>
      <c r="L25" s="314"/>
      <c r="M25" s="314"/>
      <c r="N25" s="314"/>
    </row>
    <row r="26" spans="2:24">
      <c r="B26" s="315" t="s">
        <v>844</v>
      </c>
      <c r="D26" s="315" t="s">
        <v>845</v>
      </c>
      <c r="F26" s="327"/>
      <c r="G26" s="314"/>
      <c r="H26" s="314"/>
      <c r="I26" s="314"/>
      <c r="J26" s="314"/>
      <c r="K26" s="314"/>
      <c r="L26" s="314"/>
      <c r="M26" s="314"/>
      <c r="N26" s="314"/>
    </row>
    <row r="27" spans="2:24">
      <c r="B27" s="315" t="s">
        <v>846</v>
      </c>
      <c r="D27" s="315" t="s">
        <v>845</v>
      </c>
      <c r="F27" s="327"/>
      <c r="G27" s="314"/>
      <c r="H27" s="314"/>
      <c r="I27" s="314"/>
      <c r="J27" s="314"/>
      <c r="K27" s="314"/>
      <c r="L27" s="314"/>
      <c r="M27" s="314"/>
      <c r="N27" s="314"/>
    </row>
    <row r="28" spans="2:24">
      <c r="B28" s="315" t="s">
        <v>848</v>
      </c>
      <c r="D28" s="315" t="s">
        <v>845</v>
      </c>
      <c r="F28" s="327"/>
      <c r="G28" s="314"/>
      <c r="H28" s="314"/>
      <c r="I28" s="314"/>
      <c r="J28" s="314"/>
      <c r="K28" s="314"/>
      <c r="L28" s="314"/>
      <c r="M28" s="314"/>
      <c r="N28" s="314"/>
    </row>
    <row r="29" spans="2:24">
      <c r="F29" s="327"/>
      <c r="G29" s="314"/>
      <c r="H29" s="314"/>
      <c r="I29" s="314"/>
      <c r="J29" s="314"/>
      <c r="K29" s="314"/>
      <c r="L29" s="314"/>
      <c r="M29" s="314"/>
      <c r="N29" s="314"/>
    </row>
    <row r="30" spans="2:24">
      <c r="B30" s="330" t="s">
        <v>849</v>
      </c>
      <c r="F30" s="327"/>
      <c r="G30" s="314"/>
      <c r="H30" s="314"/>
      <c r="I30" s="314"/>
      <c r="J30" s="314"/>
      <c r="K30" s="314"/>
      <c r="L30" s="314"/>
      <c r="M30" s="314"/>
      <c r="N30" s="314"/>
    </row>
    <row r="31" spans="2:24">
      <c r="B31" s="315" t="s">
        <v>850</v>
      </c>
      <c r="D31" s="314" t="s">
        <v>183</v>
      </c>
      <c r="F31" s="331"/>
      <c r="G31" s="332"/>
      <c r="H31" s="332"/>
      <c r="I31" s="333">
        <f>T31+S31</f>
        <v>423000</v>
      </c>
      <c r="J31" s="333">
        <f>U31+V31</f>
        <v>0</v>
      </c>
      <c r="K31" s="333">
        <f>X31+W31</f>
        <v>66000</v>
      </c>
      <c r="L31" s="332"/>
      <c r="M31" s="332"/>
      <c r="N31" s="332"/>
      <c r="S31" s="332">
        <v>378000</v>
      </c>
      <c r="T31" s="428">
        <v>45000</v>
      </c>
      <c r="U31" s="332"/>
      <c r="V31" s="332"/>
      <c r="W31" s="332"/>
      <c r="X31" s="428">
        <v>66000</v>
      </c>
    </row>
    <row r="32" spans="2:24">
      <c r="B32" s="315" t="s">
        <v>851</v>
      </c>
      <c r="D32" s="314" t="s">
        <v>184</v>
      </c>
      <c r="F32" s="331"/>
      <c r="G32" s="332"/>
      <c r="H32" s="332"/>
      <c r="I32" s="333">
        <f t="shared" ref="I32:I33" si="3">T32+S32</f>
        <v>459000</v>
      </c>
      <c r="J32" s="333">
        <f t="shared" ref="J32:J33" si="4">U32+V32</f>
        <v>1138000</v>
      </c>
      <c r="K32" s="333">
        <f t="shared" ref="K32" si="5">X32+W32</f>
        <v>0</v>
      </c>
      <c r="L32" s="332"/>
      <c r="M32" s="332"/>
      <c r="N32" s="332"/>
      <c r="S32" s="332">
        <v>459000</v>
      </c>
      <c r="T32" s="332"/>
      <c r="U32" s="332">
        <v>1138000</v>
      </c>
      <c r="V32" s="332"/>
      <c r="W32" s="332"/>
      <c r="X32" s="332"/>
    </row>
    <row r="33" spans="2:24">
      <c r="B33" s="315" t="s">
        <v>852</v>
      </c>
      <c r="D33" s="314" t="s">
        <v>185</v>
      </c>
      <c r="F33" s="331"/>
      <c r="G33" s="332"/>
      <c r="H33" s="332"/>
      <c r="I33" s="333">
        <f t="shared" si="3"/>
        <v>494000</v>
      </c>
      <c r="J33" s="333">
        <f t="shared" si="4"/>
        <v>0</v>
      </c>
      <c r="K33" s="333">
        <f>X33+W33</f>
        <v>0</v>
      </c>
      <c r="L33" s="332"/>
      <c r="M33" s="332"/>
      <c r="N33" s="332"/>
      <c r="S33" s="332">
        <v>494000</v>
      </c>
      <c r="T33" s="332"/>
      <c r="U33" s="332"/>
      <c r="V33" s="332"/>
      <c r="W33" s="332"/>
      <c r="X33" s="332"/>
    </row>
    <row r="34" spans="2:24">
      <c r="B34" s="334"/>
      <c r="F34" s="327"/>
      <c r="G34" s="335"/>
      <c r="H34" s="335"/>
      <c r="I34" s="335"/>
      <c r="J34" s="335"/>
      <c r="K34" s="335"/>
      <c r="L34" s="335"/>
      <c r="M34" s="335"/>
      <c r="N34" s="335"/>
    </row>
    <row r="35" spans="2:24" s="328" customFormat="1" ht="12.75">
      <c r="B35" s="329" t="s">
        <v>854</v>
      </c>
      <c r="C35" s="329"/>
      <c r="D35" s="329"/>
      <c r="F35" s="329"/>
      <c r="G35" s="329"/>
      <c r="H35" s="329"/>
    </row>
    <row r="36" spans="2:24">
      <c r="F36" s="327"/>
      <c r="G36" s="314"/>
      <c r="H36" s="314"/>
      <c r="I36" s="314"/>
      <c r="J36" s="314"/>
      <c r="K36" s="314"/>
      <c r="L36" s="314"/>
      <c r="M36" s="314"/>
      <c r="N36" s="314"/>
    </row>
    <row r="37" spans="2:24">
      <c r="B37" s="315" t="s">
        <v>844</v>
      </c>
      <c r="D37" s="315" t="s">
        <v>845</v>
      </c>
      <c r="F37" s="327"/>
      <c r="G37" s="314"/>
      <c r="H37" s="314"/>
      <c r="I37" s="314"/>
      <c r="J37" s="314"/>
      <c r="K37" s="314"/>
      <c r="L37" s="314"/>
      <c r="M37" s="314"/>
      <c r="N37" s="314"/>
    </row>
    <row r="38" spans="2:24">
      <c r="B38" s="315" t="s">
        <v>846</v>
      </c>
      <c r="D38" s="315" t="s">
        <v>845</v>
      </c>
      <c r="F38" s="327"/>
      <c r="G38" s="314"/>
      <c r="H38" s="314"/>
      <c r="I38" s="314"/>
      <c r="J38" s="314"/>
      <c r="K38" s="314"/>
      <c r="L38" s="314"/>
      <c r="M38" s="314"/>
      <c r="N38" s="314"/>
    </row>
    <row r="39" spans="2:24">
      <c r="B39" s="315" t="s">
        <v>848</v>
      </c>
      <c r="D39" s="315" t="s">
        <v>847</v>
      </c>
      <c r="F39" s="327"/>
      <c r="G39" s="314"/>
      <c r="H39" s="314"/>
      <c r="I39" s="314"/>
      <c r="J39" s="314"/>
      <c r="K39" s="314"/>
      <c r="L39" s="314"/>
      <c r="M39" s="314"/>
      <c r="N39" s="314"/>
    </row>
    <row r="40" spans="2:24">
      <c r="F40" s="327"/>
      <c r="G40" s="314"/>
      <c r="H40" s="314"/>
      <c r="I40" s="314"/>
      <c r="J40" s="314"/>
      <c r="K40" s="314"/>
      <c r="L40" s="314"/>
      <c r="M40" s="314"/>
      <c r="N40" s="314"/>
    </row>
    <row r="41" spans="2:24">
      <c r="B41" s="330" t="s">
        <v>849</v>
      </c>
      <c r="F41" s="327"/>
      <c r="G41" s="314"/>
      <c r="H41" s="314"/>
      <c r="I41" s="314"/>
      <c r="J41" s="314"/>
      <c r="K41" s="314"/>
      <c r="L41" s="314"/>
      <c r="M41" s="314"/>
      <c r="N41" s="314"/>
    </row>
    <row r="42" spans="2:24">
      <c r="B42" s="315" t="s">
        <v>850</v>
      </c>
      <c r="D42" s="314" t="s">
        <v>183</v>
      </c>
      <c r="F42" s="331"/>
      <c r="G42" s="332"/>
      <c r="H42" s="332"/>
      <c r="I42" s="333">
        <f>T42+S42</f>
        <v>0</v>
      </c>
      <c r="J42" s="333">
        <f>U42+V42</f>
        <v>0</v>
      </c>
      <c r="K42" s="333">
        <f>X42+W42</f>
        <v>0</v>
      </c>
      <c r="L42" s="332"/>
      <c r="M42" s="332"/>
      <c r="N42" s="332"/>
      <c r="S42" s="332"/>
      <c r="T42" s="332"/>
      <c r="U42" s="332"/>
      <c r="V42" s="332"/>
      <c r="W42" s="332"/>
      <c r="X42" s="332"/>
    </row>
    <row r="43" spans="2:24">
      <c r="B43" s="315" t="s">
        <v>851</v>
      </c>
      <c r="D43" s="314" t="s">
        <v>184</v>
      </c>
      <c r="F43" s="331"/>
      <c r="G43" s="332"/>
      <c r="H43" s="332"/>
      <c r="I43" s="333">
        <f t="shared" ref="I43:I44" si="6">T43+S43</f>
        <v>0</v>
      </c>
      <c r="J43" s="333">
        <f t="shared" ref="J43:J44" si="7">U43+V43</f>
        <v>0</v>
      </c>
      <c r="K43" s="333">
        <f t="shared" ref="K43" si="8">X43+W43</f>
        <v>0</v>
      </c>
      <c r="L43" s="332"/>
      <c r="M43" s="332"/>
      <c r="N43" s="332">
        <v>103000</v>
      </c>
      <c r="S43" s="332"/>
      <c r="T43" s="332"/>
      <c r="U43" s="332"/>
      <c r="V43" s="332"/>
      <c r="W43" s="332"/>
      <c r="X43" s="332"/>
    </row>
    <row r="44" spans="2:24">
      <c r="B44" s="315" t="s">
        <v>852</v>
      </c>
      <c r="D44" s="314" t="s">
        <v>185</v>
      </c>
      <c r="F44" s="331"/>
      <c r="G44" s="332"/>
      <c r="H44" s="332"/>
      <c r="I44" s="333">
        <f t="shared" si="6"/>
        <v>0</v>
      </c>
      <c r="J44" s="333">
        <f t="shared" si="7"/>
        <v>0</v>
      </c>
      <c r="K44" s="333">
        <f>X44+W44</f>
        <v>0</v>
      </c>
      <c r="L44" s="332"/>
      <c r="M44" s="332"/>
      <c r="N44" s="332"/>
      <c r="S44" s="332"/>
      <c r="T44" s="332"/>
      <c r="U44" s="332"/>
      <c r="V44" s="332"/>
      <c r="W44" s="332"/>
      <c r="X44" s="332"/>
    </row>
    <row r="45" spans="2:24">
      <c r="B45" s="334"/>
      <c r="F45" s="327"/>
      <c r="G45" s="336"/>
      <c r="H45" s="336"/>
      <c r="I45" s="336"/>
      <c r="J45" s="336"/>
      <c r="K45" s="336"/>
      <c r="L45" s="336"/>
      <c r="M45" s="336"/>
      <c r="N45" s="335"/>
    </row>
    <row r="46" spans="2:24" s="328" customFormat="1" ht="12.75">
      <c r="B46" s="329" t="s">
        <v>855</v>
      </c>
      <c r="C46" s="329"/>
      <c r="D46" s="329"/>
      <c r="E46" s="329"/>
      <c r="F46" s="329"/>
    </row>
    <row r="47" spans="2:24">
      <c r="F47" s="327"/>
      <c r="G47" s="314"/>
      <c r="H47" s="314"/>
      <c r="I47" s="314"/>
      <c r="J47" s="314"/>
      <c r="K47" s="314"/>
      <c r="L47" s="314"/>
      <c r="M47" s="314"/>
      <c r="N47" s="314"/>
    </row>
    <row r="48" spans="2:24">
      <c r="B48" s="315" t="s">
        <v>844</v>
      </c>
      <c r="D48" s="315" t="s">
        <v>847</v>
      </c>
      <c r="F48" s="327"/>
      <c r="G48" s="314"/>
      <c r="H48" s="314"/>
      <c r="I48" s="314"/>
      <c r="J48" s="314"/>
      <c r="K48" s="314"/>
      <c r="L48" s="314"/>
      <c r="M48" s="314"/>
      <c r="N48" s="314"/>
    </row>
    <row r="49" spans="2:26">
      <c r="B49" s="315" t="s">
        <v>846</v>
      </c>
      <c r="D49" s="315" t="s">
        <v>845</v>
      </c>
      <c r="F49" s="327"/>
      <c r="G49" s="314"/>
      <c r="H49" s="314"/>
      <c r="I49" s="314"/>
      <c r="J49" s="314"/>
      <c r="K49" s="314"/>
      <c r="L49" s="314"/>
      <c r="M49" s="314"/>
      <c r="N49" s="314"/>
    </row>
    <row r="50" spans="2:26">
      <c r="B50" s="315" t="s">
        <v>848</v>
      </c>
      <c r="D50" s="315" t="s">
        <v>847</v>
      </c>
      <c r="F50" s="327"/>
      <c r="G50" s="314"/>
      <c r="H50" s="314"/>
      <c r="I50" s="314"/>
      <c r="J50" s="314"/>
      <c r="K50" s="314"/>
      <c r="L50" s="314"/>
      <c r="M50" s="314"/>
      <c r="N50" s="314"/>
    </row>
    <row r="51" spans="2:26">
      <c r="F51" s="327"/>
      <c r="G51" s="314"/>
      <c r="H51" s="314"/>
      <c r="I51" s="314"/>
      <c r="J51" s="314"/>
      <c r="K51" s="314"/>
      <c r="L51" s="314"/>
      <c r="M51" s="314"/>
      <c r="N51" s="314"/>
    </row>
    <row r="52" spans="2:26">
      <c r="B52" s="330" t="s">
        <v>856</v>
      </c>
      <c r="F52" s="327"/>
      <c r="G52" s="314"/>
      <c r="H52" s="314"/>
      <c r="I52" s="314"/>
      <c r="J52" s="314"/>
      <c r="K52" s="314"/>
      <c r="L52" s="314"/>
      <c r="M52" s="314"/>
      <c r="N52" s="314"/>
    </row>
    <row r="53" spans="2:26">
      <c r="B53" s="315" t="s">
        <v>850</v>
      </c>
      <c r="D53" s="314" t="s">
        <v>183</v>
      </c>
      <c r="F53" s="331"/>
      <c r="G53" s="332">
        <v>119000</v>
      </c>
      <c r="H53" s="332">
        <v>130000</v>
      </c>
      <c r="I53" s="333">
        <f>T53+S53</f>
        <v>0</v>
      </c>
      <c r="J53" s="333">
        <f>U53+V53</f>
        <v>2006000</v>
      </c>
      <c r="K53" s="333">
        <f>X53+W53</f>
        <v>4095000</v>
      </c>
      <c r="L53" s="332">
        <v>44046</v>
      </c>
      <c r="M53" s="332">
        <v>6592000</v>
      </c>
      <c r="N53" s="332"/>
      <c r="S53" s="332"/>
      <c r="T53" s="332"/>
      <c r="U53" s="332">
        <v>2006000</v>
      </c>
      <c r="V53" s="332"/>
      <c r="W53" s="332">
        <v>4095000</v>
      </c>
      <c r="X53" s="332"/>
    </row>
    <row r="54" spans="2:26">
      <c r="B54" s="315" t="s">
        <v>851</v>
      </c>
      <c r="D54" s="314" t="s">
        <v>184</v>
      </c>
      <c r="F54" s="331"/>
      <c r="G54" s="332">
        <v>116392</v>
      </c>
      <c r="H54" s="332">
        <v>307300</v>
      </c>
      <c r="I54" s="333">
        <f t="shared" ref="I54" si="9">T54+S54</f>
        <v>0</v>
      </c>
      <c r="J54" s="333">
        <f>U54+V54</f>
        <v>0</v>
      </c>
      <c r="K54" s="333">
        <f>X54+W54</f>
        <v>3506307.5553520401</v>
      </c>
      <c r="L54" s="332">
        <v>35346</v>
      </c>
      <c r="M54" s="332">
        <v>5217000</v>
      </c>
      <c r="N54" s="332"/>
      <c r="S54" s="332"/>
      <c r="T54" s="332"/>
      <c r="U54" s="332"/>
      <c r="V54" s="332"/>
      <c r="W54" s="332">
        <v>3506307.5553520401</v>
      </c>
      <c r="X54" s="332"/>
    </row>
    <row r="55" spans="2:26">
      <c r="B55" s="315" t="s">
        <v>852</v>
      </c>
      <c r="D55" s="314" t="s">
        <v>185</v>
      </c>
      <c r="F55" s="331"/>
      <c r="G55" s="332">
        <v>-9612</v>
      </c>
      <c r="H55" s="332"/>
      <c r="I55" s="333">
        <f>T55+S55</f>
        <v>0</v>
      </c>
      <c r="J55" s="333">
        <f>U55+V55</f>
        <v>0</v>
      </c>
      <c r="K55" s="333">
        <f>X55+W55</f>
        <v>0</v>
      </c>
      <c r="L55" s="332">
        <v>28104</v>
      </c>
      <c r="M55" s="332"/>
      <c r="N55" s="332">
        <v>105500</v>
      </c>
      <c r="S55" s="332"/>
      <c r="T55" s="332"/>
      <c r="U55" s="332"/>
      <c r="V55" s="332"/>
      <c r="W55" s="332"/>
      <c r="X55" s="332"/>
    </row>
    <row r="56" spans="2:26">
      <c r="B56" s="334"/>
      <c r="F56" s="327"/>
      <c r="G56" s="335"/>
      <c r="H56" s="335"/>
      <c r="I56" s="336"/>
      <c r="J56" s="336"/>
      <c r="K56" s="336"/>
      <c r="L56" s="335"/>
      <c r="M56" s="335"/>
      <c r="N56" s="335"/>
      <c r="U56" s="336"/>
      <c r="W56" s="335"/>
    </row>
    <row r="57" spans="2:26">
      <c r="B57" s="330" t="s">
        <v>857</v>
      </c>
      <c r="F57" s="327"/>
      <c r="G57" s="335"/>
      <c r="H57" s="335"/>
      <c r="I57" s="335"/>
      <c r="J57" s="335"/>
      <c r="K57" s="335"/>
      <c r="L57" s="335"/>
      <c r="M57" s="335"/>
      <c r="N57" s="335"/>
      <c r="U57" s="335"/>
      <c r="W57" s="335"/>
    </row>
    <row r="58" spans="2:26">
      <c r="B58" s="334" t="s">
        <v>858</v>
      </c>
      <c r="D58" s="314" t="s">
        <v>183</v>
      </c>
      <c r="F58" s="331"/>
      <c r="G58" s="332">
        <v>160000</v>
      </c>
      <c r="H58" s="332">
        <v>62000</v>
      </c>
      <c r="I58" s="333">
        <f>T58+S58</f>
        <v>0</v>
      </c>
      <c r="J58" s="333">
        <f>U58+V58</f>
        <v>837000</v>
      </c>
      <c r="K58" s="333">
        <f>X58+W58</f>
        <v>1499000</v>
      </c>
      <c r="L58" s="332">
        <v>22421.64</v>
      </c>
      <c r="M58" s="332">
        <v>2721000</v>
      </c>
      <c r="N58" s="332"/>
      <c r="S58" s="332"/>
      <c r="T58" s="332"/>
      <c r="U58" s="332">
        <v>673000</v>
      </c>
      <c r="V58" s="332">
        <v>164000</v>
      </c>
      <c r="W58" s="332">
        <v>1499000</v>
      </c>
      <c r="X58" s="332"/>
      <c r="Y58" s="336"/>
      <c r="Z58" s="336"/>
    </row>
    <row r="59" spans="2:26">
      <c r="B59" s="337" t="s">
        <v>859</v>
      </c>
      <c r="D59" s="314" t="s">
        <v>183</v>
      </c>
      <c r="F59" s="331"/>
      <c r="G59" s="332">
        <v>0</v>
      </c>
      <c r="H59" s="332">
        <v>0</v>
      </c>
      <c r="I59" s="333">
        <f>T59+S59</f>
        <v>0</v>
      </c>
      <c r="J59" s="333">
        <f>U59+V59</f>
        <v>0</v>
      </c>
      <c r="K59" s="333">
        <f t="shared" ref="K59" si="10">X59+W59</f>
        <v>0</v>
      </c>
      <c r="L59" s="332">
        <v>28664.94</v>
      </c>
      <c r="M59" s="332">
        <v>0</v>
      </c>
      <c r="N59" s="332"/>
      <c r="S59" s="332"/>
      <c r="T59" s="332"/>
      <c r="U59" s="332">
        <v>0</v>
      </c>
      <c r="V59" s="332"/>
      <c r="W59" s="332">
        <v>0</v>
      </c>
      <c r="X59" s="332"/>
      <c r="Y59" s="336"/>
      <c r="Z59" s="336"/>
    </row>
    <row r="60" spans="2:26">
      <c r="B60" s="315" t="s">
        <v>860</v>
      </c>
      <c r="D60" s="314" t="s">
        <v>183</v>
      </c>
      <c r="F60" s="331"/>
      <c r="G60" s="338">
        <f>G58+G59</f>
        <v>160000</v>
      </c>
      <c r="H60" s="338">
        <f t="shared" ref="H60:N60" si="11">H58+H59</f>
        <v>62000</v>
      </c>
      <c r="I60" s="338">
        <f t="shared" si="11"/>
        <v>0</v>
      </c>
      <c r="J60" s="338">
        <f t="shared" si="11"/>
        <v>837000</v>
      </c>
      <c r="K60" s="338">
        <f>K58+K59</f>
        <v>1499000</v>
      </c>
      <c r="L60" s="338">
        <f t="shared" si="11"/>
        <v>51086.58</v>
      </c>
      <c r="M60" s="338">
        <f t="shared" si="11"/>
        <v>2721000</v>
      </c>
      <c r="N60" s="338">
        <f t="shared" si="11"/>
        <v>0</v>
      </c>
      <c r="S60" s="331"/>
      <c r="T60" s="331"/>
      <c r="U60" s="331"/>
      <c r="V60" s="331"/>
      <c r="W60" s="331"/>
      <c r="X60" s="331"/>
      <c r="Y60" s="331"/>
      <c r="Z60" s="331"/>
    </row>
    <row r="61" spans="2:26">
      <c r="B61" s="334" t="s">
        <v>861</v>
      </c>
      <c r="D61" s="314" t="s">
        <v>184</v>
      </c>
      <c r="F61" s="331"/>
      <c r="G61" s="332">
        <v>120161</v>
      </c>
      <c r="H61" s="332">
        <v>109750</v>
      </c>
      <c r="I61" s="333">
        <f>T61+S61</f>
        <v>0</v>
      </c>
      <c r="J61" s="333">
        <f t="shared" ref="J61" si="12">U61+V61</f>
        <v>178000</v>
      </c>
      <c r="K61" s="333">
        <f>X61+W61</f>
        <v>1005846</v>
      </c>
      <c r="L61" s="332">
        <v>37697</v>
      </c>
      <c r="M61" s="332">
        <v>2123000</v>
      </c>
      <c r="N61" s="332"/>
      <c r="S61" s="332"/>
      <c r="T61" s="332"/>
      <c r="U61" s="332"/>
      <c r="V61" s="332">
        <v>178000</v>
      </c>
      <c r="W61" s="332">
        <v>1005846</v>
      </c>
      <c r="X61" s="332"/>
      <c r="Y61" s="336"/>
      <c r="Z61" s="336"/>
    </row>
    <row r="62" spans="2:26">
      <c r="B62" s="337" t="s">
        <v>862</v>
      </c>
      <c r="D62" s="314" t="s">
        <v>184</v>
      </c>
      <c r="F62" s="331"/>
      <c r="G62" s="332">
        <v>23192</v>
      </c>
      <c r="H62" s="332">
        <v>21950</v>
      </c>
      <c r="I62" s="333">
        <f>T62+S62</f>
        <v>0</v>
      </c>
      <c r="J62" s="333">
        <f>U62+V62</f>
        <v>0</v>
      </c>
      <c r="K62" s="333">
        <f>X62+W62</f>
        <v>207984</v>
      </c>
      <c r="L62" s="332">
        <v>21723</v>
      </c>
      <c r="M62" s="332">
        <v>0</v>
      </c>
      <c r="N62" s="332"/>
      <c r="S62" s="332"/>
      <c r="T62" s="332"/>
      <c r="U62" s="332"/>
      <c r="V62" s="332"/>
      <c r="W62" s="332">
        <v>207984</v>
      </c>
      <c r="X62" s="332"/>
      <c r="Y62" s="336"/>
      <c r="Z62" s="336"/>
    </row>
    <row r="63" spans="2:26">
      <c r="B63" s="315" t="s">
        <v>863</v>
      </c>
      <c r="D63" s="314" t="s">
        <v>184</v>
      </c>
      <c r="F63" s="331"/>
      <c r="G63" s="338">
        <f>G61+G62</f>
        <v>143353</v>
      </c>
      <c r="H63" s="338">
        <f t="shared" ref="H63:N63" si="13">H61+H62</f>
        <v>131700</v>
      </c>
      <c r="I63" s="338">
        <f t="shared" si="13"/>
        <v>0</v>
      </c>
      <c r="J63" s="338">
        <f t="shared" si="13"/>
        <v>178000</v>
      </c>
      <c r="K63" s="338">
        <f>K61+K62</f>
        <v>1213830</v>
      </c>
      <c r="L63" s="338">
        <f t="shared" si="13"/>
        <v>59420</v>
      </c>
      <c r="M63" s="338">
        <f t="shared" si="13"/>
        <v>2123000</v>
      </c>
      <c r="N63" s="338">
        <f t="shared" si="13"/>
        <v>0</v>
      </c>
      <c r="S63" s="331"/>
      <c r="T63" s="331"/>
      <c r="U63" s="331"/>
      <c r="V63" s="331"/>
      <c r="W63" s="331"/>
      <c r="X63" s="331"/>
      <c r="Y63" s="331"/>
      <c r="Z63" s="331"/>
    </row>
    <row r="64" spans="2:26">
      <c r="B64" s="334" t="s">
        <v>864</v>
      </c>
      <c r="D64" s="314" t="s">
        <v>185</v>
      </c>
      <c r="F64" s="331"/>
      <c r="G64" s="332">
        <v>53495</v>
      </c>
      <c r="H64" s="332">
        <v>0</v>
      </c>
      <c r="I64" s="333">
        <f>T64+S64</f>
        <v>0</v>
      </c>
      <c r="J64" s="333">
        <f>U64+V64</f>
        <v>0</v>
      </c>
      <c r="K64" s="333">
        <f>X64+W64</f>
        <v>859130</v>
      </c>
      <c r="L64" s="332">
        <v>17802</v>
      </c>
      <c r="M64" s="332">
        <v>1877165</v>
      </c>
      <c r="N64" s="332">
        <v>58718</v>
      </c>
      <c r="S64" s="332"/>
      <c r="T64" s="332"/>
      <c r="U64" s="332"/>
      <c r="V64" s="332"/>
      <c r="W64" s="332">
        <v>859130</v>
      </c>
      <c r="X64" s="332"/>
      <c r="Y64" s="336"/>
      <c r="Z64" s="336"/>
    </row>
    <row r="65" spans="2:26">
      <c r="B65" s="337" t="s">
        <v>865</v>
      </c>
      <c r="D65" s="314" t="s">
        <v>185</v>
      </c>
      <c r="F65" s="331"/>
      <c r="G65" s="332">
        <v>8870</v>
      </c>
      <c r="H65" s="332">
        <v>0</v>
      </c>
      <c r="I65" s="333">
        <f>T65+S65</f>
        <v>0</v>
      </c>
      <c r="J65" s="333">
        <f>U65+V65</f>
        <v>0</v>
      </c>
      <c r="K65" s="333">
        <f>X65+W65</f>
        <v>151893</v>
      </c>
      <c r="L65" s="332">
        <v>20829</v>
      </c>
      <c r="M65" s="332">
        <v>511183</v>
      </c>
      <c r="N65" s="332">
        <v>4582</v>
      </c>
      <c r="S65" s="332"/>
      <c r="T65" s="332"/>
      <c r="U65" s="332"/>
      <c r="V65" s="332"/>
      <c r="W65" s="332">
        <v>151893</v>
      </c>
      <c r="X65" s="332"/>
      <c r="Y65" s="336"/>
      <c r="Z65" s="336"/>
    </row>
    <row r="66" spans="2:26">
      <c r="B66" s="315" t="s">
        <v>866</v>
      </c>
      <c r="D66" s="314" t="s">
        <v>185</v>
      </c>
      <c r="F66" s="331"/>
      <c r="G66" s="338">
        <f>G64+G65</f>
        <v>62365</v>
      </c>
      <c r="H66" s="338">
        <f t="shared" ref="H66:N66" si="14">H64+H65</f>
        <v>0</v>
      </c>
      <c r="I66" s="338">
        <f t="shared" si="14"/>
        <v>0</v>
      </c>
      <c r="J66" s="338">
        <f t="shared" si="14"/>
        <v>0</v>
      </c>
      <c r="K66" s="338">
        <f>K64+K65</f>
        <v>1011023</v>
      </c>
      <c r="L66" s="338">
        <f t="shared" si="14"/>
        <v>38631</v>
      </c>
      <c r="M66" s="338">
        <f t="shared" si="14"/>
        <v>2388348</v>
      </c>
      <c r="N66" s="338">
        <f t="shared" si="14"/>
        <v>63300</v>
      </c>
      <c r="S66" s="331"/>
      <c r="T66" s="331"/>
      <c r="U66" s="331"/>
      <c r="V66" s="331"/>
      <c r="W66" s="331"/>
      <c r="X66" s="331"/>
      <c r="Y66" s="331"/>
      <c r="Z66" s="331"/>
    </row>
    <row r="67" spans="2:26">
      <c r="F67" s="325"/>
      <c r="G67" s="314"/>
      <c r="H67" s="314"/>
      <c r="I67" s="314"/>
      <c r="J67" s="314"/>
      <c r="K67" s="314"/>
      <c r="L67" s="314"/>
      <c r="M67" s="314"/>
      <c r="N67" s="314"/>
    </row>
    <row r="68" spans="2:26" s="328" customFormat="1" ht="12.75">
      <c r="B68" s="329" t="s">
        <v>946</v>
      </c>
      <c r="C68" s="329"/>
      <c r="D68" s="329"/>
      <c r="F68" s="339"/>
    </row>
    <row r="69" spans="2:26">
      <c r="B69" s="340" t="s">
        <v>867</v>
      </c>
      <c r="F69" s="325"/>
      <c r="G69" s="314"/>
      <c r="H69" s="314"/>
      <c r="I69" s="314"/>
      <c r="J69" s="314"/>
      <c r="K69" s="314"/>
      <c r="L69" s="314"/>
      <c r="M69" s="314"/>
      <c r="N69" s="314"/>
    </row>
    <row r="70" spans="2:26">
      <c r="B70" s="340"/>
      <c r="F70" s="325"/>
      <c r="G70" s="314"/>
      <c r="H70" s="314"/>
      <c r="I70" s="314"/>
      <c r="J70" s="314"/>
      <c r="K70" s="314"/>
      <c r="L70" s="314"/>
      <c r="M70" s="314"/>
      <c r="N70" s="314"/>
    </row>
    <row r="71" spans="2:26">
      <c r="B71" s="315" t="s">
        <v>844</v>
      </c>
      <c r="D71" s="315" t="s">
        <v>847</v>
      </c>
      <c r="F71" s="325"/>
      <c r="G71" s="314"/>
      <c r="H71" s="314"/>
      <c r="I71" s="314"/>
      <c r="J71" s="314"/>
      <c r="K71" s="314"/>
      <c r="L71" s="314"/>
      <c r="M71" s="314"/>
      <c r="N71" s="314"/>
    </row>
    <row r="72" spans="2:26">
      <c r="B72" s="315" t="s">
        <v>846</v>
      </c>
      <c r="D72" s="315" t="s">
        <v>847</v>
      </c>
      <c r="F72" s="325"/>
      <c r="G72" s="314"/>
      <c r="H72" s="314"/>
      <c r="I72" s="314"/>
      <c r="J72" s="314"/>
      <c r="K72" s="314"/>
      <c r="L72" s="314"/>
      <c r="M72" s="314"/>
      <c r="N72" s="314"/>
    </row>
    <row r="73" spans="2:26">
      <c r="B73" s="315" t="s">
        <v>848</v>
      </c>
      <c r="D73" s="315" t="s">
        <v>847</v>
      </c>
      <c r="F73" s="325"/>
      <c r="G73" s="314"/>
      <c r="H73" s="314"/>
      <c r="I73" s="314"/>
      <c r="J73" s="314"/>
      <c r="K73" s="314"/>
      <c r="L73" s="314"/>
      <c r="M73" s="314"/>
      <c r="N73" s="314"/>
    </row>
    <row r="74" spans="2:26">
      <c r="F74" s="325"/>
      <c r="G74" s="314"/>
      <c r="H74" s="314"/>
      <c r="I74" s="314"/>
      <c r="J74" s="314"/>
      <c r="K74" s="314"/>
      <c r="L74" s="314"/>
      <c r="M74" s="314"/>
      <c r="N74" s="314"/>
    </row>
    <row r="75" spans="2:26">
      <c r="B75" s="330" t="s">
        <v>856</v>
      </c>
      <c r="F75" s="327"/>
      <c r="G75" s="314"/>
      <c r="H75" s="314"/>
      <c r="I75" s="314"/>
      <c r="J75" s="314"/>
      <c r="K75" s="314"/>
      <c r="L75" s="314"/>
      <c r="M75" s="314"/>
      <c r="N75" s="314"/>
    </row>
    <row r="76" spans="2:26">
      <c r="B76" s="315" t="s">
        <v>868</v>
      </c>
      <c r="D76" s="314" t="s">
        <v>183</v>
      </c>
      <c r="F76" s="331"/>
      <c r="G76" s="332"/>
      <c r="H76" s="332"/>
      <c r="I76" s="333">
        <f>T76+S76</f>
        <v>0</v>
      </c>
      <c r="J76" s="333">
        <f>U76+V76</f>
        <v>0</v>
      </c>
      <c r="K76" s="333">
        <f>X76+W76</f>
        <v>0</v>
      </c>
      <c r="L76" s="332"/>
      <c r="M76" s="332"/>
      <c r="N76" s="333">
        <f>0.5%*N91</f>
        <v>182858.68439422306</v>
      </c>
      <c r="P76" s="340"/>
      <c r="S76" s="332"/>
      <c r="T76" s="332"/>
      <c r="U76" s="332"/>
      <c r="V76" s="332"/>
      <c r="W76" s="332"/>
      <c r="X76" s="332"/>
    </row>
    <row r="77" spans="2:26">
      <c r="B77" s="315" t="s">
        <v>869</v>
      </c>
      <c r="D77" s="314" t="s">
        <v>184</v>
      </c>
      <c r="F77" s="331"/>
      <c r="G77" s="332"/>
      <c r="H77" s="332"/>
      <c r="I77" s="333">
        <f t="shared" ref="I77:I78" si="15">T77+S77</f>
        <v>0</v>
      </c>
      <c r="J77" s="333">
        <f t="shared" ref="J77:J78" si="16">U77+V77</f>
        <v>0</v>
      </c>
      <c r="K77" s="333">
        <f t="shared" ref="K77" si="17">X77+W77</f>
        <v>0</v>
      </c>
      <c r="L77" s="332"/>
      <c r="M77" s="332"/>
      <c r="N77" s="332"/>
      <c r="S77" s="332"/>
      <c r="T77" s="332"/>
      <c r="U77" s="332"/>
      <c r="V77" s="332"/>
      <c r="W77" s="332"/>
      <c r="X77" s="332"/>
    </row>
    <row r="78" spans="2:26">
      <c r="B78" s="315" t="s">
        <v>870</v>
      </c>
      <c r="D78" s="314" t="s">
        <v>185</v>
      </c>
      <c r="F78" s="331"/>
      <c r="G78" s="332"/>
      <c r="H78" s="332">
        <v>1000</v>
      </c>
      <c r="I78" s="333">
        <f t="shared" si="15"/>
        <v>0</v>
      </c>
      <c r="J78" s="333">
        <f t="shared" si="16"/>
        <v>0</v>
      </c>
      <c r="K78" s="333">
        <f>X78+W78</f>
        <v>1905310</v>
      </c>
      <c r="L78" s="332"/>
      <c r="M78" s="332">
        <v>2127868</v>
      </c>
      <c r="N78" s="332"/>
      <c r="S78" s="332"/>
      <c r="T78" s="332"/>
      <c r="U78" s="332"/>
      <c r="V78" s="332"/>
      <c r="W78" s="332">
        <v>1905310</v>
      </c>
      <c r="X78" s="332"/>
    </row>
    <row r="79" spans="2:26">
      <c r="B79" s="334"/>
      <c r="F79" s="327"/>
      <c r="G79" s="335"/>
      <c r="H79" s="335"/>
      <c r="I79" s="335"/>
      <c r="J79" s="335"/>
      <c r="K79" s="335"/>
      <c r="L79" s="335"/>
      <c r="M79" s="335"/>
      <c r="N79" s="335"/>
    </row>
    <row r="80" spans="2:26">
      <c r="B80" s="330" t="s">
        <v>857</v>
      </c>
      <c r="F80" s="327"/>
      <c r="G80" s="335"/>
      <c r="H80" s="335"/>
      <c r="I80" s="335"/>
      <c r="J80" s="335"/>
      <c r="K80" s="335"/>
      <c r="L80" s="335"/>
      <c r="M80" s="335"/>
      <c r="N80" s="335"/>
    </row>
    <row r="81" spans="2:24">
      <c r="B81" s="315" t="s">
        <v>868</v>
      </c>
      <c r="D81" s="314" t="s">
        <v>183</v>
      </c>
      <c r="F81" s="331"/>
      <c r="G81" s="332"/>
      <c r="H81" s="332"/>
      <c r="I81" s="333">
        <f>T81+S81</f>
        <v>0</v>
      </c>
      <c r="J81" s="333">
        <f>U81+V81</f>
        <v>0</v>
      </c>
      <c r="K81" s="333">
        <f>X81+W81</f>
        <v>0</v>
      </c>
      <c r="L81" s="332"/>
      <c r="M81" s="332"/>
      <c r="N81" s="333">
        <f>0.5%*N96</f>
        <v>72833.819896062705</v>
      </c>
      <c r="P81" s="340"/>
      <c r="S81" s="332"/>
      <c r="T81" s="332"/>
      <c r="U81" s="332"/>
      <c r="V81" s="332"/>
      <c r="W81" s="332"/>
      <c r="X81" s="332"/>
    </row>
    <row r="82" spans="2:24">
      <c r="B82" s="315" t="s">
        <v>869</v>
      </c>
      <c r="D82" s="314" t="s">
        <v>184</v>
      </c>
      <c r="F82" s="331"/>
      <c r="G82" s="332"/>
      <c r="H82" s="332"/>
      <c r="I82" s="333">
        <f t="shared" ref="I82:I83" si="18">T82+S82</f>
        <v>0</v>
      </c>
      <c r="J82" s="333">
        <f t="shared" ref="J82:J83" si="19">U82+V82</f>
        <v>0</v>
      </c>
      <c r="K82" s="333">
        <f t="shared" ref="K82" si="20">X82+W82</f>
        <v>0</v>
      </c>
      <c r="L82" s="332"/>
      <c r="M82" s="332"/>
      <c r="N82" s="332"/>
      <c r="S82" s="332"/>
      <c r="T82" s="332"/>
      <c r="U82" s="332"/>
      <c r="V82" s="332"/>
      <c r="W82" s="332"/>
      <c r="X82" s="332"/>
    </row>
    <row r="83" spans="2:24">
      <c r="B83" s="315" t="s">
        <v>870</v>
      </c>
      <c r="D83" s="314" t="s">
        <v>185</v>
      </c>
      <c r="F83" s="331"/>
      <c r="G83" s="332"/>
      <c r="H83" s="332">
        <v>0</v>
      </c>
      <c r="I83" s="333">
        <f t="shared" si="18"/>
        <v>0</v>
      </c>
      <c r="J83" s="333">
        <f t="shared" si="19"/>
        <v>0</v>
      </c>
      <c r="K83" s="333">
        <f>X83+W83</f>
        <v>0</v>
      </c>
      <c r="L83" s="332"/>
      <c r="M83" s="332"/>
      <c r="N83" s="332"/>
      <c r="S83" s="332"/>
      <c r="T83" s="332"/>
      <c r="U83" s="332"/>
      <c r="V83" s="332"/>
      <c r="W83" s="332"/>
      <c r="X83" s="332"/>
    </row>
    <row r="84" spans="2:24">
      <c r="F84" s="325"/>
      <c r="G84" s="314"/>
      <c r="H84" s="314"/>
      <c r="I84" s="314"/>
      <c r="J84" s="314"/>
      <c r="K84" s="314"/>
      <c r="L84" s="314"/>
      <c r="M84" s="314"/>
      <c r="N84" s="314"/>
    </row>
    <row r="85" spans="2:24" s="328" customFormat="1" ht="12.75">
      <c r="B85" s="329" t="s">
        <v>871</v>
      </c>
      <c r="C85" s="329"/>
      <c r="D85" s="329"/>
      <c r="F85" s="341"/>
      <c r="G85" s="342"/>
      <c r="H85" s="342"/>
      <c r="I85" s="342"/>
      <c r="J85" s="342"/>
      <c r="K85" s="342"/>
      <c r="L85" s="342"/>
      <c r="M85" s="342"/>
      <c r="N85" s="342"/>
    </row>
    <row r="86" spans="2:24">
      <c r="F86" s="343"/>
      <c r="G86" s="344"/>
      <c r="H86" s="344"/>
      <c r="I86" s="344"/>
      <c r="J86" s="344"/>
      <c r="K86" s="344"/>
      <c r="L86" s="344"/>
      <c r="M86" s="344"/>
      <c r="N86" s="344"/>
    </row>
    <row r="87" spans="2:24">
      <c r="B87" s="315">
        <v>2010</v>
      </c>
      <c r="F87" s="343"/>
      <c r="G87" s="344"/>
      <c r="H87" s="344"/>
      <c r="I87" s="344"/>
      <c r="J87" s="344"/>
      <c r="K87" s="344"/>
      <c r="L87" s="344"/>
      <c r="M87" s="344"/>
      <c r="N87" s="344"/>
      <c r="P87" s="340" t="s">
        <v>872</v>
      </c>
    </row>
    <row r="88" spans="2:24">
      <c r="B88" s="346" t="s">
        <v>856</v>
      </c>
      <c r="F88" s="343"/>
      <c r="G88" s="344"/>
      <c r="H88" s="344"/>
      <c r="I88" s="344"/>
      <c r="J88" s="344"/>
      <c r="K88" s="344"/>
      <c r="L88" s="344"/>
      <c r="M88" s="344"/>
      <c r="N88" s="344"/>
    </row>
    <row r="89" spans="2:24">
      <c r="B89" s="347" t="s">
        <v>873</v>
      </c>
      <c r="D89" s="314" t="s">
        <v>183</v>
      </c>
      <c r="F89" s="348">
        <f>SUM(G89:N89)</f>
        <v>1433837882.3414092</v>
      </c>
      <c r="G89" s="349"/>
      <c r="H89" s="349"/>
      <c r="I89" s="349">
        <v>26619797.719999999</v>
      </c>
      <c r="J89" s="349">
        <v>670417268.65051699</v>
      </c>
      <c r="K89" s="433">
        <v>701920627.31632304</v>
      </c>
      <c r="L89" s="349"/>
      <c r="M89" s="349"/>
      <c r="N89" s="349">
        <v>34880188.654569201</v>
      </c>
      <c r="P89" s="350"/>
    </row>
    <row r="90" spans="2:24">
      <c r="B90" s="347" t="s">
        <v>874</v>
      </c>
      <c r="D90" s="314" t="s">
        <v>183</v>
      </c>
      <c r="F90" s="348">
        <f>SUM(G90:N90)</f>
        <v>150980913.49231184</v>
      </c>
      <c r="G90" s="349"/>
      <c r="H90" s="349"/>
      <c r="I90" s="349">
        <v>2167066.73</v>
      </c>
      <c r="J90" s="349">
        <v>82654974.127443403</v>
      </c>
      <c r="K90" s="433">
        <v>64467324.410593003</v>
      </c>
      <c r="L90" s="349"/>
      <c r="M90" s="349"/>
      <c r="N90" s="349">
        <v>1691548.2242754099</v>
      </c>
      <c r="P90" s="350"/>
    </row>
    <row r="91" spans="2:24">
      <c r="B91" s="351" t="s">
        <v>875</v>
      </c>
      <c r="D91" s="314" t="s">
        <v>183</v>
      </c>
      <c r="F91" s="348">
        <f>SUM(G91:N91)</f>
        <v>1584818795.8337209</v>
      </c>
      <c r="G91" s="348">
        <f t="shared" ref="G91:N91" si="21">SUM(G89:G90)</f>
        <v>0</v>
      </c>
      <c r="H91" s="348">
        <f t="shared" si="21"/>
        <v>0</v>
      </c>
      <c r="I91" s="348">
        <f t="shared" si="21"/>
        <v>28786864.449999999</v>
      </c>
      <c r="J91" s="348">
        <f t="shared" si="21"/>
        <v>753072242.77796042</v>
      </c>
      <c r="K91" s="348">
        <f t="shared" si="21"/>
        <v>766387951.72691607</v>
      </c>
      <c r="L91" s="348">
        <f t="shared" si="21"/>
        <v>0</v>
      </c>
      <c r="M91" s="348">
        <f t="shared" si="21"/>
        <v>0</v>
      </c>
      <c r="N91" s="348">
        <f t="shared" si="21"/>
        <v>36571736.878844611</v>
      </c>
      <c r="P91" s="350"/>
    </row>
    <row r="92" spans="2:24">
      <c r="B92" s="346"/>
      <c r="F92" s="343"/>
      <c r="G92" s="344"/>
      <c r="H92" s="344"/>
      <c r="I92" s="344"/>
      <c r="J92" s="344"/>
      <c r="K92" s="344"/>
      <c r="L92" s="344"/>
      <c r="M92" s="344"/>
      <c r="N92" s="344"/>
      <c r="P92" s="350"/>
    </row>
    <row r="93" spans="2:24">
      <c r="B93" s="346" t="s">
        <v>857</v>
      </c>
      <c r="F93" s="343"/>
      <c r="G93" s="344"/>
      <c r="H93" s="344"/>
      <c r="I93" s="344"/>
      <c r="J93" s="344"/>
      <c r="K93" s="344"/>
      <c r="L93" s="344"/>
      <c r="M93" s="344"/>
      <c r="N93" s="344"/>
      <c r="P93" s="350"/>
    </row>
    <row r="94" spans="2:24">
      <c r="B94" s="347" t="s">
        <v>873</v>
      </c>
      <c r="D94" s="314" t="s">
        <v>183</v>
      </c>
      <c r="F94" s="348">
        <f>SUM(G94:N94)</f>
        <v>513023970.8031438</v>
      </c>
      <c r="G94" s="349"/>
      <c r="H94" s="349"/>
      <c r="I94" s="428">
        <f>T94+S94</f>
        <v>42560365.516598105</v>
      </c>
      <c r="J94" s="428">
        <f>U94+V94</f>
        <v>218270484.3766703</v>
      </c>
      <c r="K94" s="428">
        <f>X94+W94</f>
        <v>238454441.167153</v>
      </c>
      <c r="L94" s="349"/>
      <c r="M94" s="349"/>
      <c r="N94" s="349">
        <v>13738679.7427224</v>
      </c>
      <c r="P94" s="350"/>
      <c r="S94" s="428">
        <v>19890953.550000001</v>
      </c>
      <c r="T94" s="428">
        <v>22669411.966598101</v>
      </c>
      <c r="U94" s="428">
        <v>200795499.338337</v>
      </c>
      <c r="V94" s="428">
        <v>17474985.038333301</v>
      </c>
      <c r="W94" s="428">
        <v>232067856.33715299</v>
      </c>
      <c r="X94" s="428">
        <v>6386584.8300000001</v>
      </c>
    </row>
    <row r="95" spans="2:24">
      <c r="B95" s="347" t="s">
        <v>874</v>
      </c>
      <c r="D95" s="314" t="s">
        <v>183</v>
      </c>
      <c r="F95" s="348">
        <f>SUM(G95:N95)</f>
        <v>116396207.69331972</v>
      </c>
      <c r="G95" s="349"/>
      <c r="H95" s="349"/>
      <c r="I95" s="428">
        <f t="shared" ref="I95" si="22">T95+S95</f>
        <v>11623227.804853581</v>
      </c>
      <c r="J95" s="428">
        <f t="shared" ref="J95" si="23">U95+V95</f>
        <v>46201617.45597703</v>
      </c>
      <c r="K95" s="428">
        <f t="shared" ref="K95" si="24">X95+W95</f>
        <v>57743278.195998959</v>
      </c>
      <c r="L95" s="349"/>
      <c r="M95" s="349"/>
      <c r="N95" s="349">
        <v>828084.23649013997</v>
      </c>
      <c r="P95" s="350"/>
      <c r="S95" s="428">
        <v>6249659.021892</v>
      </c>
      <c r="T95" s="428">
        <v>5373568.78296158</v>
      </c>
      <c r="U95" s="428">
        <v>39403202.117064901</v>
      </c>
      <c r="V95" s="428">
        <v>6798415.3389121303</v>
      </c>
      <c r="W95" s="428">
        <v>56133842.82</v>
      </c>
      <c r="X95" s="428">
        <v>1609435.3759989601</v>
      </c>
    </row>
    <row r="96" spans="2:24">
      <c r="B96" s="351" t="s">
        <v>876</v>
      </c>
      <c r="D96" s="314" t="s">
        <v>183</v>
      </c>
      <c r="F96" s="348">
        <f>SUM(G96:N96)</f>
        <v>629420178.49646354</v>
      </c>
      <c r="G96" s="348">
        <f t="shared" ref="G96:N96" si="25">SUM(G94:G95)</f>
        <v>0</v>
      </c>
      <c r="H96" s="348">
        <f t="shared" si="25"/>
        <v>0</v>
      </c>
      <c r="I96" s="348">
        <f t="shared" si="25"/>
        <v>54183593.321451686</v>
      </c>
      <c r="J96" s="348">
        <f t="shared" si="25"/>
        <v>264472101.83264732</v>
      </c>
      <c r="K96" s="348">
        <f t="shared" si="25"/>
        <v>296197719.36315197</v>
      </c>
      <c r="L96" s="348">
        <f t="shared" si="25"/>
        <v>0</v>
      </c>
      <c r="M96" s="348">
        <f t="shared" si="25"/>
        <v>0</v>
      </c>
      <c r="N96" s="348">
        <f t="shared" si="25"/>
        <v>14566763.979212539</v>
      </c>
      <c r="P96" s="350"/>
    </row>
    <row r="97" spans="2:22">
      <c r="B97" s="346"/>
      <c r="F97" s="343"/>
      <c r="G97" s="344"/>
      <c r="H97" s="344"/>
      <c r="I97" s="344"/>
      <c r="J97" s="344"/>
      <c r="K97" s="344"/>
      <c r="L97" s="344"/>
      <c r="M97" s="344"/>
      <c r="N97" s="344"/>
    </row>
    <row r="98" spans="2:22">
      <c r="B98" s="315">
        <v>2011</v>
      </c>
      <c r="F98" s="343"/>
      <c r="G98" s="344"/>
      <c r="H98" s="344"/>
      <c r="I98" s="344"/>
      <c r="J98" s="344"/>
      <c r="K98" s="344"/>
      <c r="L98" s="344"/>
      <c r="M98" s="344"/>
      <c r="N98" s="344"/>
    </row>
    <row r="99" spans="2:22">
      <c r="B99" s="346" t="s">
        <v>856</v>
      </c>
      <c r="F99" s="343"/>
      <c r="G99" s="344"/>
      <c r="H99" s="344"/>
      <c r="I99" s="344"/>
      <c r="J99" s="344"/>
      <c r="K99" s="344"/>
      <c r="L99" s="344"/>
      <c r="M99" s="344"/>
      <c r="N99" s="344"/>
    </row>
    <row r="100" spans="2:22">
      <c r="B100" s="347" t="s">
        <v>873</v>
      </c>
      <c r="D100" s="314" t="s">
        <v>184</v>
      </c>
      <c r="F100" s="348">
        <f>SUM(G100:N100)</f>
        <v>792528632.60155559</v>
      </c>
      <c r="G100" s="349"/>
      <c r="H100" s="349"/>
      <c r="I100" s="349">
        <v>28252014.067827143</v>
      </c>
      <c r="J100" s="349">
        <v>725943680.46662831</v>
      </c>
      <c r="K100" s="349"/>
      <c r="L100" s="349"/>
      <c r="M100" s="349"/>
      <c r="N100" s="349">
        <v>38332938.067100145</v>
      </c>
    </row>
    <row r="101" spans="2:22">
      <c r="B101" s="347" t="s">
        <v>874</v>
      </c>
      <c r="D101" s="314" t="s">
        <v>184</v>
      </c>
      <c r="F101" s="348">
        <f>SUM(G101:N101)</f>
        <v>94621084.238296211</v>
      </c>
      <c r="G101" s="349"/>
      <c r="H101" s="349"/>
      <c r="I101" s="349">
        <v>2305618.1</v>
      </c>
      <c r="J101" s="349">
        <v>90417084.620814413</v>
      </c>
      <c r="K101" s="349"/>
      <c r="L101" s="349"/>
      <c r="M101" s="349"/>
      <c r="N101" s="349">
        <v>1898381.517481806</v>
      </c>
    </row>
    <row r="102" spans="2:22">
      <c r="B102" s="351" t="s">
        <v>877</v>
      </c>
      <c r="D102" s="314" t="s">
        <v>184</v>
      </c>
      <c r="F102" s="348">
        <f>SUM(G102:N102)</f>
        <v>887149716.83985186</v>
      </c>
      <c r="G102" s="348">
        <f t="shared" ref="G102:N102" si="26">SUM(G100:G101)</f>
        <v>0</v>
      </c>
      <c r="H102" s="348">
        <f t="shared" si="26"/>
        <v>0</v>
      </c>
      <c r="I102" s="348">
        <f t="shared" si="26"/>
        <v>30557632.167827144</v>
      </c>
      <c r="J102" s="348">
        <f t="shared" si="26"/>
        <v>816360765.08744276</v>
      </c>
      <c r="K102" s="348">
        <f t="shared" si="26"/>
        <v>0</v>
      </c>
      <c r="L102" s="348">
        <f t="shared" si="26"/>
        <v>0</v>
      </c>
      <c r="M102" s="348">
        <f t="shared" si="26"/>
        <v>0</v>
      </c>
      <c r="N102" s="348">
        <f t="shared" si="26"/>
        <v>40231319.584581949</v>
      </c>
    </row>
    <row r="103" spans="2:22">
      <c r="F103" s="343"/>
      <c r="G103" s="344"/>
      <c r="H103" s="344"/>
      <c r="I103" s="344"/>
      <c r="J103" s="344"/>
      <c r="K103" s="344"/>
      <c r="L103" s="344"/>
      <c r="M103" s="344"/>
      <c r="N103" s="344"/>
    </row>
    <row r="104" spans="2:22">
      <c r="B104" s="346" t="s">
        <v>857</v>
      </c>
      <c r="F104" s="343"/>
      <c r="G104" s="344"/>
      <c r="H104" s="344"/>
      <c r="I104" s="344"/>
      <c r="J104" s="344"/>
      <c r="K104" s="344"/>
      <c r="L104" s="344"/>
      <c r="M104" s="344"/>
      <c r="N104" s="344"/>
    </row>
    <row r="105" spans="2:22">
      <c r="B105" s="347" t="s">
        <v>873</v>
      </c>
      <c r="D105" s="314" t="s">
        <v>184</v>
      </c>
      <c r="F105" s="348">
        <f>SUM(G105:N105)</f>
        <v>295240685.33781272</v>
      </c>
      <c r="G105" s="349"/>
      <c r="H105" s="349"/>
      <c r="I105" s="349">
        <v>45393970.511100911</v>
      </c>
      <c r="J105" s="428">
        <f>U105+V105</f>
        <v>235447455.37324199</v>
      </c>
      <c r="K105" s="349"/>
      <c r="L105" s="349"/>
      <c r="M105" s="349"/>
      <c r="N105" s="349">
        <v>14399259.453469791</v>
      </c>
      <c r="U105" s="428">
        <v>216471739.68324199</v>
      </c>
      <c r="V105" s="428">
        <v>18975715.690000001</v>
      </c>
    </row>
    <row r="106" spans="2:22">
      <c r="B106" s="347" t="s">
        <v>874</v>
      </c>
      <c r="D106" s="314" t="s">
        <v>184</v>
      </c>
      <c r="F106" s="348">
        <f>SUM(G106:N106)</f>
        <v>52012024.888442516</v>
      </c>
      <c r="G106" s="349"/>
      <c r="H106" s="349"/>
      <c r="I106" s="349">
        <v>9453202.1999999974</v>
      </c>
      <c r="J106" s="428">
        <f t="shared" ref="J106" si="27">U106+V106</f>
        <v>41851682.109690897</v>
      </c>
      <c r="K106" s="349"/>
      <c r="L106" s="349"/>
      <c r="M106" s="349"/>
      <c r="N106" s="349">
        <v>707140.57875162584</v>
      </c>
      <c r="U106" s="428">
        <v>36981739.341618776</v>
      </c>
      <c r="V106" s="428">
        <v>4869942.7680721181</v>
      </c>
    </row>
    <row r="107" spans="2:22">
      <c r="B107" s="351" t="s">
        <v>878</v>
      </c>
      <c r="D107" s="314" t="s">
        <v>184</v>
      </c>
      <c r="F107" s="348">
        <f>SUM(G107:N107)</f>
        <v>347252710.22625518</v>
      </c>
      <c r="G107" s="348">
        <f t="shared" ref="G107:N107" si="28">SUM(G105:G106)</f>
        <v>0</v>
      </c>
      <c r="H107" s="348">
        <f t="shared" si="28"/>
        <v>0</v>
      </c>
      <c r="I107" s="348">
        <f t="shared" si="28"/>
        <v>54847172.711100906</v>
      </c>
      <c r="J107" s="348">
        <f t="shared" si="28"/>
        <v>277299137.48293287</v>
      </c>
      <c r="K107" s="348">
        <f t="shared" si="28"/>
        <v>0</v>
      </c>
      <c r="L107" s="348">
        <f t="shared" si="28"/>
        <v>0</v>
      </c>
      <c r="M107" s="348">
        <f t="shared" si="28"/>
        <v>0</v>
      </c>
      <c r="N107" s="348">
        <f t="shared" si="28"/>
        <v>15106400.032221416</v>
      </c>
    </row>
    <row r="108" spans="2:22">
      <c r="F108" s="343"/>
      <c r="G108" s="344"/>
      <c r="H108" s="344"/>
      <c r="I108" s="344"/>
      <c r="J108" s="344"/>
      <c r="K108" s="344"/>
      <c r="L108" s="344"/>
      <c r="M108" s="344"/>
      <c r="N108" s="344"/>
    </row>
    <row r="109" spans="2:22">
      <c r="B109" s="315">
        <v>2012</v>
      </c>
      <c r="F109" s="343"/>
      <c r="G109" s="344"/>
      <c r="H109" s="344"/>
      <c r="I109" s="344"/>
      <c r="J109" s="344"/>
      <c r="K109" s="344"/>
      <c r="L109" s="344"/>
      <c r="M109" s="344"/>
      <c r="N109" s="344"/>
    </row>
    <row r="110" spans="2:22">
      <c r="B110" s="346" t="s">
        <v>856</v>
      </c>
      <c r="F110" s="343"/>
      <c r="G110" s="344"/>
      <c r="H110" s="344"/>
      <c r="I110" s="344"/>
      <c r="J110" s="344"/>
      <c r="K110" s="344"/>
      <c r="L110" s="344"/>
      <c r="M110" s="344"/>
      <c r="N110" s="344"/>
    </row>
    <row r="111" spans="2:22">
      <c r="B111" s="347" t="s">
        <v>873</v>
      </c>
      <c r="D111" s="314" t="s">
        <v>185</v>
      </c>
      <c r="F111" s="348">
        <f>SUM(G111:N111)</f>
        <v>824934680.00303102</v>
      </c>
      <c r="G111" s="349"/>
      <c r="H111" s="349"/>
      <c r="I111" s="349">
        <v>31138302.642435953</v>
      </c>
      <c r="J111" s="349">
        <v>749096214.15452588</v>
      </c>
      <c r="K111" s="349"/>
      <c r="L111" s="349"/>
      <c r="M111" s="349"/>
      <c r="N111" s="349">
        <v>44700163.206069186</v>
      </c>
    </row>
    <row r="112" spans="2:22">
      <c r="B112" s="347" t="s">
        <v>874</v>
      </c>
      <c r="D112" s="314" t="s">
        <v>185</v>
      </c>
      <c r="F112" s="348">
        <f>SUM(G112:N112)</f>
        <v>98314172.399579212</v>
      </c>
      <c r="G112" s="349"/>
      <c r="H112" s="349"/>
      <c r="I112" s="349">
        <v>2560692.36</v>
      </c>
      <c r="J112" s="349">
        <v>93576963.053326383</v>
      </c>
      <c r="K112" s="349"/>
      <c r="L112" s="349"/>
      <c r="M112" s="349"/>
      <c r="N112" s="349">
        <v>2176516.9862528313</v>
      </c>
    </row>
    <row r="113" spans="2:16">
      <c r="B113" s="351" t="s">
        <v>879</v>
      </c>
      <c r="D113" s="314" t="s">
        <v>185</v>
      </c>
      <c r="F113" s="348">
        <f>SUM(G113:N113)</f>
        <v>923248852.40261018</v>
      </c>
      <c r="G113" s="348">
        <f t="shared" ref="G113:N113" si="29">SUM(G111:G112)</f>
        <v>0</v>
      </c>
      <c r="H113" s="348">
        <f t="shared" si="29"/>
        <v>0</v>
      </c>
      <c r="I113" s="348">
        <f t="shared" si="29"/>
        <v>33698995.002435952</v>
      </c>
      <c r="J113" s="348">
        <f t="shared" si="29"/>
        <v>842673177.20785224</v>
      </c>
      <c r="K113" s="348">
        <f t="shared" si="29"/>
        <v>0</v>
      </c>
      <c r="L113" s="348">
        <f t="shared" si="29"/>
        <v>0</v>
      </c>
      <c r="M113" s="348">
        <f t="shared" si="29"/>
        <v>0</v>
      </c>
      <c r="N113" s="348">
        <f t="shared" si="29"/>
        <v>46876680.192322016</v>
      </c>
    </row>
    <row r="114" spans="2:16">
      <c r="F114" s="343"/>
      <c r="G114" s="344"/>
      <c r="H114" s="344"/>
      <c r="I114" s="344"/>
      <c r="J114" s="344"/>
      <c r="K114" s="344"/>
      <c r="L114" s="344"/>
      <c r="M114" s="344"/>
      <c r="N114" s="344"/>
    </row>
    <row r="115" spans="2:16">
      <c r="B115" s="346" t="s">
        <v>857</v>
      </c>
      <c r="F115" s="343"/>
      <c r="G115" s="344"/>
      <c r="H115" s="344"/>
      <c r="I115" s="344"/>
      <c r="J115" s="344"/>
      <c r="K115" s="344"/>
      <c r="L115" s="344"/>
      <c r="M115" s="344"/>
      <c r="N115" s="344"/>
    </row>
    <row r="116" spans="2:16">
      <c r="B116" s="347" t="s">
        <v>873</v>
      </c>
      <c r="D116" s="314" t="s">
        <v>185</v>
      </c>
      <c r="F116" s="348">
        <f>SUM(G116:N116)</f>
        <v>306047200.6986059</v>
      </c>
      <c r="G116" s="349"/>
      <c r="H116" s="349"/>
      <c r="I116" s="349">
        <v>49333997.305200011</v>
      </c>
      <c r="J116" s="349">
        <v>241339449.66275641</v>
      </c>
      <c r="K116" s="349"/>
      <c r="L116" s="349"/>
      <c r="M116" s="349"/>
      <c r="N116" s="349">
        <v>15373753.730649471</v>
      </c>
    </row>
    <row r="117" spans="2:16">
      <c r="B117" s="347" t="s">
        <v>874</v>
      </c>
      <c r="D117" s="314" t="s">
        <v>185</v>
      </c>
      <c r="F117" s="348">
        <f>SUM(G117:N117)</f>
        <v>48026426.297074668</v>
      </c>
      <c r="G117" s="349"/>
      <c r="H117" s="349"/>
      <c r="I117" s="349">
        <v>8330528.1599999983</v>
      </c>
      <c r="J117" s="349">
        <v>38948936.341001771</v>
      </c>
      <c r="K117" s="349"/>
      <c r="L117" s="349"/>
      <c r="M117" s="349"/>
      <c r="N117" s="349">
        <v>746961.79607289948</v>
      </c>
    </row>
    <row r="118" spans="2:16">
      <c r="B118" s="351" t="s">
        <v>880</v>
      </c>
      <c r="D118" s="314" t="s">
        <v>185</v>
      </c>
      <c r="F118" s="348">
        <f>SUM(G118:N118)</f>
        <v>354073626.99568057</v>
      </c>
      <c r="G118" s="348">
        <f t="shared" ref="G118:N118" si="30">SUM(G116:G117)</f>
        <v>0</v>
      </c>
      <c r="H118" s="348">
        <f t="shared" si="30"/>
        <v>0</v>
      </c>
      <c r="I118" s="348">
        <f t="shared" si="30"/>
        <v>57664525.465200007</v>
      </c>
      <c r="J118" s="348">
        <f t="shared" si="30"/>
        <v>280288386.00375819</v>
      </c>
      <c r="K118" s="348">
        <f t="shared" si="30"/>
        <v>0</v>
      </c>
      <c r="L118" s="348">
        <f t="shared" si="30"/>
        <v>0</v>
      </c>
      <c r="M118" s="348">
        <f t="shared" si="30"/>
        <v>0</v>
      </c>
      <c r="N118" s="348">
        <f t="shared" si="30"/>
        <v>16120715.526722372</v>
      </c>
    </row>
    <row r="119" spans="2:16">
      <c r="F119" s="352"/>
      <c r="G119" s="344"/>
      <c r="H119" s="344"/>
      <c r="I119" s="344"/>
      <c r="J119" s="344"/>
      <c r="K119" s="344"/>
      <c r="L119" s="344"/>
      <c r="M119" s="344"/>
      <c r="N119" s="344"/>
    </row>
    <row r="120" spans="2:16">
      <c r="F120" s="352"/>
      <c r="G120" s="344"/>
      <c r="H120" s="344"/>
      <c r="I120" s="344"/>
      <c r="J120" s="344"/>
      <c r="K120" s="344"/>
      <c r="L120" s="344"/>
      <c r="M120" s="344"/>
      <c r="N120" s="344"/>
    </row>
    <row r="121" spans="2:16" s="328" customFormat="1" ht="15">
      <c r="B121" s="329" t="s">
        <v>881</v>
      </c>
      <c r="C121" s="329"/>
      <c r="D121" s="329"/>
      <c r="F121" s="353"/>
      <c r="G121" s="342"/>
      <c r="H121" s="342"/>
      <c r="I121" s="342"/>
      <c r="J121" s="342"/>
      <c r="K121" s="342"/>
      <c r="L121" s="342"/>
      <c r="M121" s="342"/>
      <c r="N121" s="342"/>
    </row>
    <row r="122" spans="2:16">
      <c r="B122" s="354" t="s">
        <v>882</v>
      </c>
      <c r="F122" s="352"/>
      <c r="G122" s="344"/>
      <c r="H122" s="344"/>
      <c r="I122" s="344"/>
      <c r="J122" s="344"/>
      <c r="K122" s="344"/>
      <c r="L122" s="344"/>
      <c r="M122" s="344"/>
      <c r="N122" s="344"/>
    </row>
    <row r="123" spans="2:16">
      <c r="B123" s="354"/>
      <c r="F123" s="352"/>
      <c r="G123" s="344"/>
      <c r="H123" s="344"/>
      <c r="I123" s="344"/>
      <c r="J123" s="344"/>
      <c r="K123" s="344"/>
      <c r="L123" s="344"/>
      <c r="M123" s="344"/>
      <c r="N123" s="344"/>
    </row>
    <row r="124" spans="2:16">
      <c r="B124" s="315" t="s">
        <v>883</v>
      </c>
      <c r="F124" s="355">
        <f>CPI!F18</f>
        <v>1.4999999999999999E-2</v>
      </c>
      <c r="G124" s="344"/>
      <c r="H124" s="344"/>
      <c r="I124" s="344"/>
      <c r="J124" s="344"/>
      <c r="K124" s="344"/>
      <c r="L124" s="344"/>
      <c r="M124" s="344"/>
      <c r="N124" s="344"/>
    </row>
    <row r="125" spans="2:16">
      <c r="B125" s="315" t="s">
        <v>884</v>
      </c>
      <c r="F125" s="355">
        <f>CPI!F19</f>
        <v>2.5999999999999999E-2</v>
      </c>
      <c r="G125" s="344"/>
      <c r="H125" s="344"/>
      <c r="I125" s="344"/>
      <c r="J125" s="344"/>
      <c r="K125" s="344"/>
      <c r="L125" s="344"/>
      <c r="M125" s="344"/>
      <c r="N125" s="344"/>
    </row>
    <row r="126" spans="2:16">
      <c r="B126" s="315" t="s">
        <v>885</v>
      </c>
      <c r="F126" s="356">
        <f>I141/I140</f>
        <v>2.0012571026598879E-2</v>
      </c>
      <c r="G126" s="344"/>
      <c r="H126" s="344"/>
      <c r="I126" s="344"/>
      <c r="J126" s="344"/>
      <c r="K126" s="344"/>
      <c r="L126" s="344"/>
      <c r="M126" s="344"/>
      <c r="N126" s="344"/>
      <c r="P126" s="340"/>
    </row>
    <row r="127" spans="2:16">
      <c r="F127" s="352"/>
      <c r="G127" s="344"/>
      <c r="H127" s="344"/>
      <c r="I127" s="344"/>
      <c r="J127" s="344"/>
      <c r="K127" s="344"/>
      <c r="L127" s="344"/>
      <c r="M127" s="344"/>
      <c r="N127" s="344"/>
      <c r="P127" s="340"/>
    </row>
    <row r="128" spans="2:16">
      <c r="B128" s="315" t="s">
        <v>886</v>
      </c>
      <c r="D128" s="315" t="s">
        <v>183</v>
      </c>
      <c r="F128" s="357"/>
      <c r="G128" s="348">
        <f>G134/(1+$F$124)</f>
        <v>0</v>
      </c>
      <c r="H128" s="348">
        <f>H134/(1+$F$124)</f>
        <v>0</v>
      </c>
      <c r="I128" s="348">
        <f>I134/(1+$F$124)</f>
        <v>2627068.2857142864</v>
      </c>
      <c r="J128" s="348">
        <f t="shared" ref="J128:N128" si="31">J134/(1+$F$124)</f>
        <v>63644373.399014786</v>
      </c>
      <c r="K128" s="348">
        <f t="shared" si="31"/>
        <v>0</v>
      </c>
      <c r="L128" s="348">
        <f t="shared" si="31"/>
        <v>0</v>
      </c>
      <c r="M128" s="348">
        <f t="shared" si="31"/>
        <v>0</v>
      </c>
      <c r="N128" s="348">
        <f t="shared" si="31"/>
        <v>0</v>
      </c>
      <c r="P128" s="340" t="s">
        <v>887</v>
      </c>
    </row>
    <row r="129" spans="2:14">
      <c r="B129" s="315" t="s">
        <v>888</v>
      </c>
      <c r="D129" s="315" t="s">
        <v>183</v>
      </c>
      <c r="F129" s="357"/>
      <c r="G129" s="358">
        <f>G128*(1-$F$126)</f>
        <v>0</v>
      </c>
      <c r="H129" s="358">
        <f>H128*(1-$F$126)</f>
        <v>0</v>
      </c>
      <c r="I129" s="358">
        <f>I128*(1-$F$126)</f>
        <v>2574493.8950547036</v>
      </c>
      <c r="J129" s="358">
        <f>J128*(1-$F$126)</f>
        <v>62370685.855923623</v>
      </c>
      <c r="K129" s="358">
        <f t="shared" ref="K129:N129" si="32">K128*(1-$F$126)</f>
        <v>0</v>
      </c>
      <c r="L129" s="358">
        <f t="shared" si="32"/>
        <v>0</v>
      </c>
      <c r="M129" s="358">
        <f t="shared" si="32"/>
        <v>0</v>
      </c>
      <c r="N129" s="358">
        <f t="shared" si="32"/>
        <v>0</v>
      </c>
    </row>
    <row r="130" spans="2:14">
      <c r="B130" s="315" t="s">
        <v>889</v>
      </c>
      <c r="D130" s="315" t="s">
        <v>183</v>
      </c>
      <c r="F130" s="357">
        <f t="shared" ref="F130:H130" si="33">F143/((1+$F$125)*(1+$F$124))</f>
        <v>0</v>
      </c>
      <c r="G130" s="348">
        <f t="shared" si="33"/>
        <v>0</v>
      </c>
      <c r="H130" s="348">
        <f t="shared" si="33"/>
        <v>0</v>
      </c>
      <c r="I130" s="348">
        <f>I143/((1+$F$125)*(1+$F$124))</f>
        <v>7790838.6099348161</v>
      </c>
      <c r="J130" s="348">
        <f t="shared" ref="J130:N130" si="34">J143/((1+$F$125)*(1+$F$124))</f>
        <v>35507617.703261994</v>
      </c>
      <c r="K130" s="348">
        <f t="shared" si="34"/>
        <v>0</v>
      </c>
      <c r="L130" s="348">
        <f t="shared" si="34"/>
        <v>0</v>
      </c>
      <c r="M130" s="348">
        <f t="shared" si="34"/>
        <v>0</v>
      </c>
      <c r="N130" s="348">
        <f t="shared" si="34"/>
        <v>0</v>
      </c>
    </row>
    <row r="131" spans="2:14">
      <c r="B131" s="315" t="s">
        <v>890</v>
      </c>
      <c r="D131" s="315" t="s">
        <v>183</v>
      </c>
      <c r="F131" s="357"/>
      <c r="G131" s="358">
        <f t="shared" ref="G131:N131" si="35">G130*(1-$F$126)</f>
        <v>0</v>
      </c>
      <c r="H131" s="358">
        <f t="shared" si="35"/>
        <v>0</v>
      </c>
      <c r="I131" s="358">
        <f t="shared" si="35"/>
        <v>7634923.8988967268</v>
      </c>
      <c r="J131" s="358">
        <f t="shared" si="35"/>
        <v>34797018.981990144</v>
      </c>
      <c r="K131" s="358">
        <f t="shared" si="35"/>
        <v>0</v>
      </c>
      <c r="L131" s="358">
        <f t="shared" si="35"/>
        <v>0</v>
      </c>
      <c r="M131" s="358">
        <f t="shared" si="35"/>
        <v>0</v>
      </c>
      <c r="N131" s="358">
        <f t="shared" si="35"/>
        <v>0</v>
      </c>
    </row>
    <row r="132" spans="2:14">
      <c r="B132" s="346" t="s">
        <v>891</v>
      </c>
      <c r="D132" s="315" t="s">
        <v>183</v>
      </c>
      <c r="F132" s="357"/>
      <c r="G132" s="358">
        <f t="shared" ref="G132:N132" si="36">G129+G131</f>
        <v>0</v>
      </c>
      <c r="H132" s="358">
        <f t="shared" si="36"/>
        <v>0</v>
      </c>
      <c r="I132" s="358">
        <f t="shared" si="36"/>
        <v>10209417.793951429</v>
      </c>
      <c r="J132" s="358">
        <f t="shared" si="36"/>
        <v>97167704.837913767</v>
      </c>
      <c r="K132" s="358">
        <f t="shared" si="36"/>
        <v>0</v>
      </c>
      <c r="L132" s="358">
        <f t="shared" si="36"/>
        <v>0</v>
      </c>
      <c r="M132" s="358">
        <f t="shared" si="36"/>
        <v>0</v>
      </c>
      <c r="N132" s="358">
        <f t="shared" si="36"/>
        <v>0</v>
      </c>
    </row>
    <row r="133" spans="2:14">
      <c r="F133" s="359"/>
      <c r="G133" s="344"/>
      <c r="H133" s="344"/>
      <c r="I133" s="344"/>
      <c r="J133" s="344"/>
      <c r="K133" s="344"/>
      <c r="L133" s="344"/>
      <c r="M133" s="344"/>
      <c r="N133" s="344"/>
    </row>
    <row r="134" spans="2:14">
      <c r="B134" s="315" t="s">
        <v>892</v>
      </c>
      <c r="D134" s="315" t="s">
        <v>184</v>
      </c>
      <c r="F134" s="357"/>
      <c r="G134" s="349"/>
      <c r="H134" s="349"/>
      <c r="I134" s="349">
        <v>2666474.3100000005</v>
      </c>
      <c r="J134" s="349">
        <v>64599039</v>
      </c>
      <c r="K134" s="349"/>
      <c r="L134" s="349"/>
      <c r="M134" s="349"/>
      <c r="N134" s="349"/>
    </row>
    <row r="135" spans="2:14">
      <c r="B135" s="315" t="s">
        <v>893</v>
      </c>
      <c r="D135" s="315" t="s">
        <v>184</v>
      </c>
      <c r="F135" s="357"/>
      <c r="G135" s="358">
        <f t="shared" ref="G135:H135" si="37">G134*(1-$F$126)</f>
        <v>0</v>
      </c>
      <c r="H135" s="358">
        <f t="shared" si="37"/>
        <v>0</v>
      </c>
      <c r="I135" s="358">
        <f>I134*(1-$F$126)</f>
        <v>2613111.3034805241</v>
      </c>
      <c r="J135" s="358">
        <f>J134*(1-$F$126)</f>
        <v>63306246.143762469</v>
      </c>
      <c r="K135" s="358">
        <f t="shared" ref="K135:N135" si="38">K134*(1-$F$126)</f>
        <v>0</v>
      </c>
      <c r="L135" s="358">
        <f t="shared" si="38"/>
        <v>0</v>
      </c>
      <c r="M135" s="358">
        <f t="shared" si="38"/>
        <v>0</v>
      </c>
      <c r="N135" s="358">
        <f t="shared" si="38"/>
        <v>0</v>
      </c>
    </row>
    <row r="136" spans="2:14">
      <c r="B136" s="315" t="s">
        <v>894</v>
      </c>
      <c r="D136" s="315" t="s">
        <v>184</v>
      </c>
      <c r="F136" s="357"/>
      <c r="G136" s="360">
        <f t="shared" ref="G136:N136" si="39">G143/(1+D125)</f>
        <v>0</v>
      </c>
      <c r="H136" s="360">
        <f t="shared" si="39"/>
        <v>0</v>
      </c>
      <c r="I136" s="360">
        <f t="shared" si="39"/>
        <v>7907701.189083837</v>
      </c>
      <c r="J136" s="360">
        <f t="shared" si="39"/>
        <v>36977278</v>
      </c>
      <c r="K136" s="360">
        <f t="shared" si="39"/>
        <v>0</v>
      </c>
      <c r="L136" s="360">
        <f t="shared" si="39"/>
        <v>0</v>
      </c>
      <c r="M136" s="360">
        <f t="shared" si="39"/>
        <v>0</v>
      </c>
      <c r="N136" s="360">
        <f t="shared" si="39"/>
        <v>0</v>
      </c>
    </row>
    <row r="137" spans="2:14">
      <c r="B137" s="315" t="s">
        <v>895</v>
      </c>
      <c r="D137" s="315" t="s">
        <v>184</v>
      </c>
      <c r="F137" s="357"/>
      <c r="G137" s="358">
        <f t="shared" ref="G137:H137" si="40">G136*(1-$F$126)</f>
        <v>0</v>
      </c>
      <c r="H137" s="358">
        <f t="shared" si="40"/>
        <v>0</v>
      </c>
      <c r="I137" s="358">
        <f>I136*(1-$F$126)</f>
        <v>7749447.7573801763</v>
      </c>
      <c r="J137" s="358">
        <f>J136*(1-$F$126)</f>
        <v>36237267.597654708</v>
      </c>
      <c r="K137" s="358">
        <f t="shared" ref="K137:N137" si="41">K136*(1-$F$126)</f>
        <v>0</v>
      </c>
      <c r="L137" s="358">
        <f t="shared" si="41"/>
        <v>0</v>
      </c>
      <c r="M137" s="358">
        <f t="shared" si="41"/>
        <v>0</v>
      </c>
      <c r="N137" s="358">
        <f t="shared" si="41"/>
        <v>0</v>
      </c>
    </row>
    <row r="138" spans="2:14">
      <c r="B138" s="346" t="s">
        <v>896</v>
      </c>
      <c r="D138" s="315" t="s">
        <v>184</v>
      </c>
      <c r="F138" s="357"/>
      <c r="G138" s="358">
        <f>G135+G137</f>
        <v>0</v>
      </c>
      <c r="H138" s="358">
        <f t="shared" ref="H138:N138" si="42">H135+H137</f>
        <v>0</v>
      </c>
      <c r="I138" s="358">
        <f>I135+I137</f>
        <v>10362559.060860701</v>
      </c>
      <c r="J138" s="358">
        <f>J135+J137</f>
        <v>99543513.74141717</v>
      </c>
      <c r="K138" s="358">
        <f t="shared" si="42"/>
        <v>0</v>
      </c>
      <c r="L138" s="358">
        <f t="shared" si="42"/>
        <v>0</v>
      </c>
      <c r="M138" s="358">
        <f t="shared" si="42"/>
        <v>0</v>
      </c>
      <c r="N138" s="358">
        <f t="shared" si="42"/>
        <v>0</v>
      </c>
    </row>
    <row r="139" spans="2:14">
      <c r="F139" s="359"/>
      <c r="G139" s="344"/>
      <c r="H139" s="344"/>
      <c r="I139" s="344"/>
      <c r="J139" s="344"/>
      <c r="K139" s="344"/>
      <c r="L139" s="344"/>
      <c r="M139" s="344"/>
      <c r="N139" s="344"/>
    </row>
    <row r="140" spans="2:14">
      <c r="B140" s="315" t="s">
        <v>897</v>
      </c>
      <c r="D140" s="315" t="s">
        <v>185</v>
      </c>
      <c r="F140" s="357"/>
      <c r="G140" s="349"/>
      <c r="H140" s="349"/>
      <c r="I140" s="349">
        <v>2795841.6700000088</v>
      </c>
      <c r="J140" s="349">
        <v>67899323</v>
      </c>
      <c r="K140" s="349"/>
      <c r="L140" s="349"/>
      <c r="M140" s="349"/>
      <c r="N140" s="349"/>
    </row>
    <row r="141" spans="2:14">
      <c r="B141" s="315" t="s">
        <v>898</v>
      </c>
      <c r="D141" s="315" t="s">
        <v>185</v>
      </c>
      <c r="F141" s="357"/>
      <c r="G141" s="349"/>
      <c r="H141" s="349"/>
      <c r="I141" s="349">
        <v>55951.979999999996</v>
      </c>
      <c r="J141" s="349">
        <v>1591048.1571747412</v>
      </c>
      <c r="K141" s="349"/>
      <c r="L141" s="349"/>
      <c r="M141" s="349"/>
      <c r="N141" s="349"/>
    </row>
    <row r="142" spans="2:14">
      <c r="B142" s="315" t="s">
        <v>899</v>
      </c>
      <c r="D142" s="315" t="s">
        <v>185</v>
      </c>
      <c r="F142" s="357"/>
      <c r="G142" s="348">
        <f t="shared" ref="G142:H142" si="43">G140-G141</f>
        <v>0</v>
      </c>
      <c r="H142" s="348">
        <f t="shared" si="43"/>
        <v>0</v>
      </c>
      <c r="I142" s="348">
        <f>I140-I141</f>
        <v>2739889.6900000088</v>
      </c>
      <c r="J142" s="348">
        <f t="shared" ref="J142:N142" si="44">J140-J141</f>
        <v>66308274.842825256</v>
      </c>
      <c r="K142" s="348">
        <f t="shared" si="44"/>
        <v>0</v>
      </c>
      <c r="L142" s="348">
        <f t="shared" si="44"/>
        <v>0</v>
      </c>
      <c r="M142" s="348">
        <f t="shared" si="44"/>
        <v>0</v>
      </c>
      <c r="N142" s="348">
        <f t="shared" si="44"/>
        <v>0</v>
      </c>
    </row>
    <row r="143" spans="2:14">
      <c r="B143" s="315" t="s">
        <v>900</v>
      </c>
      <c r="D143" s="315" t="s">
        <v>185</v>
      </c>
      <c r="F143" s="357"/>
      <c r="G143" s="349"/>
      <c r="H143" s="349"/>
      <c r="I143" s="349">
        <v>8113301.4200000167</v>
      </c>
      <c r="J143" s="349">
        <v>36977278</v>
      </c>
      <c r="K143" s="349"/>
      <c r="L143" s="349"/>
      <c r="M143" s="349"/>
      <c r="N143" s="349"/>
    </row>
    <row r="144" spans="2:14">
      <c r="B144" s="315" t="s">
        <v>901</v>
      </c>
      <c r="D144" s="315" t="s">
        <v>185</v>
      </c>
      <c r="F144" s="357"/>
      <c r="G144" s="358">
        <f t="shared" ref="G144:H144" si="45">G143*(1-$F$126)</f>
        <v>0</v>
      </c>
      <c r="H144" s="358">
        <f t="shared" si="45"/>
        <v>0</v>
      </c>
      <c r="I144" s="358">
        <f>I143*(1-$F$126)</f>
        <v>7950933.3990720604</v>
      </c>
      <c r="J144" s="358">
        <f>J143*(1-$F$126)</f>
        <v>36237267.597654708</v>
      </c>
      <c r="K144" s="358">
        <f t="shared" ref="K144:N144" si="46">K143*(1-$F$126)</f>
        <v>0</v>
      </c>
      <c r="L144" s="358">
        <f t="shared" si="46"/>
        <v>0</v>
      </c>
      <c r="M144" s="358">
        <f t="shared" si="46"/>
        <v>0</v>
      </c>
      <c r="N144" s="358">
        <f t="shared" si="46"/>
        <v>0</v>
      </c>
    </row>
    <row r="145" spans="2:16">
      <c r="B145" s="346" t="s">
        <v>902</v>
      </c>
      <c r="D145" s="315" t="s">
        <v>185</v>
      </c>
      <c r="F145" s="357"/>
      <c r="G145" s="358">
        <f t="shared" ref="G145:H145" si="47">G144+G142</f>
        <v>0</v>
      </c>
      <c r="H145" s="358">
        <f t="shared" si="47"/>
        <v>0</v>
      </c>
      <c r="I145" s="358">
        <f>I144+I142</f>
        <v>10690823.089072069</v>
      </c>
      <c r="J145" s="358">
        <f t="shared" ref="J145:N145" si="48">J144+J142</f>
        <v>102545542.44047996</v>
      </c>
      <c r="K145" s="358">
        <f t="shared" si="48"/>
        <v>0</v>
      </c>
      <c r="L145" s="358">
        <f t="shared" si="48"/>
        <v>0</v>
      </c>
      <c r="M145" s="358">
        <f t="shared" si="48"/>
        <v>0</v>
      </c>
      <c r="N145" s="358">
        <f t="shared" si="48"/>
        <v>0</v>
      </c>
    </row>
    <row r="146" spans="2:16">
      <c r="G146" s="314"/>
      <c r="H146" s="314"/>
      <c r="I146" s="314"/>
      <c r="J146" s="314"/>
      <c r="K146" s="314"/>
      <c r="L146" s="314"/>
      <c r="M146" s="314"/>
      <c r="N146" s="314"/>
    </row>
    <row r="147" spans="2:16" s="328" customFormat="1" ht="15">
      <c r="B147" s="329" t="s">
        <v>903</v>
      </c>
      <c r="F147" s="361"/>
      <c r="G147" s="362"/>
      <c r="H147" s="362"/>
      <c r="I147" s="362"/>
      <c r="J147" s="362"/>
      <c r="K147" s="362"/>
      <c r="L147" s="362"/>
      <c r="M147" s="362"/>
      <c r="N147" s="362"/>
      <c r="O147" s="362"/>
      <c r="P147" s="362"/>
    </row>
    <row r="148" spans="2:16" s="364" customFormat="1" ht="15">
      <c r="B148" s="363"/>
      <c r="F148" s="365"/>
      <c r="G148" s="366"/>
      <c r="H148" s="366"/>
      <c r="I148" s="366"/>
      <c r="J148" s="366"/>
      <c r="K148" s="366"/>
      <c r="L148" s="366"/>
      <c r="M148" s="366"/>
      <c r="N148" s="366"/>
      <c r="O148" s="366"/>
      <c r="P148" s="366"/>
    </row>
    <row r="149" spans="2:16" s="368" customFormat="1" ht="15">
      <c r="B149" s="315" t="s">
        <v>904</v>
      </c>
      <c r="C149" s="367"/>
      <c r="D149" s="367" t="s">
        <v>183</v>
      </c>
      <c r="F149" s="369"/>
      <c r="G149" s="370">
        <f>G91+G96+G132</f>
        <v>0</v>
      </c>
      <c r="H149" s="370">
        <f t="shared" ref="H149:M149" si="49">H91+H96+H132</f>
        <v>0</v>
      </c>
      <c r="I149" s="370">
        <f t="shared" si="49"/>
        <v>93179875.565403104</v>
      </c>
      <c r="J149" s="370">
        <f t="shared" si="49"/>
        <v>1114712049.4485216</v>
      </c>
      <c r="K149" s="370">
        <f t="shared" si="49"/>
        <v>1062585671.0900681</v>
      </c>
      <c r="L149" s="370">
        <f t="shared" si="49"/>
        <v>0</v>
      </c>
      <c r="M149" s="370">
        <f t="shared" si="49"/>
        <v>0</v>
      </c>
      <c r="N149" s="370">
        <f>N91+N96+N132</f>
        <v>51138500.858057149</v>
      </c>
      <c r="O149" s="371"/>
      <c r="P149" s="371"/>
    </row>
    <row r="150" spans="2:16" s="368" customFormat="1" ht="15">
      <c r="B150" s="315" t="s">
        <v>905</v>
      </c>
      <c r="C150" s="367"/>
      <c r="D150" s="367" t="s">
        <v>184</v>
      </c>
      <c r="F150" s="369"/>
      <c r="G150" s="370">
        <f>G102+G107+G138</f>
        <v>0</v>
      </c>
      <c r="H150" s="370">
        <f t="shared" ref="H150:M150" si="50">H102+H107+H138</f>
        <v>0</v>
      </c>
      <c r="I150" s="370">
        <f t="shared" si="50"/>
        <v>95767363.939788759</v>
      </c>
      <c r="J150" s="370">
        <f t="shared" si="50"/>
        <v>1193203416.3117929</v>
      </c>
      <c r="K150" s="370">
        <f t="shared" si="50"/>
        <v>0</v>
      </c>
      <c r="L150" s="370">
        <f t="shared" si="50"/>
        <v>0</v>
      </c>
      <c r="M150" s="370">
        <f t="shared" si="50"/>
        <v>0</v>
      </c>
      <c r="N150" s="370">
        <f>N102+N107+N138</f>
        <v>55337719.616803363</v>
      </c>
      <c r="O150" s="371"/>
      <c r="P150" s="371"/>
    </row>
    <row r="151" spans="2:16" s="368" customFormat="1" ht="15">
      <c r="B151" s="315" t="s">
        <v>906</v>
      </c>
      <c r="C151" s="367"/>
      <c r="D151" s="367" t="s">
        <v>185</v>
      </c>
      <c r="F151" s="369"/>
      <c r="G151" s="370">
        <f>G113+G118+G145</f>
        <v>0</v>
      </c>
      <c r="H151" s="370">
        <f t="shared" ref="H151:M151" si="51">H113+H118+H145</f>
        <v>0</v>
      </c>
      <c r="I151" s="370">
        <f t="shared" si="51"/>
        <v>102054343.55670802</v>
      </c>
      <c r="J151" s="370">
        <f>J113+J118+J145</f>
        <v>1225507105.6520903</v>
      </c>
      <c r="K151" s="370">
        <f t="shared" si="51"/>
        <v>0</v>
      </c>
      <c r="L151" s="370">
        <f t="shared" si="51"/>
        <v>0</v>
      </c>
      <c r="M151" s="370">
        <f t="shared" si="51"/>
        <v>0</v>
      </c>
      <c r="N151" s="370">
        <f>N113+N118+N145</f>
        <v>62997395.719044387</v>
      </c>
      <c r="O151" s="371"/>
      <c r="P151" s="37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BE721"/>
  </sheetPr>
  <dimension ref="A1:CE208"/>
  <sheetViews>
    <sheetView showGridLines="0" zoomScale="85" zoomScaleNormal="85" workbookViewId="0"/>
  </sheetViews>
  <sheetFormatPr defaultRowHeight="12.75"/>
  <cols>
    <col min="1" max="1" width="3.85546875" style="417" customWidth="1"/>
    <col min="2" max="2" width="56.28515625" style="417" customWidth="1"/>
    <col min="3" max="3" width="14.7109375" style="461" customWidth="1"/>
    <col min="4" max="4" width="46.85546875" style="417" customWidth="1"/>
    <col min="5" max="5" width="13.85546875" style="417" customWidth="1"/>
    <col min="6" max="6" width="16.28515625" style="417" customWidth="1"/>
    <col min="7" max="7" width="5.42578125" style="417" customWidth="1"/>
    <col min="8" max="8" width="15.28515625" style="417" customWidth="1"/>
    <col min="9" max="9" width="5.42578125" style="417" customWidth="1"/>
    <col min="10" max="10" width="15" style="417" customWidth="1"/>
    <col min="11" max="11" width="4.28515625" style="417" customWidth="1"/>
    <col min="12" max="12" width="9.140625" style="417"/>
    <col min="13" max="13" width="10.28515625" style="417" bestFit="1" customWidth="1"/>
    <col min="14" max="16384" width="9.140625" style="417"/>
  </cols>
  <sheetData>
    <row r="1" spans="1:43" s="258" customFormat="1">
      <c r="C1" s="219"/>
    </row>
    <row r="2" spans="1:43" s="434" customFormat="1" ht="32.25" customHeight="1">
      <c r="B2" s="435" t="s">
        <v>1144</v>
      </c>
      <c r="C2" s="475"/>
    </row>
    <row r="3" spans="1:43" s="258" customFormat="1">
      <c r="A3" s="419"/>
      <c r="B3" s="419"/>
      <c r="C3" s="476"/>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row>
    <row r="4" spans="1:43" s="436" customFormat="1">
      <c r="B4" s="437" t="s">
        <v>1145</v>
      </c>
      <c r="C4" s="477"/>
    </row>
    <row r="5" spans="1:43" s="438" customFormat="1">
      <c r="B5" s="427" t="s">
        <v>1376</v>
      </c>
      <c r="C5" s="478"/>
    </row>
    <row r="6" spans="1:43" s="439" customFormat="1">
      <c r="B6" s="440" t="s">
        <v>1374</v>
      </c>
      <c r="C6" s="479"/>
    </row>
    <row r="7" spans="1:43" s="436" customFormat="1">
      <c r="B7" s="418" t="s">
        <v>1139</v>
      </c>
      <c r="C7" s="480"/>
    </row>
    <row r="8" spans="1:43" s="436" customFormat="1">
      <c r="B8" s="418"/>
      <c r="C8" s="480"/>
    </row>
    <row r="9" spans="1:43" s="258" customFormat="1">
      <c r="A9" s="419"/>
      <c r="B9" s="419" t="s">
        <v>1140</v>
      </c>
      <c r="C9" s="476"/>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row>
    <row r="10" spans="1:43" s="248" customFormat="1">
      <c r="A10" s="419"/>
      <c r="B10" s="427" t="s">
        <v>1375</v>
      </c>
      <c r="C10" s="481"/>
      <c r="D10" s="427"/>
      <c r="E10" s="427"/>
      <c r="F10" s="427"/>
      <c r="G10" s="427"/>
      <c r="H10" s="427"/>
      <c r="I10" s="427"/>
      <c r="J10" s="427"/>
      <c r="K10" s="427"/>
      <c r="L10" s="427"/>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c r="AJ10" s="419"/>
      <c r="AK10" s="419"/>
      <c r="AL10" s="419"/>
      <c r="AM10" s="419"/>
      <c r="AN10" s="419"/>
      <c r="AO10" s="419"/>
      <c r="AP10" s="419"/>
      <c r="AQ10" s="419"/>
    </row>
    <row r="11" spans="1:43" s="258" customFormat="1">
      <c r="A11" s="419"/>
      <c r="B11" s="427" t="s">
        <v>1141</v>
      </c>
      <c r="C11" s="476"/>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c r="AJ11" s="419"/>
      <c r="AK11" s="419"/>
      <c r="AL11" s="419"/>
      <c r="AM11" s="419"/>
      <c r="AN11" s="419"/>
      <c r="AO11" s="419"/>
      <c r="AP11" s="419"/>
      <c r="AQ11" s="419"/>
    </row>
    <row r="12" spans="1:43" s="258" customFormat="1">
      <c r="A12" s="419"/>
      <c r="B12" s="427" t="s">
        <v>1142</v>
      </c>
      <c r="C12" s="476"/>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row>
    <row r="13" spans="1:43" s="258" customFormat="1">
      <c r="A13" s="419"/>
      <c r="B13" s="419"/>
      <c r="C13" s="476"/>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419"/>
      <c r="AN13" s="419"/>
      <c r="AO13" s="419"/>
      <c r="AP13" s="419"/>
      <c r="AQ13" s="419"/>
    </row>
    <row r="14" spans="1:43" s="258" customFormat="1">
      <c r="A14" s="419"/>
      <c r="B14" s="419" t="s">
        <v>1143</v>
      </c>
      <c r="C14" s="476"/>
      <c r="D14" s="419"/>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c r="AL14" s="419"/>
      <c r="AM14" s="419"/>
      <c r="AN14" s="419"/>
      <c r="AO14" s="419"/>
      <c r="AP14" s="419"/>
      <c r="AQ14" s="419"/>
    </row>
    <row r="15" spans="1:43" s="258" customFormat="1">
      <c r="A15" s="419"/>
      <c r="B15" s="419"/>
      <c r="C15" s="476"/>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419"/>
      <c r="AN15" s="419"/>
      <c r="AO15" s="419"/>
      <c r="AP15" s="419"/>
      <c r="AQ15" s="419"/>
    </row>
    <row r="16" spans="1:43" s="436" customFormat="1">
      <c r="B16" s="429"/>
      <c r="C16" s="480"/>
    </row>
    <row r="17" spans="1:43" s="422" customFormat="1">
      <c r="A17" s="420"/>
      <c r="B17" s="421" t="s">
        <v>1327</v>
      </c>
      <c r="C17" s="482"/>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c r="AJ17" s="420"/>
      <c r="AK17" s="420"/>
      <c r="AL17" s="420"/>
      <c r="AM17" s="420"/>
      <c r="AN17" s="420"/>
      <c r="AO17" s="420"/>
      <c r="AP17" s="420"/>
    </row>
    <row r="18" spans="1:43" s="457" customFormat="1">
      <c r="A18" s="455"/>
      <c r="B18" s="456"/>
      <c r="C18" s="483"/>
      <c r="D18" s="455"/>
      <c r="E18" s="455"/>
      <c r="F18" s="455"/>
      <c r="G18" s="455"/>
      <c r="H18" s="455"/>
      <c r="I18" s="455"/>
      <c r="J18" s="455"/>
      <c r="K18" s="455"/>
      <c r="L18" s="455"/>
      <c r="M18" s="455"/>
      <c r="N18" s="455"/>
      <c r="O18" s="455"/>
      <c r="P18" s="455"/>
      <c r="Q18" s="455"/>
      <c r="R18" s="455"/>
      <c r="S18" s="455"/>
      <c r="T18" s="455"/>
      <c r="U18" s="455"/>
      <c r="V18" s="455"/>
      <c r="W18" s="455"/>
      <c r="X18" s="455"/>
      <c r="Y18" s="455"/>
      <c r="Z18" s="455"/>
      <c r="AA18" s="455"/>
      <c r="AB18" s="455"/>
      <c r="AC18" s="455"/>
      <c r="AD18" s="455"/>
      <c r="AE18" s="455"/>
      <c r="AF18" s="455"/>
      <c r="AG18" s="455"/>
      <c r="AH18" s="455"/>
      <c r="AI18" s="455"/>
      <c r="AJ18" s="455"/>
      <c r="AK18" s="455"/>
      <c r="AL18" s="455"/>
      <c r="AM18" s="455"/>
      <c r="AN18" s="455"/>
      <c r="AO18" s="455"/>
      <c r="AP18" s="455"/>
    </row>
    <row r="19" spans="1:43">
      <c r="B19" s="419" t="s">
        <v>1041</v>
      </c>
      <c r="C19" s="476"/>
      <c r="D19" s="419"/>
      <c r="E19" s="419" t="s">
        <v>98</v>
      </c>
    </row>
    <row r="20" spans="1:43">
      <c r="B20" s="419" t="s">
        <v>1042</v>
      </c>
      <c r="C20" s="476"/>
      <c r="D20" s="419"/>
      <c r="E20" s="472" t="s">
        <v>1328</v>
      </c>
    </row>
    <row r="21" spans="1:43">
      <c r="B21" s="419"/>
      <c r="C21" s="476"/>
      <c r="D21" s="419"/>
      <c r="E21" s="472" t="s">
        <v>1340</v>
      </c>
    </row>
    <row r="22" spans="1:43">
      <c r="B22" s="419"/>
      <c r="C22" s="476"/>
      <c r="D22" s="419"/>
      <c r="E22" s="458"/>
    </row>
    <row r="23" spans="1:43">
      <c r="B23" s="424" t="s">
        <v>1043</v>
      </c>
      <c r="C23" s="484" t="s">
        <v>1</v>
      </c>
      <c r="D23" s="429" t="s">
        <v>1235</v>
      </c>
      <c r="E23" s="429"/>
      <c r="F23" s="424" t="s">
        <v>1044</v>
      </c>
      <c r="G23" s="424"/>
      <c r="H23" s="424" t="s">
        <v>1045</v>
      </c>
      <c r="I23" s="418"/>
      <c r="J23" s="424" t="s">
        <v>1046</v>
      </c>
    </row>
    <row r="24" spans="1:43">
      <c r="B24" s="417" t="s">
        <v>1339</v>
      </c>
      <c r="C24" s="461">
        <v>2009</v>
      </c>
      <c r="D24" s="418" t="s">
        <v>1330</v>
      </c>
      <c r="E24" s="418"/>
      <c r="F24" s="146">
        <v>0</v>
      </c>
      <c r="H24" s="462">
        <f>3000</f>
        <v>3000</v>
      </c>
      <c r="J24" s="432">
        <f>F24+H24</f>
        <v>3000</v>
      </c>
      <c r="K24" s="424"/>
      <c r="L24" s="424"/>
      <c r="M24" s="424"/>
    </row>
    <row r="25" spans="1:43">
      <c r="B25" s="417" t="s">
        <v>1339</v>
      </c>
      <c r="C25" s="461">
        <v>2010</v>
      </c>
      <c r="D25" s="418" t="s">
        <v>1331</v>
      </c>
      <c r="E25" s="418"/>
      <c r="F25" s="146">
        <v>0</v>
      </c>
      <c r="H25" s="462">
        <v>3000</v>
      </c>
      <c r="J25" s="432">
        <f>F25+H25</f>
        <v>3000</v>
      </c>
      <c r="K25" s="424"/>
      <c r="L25" s="424"/>
      <c r="M25" s="424"/>
    </row>
    <row r="26" spans="1:43">
      <c r="B26" s="417" t="s">
        <v>1339</v>
      </c>
      <c r="C26" s="461">
        <v>2012</v>
      </c>
      <c r="D26" s="418" t="s">
        <v>1332</v>
      </c>
      <c r="E26" s="418"/>
      <c r="F26" s="146">
        <v>0</v>
      </c>
      <c r="H26" s="462">
        <v>700</v>
      </c>
      <c r="J26" s="432">
        <f>F26+H26</f>
        <v>700</v>
      </c>
      <c r="K26" s="424"/>
      <c r="L26" s="424"/>
      <c r="M26" s="424"/>
    </row>
    <row r="27" spans="1:43" s="465" customFormat="1">
      <c r="A27" s="417"/>
      <c r="B27" s="419"/>
      <c r="C27" s="476"/>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c r="AJ27" s="419"/>
      <c r="AK27" s="419"/>
      <c r="AL27" s="419"/>
      <c r="AM27" s="419"/>
      <c r="AN27" s="419"/>
      <c r="AO27" s="419"/>
      <c r="AP27" s="419"/>
      <c r="AQ27" s="419"/>
    </row>
    <row r="28" spans="1:43">
      <c r="B28" s="417" t="s">
        <v>1339</v>
      </c>
      <c r="C28" s="461">
        <v>2009</v>
      </c>
      <c r="D28" s="418" t="s">
        <v>1333</v>
      </c>
      <c r="E28" s="418"/>
      <c r="F28" s="146">
        <v>3000</v>
      </c>
      <c r="H28" s="462">
        <f>-3000</f>
        <v>-3000</v>
      </c>
      <c r="J28" s="432">
        <f>F28+H28</f>
        <v>0</v>
      </c>
      <c r="K28" s="424"/>
      <c r="L28" s="424"/>
      <c r="M28" s="424"/>
    </row>
    <row r="29" spans="1:43">
      <c r="B29" s="417" t="s">
        <v>1339</v>
      </c>
      <c r="C29" s="461">
        <v>2010</v>
      </c>
      <c r="D29" s="418" t="s">
        <v>1334</v>
      </c>
      <c r="E29" s="418"/>
      <c r="F29" s="146">
        <v>3000</v>
      </c>
      <c r="H29" s="462">
        <v>-3000</v>
      </c>
      <c r="J29" s="432">
        <f>F29+H29</f>
        <v>0</v>
      </c>
      <c r="K29" s="424"/>
      <c r="L29" s="424"/>
      <c r="M29" s="424"/>
    </row>
    <row r="30" spans="1:43">
      <c r="B30" s="417" t="s">
        <v>1339</v>
      </c>
      <c r="C30" s="461">
        <v>2012</v>
      </c>
      <c r="D30" s="418" t="s">
        <v>1335</v>
      </c>
      <c r="E30" s="418"/>
      <c r="F30" s="146">
        <v>700</v>
      </c>
      <c r="H30" s="462">
        <v>-700</v>
      </c>
      <c r="J30" s="432">
        <f>F30+H30</f>
        <v>0</v>
      </c>
      <c r="K30" s="424"/>
      <c r="L30" s="424"/>
      <c r="M30" s="424"/>
    </row>
    <row r="31" spans="1:43">
      <c r="D31" s="418"/>
      <c r="E31" s="418"/>
      <c r="K31" s="424"/>
      <c r="L31" s="424"/>
      <c r="M31" s="424"/>
    </row>
    <row r="32" spans="1:43">
      <c r="B32" s="417" t="s">
        <v>1338</v>
      </c>
      <c r="C32" s="461">
        <v>2012</v>
      </c>
      <c r="D32" s="418" t="s">
        <v>1335</v>
      </c>
      <c r="E32" s="418"/>
      <c r="F32" s="134">
        <f>J30</f>
        <v>0</v>
      </c>
      <c r="H32" s="462">
        <v>600</v>
      </c>
      <c r="J32" s="432">
        <f>F32+H32</f>
        <v>600</v>
      </c>
      <c r="K32" s="424"/>
      <c r="L32" s="424"/>
      <c r="M32" s="424"/>
    </row>
    <row r="33" spans="1:43" s="465" customFormat="1">
      <c r="A33" s="417"/>
      <c r="B33" s="419"/>
      <c r="C33" s="476"/>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419"/>
      <c r="AL33" s="419"/>
      <c r="AM33" s="419"/>
      <c r="AN33" s="419"/>
      <c r="AO33" s="419"/>
      <c r="AP33" s="419"/>
      <c r="AQ33" s="419"/>
    </row>
    <row r="34" spans="1:43">
      <c r="B34" s="417" t="s">
        <v>1329</v>
      </c>
      <c r="C34" s="461">
        <v>2009</v>
      </c>
      <c r="D34" s="418" t="s">
        <v>1336</v>
      </c>
      <c r="E34" s="418"/>
      <c r="F34" s="146">
        <v>-13649.51056941686</v>
      </c>
      <c r="H34" s="462">
        <f>-3000</f>
        <v>-3000</v>
      </c>
      <c r="J34" s="432">
        <f>F34+H34</f>
        <v>-16649.51056941686</v>
      </c>
      <c r="K34" s="424"/>
      <c r="L34" s="424"/>
      <c r="M34" s="424"/>
    </row>
    <row r="35" spans="1:43">
      <c r="B35" s="417" t="s">
        <v>1329</v>
      </c>
      <c r="C35" s="461">
        <v>2010</v>
      </c>
      <c r="D35" s="418" t="s">
        <v>1337</v>
      </c>
      <c r="E35" s="418"/>
      <c r="F35" s="146">
        <v>105692.74538124035</v>
      </c>
      <c r="H35" s="462">
        <v>-3000</v>
      </c>
      <c r="J35" s="432">
        <f>F35+H35</f>
        <v>102692.74538124035</v>
      </c>
      <c r="K35" s="424"/>
      <c r="L35" s="424"/>
      <c r="M35" s="424"/>
    </row>
    <row r="36" spans="1:43">
      <c r="B36" s="417" t="s">
        <v>1329</v>
      </c>
      <c r="C36" s="461">
        <v>2012</v>
      </c>
      <c r="D36" s="418" t="s">
        <v>1349</v>
      </c>
      <c r="E36" s="418"/>
      <c r="F36" s="146">
        <v>127905.70868412919</v>
      </c>
      <c r="H36" s="462">
        <v>-700</v>
      </c>
      <c r="J36" s="432">
        <f>F36+H36</f>
        <v>127205.70868412919</v>
      </c>
      <c r="K36" s="424"/>
      <c r="L36" s="424"/>
      <c r="M36" s="424"/>
    </row>
    <row r="37" spans="1:43" s="465" customFormat="1">
      <c r="A37" s="417"/>
      <c r="B37" s="419"/>
      <c r="C37" s="476"/>
      <c r="D37" s="419"/>
      <c r="E37" s="419"/>
      <c r="F37" s="419"/>
      <c r="G37" s="419"/>
      <c r="H37" s="419"/>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419"/>
      <c r="AK37" s="419"/>
      <c r="AL37" s="419"/>
      <c r="AM37" s="419"/>
      <c r="AN37" s="419"/>
      <c r="AO37" s="419"/>
      <c r="AP37" s="419"/>
      <c r="AQ37" s="419"/>
    </row>
    <row r="38" spans="1:43">
      <c r="B38" s="417" t="s">
        <v>1329</v>
      </c>
      <c r="C38" s="461">
        <v>2012</v>
      </c>
      <c r="D38" s="418" t="s">
        <v>1350</v>
      </c>
      <c r="E38" s="418"/>
      <c r="F38" s="146">
        <v>102039.55368501839</v>
      </c>
      <c r="H38" s="462">
        <v>-600</v>
      </c>
      <c r="J38" s="432">
        <f>F38+H38</f>
        <v>101439.55368501839</v>
      </c>
      <c r="K38" s="424"/>
      <c r="L38" s="424"/>
      <c r="M38" s="424"/>
    </row>
    <row r="39" spans="1:43" s="465" customFormat="1">
      <c r="A39" s="417"/>
      <c r="B39" s="419"/>
      <c r="C39" s="476"/>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row>
    <row r="40" spans="1:43" s="465" customFormat="1">
      <c r="A40" s="417"/>
      <c r="B40" s="419"/>
      <c r="C40" s="476"/>
      <c r="D40" s="419"/>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419"/>
      <c r="AN40" s="419"/>
      <c r="AO40" s="419"/>
      <c r="AP40" s="419"/>
      <c r="AQ40" s="419"/>
    </row>
    <row r="41" spans="1:43" s="422" customFormat="1">
      <c r="A41" s="420"/>
      <c r="B41" s="421" t="s">
        <v>1220</v>
      </c>
      <c r="C41" s="482"/>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c r="AJ41" s="420"/>
      <c r="AK41" s="420"/>
      <c r="AL41" s="420"/>
      <c r="AM41" s="420"/>
      <c r="AN41" s="420"/>
      <c r="AO41" s="420"/>
      <c r="AP41" s="420"/>
    </row>
    <row r="43" spans="1:43">
      <c r="B43" s="431" t="s">
        <v>1041</v>
      </c>
      <c r="C43" s="485"/>
      <c r="D43" s="431" t="s">
        <v>102</v>
      </c>
      <c r="F43" s="431"/>
      <c r="G43" s="431"/>
      <c r="H43" s="431"/>
      <c r="I43" s="419"/>
      <c r="J43" s="419"/>
    </row>
    <row r="44" spans="1:43">
      <c r="B44" s="431" t="s">
        <v>1159</v>
      </c>
      <c r="C44" s="486"/>
      <c r="D44" s="431" t="s">
        <v>1222</v>
      </c>
      <c r="F44" s="431"/>
      <c r="G44" s="444"/>
      <c r="H44" s="431"/>
      <c r="I44" s="419"/>
      <c r="J44" s="419"/>
    </row>
    <row r="45" spans="1:43">
      <c r="B45" s="431"/>
      <c r="C45" s="486"/>
      <c r="D45" s="431" t="s">
        <v>1224</v>
      </c>
      <c r="F45" s="431"/>
      <c r="G45" s="444"/>
      <c r="H45" s="431"/>
      <c r="I45" s="419"/>
      <c r="J45" s="419"/>
    </row>
    <row r="46" spans="1:43">
      <c r="B46" s="419"/>
      <c r="C46" s="476"/>
      <c r="D46" s="431" t="s">
        <v>1223</v>
      </c>
      <c r="F46" s="419"/>
      <c r="G46" s="419"/>
      <c r="H46" s="419"/>
      <c r="I46" s="419"/>
      <c r="J46" s="419"/>
    </row>
    <row r="47" spans="1:43">
      <c r="B47" s="419"/>
      <c r="C47" s="476"/>
      <c r="D47" s="419"/>
      <c r="F47" s="419"/>
      <c r="G47" s="419"/>
      <c r="H47" s="419"/>
      <c r="I47" s="419"/>
      <c r="J47" s="419"/>
    </row>
    <row r="48" spans="1:43">
      <c r="B48" s="424" t="s">
        <v>1043</v>
      </c>
      <c r="C48" s="484" t="s">
        <v>1</v>
      </c>
      <c r="D48" s="424" t="s">
        <v>1049</v>
      </c>
      <c r="E48" s="429" t="s">
        <v>1050</v>
      </c>
      <c r="F48" s="424" t="s">
        <v>1044</v>
      </c>
      <c r="G48" s="424"/>
      <c r="H48" s="126"/>
      <c r="I48" s="418"/>
      <c r="J48" s="424" t="s">
        <v>1046</v>
      </c>
    </row>
    <row r="49" spans="1:42">
      <c r="B49" s="417" t="s">
        <v>139</v>
      </c>
      <c r="C49" s="461">
        <v>2009</v>
      </c>
      <c r="D49" s="417" t="s">
        <v>1161</v>
      </c>
      <c r="E49" s="417" t="s">
        <v>1225</v>
      </c>
      <c r="F49" s="8">
        <v>11511249.222710634</v>
      </c>
      <c r="H49" s="68"/>
      <c r="J49" s="445">
        <v>9664903.584200222</v>
      </c>
    </row>
    <row r="50" spans="1:42" s="418" customFormat="1">
      <c r="A50" s="417"/>
      <c r="B50" s="418" t="s">
        <v>148</v>
      </c>
      <c r="C50" s="461">
        <v>2009</v>
      </c>
      <c r="D50" s="417" t="s">
        <v>1161</v>
      </c>
      <c r="E50" s="417" t="s">
        <v>1232</v>
      </c>
      <c r="F50" s="8">
        <v>299292479.7904765</v>
      </c>
      <c r="H50" s="68"/>
      <c r="J50" s="445">
        <v>251287493.1892058</v>
      </c>
    </row>
    <row r="51" spans="1:42" s="418" customFormat="1">
      <c r="A51" s="417"/>
      <c r="B51" s="417" t="s">
        <v>139</v>
      </c>
      <c r="C51" s="461">
        <v>2010</v>
      </c>
      <c r="D51" s="417" t="s">
        <v>1161</v>
      </c>
      <c r="E51" s="418" t="s">
        <v>1226</v>
      </c>
      <c r="F51" s="8">
        <v>11511249.222710634</v>
      </c>
      <c r="H51" s="68"/>
      <c r="J51" s="445">
        <v>9664903.584200222</v>
      </c>
    </row>
    <row r="52" spans="1:42" s="418" customFormat="1">
      <c r="A52" s="417"/>
      <c r="B52" s="418" t="s">
        <v>148</v>
      </c>
      <c r="C52" s="461">
        <v>2010</v>
      </c>
      <c r="D52" s="417" t="s">
        <v>1161</v>
      </c>
      <c r="E52" s="418" t="s">
        <v>1231</v>
      </c>
      <c r="F52" s="8">
        <v>287781230.56776589</v>
      </c>
      <c r="H52" s="68"/>
      <c r="J52" s="445">
        <v>241622589.60500559</v>
      </c>
    </row>
    <row r="53" spans="1:42" s="418" customFormat="1">
      <c r="A53" s="417"/>
      <c r="B53" s="417" t="s">
        <v>139</v>
      </c>
      <c r="C53" s="461">
        <v>2011</v>
      </c>
      <c r="D53" s="417" t="s">
        <v>1161</v>
      </c>
      <c r="E53" s="418" t="s">
        <v>1227</v>
      </c>
      <c r="F53" s="8">
        <v>11683917.961051293</v>
      </c>
      <c r="H53" s="68"/>
      <c r="J53" s="445">
        <v>9809877.1379632242</v>
      </c>
    </row>
    <row r="54" spans="1:42" s="418" customFormat="1">
      <c r="A54" s="417"/>
      <c r="B54" s="418" t="s">
        <v>148</v>
      </c>
      <c r="C54" s="461">
        <v>2011</v>
      </c>
      <c r="D54" s="417" t="s">
        <v>1161</v>
      </c>
      <c r="E54" s="418" t="s">
        <v>1230</v>
      </c>
      <c r="F54" s="8">
        <v>280414031.06523108</v>
      </c>
      <c r="H54" s="68"/>
      <c r="J54" s="445">
        <v>235437051.31111744</v>
      </c>
    </row>
    <row r="55" spans="1:42" s="418" customFormat="1">
      <c r="A55" s="417"/>
      <c r="B55" s="417" t="s">
        <v>139</v>
      </c>
      <c r="C55" s="461">
        <v>2012</v>
      </c>
      <c r="D55" s="417" t="s">
        <v>1161</v>
      </c>
      <c r="E55" s="418" t="s">
        <v>1228</v>
      </c>
      <c r="F55" s="87">
        <v>11987699.828038625</v>
      </c>
      <c r="H55" s="68"/>
      <c r="J55" s="445">
        <v>10064933.943550268</v>
      </c>
    </row>
    <row r="56" spans="1:42" s="418" customFormat="1">
      <c r="A56" s="417"/>
      <c r="B56" s="418" t="s">
        <v>148</v>
      </c>
      <c r="C56" s="461">
        <v>2012</v>
      </c>
      <c r="D56" s="417" t="s">
        <v>1161</v>
      </c>
      <c r="E56" s="418" t="s">
        <v>1229</v>
      </c>
      <c r="F56" s="87">
        <v>275717096.0448885</v>
      </c>
      <c r="H56" s="68"/>
      <c r="J56" s="445">
        <v>231493480.70165622</v>
      </c>
    </row>
    <row r="59" spans="1:42" s="422" customFormat="1">
      <c r="A59" s="420"/>
      <c r="B59" s="421" t="s">
        <v>1233</v>
      </c>
      <c r="C59" s="482"/>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c r="AJ59" s="420"/>
      <c r="AK59" s="420"/>
      <c r="AL59" s="420"/>
      <c r="AM59" s="420"/>
      <c r="AN59" s="420"/>
      <c r="AO59" s="420"/>
      <c r="AP59" s="420"/>
    </row>
    <row r="60" spans="1:42" s="457" customFormat="1">
      <c r="A60" s="455"/>
      <c r="B60" s="456"/>
      <c r="C60" s="483"/>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O60" s="455"/>
      <c r="AP60" s="455"/>
    </row>
    <row r="61" spans="1:42">
      <c r="A61" s="419"/>
      <c r="B61" s="419" t="s">
        <v>1041</v>
      </c>
      <c r="C61" s="476"/>
      <c r="D61" s="419" t="s">
        <v>96</v>
      </c>
    </row>
    <row r="62" spans="1:42">
      <c r="A62" s="419"/>
      <c r="B62" s="419" t="s">
        <v>1042</v>
      </c>
      <c r="C62" s="476"/>
      <c r="D62" s="458" t="s">
        <v>1234</v>
      </c>
    </row>
    <row r="63" spans="1:42">
      <c r="A63" s="419"/>
      <c r="B63" s="419"/>
      <c r="C63" s="476"/>
      <c r="D63" s="419"/>
      <c r="E63" s="459"/>
      <c r="G63" s="453"/>
    </row>
    <row r="64" spans="1:42">
      <c r="A64" s="419"/>
      <c r="B64" s="419"/>
      <c r="C64" s="476"/>
      <c r="D64" s="419"/>
      <c r="E64" s="458"/>
    </row>
    <row r="65" spans="1:10">
      <c r="A65" s="419"/>
      <c r="B65" s="424" t="s">
        <v>1043</v>
      </c>
      <c r="C65" s="484" t="s">
        <v>1</v>
      </c>
      <c r="D65" s="429" t="s">
        <v>1235</v>
      </c>
      <c r="F65" s="424" t="s">
        <v>1044</v>
      </c>
      <c r="G65" s="424"/>
      <c r="H65" s="424" t="s">
        <v>1045</v>
      </c>
      <c r="I65" s="418"/>
      <c r="J65" s="424" t="s">
        <v>1046</v>
      </c>
    </row>
    <row r="66" spans="1:10">
      <c r="A66" s="419"/>
      <c r="B66" s="460" t="s">
        <v>1256</v>
      </c>
      <c r="D66" s="418"/>
      <c r="F66" s="418"/>
      <c r="G66" s="418"/>
      <c r="H66" s="418"/>
      <c r="I66" s="418"/>
      <c r="J66" s="463"/>
    </row>
    <row r="67" spans="1:10">
      <c r="A67" s="419"/>
      <c r="B67" s="424" t="s">
        <v>284</v>
      </c>
    </row>
    <row r="68" spans="1:10">
      <c r="A68" s="419"/>
      <c r="B68" s="417" t="s">
        <v>285</v>
      </c>
      <c r="C68" s="461">
        <v>2011</v>
      </c>
      <c r="D68" s="418" t="s">
        <v>1238</v>
      </c>
      <c r="F68" s="146">
        <v>1216.4549710144929</v>
      </c>
      <c r="G68" s="424"/>
      <c r="H68" s="462">
        <f t="shared" ref="H68" si="0">J68-F68</f>
        <v>139.54502898550709</v>
      </c>
      <c r="J68" s="432">
        <v>1356</v>
      </c>
    </row>
    <row r="69" spans="1:10">
      <c r="A69" s="419"/>
      <c r="B69" s="417" t="s">
        <v>286</v>
      </c>
      <c r="C69" s="461">
        <v>2011</v>
      </c>
      <c r="D69" s="418" t="s">
        <v>1239</v>
      </c>
      <c r="F69" s="146">
        <v>0</v>
      </c>
      <c r="G69" s="424"/>
      <c r="H69" s="462">
        <f>J69-F69</f>
        <v>0</v>
      </c>
      <c r="J69" s="432">
        <v>0</v>
      </c>
    </row>
    <row r="70" spans="1:10">
      <c r="A70" s="419"/>
      <c r="B70" s="417" t="s">
        <v>287</v>
      </c>
      <c r="C70" s="461">
        <v>2011</v>
      </c>
      <c r="D70" s="418" t="s">
        <v>1240</v>
      </c>
      <c r="F70" s="146">
        <v>20.531794676806086</v>
      </c>
      <c r="G70" s="424"/>
      <c r="H70" s="462">
        <f t="shared" ref="H70:H80" si="1">J70-F70</f>
        <v>-0.53179467680608639</v>
      </c>
      <c r="J70" s="432">
        <v>20</v>
      </c>
    </row>
    <row r="71" spans="1:10">
      <c r="A71" s="419"/>
      <c r="B71" s="417" t="s">
        <v>288</v>
      </c>
      <c r="C71" s="461">
        <v>2011</v>
      </c>
      <c r="D71" s="418" t="s">
        <v>1241</v>
      </c>
      <c r="F71" s="146">
        <v>1</v>
      </c>
      <c r="G71" s="424"/>
      <c r="H71" s="462">
        <f t="shared" si="1"/>
        <v>0</v>
      </c>
      <c r="J71" s="432">
        <v>1</v>
      </c>
    </row>
    <row r="72" spans="1:10">
      <c r="A72" s="419"/>
    </row>
    <row r="73" spans="1:10">
      <c r="A73" s="419"/>
      <c r="B73" s="424" t="s">
        <v>289</v>
      </c>
    </row>
    <row r="74" spans="1:10">
      <c r="A74" s="419"/>
      <c r="B74" s="417" t="s">
        <v>285</v>
      </c>
      <c r="C74" s="461">
        <v>2011</v>
      </c>
      <c r="D74" s="418" t="s">
        <v>1242</v>
      </c>
      <c r="F74" s="146">
        <v>0</v>
      </c>
      <c r="G74" s="424"/>
      <c r="H74" s="462">
        <f t="shared" si="1"/>
        <v>0</v>
      </c>
      <c r="J74" s="432">
        <v>0</v>
      </c>
    </row>
    <row r="75" spans="1:10">
      <c r="A75" s="419"/>
      <c r="B75" s="417" t="s">
        <v>286</v>
      </c>
      <c r="C75" s="461">
        <v>2011</v>
      </c>
      <c r="D75" s="418" t="s">
        <v>1243</v>
      </c>
      <c r="F75" s="146">
        <v>0</v>
      </c>
      <c r="G75" s="424"/>
      <c r="H75" s="462">
        <f t="shared" si="1"/>
        <v>0</v>
      </c>
      <c r="J75" s="432">
        <v>0</v>
      </c>
    </row>
    <row r="76" spans="1:10">
      <c r="A76" s="419"/>
      <c r="B76" s="417" t="s">
        <v>287</v>
      </c>
      <c r="C76" s="461">
        <v>2011</v>
      </c>
      <c r="D76" s="418" t="s">
        <v>1244</v>
      </c>
      <c r="F76" s="146">
        <v>0</v>
      </c>
      <c r="G76" s="424"/>
      <c r="H76" s="462">
        <f t="shared" si="1"/>
        <v>0</v>
      </c>
      <c r="J76" s="432">
        <v>0</v>
      </c>
    </row>
    <row r="77" spans="1:10">
      <c r="A77" s="419"/>
      <c r="B77" s="417" t="s">
        <v>288</v>
      </c>
      <c r="C77" s="461">
        <v>2011</v>
      </c>
      <c r="D77" s="418" t="s">
        <v>1245</v>
      </c>
      <c r="F77" s="146">
        <v>0</v>
      </c>
      <c r="G77" s="424"/>
      <c r="H77" s="462">
        <f t="shared" si="1"/>
        <v>0</v>
      </c>
      <c r="J77" s="432">
        <v>0</v>
      </c>
    </row>
    <row r="78" spans="1:10">
      <c r="A78" s="419"/>
    </row>
    <row r="79" spans="1:10">
      <c r="A79" s="419"/>
      <c r="B79" s="424" t="s">
        <v>290</v>
      </c>
    </row>
    <row r="80" spans="1:10">
      <c r="A80" s="419"/>
      <c r="B80" s="417" t="s">
        <v>291</v>
      </c>
      <c r="C80" s="461">
        <v>2011</v>
      </c>
      <c r="D80" s="418" t="s">
        <v>1246</v>
      </c>
      <c r="F80" s="146">
        <v>0</v>
      </c>
      <c r="G80" s="424"/>
      <c r="H80" s="462">
        <f t="shared" si="1"/>
        <v>0</v>
      </c>
      <c r="J80" s="432">
        <v>0</v>
      </c>
    </row>
    <row r="81" spans="1:10">
      <c r="A81" s="419"/>
      <c r="B81" s="466"/>
    </row>
    <row r="82" spans="1:10">
      <c r="A82" s="419"/>
      <c r="B82" s="460" t="s">
        <v>1236</v>
      </c>
      <c r="D82" s="418"/>
      <c r="F82" s="418"/>
      <c r="G82" s="418"/>
      <c r="H82" s="418"/>
      <c r="I82" s="418"/>
      <c r="J82" s="463"/>
    </row>
    <row r="83" spans="1:10">
      <c r="A83" s="419"/>
      <c r="B83" s="424" t="s">
        <v>284</v>
      </c>
    </row>
    <row r="84" spans="1:10">
      <c r="A84" s="419"/>
      <c r="B84" s="417" t="s">
        <v>285</v>
      </c>
      <c r="C84" s="461">
        <v>2011</v>
      </c>
      <c r="D84" s="418" t="s">
        <v>1257</v>
      </c>
      <c r="F84" s="146">
        <v>2166.4067708333332</v>
      </c>
      <c r="G84" s="424"/>
      <c r="H84" s="462">
        <f t="shared" ref="H84:H87" si="2">J84-F84</f>
        <v>-254.40677083333321</v>
      </c>
      <c r="J84" s="432">
        <v>1912</v>
      </c>
    </row>
    <row r="85" spans="1:10">
      <c r="A85" s="419"/>
      <c r="B85" s="417" t="s">
        <v>286</v>
      </c>
      <c r="C85" s="461">
        <v>2011</v>
      </c>
      <c r="D85" s="418" t="s">
        <v>1258</v>
      </c>
      <c r="F85" s="146">
        <v>0</v>
      </c>
      <c r="G85" s="424"/>
      <c r="H85" s="462">
        <f t="shared" si="2"/>
        <v>0</v>
      </c>
      <c r="J85" s="432">
        <v>0</v>
      </c>
    </row>
    <row r="86" spans="1:10">
      <c r="A86" s="419"/>
      <c r="B86" s="417" t="s">
        <v>287</v>
      </c>
      <c r="C86" s="461">
        <v>2011</v>
      </c>
      <c r="D86" s="418" t="s">
        <v>1259</v>
      </c>
      <c r="F86" s="146">
        <v>547.59419680403698</v>
      </c>
      <c r="G86" s="424"/>
      <c r="H86" s="462">
        <f t="shared" si="2"/>
        <v>-359.59419680403698</v>
      </c>
      <c r="J86" s="432">
        <v>188</v>
      </c>
    </row>
    <row r="87" spans="1:10">
      <c r="A87" s="419"/>
      <c r="B87" s="417" t="s">
        <v>288</v>
      </c>
      <c r="C87" s="461">
        <v>2011</v>
      </c>
      <c r="D87" s="418" t="s">
        <v>1260</v>
      </c>
      <c r="F87" s="146">
        <v>0</v>
      </c>
      <c r="G87" s="424"/>
      <c r="H87" s="462">
        <f t="shared" si="2"/>
        <v>88</v>
      </c>
      <c r="J87" s="432">
        <v>88</v>
      </c>
    </row>
    <row r="88" spans="1:10">
      <c r="A88" s="419"/>
      <c r="D88" s="418"/>
    </row>
    <row r="89" spans="1:10">
      <c r="A89" s="419"/>
      <c r="B89" s="424" t="s">
        <v>289</v>
      </c>
      <c r="D89" s="418"/>
    </row>
    <row r="90" spans="1:10">
      <c r="A90" s="419"/>
      <c r="B90" s="417" t="s">
        <v>285</v>
      </c>
      <c r="C90" s="461">
        <v>2011</v>
      </c>
      <c r="D90" s="418" t="s">
        <v>1261</v>
      </c>
      <c r="F90" s="146">
        <v>0</v>
      </c>
      <c r="G90" s="424"/>
      <c r="H90" s="462">
        <f t="shared" ref="H90:H93" si="3">J90-F90</f>
        <v>0</v>
      </c>
      <c r="J90" s="432">
        <v>0</v>
      </c>
    </row>
    <row r="91" spans="1:10">
      <c r="A91" s="419"/>
      <c r="B91" s="417" t="s">
        <v>286</v>
      </c>
      <c r="C91" s="461">
        <v>2011</v>
      </c>
      <c r="D91" s="418" t="s">
        <v>1262</v>
      </c>
      <c r="F91" s="146">
        <v>0</v>
      </c>
      <c r="G91" s="424"/>
      <c r="H91" s="462">
        <f t="shared" si="3"/>
        <v>0</v>
      </c>
      <c r="J91" s="432">
        <v>0</v>
      </c>
    </row>
    <row r="92" spans="1:10">
      <c r="A92" s="419"/>
      <c r="B92" s="417" t="s">
        <v>287</v>
      </c>
      <c r="C92" s="461">
        <v>2011</v>
      </c>
      <c r="D92" s="418" t="s">
        <v>1263</v>
      </c>
      <c r="F92" s="146">
        <v>0</v>
      </c>
      <c r="G92" s="424"/>
      <c r="H92" s="462">
        <f t="shared" si="3"/>
        <v>0</v>
      </c>
      <c r="J92" s="432">
        <v>0</v>
      </c>
    </row>
    <row r="93" spans="1:10">
      <c r="A93" s="419"/>
      <c r="B93" s="417" t="s">
        <v>288</v>
      </c>
      <c r="C93" s="461">
        <v>2011</v>
      </c>
      <c r="D93" s="418" t="s">
        <v>1264</v>
      </c>
      <c r="F93" s="146">
        <v>0</v>
      </c>
      <c r="G93" s="424"/>
      <c r="H93" s="462">
        <f t="shared" si="3"/>
        <v>0</v>
      </c>
      <c r="J93" s="432">
        <v>0</v>
      </c>
    </row>
    <row r="94" spans="1:10">
      <c r="A94" s="419"/>
      <c r="D94" s="418"/>
      <c r="F94" s="418"/>
      <c r="G94" s="418"/>
      <c r="H94" s="418"/>
      <c r="I94" s="418"/>
      <c r="J94" s="418"/>
    </row>
    <row r="95" spans="1:10">
      <c r="A95" s="419"/>
      <c r="B95" s="424" t="s">
        <v>290</v>
      </c>
    </row>
    <row r="96" spans="1:10">
      <c r="A96" s="419"/>
      <c r="B96" s="417" t="s">
        <v>291</v>
      </c>
      <c r="C96" s="461">
        <v>2011</v>
      </c>
      <c r="D96" s="418" t="s">
        <v>1265</v>
      </c>
      <c r="F96" s="146">
        <v>0</v>
      </c>
      <c r="G96" s="424"/>
      <c r="H96" s="462">
        <f t="shared" ref="H96" si="4">J96-F96</f>
        <v>0</v>
      </c>
      <c r="J96" s="432">
        <v>0</v>
      </c>
    </row>
    <row r="97" spans="1:10">
      <c r="A97" s="419"/>
      <c r="D97" s="418"/>
    </row>
    <row r="98" spans="1:10">
      <c r="A98" s="419"/>
      <c r="B98" s="460" t="s">
        <v>1237</v>
      </c>
      <c r="D98" s="418"/>
      <c r="F98" s="418"/>
      <c r="G98" s="418"/>
      <c r="H98" s="418"/>
      <c r="I98" s="418"/>
      <c r="J98" s="463"/>
    </row>
    <row r="99" spans="1:10">
      <c r="A99" s="419"/>
      <c r="B99" s="424" t="s">
        <v>284</v>
      </c>
    </row>
    <row r="100" spans="1:10">
      <c r="A100" s="419"/>
      <c r="B100" s="467" t="s">
        <v>292</v>
      </c>
      <c r="C100" s="461">
        <v>2011</v>
      </c>
      <c r="D100" s="418" t="s">
        <v>1266</v>
      </c>
      <c r="F100" s="146">
        <v>1</v>
      </c>
      <c r="G100" s="424"/>
      <c r="H100" s="462">
        <f t="shared" ref="H100:H109" si="5">J100-F100</f>
        <v>1</v>
      </c>
      <c r="J100" s="432">
        <v>2</v>
      </c>
    </row>
    <row r="101" spans="1:10">
      <c r="A101" s="419"/>
      <c r="B101" s="467" t="s">
        <v>293</v>
      </c>
      <c r="C101" s="461">
        <v>2011</v>
      </c>
      <c r="D101" s="418" t="s">
        <v>1267</v>
      </c>
      <c r="F101" s="146">
        <v>1</v>
      </c>
      <c r="G101" s="424"/>
      <c r="H101" s="462">
        <f t="shared" si="5"/>
        <v>2</v>
      </c>
      <c r="J101" s="432">
        <v>3</v>
      </c>
    </row>
    <row r="102" spans="1:10">
      <c r="A102" s="419"/>
      <c r="B102" s="467" t="s">
        <v>294</v>
      </c>
      <c r="C102" s="461">
        <v>2011</v>
      </c>
      <c r="D102" s="418" t="s">
        <v>1268</v>
      </c>
      <c r="F102" s="146">
        <v>0</v>
      </c>
      <c r="G102" s="424"/>
      <c r="H102" s="462">
        <f t="shared" si="5"/>
        <v>0</v>
      </c>
      <c r="J102" s="432">
        <v>0</v>
      </c>
    </row>
    <row r="103" spans="1:10">
      <c r="A103" s="419"/>
      <c r="B103" s="467" t="s">
        <v>295</v>
      </c>
      <c r="C103" s="461">
        <v>2011</v>
      </c>
      <c r="D103" s="418" t="s">
        <v>1269</v>
      </c>
      <c r="F103" s="146">
        <v>0</v>
      </c>
      <c r="G103" s="424"/>
      <c r="H103" s="462">
        <f t="shared" si="5"/>
        <v>0</v>
      </c>
      <c r="J103" s="432">
        <v>0</v>
      </c>
    </row>
    <row r="104" spans="1:10">
      <c r="A104" s="419"/>
      <c r="B104" s="468" t="s">
        <v>296</v>
      </c>
      <c r="C104" s="461">
        <v>2011</v>
      </c>
      <c r="D104" s="418" t="s">
        <v>1270</v>
      </c>
      <c r="F104" s="146">
        <v>0</v>
      </c>
      <c r="G104" s="424"/>
      <c r="H104" s="462">
        <f t="shared" si="5"/>
        <v>0</v>
      </c>
      <c r="J104" s="432">
        <v>0</v>
      </c>
    </row>
    <row r="105" spans="1:10">
      <c r="A105" s="419"/>
      <c r="B105" s="467" t="s">
        <v>297</v>
      </c>
      <c r="C105" s="461">
        <v>2011</v>
      </c>
      <c r="D105" s="418" t="s">
        <v>1271</v>
      </c>
      <c r="F105" s="146">
        <v>0</v>
      </c>
      <c r="G105" s="424"/>
      <c r="H105" s="462">
        <f t="shared" si="5"/>
        <v>0</v>
      </c>
      <c r="J105" s="432">
        <v>0</v>
      </c>
    </row>
    <row r="106" spans="1:10">
      <c r="A106" s="419"/>
      <c r="B106" s="467" t="s">
        <v>298</v>
      </c>
      <c r="C106" s="461">
        <v>2011</v>
      </c>
      <c r="D106" s="418" t="s">
        <v>1272</v>
      </c>
      <c r="F106" s="146">
        <v>0</v>
      </c>
      <c r="G106" s="424"/>
      <c r="H106" s="462">
        <f t="shared" si="5"/>
        <v>0</v>
      </c>
      <c r="J106" s="432">
        <v>0</v>
      </c>
    </row>
    <row r="107" spans="1:10">
      <c r="A107" s="419"/>
      <c r="B107" s="467" t="s">
        <v>299</v>
      </c>
      <c r="C107" s="461">
        <v>2011</v>
      </c>
      <c r="D107" s="418" t="s">
        <v>1273</v>
      </c>
      <c r="F107" s="146">
        <v>0</v>
      </c>
      <c r="G107" s="424"/>
      <c r="H107" s="462">
        <f t="shared" si="5"/>
        <v>0</v>
      </c>
      <c r="J107" s="432">
        <v>0</v>
      </c>
    </row>
    <row r="108" spans="1:10">
      <c r="A108" s="419"/>
      <c r="B108" s="466" t="s">
        <v>300</v>
      </c>
      <c r="C108" s="461">
        <v>2011</v>
      </c>
      <c r="D108" s="418" t="s">
        <v>1274</v>
      </c>
      <c r="F108" s="146">
        <v>0</v>
      </c>
      <c r="G108" s="424"/>
      <c r="H108" s="462">
        <f t="shared" si="5"/>
        <v>0</v>
      </c>
      <c r="J108" s="432">
        <v>0</v>
      </c>
    </row>
    <row r="109" spans="1:10">
      <c r="A109" s="419"/>
      <c r="B109" s="466" t="s">
        <v>301</v>
      </c>
      <c r="C109" s="461">
        <v>2011</v>
      </c>
      <c r="D109" s="418" t="s">
        <v>1275</v>
      </c>
      <c r="F109" s="146">
        <v>0</v>
      </c>
      <c r="G109" s="424"/>
      <c r="H109" s="462">
        <f t="shared" si="5"/>
        <v>0</v>
      </c>
      <c r="J109" s="432">
        <v>0</v>
      </c>
    </row>
    <row r="110" spans="1:10">
      <c r="A110" s="419"/>
      <c r="D110" s="418"/>
    </row>
    <row r="111" spans="1:10">
      <c r="A111" s="419"/>
      <c r="B111" s="424" t="s">
        <v>289</v>
      </c>
      <c r="D111" s="418"/>
    </row>
    <row r="112" spans="1:10">
      <c r="A112" s="419"/>
      <c r="B112" s="417" t="s">
        <v>292</v>
      </c>
      <c r="C112" s="461">
        <v>2011</v>
      </c>
      <c r="D112" s="418" t="s">
        <v>1276</v>
      </c>
      <c r="F112" s="146">
        <v>0</v>
      </c>
      <c r="G112" s="424"/>
      <c r="H112" s="462">
        <f t="shared" ref="H112:H121" si="6">J112-F112</f>
        <v>0</v>
      </c>
      <c r="J112" s="432">
        <v>0</v>
      </c>
    </row>
    <row r="113" spans="1:12">
      <c r="A113" s="419"/>
      <c r="B113" s="417" t="s">
        <v>293</v>
      </c>
      <c r="C113" s="461">
        <v>2011</v>
      </c>
      <c r="D113" s="418" t="s">
        <v>1277</v>
      </c>
      <c r="F113" s="146">
        <v>0</v>
      </c>
      <c r="G113" s="424"/>
      <c r="H113" s="462">
        <f t="shared" si="6"/>
        <v>0</v>
      </c>
      <c r="J113" s="432">
        <v>0</v>
      </c>
    </row>
    <row r="114" spans="1:12">
      <c r="A114" s="419"/>
      <c r="B114" s="417" t="s">
        <v>294</v>
      </c>
      <c r="C114" s="461">
        <v>2011</v>
      </c>
      <c r="D114" s="418" t="s">
        <v>1278</v>
      </c>
      <c r="F114" s="146">
        <v>0</v>
      </c>
      <c r="G114" s="424"/>
      <c r="H114" s="462">
        <f t="shared" si="6"/>
        <v>0</v>
      </c>
      <c r="J114" s="432">
        <v>0</v>
      </c>
    </row>
    <row r="115" spans="1:12">
      <c r="A115" s="419"/>
      <c r="B115" s="417" t="s">
        <v>295</v>
      </c>
      <c r="C115" s="461">
        <v>2011</v>
      </c>
      <c r="D115" s="418" t="s">
        <v>1279</v>
      </c>
      <c r="F115" s="146">
        <v>0</v>
      </c>
      <c r="G115" s="424"/>
      <c r="H115" s="462">
        <f t="shared" si="6"/>
        <v>0</v>
      </c>
      <c r="J115" s="432">
        <v>0</v>
      </c>
    </row>
    <row r="116" spans="1:12">
      <c r="A116" s="419"/>
      <c r="B116" s="417" t="s">
        <v>296</v>
      </c>
      <c r="C116" s="461">
        <v>2011</v>
      </c>
      <c r="D116" s="418" t="s">
        <v>1280</v>
      </c>
      <c r="F116" s="146">
        <v>0</v>
      </c>
      <c r="H116" s="462">
        <f t="shared" si="6"/>
        <v>0</v>
      </c>
      <c r="J116" s="432">
        <v>0</v>
      </c>
    </row>
    <row r="117" spans="1:12">
      <c r="A117" s="419"/>
      <c r="B117" s="417" t="s">
        <v>297</v>
      </c>
      <c r="C117" s="461">
        <v>2011</v>
      </c>
      <c r="D117" s="418" t="s">
        <v>1281</v>
      </c>
      <c r="F117" s="146">
        <v>0</v>
      </c>
      <c r="H117" s="462">
        <f t="shared" si="6"/>
        <v>0</v>
      </c>
      <c r="J117" s="432">
        <v>0</v>
      </c>
    </row>
    <row r="118" spans="1:12">
      <c r="A118" s="419"/>
      <c r="B118" s="417" t="s">
        <v>298</v>
      </c>
      <c r="C118" s="461">
        <v>2011</v>
      </c>
      <c r="D118" s="418" t="s">
        <v>1282</v>
      </c>
      <c r="F118" s="146">
        <v>0</v>
      </c>
      <c r="G118" s="424"/>
      <c r="H118" s="462">
        <f t="shared" si="6"/>
        <v>0</v>
      </c>
      <c r="J118" s="432">
        <v>0</v>
      </c>
    </row>
    <row r="119" spans="1:12">
      <c r="A119" s="419"/>
      <c r="B119" s="417" t="s">
        <v>299</v>
      </c>
      <c r="C119" s="461">
        <v>2011</v>
      </c>
      <c r="D119" s="418" t="s">
        <v>1283</v>
      </c>
      <c r="F119" s="146">
        <v>0</v>
      </c>
      <c r="H119" s="462">
        <f t="shared" si="6"/>
        <v>0</v>
      </c>
      <c r="J119" s="432">
        <v>0</v>
      </c>
    </row>
    <row r="120" spans="1:12">
      <c r="A120" s="419"/>
      <c r="B120" s="417" t="s">
        <v>300</v>
      </c>
      <c r="C120" s="461">
        <v>2011</v>
      </c>
      <c r="D120" s="418" t="s">
        <v>1284</v>
      </c>
      <c r="F120" s="146">
        <v>0</v>
      </c>
      <c r="H120" s="462">
        <f t="shared" si="6"/>
        <v>0</v>
      </c>
      <c r="J120" s="432">
        <v>0</v>
      </c>
    </row>
    <row r="121" spans="1:12">
      <c r="A121" s="419"/>
      <c r="B121" s="417" t="s">
        <v>301</v>
      </c>
      <c r="C121" s="461">
        <v>2011</v>
      </c>
      <c r="D121" s="418" t="s">
        <v>1285</v>
      </c>
      <c r="F121" s="146">
        <v>0</v>
      </c>
      <c r="H121" s="462">
        <f t="shared" si="6"/>
        <v>0</v>
      </c>
      <c r="J121" s="432">
        <v>0</v>
      </c>
    </row>
    <row r="122" spans="1:12">
      <c r="A122" s="419"/>
      <c r="D122" s="418"/>
    </row>
    <row r="123" spans="1:12">
      <c r="A123" s="419"/>
      <c r="B123" s="424" t="s">
        <v>290</v>
      </c>
      <c r="D123" s="418"/>
    </row>
    <row r="124" spans="1:12">
      <c r="A124" s="419"/>
      <c r="B124" s="417" t="s">
        <v>302</v>
      </c>
      <c r="C124" s="461">
        <v>2011</v>
      </c>
      <c r="D124" s="418" t="s">
        <v>1286</v>
      </c>
      <c r="F124" s="146">
        <v>0</v>
      </c>
      <c r="G124" s="424"/>
      <c r="H124" s="462">
        <f t="shared" ref="H124" si="7">J124-F124</f>
        <v>0</v>
      </c>
      <c r="J124" s="432">
        <v>0</v>
      </c>
    </row>
    <row r="125" spans="1:12">
      <c r="A125" s="419"/>
      <c r="B125" s="418"/>
      <c r="C125" s="464"/>
      <c r="D125" s="464"/>
      <c r="F125" s="464"/>
      <c r="G125" s="464"/>
      <c r="H125" s="464"/>
      <c r="I125" s="464"/>
      <c r="J125" s="464"/>
      <c r="K125" s="424"/>
      <c r="L125" s="424"/>
    </row>
    <row r="126" spans="1:12">
      <c r="A126" s="419"/>
      <c r="B126" s="460" t="s">
        <v>1256</v>
      </c>
      <c r="D126" s="418"/>
      <c r="F126" s="418"/>
      <c r="G126" s="418"/>
      <c r="H126" s="418"/>
      <c r="I126" s="418"/>
      <c r="J126" s="463"/>
    </row>
    <row r="127" spans="1:12">
      <c r="A127" s="419"/>
      <c r="B127" s="424" t="s">
        <v>284</v>
      </c>
    </row>
    <row r="128" spans="1:12">
      <c r="A128" s="419"/>
      <c r="B128" s="417" t="s">
        <v>285</v>
      </c>
      <c r="C128" s="461">
        <v>2012</v>
      </c>
      <c r="D128" s="418" t="s">
        <v>1247</v>
      </c>
      <c r="F128" s="146">
        <v>763</v>
      </c>
      <c r="G128" s="424"/>
      <c r="H128" s="462">
        <f t="shared" ref="H128:H131" si="8">J128-F128</f>
        <v>39</v>
      </c>
      <c r="J128" s="432">
        <v>802</v>
      </c>
    </row>
    <row r="129" spans="1:10">
      <c r="A129" s="419"/>
      <c r="B129" s="417" t="s">
        <v>286</v>
      </c>
      <c r="C129" s="461">
        <v>2012</v>
      </c>
      <c r="D129" s="418" t="s">
        <v>1248</v>
      </c>
      <c r="F129" s="146">
        <v>3</v>
      </c>
      <c r="G129" s="424"/>
      <c r="H129" s="462">
        <f t="shared" si="8"/>
        <v>0</v>
      </c>
      <c r="J129" s="432">
        <v>3</v>
      </c>
    </row>
    <row r="130" spans="1:10">
      <c r="A130" s="419"/>
      <c r="B130" s="417" t="s">
        <v>287</v>
      </c>
      <c r="C130" s="461">
        <v>2012</v>
      </c>
      <c r="D130" s="418" t="s">
        <v>1249</v>
      </c>
      <c r="F130" s="146">
        <v>10</v>
      </c>
      <c r="G130" s="424"/>
      <c r="H130" s="462">
        <f t="shared" si="8"/>
        <v>0</v>
      </c>
      <c r="J130" s="432">
        <v>10</v>
      </c>
    </row>
    <row r="131" spans="1:10">
      <c r="A131" s="419"/>
      <c r="B131" s="417" t="s">
        <v>288</v>
      </c>
      <c r="C131" s="461">
        <v>2012</v>
      </c>
      <c r="D131" s="418" t="s">
        <v>1250</v>
      </c>
      <c r="F131" s="146">
        <v>4</v>
      </c>
      <c r="G131" s="424"/>
      <c r="H131" s="462">
        <f t="shared" si="8"/>
        <v>-1</v>
      </c>
      <c r="J131" s="432">
        <v>3</v>
      </c>
    </row>
    <row r="132" spans="1:10">
      <c r="A132" s="419"/>
      <c r="D132" s="418"/>
    </row>
    <row r="133" spans="1:10">
      <c r="A133" s="419"/>
      <c r="B133" s="424" t="s">
        <v>289</v>
      </c>
      <c r="D133" s="418"/>
    </row>
    <row r="134" spans="1:10">
      <c r="A134" s="419"/>
      <c r="B134" s="417" t="s">
        <v>285</v>
      </c>
      <c r="C134" s="461">
        <v>2012</v>
      </c>
      <c r="D134" s="418" t="s">
        <v>1251</v>
      </c>
      <c r="F134" s="146">
        <v>0</v>
      </c>
      <c r="G134" s="424"/>
      <c r="H134" s="462">
        <f t="shared" ref="H134:H137" si="9">J134-F134</f>
        <v>0</v>
      </c>
      <c r="J134" s="432">
        <v>0</v>
      </c>
    </row>
    <row r="135" spans="1:10">
      <c r="A135" s="419"/>
      <c r="B135" s="417" t="s">
        <v>286</v>
      </c>
      <c r="C135" s="461">
        <v>2012</v>
      </c>
      <c r="D135" s="418" t="s">
        <v>1252</v>
      </c>
      <c r="F135" s="146">
        <v>0</v>
      </c>
      <c r="G135" s="424"/>
      <c r="H135" s="462">
        <f t="shared" si="9"/>
        <v>0</v>
      </c>
      <c r="J135" s="432">
        <v>0</v>
      </c>
    </row>
    <row r="136" spans="1:10">
      <c r="A136" s="419"/>
      <c r="B136" s="417" t="s">
        <v>287</v>
      </c>
      <c r="C136" s="461">
        <v>2012</v>
      </c>
      <c r="D136" s="418" t="s">
        <v>1253</v>
      </c>
      <c r="F136" s="146">
        <v>0</v>
      </c>
      <c r="G136" s="424"/>
      <c r="H136" s="462">
        <f t="shared" si="9"/>
        <v>0</v>
      </c>
      <c r="J136" s="432">
        <v>0</v>
      </c>
    </row>
    <row r="137" spans="1:10">
      <c r="A137" s="419"/>
      <c r="B137" s="417" t="s">
        <v>288</v>
      </c>
      <c r="C137" s="461">
        <v>2012</v>
      </c>
      <c r="D137" s="418" t="s">
        <v>1254</v>
      </c>
      <c r="F137" s="146">
        <v>0</v>
      </c>
      <c r="G137" s="424"/>
      <c r="H137" s="462">
        <f t="shared" si="9"/>
        <v>0</v>
      </c>
      <c r="J137" s="432">
        <v>0</v>
      </c>
    </row>
    <row r="138" spans="1:10">
      <c r="A138" s="419"/>
      <c r="D138" s="418"/>
    </row>
    <row r="139" spans="1:10">
      <c r="A139" s="419"/>
      <c r="B139" s="424" t="s">
        <v>290</v>
      </c>
      <c r="D139" s="418"/>
    </row>
    <row r="140" spans="1:10">
      <c r="A140" s="419"/>
      <c r="B140" s="417" t="s">
        <v>291</v>
      </c>
      <c r="C140" s="461">
        <v>2012</v>
      </c>
      <c r="D140" s="418" t="s">
        <v>1255</v>
      </c>
      <c r="F140" s="146">
        <v>0</v>
      </c>
      <c r="G140" s="424"/>
      <c r="H140" s="462">
        <f t="shared" ref="H140" si="10">J140-F140</f>
        <v>0</v>
      </c>
      <c r="J140" s="432">
        <v>0</v>
      </c>
    </row>
    <row r="141" spans="1:10">
      <c r="A141" s="419"/>
      <c r="B141" s="466"/>
    </row>
    <row r="142" spans="1:10">
      <c r="A142" s="419"/>
      <c r="B142" s="460" t="s">
        <v>1236</v>
      </c>
      <c r="D142" s="418"/>
      <c r="F142" s="418"/>
      <c r="G142" s="418"/>
      <c r="H142" s="418"/>
      <c r="I142" s="418"/>
      <c r="J142" s="463"/>
    </row>
    <row r="143" spans="1:10">
      <c r="A143" s="419"/>
      <c r="B143" s="424" t="s">
        <v>284</v>
      </c>
    </row>
    <row r="144" spans="1:10">
      <c r="A144" s="419"/>
      <c r="B144" s="417" t="s">
        <v>285</v>
      </c>
      <c r="C144" s="461">
        <v>2012</v>
      </c>
      <c r="D144" s="418" t="s">
        <v>1287</v>
      </c>
      <c r="F144" s="146">
        <v>1316</v>
      </c>
      <c r="G144" s="424"/>
      <c r="H144" s="462">
        <f t="shared" ref="H144:H147" si="11">J144-F144</f>
        <v>528</v>
      </c>
      <c r="J144" s="432">
        <v>1844</v>
      </c>
    </row>
    <row r="145" spans="1:15">
      <c r="A145" s="419"/>
      <c r="B145" s="417" t="s">
        <v>286</v>
      </c>
      <c r="C145" s="461">
        <v>2012</v>
      </c>
      <c r="D145" s="418" t="s">
        <v>1288</v>
      </c>
      <c r="F145" s="146">
        <v>622</v>
      </c>
      <c r="G145" s="424"/>
      <c r="H145" s="462">
        <f t="shared" si="11"/>
        <v>-530</v>
      </c>
      <c r="J145" s="432">
        <v>92</v>
      </c>
    </row>
    <row r="146" spans="1:15">
      <c r="A146" s="419"/>
      <c r="B146" s="417" t="s">
        <v>287</v>
      </c>
      <c r="C146" s="461">
        <v>2012</v>
      </c>
      <c r="D146" s="418" t="s">
        <v>1289</v>
      </c>
      <c r="F146" s="146">
        <v>56</v>
      </c>
      <c r="G146" s="424"/>
      <c r="H146" s="462">
        <f t="shared" si="11"/>
        <v>161</v>
      </c>
      <c r="J146" s="432">
        <v>217</v>
      </c>
    </row>
    <row r="147" spans="1:15">
      <c r="A147" s="419"/>
      <c r="B147" s="417" t="s">
        <v>288</v>
      </c>
      <c r="C147" s="461">
        <v>2012</v>
      </c>
      <c r="D147" s="418" t="s">
        <v>1290</v>
      </c>
      <c r="F147" s="146">
        <v>249</v>
      </c>
      <c r="G147" s="424"/>
      <c r="H147" s="462">
        <f t="shared" si="11"/>
        <v>-22</v>
      </c>
      <c r="J147" s="432">
        <v>227</v>
      </c>
    </row>
    <row r="148" spans="1:15">
      <c r="A148" s="419"/>
      <c r="D148" s="418"/>
    </row>
    <row r="149" spans="1:15">
      <c r="A149" s="419"/>
      <c r="B149" s="424" t="s">
        <v>289</v>
      </c>
      <c r="D149" s="418"/>
    </row>
    <row r="150" spans="1:15">
      <c r="A150" s="419"/>
      <c r="B150" s="417" t="s">
        <v>285</v>
      </c>
      <c r="C150" s="461">
        <v>2012</v>
      </c>
      <c r="D150" s="418" t="s">
        <v>1291</v>
      </c>
      <c r="F150" s="146">
        <v>0</v>
      </c>
      <c r="G150" s="424"/>
      <c r="H150" s="462">
        <f t="shared" ref="H150:H153" si="12">J150-F150</f>
        <v>0</v>
      </c>
      <c r="J150" s="432">
        <v>0</v>
      </c>
    </row>
    <row r="151" spans="1:15">
      <c r="A151" s="419"/>
      <c r="B151" s="417" t="s">
        <v>286</v>
      </c>
      <c r="C151" s="461">
        <v>2012</v>
      </c>
      <c r="D151" s="418" t="s">
        <v>1292</v>
      </c>
      <c r="F151" s="146">
        <v>0</v>
      </c>
      <c r="G151" s="424"/>
      <c r="H151" s="462">
        <f t="shared" si="12"/>
        <v>0</v>
      </c>
      <c r="J151" s="432">
        <v>0</v>
      </c>
    </row>
    <row r="152" spans="1:15">
      <c r="A152" s="419"/>
      <c r="B152" s="417" t="s">
        <v>287</v>
      </c>
      <c r="C152" s="461">
        <v>2012</v>
      </c>
      <c r="D152" s="418" t="s">
        <v>1293</v>
      </c>
      <c r="F152" s="146">
        <v>0</v>
      </c>
      <c r="G152" s="424"/>
      <c r="H152" s="462">
        <f t="shared" si="12"/>
        <v>0</v>
      </c>
      <c r="J152" s="432">
        <v>0</v>
      </c>
    </row>
    <row r="153" spans="1:15">
      <c r="A153" s="419"/>
      <c r="B153" s="417" t="s">
        <v>288</v>
      </c>
      <c r="C153" s="461">
        <v>2012</v>
      </c>
      <c r="D153" s="418" t="s">
        <v>1294</v>
      </c>
      <c r="F153" s="146">
        <v>0</v>
      </c>
      <c r="G153" s="424"/>
      <c r="H153" s="462">
        <f t="shared" si="12"/>
        <v>0</v>
      </c>
      <c r="J153" s="432">
        <v>0</v>
      </c>
    </row>
    <row r="154" spans="1:15">
      <c r="A154" s="419"/>
      <c r="D154" s="418"/>
      <c r="F154" s="418"/>
      <c r="G154" s="418"/>
      <c r="H154" s="418"/>
      <c r="I154" s="418"/>
      <c r="J154" s="418"/>
      <c r="K154" s="418"/>
      <c r="L154" s="418"/>
      <c r="M154" s="418"/>
      <c r="N154" s="418"/>
      <c r="O154" s="418"/>
    </row>
    <row r="155" spans="1:15">
      <c r="A155" s="419"/>
      <c r="B155" s="424" t="s">
        <v>290</v>
      </c>
      <c r="D155" s="418"/>
    </row>
    <row r="156" spans="1:15">
      <c r="A156" s="419"/>
      <c r="B156" s="417" t="s">
        <v>291</v>
      </c>
      <c r="C156" s="461">
        <v>2012</v>
      </c>
      <c r="D156" s="418" t="s">
        <v>1295</v>
      </c>
      <c r="F156" s="146">
        <v>0</v>
      </c>
      <c r="G156" s="424"/>
      <c r="H156" s="462">
        <f t="shared" ref="H156" si="13">J156-F156</f>
        <v>0</v>
      </c>
      <c r="J156" s="432">
        <v>0</v>
      </c>
    </row>
    <row r="157" spans="1:15">
      <c r="A157" s="419"/>
      <c r="D157" s="418"/>
    </row>
    <row r="158" spans="1:15">
      <c r="A158" s="419"/>
      <c r="B158" s="460" t="s">
        <v>1237</v>
      </c>
      <c r="D158" s="418"/>
      <c r="F158" s="418"/>
      <c r="G158" s="418"/>
      <c r="H158" s="418"/>
      <c r="I158" s="418"/>
      <c r="J158" s="463"/>
    </row>
    <row r="159" spans="1:15">
      <c r="A159" s="419"/>
      <c r="B159" s="424" t="s">
        <v>284</v>
      </c>
    </row>
    <row r="160" spans="1:15">
      <c r="A160" s="419"/>
      <c r="B160" s="467" t="s">
        <v>292</v>
      </c>
      <c r="C160" s="461">
        <v>2012</v>
      </c>
      <c r="D160" s="418" t="s">
        <v>1296</v>
      </c>
      <c r="F160" s="146">
        <v>0</v>
      </c>
      <c r="G160" s="424"/>
      <c r="H160" s="462">
        <f t="shared" ref="H160:H169" si="14">J160-F160</f>
        <v>2</v>
      </c>
      <c r="J160" s="432">
        <v>2</v>
      </c>
    </row>
    <row r="161" spans="1:10">
      <c r="A161" s="419"/>
      <c r="B161" s="467" t="s">
        <v>293</v>
      </c>
      <c r="C161" s="461">
        <v>2012</v>
      </c>
      <c r="D161" s="418" t="s">
        <v>1297</v>
      </c>
      <c r="F161" s="146">
        <v>0</v>
      </c>
      <c r="G161" s="424"/>
      <c r="H161" s="462">
        <f t="shared" si="14"/>
        <v>0</v>
      </c>
      <c r="J161" s="432">
        <v>0</v>
      </c>
    </row>
    <row r="162" spans="1:10">
      <c r="A162" s="419"/>
      <c r="B162" s="467" t="s">
        <v>294</v>
      </c>
      <c r="C162" s="461">
        <v>2012</v>
      </c>
      <c r="D162" s="418" t="s">
        <v>1298</v>
      </c>
      <c r="F162" s="146">
        <v>1</v>
      </c>
      <c r="G162" s="424"/>
      <c r="H162" s="462">
        <f t="shared" si="14"/>
        <v>0</v>
      </c>
      <c r="J162" s="432">
        <v>1</v>
      </c>
    </row>
    <row r="163" spans="1:10">
      <c r="A163" s="419"/>
      <c r="B163" s="467" t="s">
        <v>295</v>
      </c>
      <c r="C163" s="461">
        <v>2012</v>
      </c>
      <c r="D163" s="418" t="s">
        <v>1299</v>
      </c>
      <c r="F163" s="146">
        <v>0</v>
      </c>
      <c r="G163" s="424"/>
      <c r="H163" s="462">
        <f t="shared" si="14"/>
        <v>0</v>
      </c>
      <c r="J163" s="432">
        <v>0</v>
      </c>
    </row>
    <row r="164" spans="1:10">
      <c r="A164" s="419"/>
      <c r="B164" s="468" t="s">
        <v>296</v>
      </c>
      <c r="C164" s="461">
        <v>2012</v>
      </c>
      <c r="D164" s="418" t="s">
        <v>1300</v>
      </c>
      <c r="F164" s="146">
        <v>0</v>
      </c>
      <c r="G164" s="424"/>
      <c r="H164" s="462">
        <f t="shared" si="14"/>
        <v>0</v>
      </c>
      <c r="J164" s="432">
        <v>0</v>
      </c>
    </row>
    <row r="165" spans="1:10">
      <c r="A165" s="419"/>
      <c r="B165" s="467" t="s">
        <v>297</v>
      </c>
      <c r="C165" s="461">
        <v>2012</v>
      </c>
      <c r="D165" s="418" t="s">
        <v>1301</v>
      </c>
      <c r="F165" s="146">
        <v>0</v>
      </c>
      <c r="G165" s="424"/>
      <c r="H165" s="462">
        <f t="shared" si="14"/>
        <v>0</v>
      </c>
      <c r="J165" s="432">
        <v>0</v>
      </c>
    </row>
    <row r="166" spans="1:10">
      <c r="A166" s="419"/>
      <c r="B166" s="467" t="s">
        <v>298</v>
      </c>
      <c r="C166" s="461">
        <v>2012</v>
      </c>
      <c r="D166" s="418" t="s">
        <v>1302</v>
      </c>
      <c r="F166" s="146">
        <v>0</v>
      </c>
      <c r="G166" s="424"/>
      <c r="H166" s="462">
        <f t="shared" si="14"/>
        <v>0</v>
      </c>
      <c r="J166" s="432">
        <v>0</v>
      </c>
    </row>
    <row r="167" spans="1:10">
      <c r="A167" s="419"/>
      <c r="B167" s="467" t="s">
        <v>299</v>
      </c>
      <c r="C167" s="461">
        <v>2012</v>
      </c>
      <c r="D167" s="418" t="s">
        <v>1303</v>
      </c>
      <c r="F167" s="146">
        <v>0</v>
      </c>
      <c r="G167" s="424"/>
      <c r="H167" s="462">
        <f t="shared" si="14"/>
        <v>0</v>
      </c>
      <c r="J167" s="432">
        <v>0</v>
      </c>
    </row>
    <row r="168" spans="1:10">
      <c r="A168" s="419"/>
      <c r="B168" s="466" t="s">
        <v>300</v>
      </c>
      <c r="C168" s="461">
        <v>2012</v>
      </c>
      <c r="D168" s="418" t="s">
        <v>1304</v>
      </c>
      <c r="F168" s="146">
        <v>0</v>
      </c>
      <c r="G168" s="424"/>
      <c r="H168" s="462">
        <f t="shared" si="14"/>
        <v>0</v>
      </c>
      <c r="J168" s="432">
        <v>0</v>
      </c>
    </row>
    <row r="169" spans="1:10">
      <c r="A169" s="419"/>
      <c r="B169" s="466" t="s">
        <v>301</v>
      </c>
      <c r="C169" s="461">
        <v>2012</v>
      </c>
      <c r="D169" s="418" t="s">
        <v>1305</v>
      </c>
      <c r="F169" s="146">
        <v>0</v>
      </c>
      <c r="G169" s="424"/>
      <c r="H169" s="462">
        <f t="shared" si="14"/>
        <v>0</v>
      </c>
      <c r="J169" s="432">
        <v>0</v>
      </c>
    </row>
    <row r="170" spans="1:10">
      <c r="A170" s="419"/>
      <c r="D170" s="418"/>
    </row>
    <row r="171" spans="1:10">
      <c r="A171" s="419"/>
      <c r="B171" s="424" t="s">
        <v>289</v>
      </c>
      <c r="D171" s="418"/>
    </row>
    <row r="172" spans="1:10">
      <c r="A172" s="419"/>
      <c r="B172" s="417" t="s">
        <v>292</v>
      </c>
      <c r="C172" s="461">
        <v>2012</v>
      </c>
      <c r="D172" s="418" t="s">
        <v>1306</v>
      </c>
      <c r="F172" s="146">
        <v>0</v>
      </c>
      <c r="G172" s="424"/>
      <c r="H172" s="462">
        <f t="shared" ref="H172:H181" si="15">J172-F172</f>
        <v>0</v>
      </c>
      <c r="J172" s="432">
        <v>0</v>
      </c>
    </row>
    <row r="173" spans="1:10">
      <c r="A173" s="419"/>
      <c r="B173" s="417" t="s">
        <v>293</v>
      </c>
      <c r="C173" s="461">
        <v>2012</v>
      </c>
      <c r="D173" s="418" t="s">
        <v>1307</v>
      </c>
      <c r="F173" s="146">
        <v>0</v>
      </c>
      <c r="G173" s="424"/>
      <c r="H173" s="462">
        <f t="shared" si="15"/>
        <v>0</v>
      </c>
      <c r="J173" s="432">
        <v>0</v>
      </c>
    </row>
    <row r="174" spans="1:10">
      <c r="A174" s="419"/>
      <c r="B174" s="417" t="s">
        <v>294</v>
      </c>
      <c r="C174" s="461">
        <v>2012</v>
      </c>
      <c r="D174" s="418" t="s">
        <v>1308</v>
      </c>
      <c r="F174" s="146">
        <v>0</v>
      </c>
      <c r="G174" s="424"/>
      <c r="H174" s="462">
        <f t="shared" si="15"/>
        <v>0</v>
      </c>
      <c r="J174" s="432">
        <v>0</v>
      </c>
    </row>
    <row r="175" spans="1:10">
      <c r="A175" s="419"/>
      <c r="B175" s="417" t="s">
        <v>295</v>
      </c>
      <c r="C175" s="461">
        <v>2012</v>
      </c>
      <c r="D175" s="418" t="s">
        <v>1309</v>
      </c>
      <c r="F175" s="146">
        <v>0</v>
      </c>
      <c r="G175" s="424"/>
      <c r="H175" s="462">
        <f t="shared" si="15"/>
        <v>0</v>
      </c>
      <c r="J175" s="432">
        <v>0</v>
      </c>
    </row>
    <row r="176" spans="1:10">
      <c r="A176" s="419"/>
      <c r="B176" s="417" t="s">
        <v>296</v>
      </c>
      <c r="C176" s="461">
        <v>2012</v>
      </c>
      <c r="D176" s="418" t="s">
        <v>1310</v>
      </c>
      <c r="F176" s="146">
        <v>0</v>
      </c>
      <c r="H176" s="462">
        <f t="shared" si="15"/>
        <v>0</v>
      </c>
      <c r="J176" s="432">
        <v>0</v>
      </c>
    </row>
    <row r="177" spans="1:76">
      <c r="A177" s="419"/>
      <c r="B177" s="417" t="s">
        <v>297</v>
      </c>
      <c r="C177" s="461">
        <v>2012</v>
      </c>
      <c r="D177" s="418" t="s">
        <v>1311</v>
      </c>
      <c r="F177" s="146">
        <v>0</v>
      </c>
      <c r="H177" s="462">
        <f t="shared" si="15"/>
        <v>0</v>
      </c>
      <c r="J177" s="432">
        <v>0</v>
      </c>
    </row>
    <row r="178" spans="1:76">
      <c r="A178" s="419"/>
      <c r="B178" s="417" t="s">
        <v>298</v>
      </c>
      <c r="C178" s="461">
        <v>2012</v>
      </c>
      <c r="D178" s="418" t="s">
        <v>1312</v>
      </c>
      <c r="F178" s="146">
        <v>0</v>
      </c>
      <c r="G178" s="424"/>
      <c r="H178" s="462">
        <f t="shared" si="15"/>
        <v>0</v>
      </c>
      <c r="J178" s="432">
        <v>0</v>
      </c>
    </row>
    <row r="179" spans="1:76">
      <c r="A179" s="419"/>
      <c r="B179" s="417" t="s">
        <v>299</v>
      </c>
      <c r="C179" s="461">
        <v>2012</v>
      </c>
      <c r="D179" s="418" t="s">
        <v>1313</v>
      </c>
      <c r="F179" s="146">
        <v>0</v>
      </c>
      <c r="H179" s="462">
        <f t="shared" si="15"/>
        <v>0</v>
      </c>
      <c r="J179" s="432">
        <v>0</v>
      </c>
    </row>
    <row r="180" spans="1:76">
      <c r="A180" s="419"/>
      <c r="B180" s="417" t="s">
        <v>300</v>
      </c>
      <c r="C180" s="461">
        <v>2012</v>
      </c>
      <c r="D180" s="418" t="s">
        <v>1314</v>
      </c>
      <c r="F180" s="146">
        <v>0</v>
      </c>
      <c r="H180" s="462">
        <f t="shared" si="15"/>
        <v>0</v>
      </c>
      <c r="J180" s="432">
        <v>0</v>
      </c>
    </row>
    <row r="181" spans="1:76">
      <c r="A181" s="419"/>
      <c r="B181" s="417" t="s">
        <v>301</v>
      </c>
      <c r="C181" s="461">
        <v>2012</v>
      </c>
      <c r="D181" s="418" t="s">
        <v>1315</v>
      </c>
      <c r="F181" s="146">
        <v>0</v>
      </c>
      <c r="H181" s="462">
        <f t="shared" si="15"/>
        <v>0</v>
      </c>
      <c r="J181" s="432">
        <v>0</v>
      </c>
    </row>
    <row r="182" spans="1:76">
      <c r="A182" s="419"/>
      <c r="D182" s="418"/>
    </row>
    <row r="183" spans="1:76">
      <c r="A183" s="419"/>
      <c r="B183" s="424" t="s">
        <v>290</v>
      </c>
      <c r="D183" s="418"/>
    </row>
    <row r="184" spans="1:76">
      <c r="A184" s="419"/>
      <c r="B184" s="417" t="s">
        <v>302</v>
      </c>
      <c r="C184" s="461">
        <v>2012</v>
      </c>
      <c r="D184" s="418" t="s">
        <v>1316</v>
      </c>
      <c r="F184" s="146">
        <v>0</v>
      </c>
      <c r="G184" s="424"/>
      <c r="H184" s="462">
        <f t="shared" ref="H184" si="16">J184-F184</f>
        <v>0</v>
      </c>
      <c r="J184" s="432">
        <v>0</v>
      </c>
    </row>
    <row r="185" spans="1:76">
      <c r="A185" s="424"/>
      <c r="B185" s="424"/>
    </row>
    <row r="187" spans="1:76">
      <c r="A187" s="420"/>
      <c r="B187" s="421" t="s">
        <v>1345</v>
      </c>
      <c r="C187" s="482"/>
      <c r="D187" s="420"/>
      <c r="E187" s="420"/>
      <c r="F187" s="420"/>
      <c r="G187" s="420"/>
      <c r="H187" s="420"/>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c r="AJ187" s="420"/>
      <c r="AK187" s="420"/>
      <c r="AL187" s="420"/>
      <c r="AM187" s="420"/>
      <c r="AN187" s="420"/>
      <c r="AO187" s="420"/>
      <c r="AP187" s="420"/>
      <c r="AQ187" s="420"/>
      <c r="AR187" s="422"/>
      <c r="AS187" s="422"/>
      <c r="AT187" s="422"/>
      <c r="AU187" s="422"/>
      <c r="AV187" s="422"/>
      <c r="AW187" s="422"/>
      <c r="AX187" s="422"/>
      <c r="AY187" s="422"/>
      <c r="AZ187" s="422"/>
      <c r="BA187" s="422"/>
      <c r="BB187" s="422"/>
      <c r="BC187" s="422"/>
      <c r="BD187" s="422"/>
      <c r="BE187" s="422"/>
      <c r="BF187" s="422"/>
      <c r="BG187" s="422"/>
      <c r="BH187" s="422"/>
      <c r="BI187" s="422"/>
      <c r="BJ187" s="422"/>
      <c r="BK187" s="422"/>
      <c r="BL187" s="422"/>
      <c r="BM187" s="422"/>
      <c r="BN187" s="422"/>
      <c r="BO187" s="422"/>
      <c r="BP187" s="422"/>
      <c r="BQ187" s="422"/>
      <c r="BR187" s="422"/>
      <c r="BS187" s="422"/>
      <c r="BT187" s="422"/>
      <c r="BU187" s="422"/>
      <c r="BV187" s="422"/>
      <c r="BW187" s="422"/>
      <c r="BX187" s="422"/>
    </row>
    <row r="188" spans="1:76">
      <c r="B188" s="453"/>
    </row>
    <row r="189" spans="1:76">
      <c r="B189" s="417" t="s">
        <v>1074</v>
      </c>
      <c r="D189" s="417" t="s">
        <v>1317</v>
      </c>
    </row>
    <row r="190" spans="1:76">
      <c r="D190" s="417" t="s">
        <v>1318</v>
      </c>
    </row>
    <row r="191" spans="1:76">
      <c r="D191" s="417" t="s">
        <v>1319</v>
      </c>
    </row>
    <row r="192" spans="1:76">
      <c r="D192" s="417" t="s">
        <v>1320</v>
      </c>
    </row>
    <row r="194" spans="1:83">
      <c r="B194" s="424" t="s">
        <v>1321</v>
      </c>
      <c r="C194" s="484"/>
      <c r="D194" s="424" t="s">
        <v>1322</v>
      </c>
      <c r="E194" s="429"/>
      <c r="F194" s="424" t="s">
        <v>1325</v>
      </c>
      <c r="G194" s="424"/>
      <c r="I194" s="418"/>
    </row>
    <row r="195" spans="1:83" s="422" customFormat="1">
      <c r="A195" s="417"/>
      <c r="B195" s="51" t="s">
        <v>1323</v>
      </c>
      <c r="C195" s="461"/>
      <c r="D195" s="417" t="s">
        <v>1324</v>
      </c>
      <c r="E195" s="417"/>
      <c r="F195" s="470" t="s">
        <v>1326</v>
      </c>
      <c r="G195" s="417"/>
      <c r="H195" s="417"/>
      <c r="I195" s="417"/>
      <c r="J195" s="417"/>
      <c r="K195" s="417"/>
      <c r="L195" s="417"/>
      <c r="M195" s="417"/>
      <c r="N195" s="417"/>
      <c r="O195" s="417"/>
      <c r="P195" s="417"/>
      <c r="Q195" s="417"/>
      <c r="R195" s="417"/>
      <c r="S195" s="417"/>
      <c r="T195" s="417"/>
      <c r="U195" s="417"/>
      <c r="V195" s="417"/>
      <c r="W195" s="417"/>
      <c r="X195" s="417"/>
      <c r="Y195" s="417"/>
      <c r="Z195" s="417"/>
      <c r="AA195" s="417"/>
      <c r="AB195" s="417"/>
      <c r="AC195" s="417"/>
      <c r="AD195" s="417"/>
      <c r="AE195" s="417"/>
      <c r="AF195" s="417"/>
      <c r="AG195" s="417"/>
      <c r="AH195" s="417"/>
      <c r="AI195" s="417"/>
      <c r="AJ195" s="417"/>
      <c r="AK195" s="417"/>
      <c r="AL195" s="417"/>
      <c r="AM195" s="417"/>
      <c r="AN195" s="417"/>
      <c r="AO195" s="417"/>
      <c r="AP195" s="417"/>
      <c r="AQ195" s="417"/>
      <c r="AR195" s="417"/>
      <c r="AS195" s="417"/>
      <c r="AT195" s="417"/>
      <c r="AU195" s="417"/>
      <c r="AV195" s="417"/>
      <c r="AW195" s="417"/>
      <c r="AX195" s="417"/>
      <c r="AY195" s="417"/>
      <c r="AZ195" s="417"/>
      <c r="BA195" s="417"/>
      <c r="BB195" s="417"/>
      <c r="BC195" s="417"/>
      <c r="BD195" s="417"/>
      <c r="BE195" s="417"/>
      <c r="BF195" s="417"/>
      <c r="BG195" s="417"/>
      <c r="BH195" s="417"/>
      <c r="BI195" s="417"/>
      <c r="BJ195" s="417"/>
      <c r="BK195" s="417"/>
      <c r="BL195" s="417"/>
      <c r="BM195" s="417"/>
      <c r="BN195" s="417"/>
      <c r="BO195" s="417"/>
      <c r="BP195" s="417"/>
      <c r="BQ195" s="417"/>
      <c r="BR195" s="417"/>
      <c r="BS195" s="417"/>
      <c r="BT195" s="417"/>
      <c r="BU195" s="417"/>
      <c r="BV195" s="417"/>
      <c r="BW195" s="417"/>
      <c r="BX195" s="417"/>
      <c r="BY195" s="417"/>
      <c r="BZ195" s="417"/>
      <c r="CA195" s="417"/>
      <c r="CB195" s="417"/>
      <c r="CC195" s="417"/>
      <c r="CD195" s="417"/>
      <c r="CE195" s="417"/>
    </row>
    <row r="196" spans="1:83">
      <c r="B196" s="465"/>
    </row>
    <row r="198" spans="1:83" s="420" customFormat="1">
      <c r="B198" s="421" t="s">
        <v>1341</v>
      </c>
    </row>
    <row r="199" spans="1:83">
      <c r="C199" s="417"/>
    </row>
    <row r="200" spans="1:83">
      <c r="B200" s="417" t="s">
        <v>1074</v>
      </c>
      <c r="C200" s="417"/>
      <c r="D200" s="417" t="s">
        <v>1342</v>
      </c>
    </row>
    <row r="201" spans="1:83">
      <c r="C201" s="417"/>
      <c r="D201" s="417" t="s">
        <v>1348</v>
      </c>
    </row>
    <row r="202" spans="1:83">
      <c r="C202" s="417"/>
    </row>
    <row r="203" spans="1:83">
      <c r="B203" s="424" t="s">
        <v>1043</v>
      </c>
      <c r="C203" s="424"/>
      <c r="D203" s="429" t="s">
        <v>1050</v>
      </c>
      <c r="F203" s="424" t="s">
        <v>1044</v>
      </c>
      <c r="H203" s="418"/>
      <c r="J203" s="424" t="s">
        <v>1046</v>
      </c>
    </row>
    <row r="204" spans="1:83">
      <c r="B204" s="51" t="s">
        <v>681</v>
      </c>
      <c r="C204" s="417"/>
      <c r="D204" s="417" t="s">
        <v>1346</v>
      </c>
      <c r="F204" s="492">
        <f>'Aanpassing gegevens (sep.2014)'!J146</f>
        <v>-9.6570955999744374E-3</v>
      </c>
      <c r="G204" s="493"/>
      <c r="H204" s="493"/>
      <c r="I204" s="493"/>
      <c r="J204" s="494">
        <v>-9.6159535007804657E-3</v>
      </c>
    </row>
    <row r="205" spans="1:83">
      <c r="B205" s="51" t="s">
        <v>682</v>
      </c>
      <c r="C205" s="417"/>
      <c r="D205" s="417" t="s">
        <v>1343</v>
      </c>
      <c r="F205" s="492">
        <f>'Aanpassing gegevens (sep.2014)'!J147</f>
        <v>5.875799769662504E-3</v>
      </c>
      <c r="G205" s="493"/>
      <c r="H205" s="493"/>
      <c r="I205" s="493"/>
      <c r="J205" s="494">
        <v>5.669638437281856E-3</v>
      </c>
    </row>
    <row r="206" spans="1:83">
      <c r="B206" s="51" t="s">
        <v>683</v>
      </c>
      <c r="C206" s="417"/>
      <c r="D206" s="417" t="s">
        <v>1344</v>
      </c>
      <c r="F206" s="492">
        <f>'Aanpassing gegevens (sep.2014)'!J148</f>
        <v>2.2651810875410197E-2</v>
      </c>
      <c r="G206" s="493"/>
      <c r="H206" s="493"/>
      <c r="I206" s="493"/>
      <c r="J206" s="494">
        <v>2.2718773518675534E-2</v>
      </c>
    </row>
    <row r="207" spans="1:83">
      <c r="C207" s="417"/>
    </row>
    <row r="208" spans="1:83">
      <c r="C208" s="417"/>
    </row>
  </sheetData>
  <pageMargins left="0.70866141732283472" right="0.70866141732283472" top="0.74803149606299213" bottom="0.74803149606299213" header="0.31496062992125984" footer="0.31496062992125984"/>
  <pageSetup paperSize="8" scale="50"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2"/>
  </sheetPr>
  <dimension ref="B1:H14"/>
  <sheetViews>
    <sheetView showGridLines="0" zoomScale="85" zoomScaleNormal="85" workbookViewId="0"/>
  </sheetViews>
  <sheetFormatPr defaultRowHeight="12.75"/>
  <cols>
    <col min="1" max="1" width="2.5703125" customWidth="1"/>
    <col min="2" max="2" width="49" customWidth="1"/>
    <col min="3" max="3" width="2.5703125" customWidth="1"/>
    <col min="4" max="4" width="14.140625" customWidth="1"/>
    <col min="5" max="5" width="2.5703125" customWidth="1"/>
    <col min="6" max="6" width="21.42578125" customWidth="1"/>
    <col min="7" max="10" width="16.140625" customWidth="1"/>
    <col min="11" max="15" width="14.85546875" customWidth="1"/>
  </cols>
  <sheetData>
    <row r="1" spans="2:8" ht="12" customHeight="1"/>
    <row r="2" spans="2:8" s="1" customFormat="1" ht="18">
      <c r="B2" s="1" t="s">
        <v>704</v>
      </c>
      <c r="H2" s="5" t="s">
        <v>567</v>
      </c>
    </row>
    <row r="3" spans="2:8">
      <c r="H3" s="258"/>
    </row>
    <row r="4" spans="2:8" s="2" customFormat="1">
      <c r="B4" s="2" t="s">
        <v>705</v>
      </c>
    </row>
    <row r="5" spans="2:8">
      <c r="H5" s="258"/>
    </row>
    <row r="6" spans="2:8">
      <c r="H6" s="258"/>
    </row>
    <row r="7" spans="2:8">
      <c r="B7" s="51" t="s">
        <v>614</v>
      </c>
      <c r="F7" s="32">
        <v>5.5E-2</v>
      </c>
      <c r="H7" s="51" t="s">
        <v>706</v>
      </c>
    </row>
    <row r="8" spans="2:8">
      <c r="B8" s="51" t="s">
        <v>615</v>
      </c>
      <c r="F8" s="32">
        <v>6.2E-2</v>
      </c>
      <c r="H8" s="51" t="s">
        <v>707</v>
      </c>
    </row>
    <row r="9" spans="2:8">
      <c r="B9" s="51" t="s">
        <v>514</v>
      </c>
      <c r="F9" s="32">
        <v>3.5999999999999997E-2</v>
      </c>
      <c r="H9" s="51" t="s">
        <v>708</v>
      </c>
    </row>
    <row r="10" spans="2:8">
      <c r="H10" s="258"/>
    </row>
    <row r="11" spans="2:8">
      <c r="B11" t="s">
        <v>199</v>
      </c>
      <c r="F11" s="37">
        <v>0.02</v>
      </c>
      <c r="G11" s="28"/>
      <c r="H11" s="51" t="s">
        <v>708</v>
      </c>
    </row>
    <row r="12" spans="2:8">
      <c r="F12" s="44"/>
      <c r="G12" s="28"/>
    </row>
    <row r="13" spans="2:8">
      <c r="F13" s="44"/>
      <c r="G13" s="28"/>
    </row>
    <row r="14" spans="2:8">
      <c r="F14" s="44"/>
      <c r="G14" s="28"/>
    </row>
  </sheetData>
  <phoneticPr fontId="4" type="noConversion"/>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2"/>
  </sheetPr>
  <dimension ref="B2:BB61"/>
  <sheetViews>
    <sheetView showGridLines="0" zoomScale="85" zoomScaleNormal="85" workbookViewId="0"/>
  </sheetViews>
  <sheetFormatPr defaultRowHeight="12.75"/>
  <cols>
    <col min="1" max="1" width="2.42578125" customWidth="1"/>
    <col min="2" max="2" width="57.140625" customWidth="1"/>
    <col min="3" max="3" width="2.42578125" customWidth="1"/>
    <col min="4" max="4" width="9.85546875" customWidth="1"/>
    <col min="5" max="5" width="10" customWidth="1"/>
    <col min="6" max="19" width="12" customWidth="1"/>
    <col min="20" max="54" width="12.28515625" customWidth="1"/>
  </cols>
  <sheetData>
    <row r="2" spans="2:54" s="1" customFormat="1" ht="18">
      <c r="B2" s="1" t="s">
        <v>37</v>
      </c>
    </row>
    <row r="5" spans="2:54" s="9" customFormat="1">
      <c r="B5" s="2" t="s">
        <v>111</v>
      </c>
      <c r="F5" s="10"/>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7" spans="2:54">
      <c r="B7" s="3" t="s">
        <v>112</v>
      </c>
    </row>
    <row r="8" spans="2:54">
      <c r="B8" s="3"/>
      <c r="D8">
        <v>2001</v>
      </c>
      <c r="F8" s="6">
        <v>2.5000000000000001E-2</v>
      </c>
    </row>
    <row r="9" spans="2:54">
      <c r="B9" s="3"/>
      <c r="D9">
        <v>2002</v>
      </c>
      <c r="F9" s="6">
        <v>4.7E-2</v>
      </c>
    </row>
    <row r="10" spans="2:54">
      <c r="B10" s="3"/>
      <c r="D10">
        <v>2003</v>
      </c>
      <c r="F10" s="6">
        <v>3.3000000000000002E-2</v>
      </c>
    </row>
    <row r="11" spans="2:54">
      <c r="B11" s="3"/>
      <c r="D11">
        <v>2004</v>
      </c>
      <c r="F11" s="6">
        <v>2.1000000000000001E-2</v>
      </c>
    </row>
    <row r="12" spans="2:54">
      <c r="B12" s="3"/>
      <c r="D12">
        <v>2005</v>
      </c>
      <c r="F12" s="6">
        <v>1.0999999999999999E-2</v>
      </c>
    </row>
    <row r="13" spans="2:54">
      <c r="B13" s="3"/>
      <c r="D13">
        <v>2006</v>
      </c>
      <c r="F13" s="6">
        <v>1.7999999999999999E-2</v>
      </c>
    </row>
    <row r="14" spans="2:54">
      <c r="B14" s="3"/>
      <c r="D14">
        <v>2007</v>
      </c>
      <c r="F14" s="6">
        <v>1.4E-2</v>
      </c>
    </row>
    <row r="15" spans="2:54">
      <c r="B15" s="3"/>
      <c r="D15">
        <v>2008</v>
      </c>
      <c r="F15" s="6">
        <v>1.0999999999999999E-2</v>
      </c>
    </row>
    <row r="16" spans="2:54">
      <c r="B16" s="3"/>
      <c r="D16">
        <v>2009</v>
      </c>
      <c r="F16" s="6">
        <v>3.2000000000000001E-2</v>
      </c>
    </row>
    <row r="17" spans="2:54">
      <c r="B17" s="3"/>
      <c r="D17">
        <v>2010</v>
      </c>
      <c r="F17" s="6">
        <v>3.0000000000000001E-3</v>
      </c>
    </row>
    <row r="18" spans="2:54">
      <c r="B18" s="3"/>
      <c r="D18">
        <v>2011</v>
      </c>
      <c r="F18" s="6">
        <v>1.4999999999999999E-2</v>
      </c>
    </row>
    <row r="19" spans="2:54">
      <c r="B19" s="3"/>
      <c r="D19">
        <v>2012</v>
      </c>
      <c r="F19" s="6">
        <v>2.5999999999999999E-2</v>
      </c>
    </row>
    <row r="20" spans="2:54">
      <c r="B20" s="3"/>
      <c r="D20">
        <v>2013</v>
      </c>
      <c r="F20" s="6">
        <v>2.3E-2</v>
      </c>
    </row>
    <row r="21" spans="2:54">
      <c r="B21" s="3"/>
      <c r="D21" s="28"/>
      <c r="E21" s="28"/>
      <c r="F21" s="28"/>
    </row>
    <row r="22" spans="2:54">
      <c r="B22" s="3"/>
    </row>
    <row r="23" spans="2:54">
      <c r="B23" s="3"/>
      <c r="G23" s="11">
        <v>2001</v>
      </c>
      <c r="H23" s="11">
        <v>2002</v>
      </c>
      <c r="I23" s="11">
        <v>2003</v>
      </c>
      <c r="J23" s="11">
        <v>2004</v>
      </c>
      <c r="K23" s="11">
        <v>2005</v>
      </c>
      <c r="L23" s="11">
        <v>2006</v>
      </c>
      <c r="M23" s="11">
        <v>2007</v>
      </c>
      <c r="N23" s="11">
        <v>2008</v>
      </c>
      <c r="O23" s="11">
        <v>2009</v>
      </c>
      <c r="P23" s="11">
        <v>2010</v>
      </c>
      <c r="Q23" s="11">
        <v>2011</v>
      </c>
      <c r="R23" s="11">
        <v>2012</v>
      </c>
      <c r="S23" s="11">
        <v>2013</v>
      </c>
    </row>
    <row r="24" spans="2:54">
      <c r="B24" s="3" t="s">
        <v>113</v>
      </c>
      <c r="G24" s="12">
        <f>F8</f>
        <v>2.5000000000000001E-2</v>
      </c>
      <c r="H24" s="12">
        <f>F9</f>
        <v>4.7E-2</v>
      </c>
      <c r="I24" s="12">
        <f>F10</f>
        <v>3.3000000000000002E-2</v>
      </c>
      <c r="J24" s="12">
        <f>F11</f>
        <v>2.1000000000000001E-2</v>
      </c>
      <c r="K24" s="12">
        <f>F12</f>
        <v>1.0999999999999999E-2</v>
      </c>
      <c r="L24" s="12">
        <f>F13</f>
        <v>1.7999999999999999E-2</v>
      </c>
      <c r="M24" s="12">
        <f>F14</f>
        <v>1.4E-2</v>
      </c>
      <c r="N24" s="12">
        <f>F15</f>
        <v>1.0999999999999999E-2</v>
      </c>
      <c r="O24" s="12">
        <f>F16</f>
        <v>3.2000000000000001E-2</v>
      </c>
      <c r="P24" s="12">
        <f>F17</f>
        <v>3.0000000000000001E-3</v>
      </c>
      <c r="Q24" s="12">
        <f>F18</f>
        <v>1.4999999999999999E-2</v>
      </c>
      <c r="R24" s="12">
        <f>F19</f>
        <v>2.5999999999999999E-2</v>
      </c>
      <c r="S24" s="12">
        <f>F20</f>
        <v>2.3E-2</v>
      </c>
    </row>
    <row r="25" spans="2:54">
      <c r="B25" s="3"/>
    </row>
    <row r="26" spans="2:54">
      <c r="B26" s="3"/>
    </row>
    <row r="27" spans="2:54" s="9" customFormat="1">
      <c r="B27" s="2" t="s">
        <v>114</v>
      </c>
      <c r="F27" s="10"/>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2:54">
      <c r="B28" s="3"/>
    </row>
    <row r="29" spans="2:54">
      <c r="B29" s="3" t="s">
        <v>114</v>
      </c>
      <c r="D29" s="13"/>
      <c r="E29" s="13"/>
      <c r="F29" s="13" t="s">
        <v>115</v>
      </c>
      <c r="G29" s="13"/>
      <c r="H29" s="13"/>
      <c r="I29" s="13"/>
      <c r="J29" s="13"/>
      <c r="K29" s="13"/>
      <c r="L29" s="13"/>
      <c r="M29" s="13"/>
      <c r="N29" s="13"/>
      <c r="O29" s="13"/>
      <c r="P29" s="13"/>
      <c r="Q29" s="13"/>
      <c r="R29" s="13"/>
      <c r="S29" s="13"/>
    </row>
    <row r="30" spans="2:54">
      <c r="D30" s="14" t="s">
        <v>116</v>
      </c>
      <c r="E30" s="15"/>
      <c r="F30" s="11">
        <v>2000</v>
      </c>
      <c r="G30" s="11">
        <v>2001</v>
      </c>
      <c r="H30" s="11">
        <v>2002</v>
      </c>
      <c r="I30" s="11">
        <v>2003</v>
      </c>
      <c r="J30" s="11">
        <v>2004</v>
      </c>
      <c r="K30" s="11">
        <v>2005</v>
      </c>
      <c r="L30" s="11">
        <v>2006</v>
      </c>
      <c r="M30" s="11">
        <v>2007</v>
      </c>
      <c r="N30" s="11">
        <v>2008</v>
      </c>
      <c r="O30" s="11">
        <v>2009</v>
      </c>
      <c r="P30" s="11">
        <v>2010</v>
      </c>
      <c r="Q30" s="11">
        <v>2011</v>
      </c>
      <c r="R30" s="11">
        <v>2012</v>
      </c>
      <c r="S30" s="11">
        <v>2013</v>
      </c>
    </row>
    <row r="31" spans="2:54">
      <c r="D31" s="15">
        <v>2001</v>
      </c>
      <c r="E31" s="16"/>
      <c r="F31" s="17">
        <f>$F8</f>
        <v>2.5000000000000001E-2</v>
      </c>
      <c r="G31" s="18"/>
      <c r="H31" s="18"/>
      <c r="I31" s="18"/>
      <c r="J31" s="18"/>
      <c r="K31" s="18"/>
      <c r="L31" s="18"/>
      <c r="M31" s="18"/>
      <c r="N31" s="18"/>
      <c r="O31" s="18"/>
      <c r="P31" s="18"/>
      <c r="Q31" s="18"/>
      <c r="R31" s="18"/>
      <c r="S31" s="18"/>
    </row>
    <row r="32" spans="2:54">
      <c r="D32" s="15">
        <v>2002</v>
      </c>
      <c r="E32" s="16"/>
      <c r="F32" s="19">
        <f t="shared" ref="F32:F43" si="0">(1+F31)*(1+$F9)-1</f>
        <v>7.3174999999999768E-2</v>
      </c>
      <c r="G32" s="17">
        <f>$F9</f>
        <v>4.7E-2</v>
      </c>
      <c r="H32" s="18"/>
      <c r="I32" s="18"/>
      <c r="J32" s="18"/>
      <c r="K32" s="18"/>
      <c r="L32" s="18"/>
      <c r="M32" s="18"/>
      <c r="N32" s="18"/>
      <c r="O32" s="18"/>
      <c r="P32" s="18"/>
      <c r="Q32" s="18"/>
      <c r="R32" s="18"/>
      <c r="S32" s="18"/>
    </row>
    <row r="33" spans="2:19">
      <c r="D33" s="15">
        <v>2003</v>
      </c>
      <c r="E33" s="16"/>
      <c r="F33" s="19">
        <f t="shared" si="0"/>
        <v>0.10858977499999978</v>
      </c>
      <c r="G33" s="19">
        <f t="shared" ref="G33:G43" si="1">(1+G32)*(1+$F10)-1</f>
        <v>8.1550999999999929E-2</v>
      </c>
      <c r="H33" s="17">
        <f>$F10</f>
        <v>3.3000000000000002E-2</v>
      </c>
      <c r="I33" s="18"/>
      <c r="J33" s="18"/>
      <c r="K33" s="18"/>
      <c r="L33" s="18"/>
      <c r="M33" s="18"/>
      <c r="N33" s="18"/>
      <c r="O33" s="18"/>
      <c r="P33" s="18"/>
      <c r="Q33" s="18"/>
      <c r="R33" s="18"/>
      <c r="S33" s="18"/>
    </row>
    <row r="34" spans="2:19">
      <c r="D34" s="11">
        <v>2004</v>
      </c>
      <c r="E34" s="13"/>
      <c r="F34" s="19">
        <f t="shared" si="0"/>
        <v>0.13187016027499965</v>
      </c>
      <c r="G34" s="19">
        <f t="shared" si="1"/>
        <v>0.10426357099999972</v>
      </c>
      <c r="H34" s="19">
        <f t="shared" ref="H34:H43" si="2">(1+H33)*(1+$F11)-1</f>
        <v>5.4692999999999881E-2</v>
      </c>
      <c r="I34" s="17">
        <f>$F11</f>
        <v>2.1000000000000001E-2</v>
      </c>
      <c r="J34" s="18"/>
      <c r="K34" s="18"/>
      <c r="L34" s="18"/>
      <c r="M34" s="18"/>
      <c r="N34" s="18"/>
      <c r="O34" s="18"/>
      <c r="P34" s="18"/>
      <c r="Q34" s="18"/>
      <c r="R34" s="18"/>
      <c r="S34" s="18"/>
    </row>
    <row r="35" spans="2:19">
      <c r="D35" s="11">
        <v>2005</v>
      </c>
      <c r="E35" s="13"/>
      <c r="F35" s="19">
        <f t="shared" si="0"/>
        <v>0.14432073203802442</v>
      </c>
      <c r="G35" s="19">
        <f t="shared" si="1"/>
        <v>0.1164104702809996</v>
      </c>
      <c r="H35" s="19">
        <f t="shared" si="2"/>
        <v>6.6294622999999664E-2</v>
      </c>
      <c r="I35" s="19">
        <f t="shared" ref="I35:I43" si="3">(1+I34)*(1+$F12)-1</f>
        <v>3.2230999999999899E-2</v>
      </c>
      <c r="J35" s="17">
        <f>$F12</f>
        <v>1.0999999999999999E-2</v>
      </c>
      <c r="K35" s="18"/>
      <c r="L35" s="18"/>
      <c r="M35" s="18"/>
      <c r="N35" s="18"/>
      <c r="O35" s="18"/>
      <c r="P35" s="18"/>
      <c r="Q35" s="18"/>
      <c r="R35" s="18"/>
      <c r="S35" s="18"/>
    </row>
    <row r="36" spans="2:19">
      <c r="D36" s="11">
        <v>2006</v>
      </c>
      <c r="E36" s="13"/>
      <c r="F36" s="19">
        <f t="shared" si="0"/>
        <v>0.16491850521470885</v>
      </c>
      <c r="G36" s="19">
        <f t="shared" si="1"/>
        <v>0.1365058587460577</v>
      </c>
      <c r="H36" s="19">
        <f t="shared" si="2"/>
        <v>8.5487926213999588E-2</v>
      </c>
      <c r="I36" s="19">
        <f t="shared" si="3"/>
        <v>5.0811157999999912E-2</v>
      </c>
      <c r="J36" s="19">
        <f t="shared" ref="J36:J43" si="4">(1+J35)*(1+$F13)-1</f>
        <v>2.9197999999999835E-2</v>
      </c>
      <c r="K36" s="17">
        <f>$F13</f>
        <v>1.7999999999999999E-2</v>
      </c>
      <c r="L36" s="18"/>
      <c r="M36" s="18"/>
      <c r="N36" s="18"/>
      <c r="O36" s="18"/>
      <c r="P36" s="18"/>
      <c r="Q36" s="18"/>
      <c r="R36" s="18"/>
      <c r="S36" s="18"/>
    </row>
    <row r="37" spans="2:19">
      <c r="D37" s="11">
        <v>2007</v>
      </c>
      <c r="E37" s="13"/>
      <c r="F37" s="19">
        <f t="shared" si="0"/>
        <v>0.18122736428771469</v>
      </c>
      <c r="G37" s="19">
        <f t="shared" si="1"/>
        <v>0.15241694076850254</v>
      </c>
      <c r="H37" s="19">
        <f t="shared" si="2"/>
        <v>0.10068475718099568</v>
      </c>
      <c r="I37" s="19">
        <f t="shared" si="3"/>
        <v>6.5522514211999949E-2</v>
      </c>
      <c r="J37" s="19">
        <f t="shared" si="4"/>
        <v>4.3606771999999738E-2</v>
      </c>
      <c r="K37" s="19">
        <f t="shared" ref="K37:K43" si="5">(1+K36)*(1+$F14)-1</f>
        <v>3.2251999999999947E-2</v>
      </c>
      <c r="L37" s="17">
        <f>$F14</f>
        <v>1.4E-2</v>
      </c>
      <c r="M37" s="18"/>
      <c r="N37" s="18"/>
      <c r="O37" s="18"/>
      <c r="P37" s="18"/>
      <c r="Q37" s="18"/>
      <c r="R37" s="18"/>
      <c r="S37" s="18"/>
    </row>
    <row r="38" spans="2:19">
      <c r="D38" s="11">
        <v>2008</v>
      </c>
      <c r="E38" s="13"/>
      <c r="F38" s="19">
        <f t="shared" si="0"/>
        <v>0.19422086529487936</v>
      </c>
      <c r="G38" s="19">
        <f t="shared" si="1"/>
        <v>0.16509352711695602</v>
      </c>
      <c r="H38" s="19">
        <f t="shared" si="2"/>
        <v>0.11279228950998643</v>
      </c>
      <c r="I38" s="19">
        <f t="shared" si="3"/>
        <v>7.7243261868331858E-2</v>
      </c>
      <c r="J38" s="19">
        <f t="shared" si="4"/>
        <v>5.5086446491999563E-2</v>
      </c>
      <c r="K38" s="19">
        <f t="shared" si="5"/>
        <v>4.3606771999999738E-2</v>
      </c>
      <c r="L38" s="19">
        <f t="shared" ref="L38:L43" si="6">(1+L37)*(1+$F15)-1</f>
        <v>2.5153999999999899E-2</v>
      </c>
      <c r="M38" s="17">
        <f>$F15</f>
        <v>1.0999999999999999E-2</v>
      </c>
      <c r="N38" s="18"/>
      <c r="O38" s="18"/>
      <c r="P38" s="18"/>
      <c r="Q38" s="18"/>
      <c r="R38" s="18"/>
      <c r="S38" s="18"/>
    </row>
    <row r="39" spans="2:19">
      <c r="D39" s="11">
        <v>2009</v>
      </c>
      <c r="E39" s="13"/>
      <c r="F39" s="19">
        <f t="shared" si="0"/>
        <v>0.23243593298431553</v>
      </c>
      <c r="G39" s="19">
        <f t="shared" si="1"/>
        <v>0.20237651998469874</v>
      </c>
      <c r="H39" s="19">
        <f t="shared" si="2"/>
        <v>0.14840164277430601</v>
      </c>
      <c r="I39" s="19">
        <f t="shared" si="3"/>
        <v>0.11171504624811845</v>
      </c>
      <c r="J39" s="19">
        <f t="shared" si="4"/>
        <v>8.8849212779743558E-2</v>
      </c>
      <c r="K39" s="19">
        <f t="shared" si="5"/>
        <v>7.7002188703999774E-2</v>
      </c>
      <c r="L39" s="19">
        <f t="shared" si="6"/>
        <v>5.795892799999991E-2</v>
      </c>
      <c r="M39" s="19">
        <f>(1+M38)*(1+$F16)-1</f>
        <v>4.3351999999999835E-2</v>
      </c>
      <c r="N39" s="17">
        <f>$F16</f>
        <v>3.2000000000000001E-2</v>
      </c>
      <c r="O39" s="18"/>
      <c r="P39" s="18"/>
      <c r="Q39" s="18"/>
      <c r="R39" s="18"/>
      <c r="S39" s="18"/>
    </row>
    <row r="40" spans="2:19">
      <c r="D40" s="11">
        <v>2010</v>
      </c>
      <c r="E40" s="13"/>
      <c r="F40" s="19">
        <f t="shared" si="0"/>
        <v>0.23613324078326836</v>
      </c>
      <c r="G40" s="19">
        <f t="shared" si="1"/>
        <v>0.20598364954465276</v>
      </c>
      <c r="H40" s="19">
        <f t="shared" si="2"/>
        <v>0.15184684770262891</v>
      </c>
      <c r="I40" s="19">
        <f t="shared" si="3"/>
        <v>0.11505019138686268</v>
      </c>
      <c r="J40" s="19">
        <f t="shared" si="4"/>
        <v>9.2115760418082671E-2</v>
      </c>
      <c r="K40" s="19">
        <f t="shared" si="5"/>
        <v>8.0233195270111635E-2</v>
      </c>
      <c r="L40" s="19">
        <f t="shared" si="6"/>
        <v>6.113280478399985E-2</v>
      </c>
      <c r="M40" s="19">
        <f>(1+M39)*(1+$F17)-1</f>
        <v>4.6482055999999661E-2</v>
      </c>
      <c r="N40" s="19">
        <f>(1+N39)*(1+$F17)-1</f>
        <v>3.5096000000000016E-2</v>
      </c>
      <c r="O40" s="17">
        <f>$F17</f>
        <v>3.0000000000000001E-3</v>
      </c>
      <c r="P40" s="18"/>
      <c r="Q40" s="18"/>
      <c r="R40" s="18"/>
      <c r="S40" s="18"/>
    </row>
    <row r="41" spans="2:19">
      <c r="D41" s="11">
        <v>2011</v>
      </c>
      <c r="E41" s="13"/>
      <c r="F41" s="19">
        <f t="shared" si="0"/>
        <v>0.25467523939501735</v>
      </c>
      <c r="G41" s="19">
        <f t="shared" si="1"/>
        <v>0.22407340428782252</v>
      </c>
      <c r="H41" s="19">
        <f t="shared" si="2"/>
        <v>0.16912455041816821</v>
      </c>
      <c r="I41" s="19">
        <f t="shared" si="3"/>
        <v>0.13177594425766559</v>
      </c>
      <c r="J41" s="19">
        <f t="shared" si="4"/>
        <v>0.10849749682435372</v>
      </c>
      <c r="K41" s="19">
        <f t="shared" si="5"/>
        <v>9.6436693199163148E-2</v>
      </c>
      <c r="L41" s="19">
        <f t="shared" si="6"/>
        <v>7.7049796855759745E-2</v>
      </c>
      <c r="M41" s="19">
        <f>(1+M40)*(1+$F18)-1</f>
        <v>6.2179286839999515E-2</v>
      </c>
      <c r="N41" s="19">
        <f>(1+N40)*(1+$F18)-1</f>
        <v>5.0622439999999935E-2</v>
      </c>
      <c r="O41" s="19">
        <f>(1+O40)*(1+$F18)-1</f>
        <v>1.8044999999999867E-2</v>
      </c>
      <c r="P41" s="17">
        <f>$F18</f>
        <v>1.4999999999999999E-2</v>
      </c>
      <c r="Q41" s="18"/>
      <c r="R41" s="18"/>
      <c r="S41" s="18"/>
    </row>
    <row r="42" spans="2:19">
      <c r="D42" s="11">
        <v>2012</v>
      </c>
      <c r="E42" s="13"/>
      <c r="F42" s="19">
        <f t="shared" si="0"/>
        <v>0.28729679561928778</v>
      </c>
      <c r="G42" s="19">
        <f t="shared" si="1"/>
        <v>0.25589931279930589</v>
      </c>
      <c r="H42" s="19">
        <f t="shared" si="2"/>
        <v>0.19952178872904058</v>
      </c>
      <c r="I42" s="19">
        <f t="shared" si="3"/>
        <v>0.16120211880836499</v>
      </c>
      <c r="J42" s="19">
        <f t="shared" si="4"/>
        <v>0.13731843174178704</v>
      </c>
      <c r="K42" s="19">
        <f t="shared" si="5"/>
        <v>0.12494404722234131</v>
      </c>
      <c r="L42" s="19">
        <f t="shared" si="6"/>
        <v>0.10505309157400955</v>
      </c>
      <c r="M42" s="19">
        <f>(1+M41)*(1+$F19)-1</f>
        <v>8.9795948297839434E-2</v>
      </c>
      <c r="N42" s="19">
        <f>(1+N41)*(1+$F19)-1</f>
        <v>7.793862343999991E-2</v>
      </c>
      <c r="O42" s="19">
        <f>(1+O41)*(1+$F19)-1</f>
        <v>4.4514169999999798E-2</v>
      </c>
      <c r="P42" s="19">
        <f>(1+P41)*(1+$F19)-1</f>
        <v>4.1389999999999816E-2</v>
      </c>
      <c r="Q42" s="17">
        <f>$F19</f>
        <v>2.5999999999999999E-2</v>
      </c>
      <c r="R42" s="18"/>
      <c r="S42" s="18"/>
    </row>
    <row r="43" spans="2:19">
      <c r="D43" s="11">
        <v>2013</v>
      </c>
      <c r="E43" s="13"/>
      <c r="F43" s="19">
        <f t="shared" si="0"/>
        <v>0.31690462191853119</v>
      </c>
      <c r="G43" s="19">
        <f t="shared" si="1"/>
        <v>0.28478499699368975</v>
      </c>
      <c r="H43" s="19">
        <f t="shared" si="2"/>
        <v>0.22711078986980837</v>
      </c>
      <c r="I43" s="19">
        <f t="shared" si="3"/>
        <v>0.18790976754095734</v>
      </c>
      <c r="J43" s="19">
        <f t="shared" si="4"/>
        <v>0.16347675567184794</v>
      </c>
      <c r="K43" s="19">
        <f t="shared" si="5"/>
        <v>0.15081776030845506</v>
      </c>
      <c r="L43" s="19">
        <f t="shared" si="6"/>
        <v>0.13046931268021167</v>
      </c>
      <c r="M43" s="19">
        <f>(1+M42)*(1+$F20)-1</f>
        <v>0.11486125510868961</v>
      </c>
      <c r="N43" s="19">
        <f>(1+N42)*(1+$F20)-1</f>
        <v>0.1027312117791197</v>
      </c>
      <c r="O43" s="19">
        <f>(1+O42)*(1+$F20)-1</f>
        <v>6.8537995909999649E-2</v>
      </c>
      <c r="P43" s="19">
        <f>(1+P42)*(1+$F20)-1</f>
        <v>6.5341969999999749E-2</v>
      </c>
      <c r="Q43" s="19">
        <f>(1+Q42)*(1+$F20)-1</f>
        <v>4.9598000000000031E-2</v>
      </c>
      <c r="R43" s="17">
        <f>$F20</f>
        <v>2.3E-2</v>
      </c>
      <c r="S43" s="18"/>
    </row>
    <row r="46" spans="2:19">
      <c r="B46" s="3" t="s">
        <v>117</v>
      </c>
    </row>
    <row r="48" spans="2:19">
      <c r="D48" t="s">
        <v>115</v>
      </c>
      <c r="F48" t="s">
        <v>116</v>
      </c>
      <c r="G48">
        <v>2001</v>
      </c>
      <c r="H48">
        <v>2002</v>
      </c>
      <c r="I48">
        <v>2003</v>
      </c>
      <c r="J48">
        <v>2004</v>
      </c>
      <c r="K48">
        <v>2005</v>
      </c>
      <c r="L48">
        <v>2006</v>
      </c>
      <c r="M48">
        <v>2007</v>
      </c>
      <c r="N48">
        <v>2008</v>
      </c>
      <c r="O48">
        <v>2009</v>
      </c>
      <c r="P48">
        <v>2010</v>
      </c>
      <c r="Q48">
        <v>2011</v>
      </c>
      <c r="R48">
        <v>2012</v>
      </c>
      <c r="S48">
        <v>2013</v>
      </c>
    </row>
    <row r="49" spans="4:19">
      <c r="D49">
        <v>2000</v>
      </c>
      <c r="F49" s="20"/>
      <c r="G49" s="12">
        <f>G$24</f>
        <v>2.5000000000000001E-2</v>
      </c>
      <c r="H49" s="19">
        <f t="shared" ref="H49:S49" si="7">(1+G49)*(1+H$24)-1</f>
        <v>7.3174999999999768E-2</v>
      </c>
      <c r="I49" s="19">
        <f t="shared" si="7"/>
        <v>0.10858977499999978</v>
      </c>
      <c r="J49" s="19">
        <f t="shared" si="7"/>
        <v>0.13187016027499965</v>
      </c>
      <c r="K49" s="19">
        <f t="shared" si="7"/>
        <v>0.14432073203802442</v>
      </c>
      <c r="L49" s="19">
        <f t="shared" si="7"/>
        <v>0.16491850521470885</v>
      </c>
      <c r="M49" s="19">
        <f t="shared" si="7"/>
        <v>0.18122736428771469</v>
      </c>
      <c r="N49" s="19">
        <f t="shared" si="7"/>
        <v>0.19422086529487936</v>
      </c>
      <c r="O49" s="19">
        <f t="shared" si="7"/>
        <v>0.23243593298431553</v>
      </c>
      <c r="P49" s="19">
        <f t="shared" si="7"/>
        <v>0.23613324078326836</v>
      </c>
      <c r="Q49" s="19">
        <f t="shared" si="7"/>
        <v>0.25467523939501735</v>
      </c>
      <c r="R49" s="19">
        <f t="shared" si="7"/>
        <v>0.28729679561928778</v>
      </c>
      <c r="S49" s="19">
        <f t="shared" si="7"/>
        <v>0.31690462191853119</v>
      </c>
    </row>
    <row r="50" spans="4:19">
      <c r="D50">
        <v>2001</v>
      </c>
      <c r="F50" s="20"/>
      <c r="G50" s="20"/>
      <c r="H50" s="12">
        <f>H$24</f>
        <v>4.7E-2</v>
      </c>
      <c r="I50" s="19">
        <f t="shared" ref="I50:S50" si="8">(1+H50)*(1+I$24)-1</f>
        <v>8.1550999999999929E-2</v>
      </c>
      <c r="J50" s="19">
        <f t="shared" si="8"/>
        <v>0.10426357099999972</v>
      </c>
      <c r="K50" s="19">
        <f t="shared" si="8"/>
        <v>0.1164104702809996</v>
      </c>
      <c r="L50" s="19">
        <f t="shared" si="8"/>
        <v>0.1365058587460577</v>
      </c>
      <c r="M50" s="19">
        <f t="shared" si="8"/>
        <v>0.15241694076850254</v>
      </c>
      <c r="N50" s="19">
        <f t="shared" si="8"/>
        <v>0.16509352711695602</v>
      </c>
      <c r="O50" s="19">
        <f t="shared" si="8"/>
        <v>0.20237651998469874</v>
      </c>
      <c r="P50" s="19">
        <f t="shared" si="8"/>
        <v>0.20598364954465276</v>
      </c>
      <c r="Q50" s="19">
        <f t="shared" si="8"/>
        <v>0.22407340428782252</v>
      </c>
      <c r="R50" s="19">
        <f t="shared" si="8"/>
        <v>0.25589931279930589</v>
      </c>
      <c r="S50" s="19">
        <f t="shared" si="8"/>
        <v>0.28478499699368975</v>
      </c>
    </row>
    <row r="51" spans="4:19">
      <c r="D51">
        <v>2002</v>
      </c>
      <c r="F51" s="20"/>
      <c r="G51" s="20"/>
      <c r="H51" s="20"/>
      <c r="I51" s="12">
        <f>I$24</f>
        <v>3.3000000000000002E-2</v>
      </c>
      <c r="J51" s="19">
        <f t="shared" ref="J51:S51" si="9">(1+I51)*(1+J$24)-1</f>
        <v>5.4692999999999881E-2</v>
      </c>
      <c r="K51" s="19">
        <f t="shared" si="9"/>
        <v>6.6294622999999664E-2</v>
      </c>
      <c r="L51" s="19">
        <f t="shared" si="9"/>
        <v>8.5487926213999588E-2</v>
      </c>
      <c r="M51" s="19">
        <f t="shared" si="9"/>
        <v>0.10068475718099568</v>
      </c>
      <c r="N51" s="19">
        <f t="shared" si="9"/>
        <v>0.11279228950998643</v>
      </c>
      <c r="O51" s="19">
        <f t="shared" si="9"/>
        <v>0.14840164277430601</v>
      </c>
      <c r="P51" s="19">
        <f t="shared" si="9"/>
        <v>0.15184684770262891</v>
      </c>
      <c r="Q51" s="19">
        <f t="shared" si="9"/>
        <v>0.16912455041816821</v>
      </c>
      <c r="R51" s="19">
        <f t="shared" si="9"/>
        <v>0.19952178872904058</v>
      </c>
      <c r="S51" s="19">
        <f t="shared" si="9"/>
        <v>0.22711078986980837</v>
      </c>
    </row>
    <row r="52" spans="4:19">
      <c r="D52">
        <v>2003</v>
      </c>
      <c r="F52" s="20"/>
      <c r="G52" s="20"/>
      <c r="H52" s="20"/>
      <c r="I52" s="20"/>
      <c r="J52" s="12">
        <f>J$24</f>
        <v>2.1000000000000001E-2</v>
      </c>
      <c r="K52" s="19">
        <f t="shared" ref="K52:S52" si="10">(1+J52)*(1+K$24)-1</f>
        <v>3.2230999999999899E-2</v>
      </c>
      <c r="L52" s="19">
        <f t="shared" si="10"/>
        <v>5.0811157999999912E-2</v>
      </c>
      <c r="M52" s="19">
        <f t="shared" si="10"/>
        <v>6.5522514211999949E-2</v>
      </c>
      <c r="N52" s="19">
        <f t="shared" si="10"/>
        <v>7.7243261868331858E-2</v>
      </c>
      <c r="O52" s="19">
        <f t="shared" si="10"/>
        <v>0.11171504624811845</v>
      </c>
      <c r="P52" s="19">
        <f t="shared" si="10"/>
        <v>0.11505019138686268</v>
      </c>
      <c r="Q52" s="19">
        <f t="shared" si="10"/>
        <v>0.13177594425766559</v>
      </c>
      <c r="R52" s="19">
        <f t="shared" si="10"/>
        <v>0.16120211880836499</v>
      </c>
      <c r="S52" s="19">
        <f t="shared" si="10"/>
        <v>0.18790976754095734</v>
      </c>
    </row>
    <row r="53" spans="4:19">
      <c r="D53">
        <v>2004</v>
      </c>
      <c r="F53" s="20"/>
      <c r="G53" s="20"/>
      <c r="H53" s="20"/>
      <c r="I53" s="20"/>
      <c r="J53" s="20"/>
      <c r="K53" s="12">
        <f>K$24</f>
        <v>1.0999999999999999E-2</v>
      </c>
      <c r="L53" s="19">
        <f t="shared" ref="L53:S53" si="11">(1+K53)*(1+L$24)-1</f>
        <v>2.9197999999999835E-2</v>
      </c>
      <c r="M53" s="19">
        <f t="shared" si="11"/>
        <v>4.3606771999999738E-2</v>
      </c>
      <c r="N53" s="19">
        <f t="shared" si="11"/>
        <v>5.5086446491999563E-2</v>
      </c>
      <c r="O53" s="19">
        <f t="shared" si="11"/>
        <v>8.8849212779743558E-2</v>
      </c>
      <c r="P53" s="19">
        <f t="shared" si="11"/>
        <v>9.2115760418082671E-2</v>
      </c>
      <c r="Q53" s="19">
        <f t="shared" si="11"/>
        <v>0.10849749682435372</v>
      </c>
      <c r="R53" s="19">
        <f t="shared" si="11"/>
        <v>0.13731843174178704</v>
      </c>
      <c r="S53" s="19">
        <f t="shared" si="11"/>
        <v>0.16347675567184794</v>
      </c>
    </row>
    <row r="54" spans="4:19">
      <c r="D54">
        <v>2005</v>
      </c>
      <c r="F54" s="20"/>
      <c r="G54" s="20"/>
      <c r="H54" s="20"/>
      <c r="I54" s="20"/>
      <c r="J54" s="20"/>
      <c r="K54" s="20"/>
      <c r="L54" s="12">
        <f>L$24</f>
        <v>1.7999999999999999E-2</v>
      </c>
      <c r="M54" s="19">
        <f t="shared" ref="M54:S54" si="12">(1+L54)*(1+M$24)-1</f>
        <v>3.2251999999999947E-2</v>
      </c>
      <c r="N54" s="19">
        <f t="shared" si="12"/>
        <v>4.3606771999999738E-2</v>
      </c>
      <c r="O54" s="19">
        <f t="shared" si="12"/>
        <v>7.7002188703999774E-2</v>
      </c>
      <c r="P54" s="19">
        <f t="shared" si="12"/>
        <v>8.0233195270111635E-2</v>
      </c>
      <c r="Q54" s="19">
        <f t="shared" si="12"/>
        <v>9.6436693199163148E-2</v>
      </c>
      <c r="R54" s="19">
        <f t="shared" si="12"/>
        <v>0.12494404722234131</v>
      </c>
      <c r="S54" s="19">
        <f t="shared" si="12"/>
        <v>0.15081776030845506</v>
      </c>
    </row>
    <row r="55" spans="4:19">
      <c r="D55">
        <v>2006</v>
      </c>
      <c r="F55" s="20"/>
      <c r="G55" s="20"/>
      <c r="H55" s="20"/>
      <c r="I55" s="20"/>
      <c r="J55" s="20"/>
      <c r="K55" s="20"/>
      <c r="L55" s="20"/>
      <c r="M55" s="12">
        <f>M$24</f>
        <v>1.4E-2</v>
      </c>
      <c r="N55" s="19">
        <f t="shared" ref="N55:S55" si="13">(1+M55)*(1+N$24)-1</f>
        <v>2.5153999999999899E-2</v>
      </c>
      <c r="O55" s="19">
        <f t="shared" si="13"/>
        <v>5.795892799999991E-2</v>
      </c>
      <c r="P55" s="19">
        <f t="shared" si="13"/>
        <v>6.113280478399985E-2</v>
      </c>
      <c r="Q55" s="19">
        <f t="shared" si="13"/>
        <v>7.7049796855759745E-2</v>
      </c>
      <c r="R55" s="19">
        <f t="shared" si="13"/>
        <v>0.10505309157400955</v>
      </c>
      <c r="S55" s="19">
        <f t="shared" si="13"/>
        <v>0.13046931268021167</v>
      </c>
    </row>
    <row r="56" spans="4:19">
      <c r="D56">
        <v>2007</v>
      </c>
      <c r="F56" s="20"/>
      <c r="G56" s="20"/>
      <c r="H56" s="20"/>
      <c r="I56" s="20"/>
      <c r="J56" s="20"/>
      <c r="K56" s="20"/>
      <c r="L56" s="20"/>
      <c r="M56" s="20"/>
      <c r="N56" s="12">
        <f>N$24</f>
        <v>1.0999999999999999E-2</v>
      </c>
      <c r="O56" s="19">
        <f>(1+N56)*(1+O$24)-1</f>
        <v>4.3351999999999835E-2</v>
      </c>
      <c r="P56" s="19">
        <f>(1+O56)*(1+P$24)-1</f>
        <v>4.6482055999999661E-2</v>
      </c>
      <c r="Q56" s="19">
        <f>(1+P56)*(1+Q$24)-1</f>
        <v>6.2179286839999515E-2</v>
      </c>
      <c r="R56" s="19">
        <f>(1+Q56)*(1+R$24)-1</f>
        <v>8.9795948297839434E-2</v>
      </c>
      <c r="S56" s="19">
        <f>(1+R56)*(1+S$24)-1</f>
        <v>0.11486125510868961</v>
      </c>
    </row>
    <row r="57" spans="4:19">
      <c r="D57">
        <v>2008</v>
      </c>
      <c r="F57" s="20"/>
      <c r="G57" s="20"/>
      <c r="H57" s="20"/>
      <c r="I57" s="20"/>
      <c r="J57" s="20"/>
      <c r="K57" s="20"/>
      <c r="L57" s="20"/>
      <c r="M57" s="20"/>
      <c r="N57" s="20"/>
      <c r="O57" s="12">
        <f>O$24</f>
        <v>3.2000000000000001E-2</v>
      </c>
      <c r="P57" s="19">
        <f>(1+O57)*(1+P$24)-1</f>
        <v>3.5096000000000016E-2</v>
      </c>
      <c r="Q57" s="19">
        <f>(1+P57)*(1+Q$24)-1</f>
        <v>5.0622439999999935E-2</v>
      </c>
      <c r="R57" s="19">
        <f>(1+Q57)*(1+R$24)-1</f>
        <v>7.793862343999991E-2</v>
      </c>
      <c r="S57" s="19">
        <f>(1+R57)*(1+S$24)-1</f>
        <v>0.1027312117791197</v>
      </c>
    </row>
    <row r="58" spans="4:19">
      <c r="D58">
        <v>2009</v>
      </c>
      <c r="F58" s="20"/>
      <c r="G58" s="20"/>
      <c r="H58" s="20"/>
      <c r="I58" s="20"/>
      <c r="J58" s="20"/>
      <c r="K58" s="20"/>
      <c r="L58" s="20"/>
      <c r="M58" s="20"/>
      <c r="N58" s="20"/>
      <c r="O58" s="20"/>
      <c r="P58" s="12">
        <f>P$24</f>
        <v>3.0000000000000001E-3</v>
      </c>
      <c r="Q58" s="19">
        <f>(1+P58)*(1+Q$24)-1</f>
        <v>1.8044999999999867E-2</v>
      </c>
      <c r="R58" s="19">
        <f>(1+Q58)*(1+R$24)-1</f>
        <v>4.4514169999999798E-2</v>
      </c>
      <c r="S58" s="19">
        <f>(1+R58)*(1+S$24)-1</f>
        <v>6.8537995909999649E-2</v>
      </c>
    </row>
    <row r="59" spans="4:19">
      <c r="D59">
        <v>2010</v>
      </c>
      <c r="F59" s="20"/>
      <c r="G59" s="20"/>
      <c r="H59" s="20"/>
      <c r="I59" s="20"/>
      <c r="J59" s="20"/>
      <c r="K59" s="20"/>
      <c r="L59" s="20"/>
      <c r="M59" s="20"/>
      <c r="N59" s="20"/>
      <c r="O59" s="20"/>
      <c r="P59" s="20"/>
      <c r="Q59" s="12">
        <f>Q$24</f>
        <v>1.4999999999999999E-2</v>
      </c>
      <c r="R59" s="19">
        <f>(1+Q59)*(1+R$24)-1</f>
        <v>4.1389999999999816E-2</v>
      </c>
      <c r="S59" s="19">
        <f>(1+R59)*(1+S$24)-1</f>
        <v>6.5341969999999749E-2</v>
      </c>
    </row>
    <row r="60" spans="4:19">
      <c r="D60">
        <v>2011</v>
      </c>
      <c r="F60" s="20"/>
      <c r="G60" s="20"/>
      <c r="H60" s="20"/>
      <c r="I60" s="20"/>
      <c r="J60" s="20"/>
      <c r="K60" s="20"/>
      <c r="L60" s="20"/>
      <c r="M60" s="20"/>
      <c r="N60" s="20"/>
      <c r="O60" s="20"/>
      <c r="P60" s="20"/>
      <c r="Q60" s="20"/>
      <c r="R60" s="12">
        <f>R$24</f>
        <v>2.5999999999999999E-2</v>
      </c>
      <c r="S60" s="19">
        <f>(1+R60)*(1+S$24)-1</f>
        <v>4.9598000000000031E-2</v>
      </c>
    </row>
    <row r="61" spans="4:19">
      <c r="D61">
        <v>2012</v>
      </c>
      <c r="F61" s="20"/>
      <c r="G61" s="20"/>
      <c r="H61" s="20"/>
      <c r="I61" s="20"/>
      <c r="J61" s="20"/>
      <c r="K61" s="20"/>
      <c r="L61" s="20"/>
      <c r="M61" s="20"/>
      <c r="N61" s="20"/>
      <c r="O61" s="20"/>
      <c r="P61" s="20"/>
      <c r="Q61" s="20"/>
      <c r="R61" s="20"/>
      <c r="S61" s="12">
        <f>S$24</f>
        <v>2.3E-2</v>
      </c>
    </row>
  </sheetData>
  <phoneticPr fontId="4"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1:R395"/>
  <sheetViews>
    <sheetView showGridLines="0" zoomScale="85" zoomScaleNormal="85" workbookViewId="0"/>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7" customWidth="1"/>
    <col min="7" max="15" width="14.85546875" customWidth="1"/>
    <col min="17" max="17" width="19.85546875" customWidth="1"/>
    <col min="18" max="18" width="13.140625" bestFit="1" customWidth="1"/>
  </cols>
  <sheetData>
    <row r="1" spans="2:17" ht="12" customHeight="1"/>
    <row r="2" spans="2:17" s="1" customFormat="1" ht="18">
      <c r="B2" s="1" t="s">
        <v>550</v>
      </c>
      <c r="F2" s="48" t="s">
        <v>105</v>
      </c>
      <c r="G2" s="5" t="s">
        <v>96</v>
      </c>
      <c r="H2" s="5" t="s">
        <v>97</v>
      </c>
      <c r="I2" s="5" t="s">
        <v>98</v>
      </c>
      <c r="J2" s="5" t="s">
        <v>99</v>
      </c>
      <c r="K2" s="5" t="s">
        <v>100</v>
      </c>
      <c r="L2" s="5" t="s">
        <v>101</v>
      </c>
      <c r="M2" s="5" t="s">
        <v>102</v>
      </c>
      <c r="N2" s="5" t="s">
        <v>103</v>
      </c>
      <c r="O2" s="5" t="s">
        <v>197</v>
      </c>
      <c r="Q2" s="5" t="s">
        <v>567</v>
      </c>
    </row>
    <row r="4" spans="2:17">
      <c r="B4" s="78" t="s">
        <v>565</v>
      </c>
    </row>
    <row r="5" spans="2:17">
      <c r="B5" s="28"/>
    </row>
    <row r="7" spans="2:17" s="2" customFormat="1">
      <c r="B7" s="2" t="s">
        <v>314</v>
      </c>
      <c r="F7" s="49"/>
    </row>
    <row r="9" spans="2:17">
      <c r="B9" s="22" t="s">
        <v>224</v>
      </c>
    </row>
    <row r="10" spans="2:17">
      <c r="B10" s="99" t="s">
        <v>225</v>
      </c>
      <c r="F10" s="95">
        <v>1.5</v>
      </c>
      <c r="G10" s="28"/>
      <c r="H10" s="28"/>
      <c r="I10" s="28"/>
      <c r="J10" s="28"/>
      <c r="K10" s="28"/>
      <c r="L10" s="28"/>
      <c r="M10" s="28"/>
      <c r="N10" s="28"/>
      <c r="O10" s="28"/>
    </row>
    <row r="11" spans="2:17">
      <c r="B11" s="99" t="s">
        <v>226</v>
      </c>
      <c r="F11" s="95">
        <v>3</v>
      </c>
      <c r="G11" s="28"/>
      <c r="H11" s="28"/>
      <c r="I11" s="28"/>
      <c r="J11" s="28"/>
      <c r="K11" s="28"/>
      <c r="L11" s="28"/>
      <c r="M11" s="28"/>
      <c r="N11" s="28"/>
      <c r="O11" s="28"/>
    </row>
    <row r="12" spans="2:17">
      <c r="B12" s="99" t="s">
        <v>227</v>
      </c>
      <c r="F12" s="95">
        <v>6</v>
      </c>
      <c r="G12" s="28"/>
      <c r="H12" s="28"/>
      <c r="I12" s="28"/>
      <c r="J12" s="28"/>
      <c r="K12" s="28"/>
      <c r="L12" s="28"/>
      <c r="M12" s="28"/>
      <c r="N12" s="28"/>
      <c r="O12" s="28"/>
    </row>
    <row r="13" spans="2:17">
      <c r="B13" s="100" t="s">
        <v>228</v>
      </c>
      <c r="F13" s="95">
        <v>10</v>
      </c>
      <c r="G13" s="28"/>
      <c r="H13" s="28"/>
      <c r="I13" s="28"/>
      <c r="J13" s="28"/>
      <c r="K13" s="28"/>
      <c r="L13" s="28"/>
      <c r="M13" s="28"/>
      <c r="N13" s="28"/>
      <c r="O13" s="28"/>
    </row>
    <row r="14" spans="2:17">
      <c r="B14" s="100" t="s">
        <v>229</v>
      </c>
      <c r="F14" s="95">
        <v>16</v>
      </c>
      <c r="G14" s="28"/>
      <c r="H14" s="28"/>
      <c r="I14" s="28"/>
      <c r="J14" s="28"/>
      <c r="K14" s="28"/>
      <c r="L14" s="28"/>
      <c r="M14" s="28"/>
      <c r="N14" s="28"/>
      <c r="O14" s="28"/>
    </row>
    <row r="15" spans="2:17">
      <c r="B15" s="100" t="s">
        <v>230</v>
      </c>
      <c r="F15" s="95">
        <v>25</v>
      </c>
      <c r="G15" s="28"/>
      <c r="H15" s="28"/>
      <c r="I15" s="28"/>
      <c r="J15" s="28"/>
      <c r="K15" s="28"/>
      <c r="L15" s="28"/>
      <c r="M15" s="28"/>
      <c r="N15" s="28"/>
      <c r="O15" s="28"/>
    </row>
    <row r="16" spans="2:17">
      <c r="B16" s="22"/>
      <c r="F16"/>
      <c r="G16" s="28"/>
      <c r="H16" s="28"/>
      <c r="I16" s="28"/>
      <c r="J16" s="28"/>
      <c r="K16" s="28"/>
      <c r="L16" s="28"/>
      <c r="M16" s="28"/>
      <c r="N16" s="28"/>
      <c r="O16" s="28"/>
    </row>
    <row r="17" spans="2:15">
      <c r="B17" s="22" t="s">
        <v>232</v>
      </c>
      <c r="F17"/>
      <c r="G17" s="28"/>
      <c r="H17" s="28"/>
      <c r="I17" s="28"/>
      <c r="J17" s="28"/>
      <c r="K17" s="28"/>
      <c r="L17" s="28"/>
      <c r="M17" s="28"/>
      <c r="N17" s="28"/>
      <c r="O17" s="28"/>
    </row>
    <row r="18" spans="2:15">
      <c r="B18" s="23" t="s">
        <v>233</v>
      </c>
      <c r="F18" s="95">
        <v>40</v>
      </c>
      <c r="G18" s="28"/>
      <c r="H18" s="28"/>
      <c r="I18" s="28"/>
      <c r="J18" s="28"/>
      <c r="K18" s="28"/>
      <c r="L18" s="28"/>
      <c r="M18" s="28"/>
      <c r="N18" s="28"/>
      <c r="O18" s="28"/>
    </row>
    <row r="19" spans="2:15">
      <c r="B19" s="23" t="s">
        <v>234</v>
      </c>
      <c r="F19" s="95">
        <v>65</v>
      </c>
      <c r="G19" s="28"/>
      <c r="H19" s="28"/>
      <c r="I19" s="28"/>
      <c r="J19" s="28"/>
      <c r="K19" s="28"/>
      <c r="L19" s="28"/>
      <c r="M19" s="28"/>
      <c r="N19" s="28"/>
      <c r="O19" s="28"/>
    </row>
    <row r="20" spans="2:15">
      <c r="B20" s="23" t="s">
        <v>235</v>
      </c>
      <c r="F20" s="95">
        <v>100</v>
      </c>
      <c r="G20" s="28"/>
      <c r="H20" s="28"/>
      <c r="I20" s="28"/>
      <c r="J20" s="28"/>
      <c r="K20" s="28"/>
      <c r="L20" s="28"/>
      <c r="M20" s="28"/>
      <c r="N20" s="28"/>
      <c r="O20" s="28"/>
    </row>
    <row r="21" spans="2:15">
      <c r="B21" s="23" t="s">
        <v>236</v>
      </c>
      <c r="F21" s="95">
        <v>160</v>
      </c>
      <c r="G21" s="28"/>
      <c r="H21" s="28"/>
      <c r="I21" s="28"/>
      <c r="J21" s="28"/>
      <c r="K21" s="28"/>
      <c r="L21" s="28"/>
      <c r="M21" s="28"/>
      <c r="N21" s="28"/>
      <c r="O21" s="28"/>
    </row>
    <row r="22" spans="2:15">
      <c r="B22" s="23" t="s">
        <v>237</v>
      </c>
      <c r="F22" s="95">
        <v>250</v>
      </c>
      <c r="G22" s="28"/>
      <c r="H22" s="28"/>
      <c r="I22" s="28"/>
      <c r="J22" s="28"/>
      <c r="K22" s="28"/>
      <c r="L22" s="28"/>
      <c r="M22" s="28"/>
      <c r="N22" s="28"/>
      <c r="O22" s="28"/>
    </row>
    <row r="23" spans="2:15">
      <c r="B23" s="3"/>
    </row>
    <row r="24" spans="2:15">
      <c r="B24" s="3"/>
    </row>
    <row r="25" spans="2:15" s="2" customFormat="1">
      <c r="B25" s="2" t="s">
        <v>315</v>
      </c>
      <c r="F25" s="49"/>
    </row>
    <row r="27" spans="2:15">
      <c r="B27" s="3" t="s">
        <v>51</v>
      </c>
    </row>
    <row r="29" spans="2:15">
      <c r="B29" s="3" t="s">
        <v>231</v>
      </c>
    </row>
    <row r="30" spans="2:15">
      <c r="B30" s="22"/>
    </row>
    <row r="31" spans="2:15">
      <c r="B31" s="22" t="s">
        <v>224</v>
      </c>
      <c r="F31" s="50"/>
    </row>
    <row r="32" spans="2:15">
      <c r="B32" s="99" t="s">
        <v>225</v>
      </c>
      <c r="F32" s="109"/>
      <c r="G32" s="97">
        <f>'PRD Volumes TD (2009-2012)'!G14</f>
        <v>3675</v>
      </c>
      <c r="H32" s="97">
        <f>'PRD Volumes TD (2009-2012)'!H14</f>
        <v>10490.25</v>
      </c>
      <c r="I32" s="97">
        <f>'PRD Volumes TD (2009-2012)'!I14</f>
        <v>18962.738110824783</v>
      </c>
      <c r="J32" s="97">
        <f>'PRD Volumes TD (2009-2012)'!J14</f>
        <v>118457.33333333333</v>
      </c>
      <c r="K32" s="97">
        <f>'PRD Volumes TD (2009-2012)'!K14</f>
        <v>201308.18317437524</v>
      </c>
      <c r="L32" s="97">
        <f>'PRD Volumes TD (2009-2012)'!L14</f>
        <v>4185</v>
      </c>
      <c r="M32" s="97">
        <f>'PRD Volumes TD (2009-2012)'!M14</f>
        <v>235578.41265202375</v>
      </c>
      <c r="N32" s="97">
        <f>'PRD Volumes TD (2009-2012)'!N14</f>
        <v>2938.8071804582778</v>
      </c>
      <c r="O32" s="97">
        <f>'PRD Volumes TD (2009-2012)'!O14</f>
        <v>0</v>
      </c>
    </row>
    <row r="33" spans="2:15">
      <c r="B33" s="99" t="s">
        <v>226</v>
      </c>
      <c r="F33" s="109"/>
      <c r="G33" s="97">
        <f>'PRD Volumes TD (2009-2012)'!G15</f>
        <v>120861</v>
      </c>
      <c r="H33" s="97">
        <f>'PRD Volumes TD (2009-2012)'!H15</f>
        <v>164679.33333333334</v>
      </c>
      <c r="I33" s="97">
        <f>'PRD Volumes TD (2009-2012)'!I15</f>
        <v>332469.82930339855</v>
      </c>
      <c r="J33" s="97">
        <f>'PRD Volumes TD (2009-2012)'!J15</f>
        <v>1738508.9166666665</v>
      </c>
      <c r="K33" s="97">
        <f>'PRD Volumes TD (2009-2012)'!K15</f>
        <v>1830419.0114642808</v>
      </c>
      <c r="L33" s="97">
        <f>'PRD Volumes TD (2009-2012)'!L15</f>
        <v>87480</v>
      </c>
      <c r="M33" s="97">
        <f>'PRD Volumes TD (2009-2012)'!M15</f>
        <v>1529886.9992930542</v>
      </c>
      <c r="N33" s="97">
        <f>'PRD Volumes TD (2009-2012)'!N15</f>
        <v>43277.319686051895</v>
      </c>
      <c r="O33" s="97">
        <f>'PRD Volumes TD (2009-2012)'!O15</f>
        <v>0</v>
      </c>
    </row>
    <row r="34" spans="2:15">
      <c r="B34" s="99" t="s">
        <v>227</v>
      </c>
      <c r="F34" s="109"/>
      <c r="G34" s="97">
        <f>'PRD Volumes TD (2009-2012)'!G16</f>
        <v>7490</v>
      </c>
      <c r="H34" s="97">
        <f>'PRD Volumes TD (2009-2012)'!H16</f>
        <v>5542.166666666667</v>
      </c>
      <c r="I34" s="97">
        <f>'PRD Volumes TD (2009-2012)'!I16</f>
        <v>20802.798365874041</v>
      </c>
      <c r="J34" s="97">
        <f>'PRD Volumes TD (2009-2012)'!J16</f>
        <v>101276.08333333334</v>
      </c>
      <c r="K34" s="97">
        <f>'PRD Volumes TD (2009-2012)'!K16</f>
        <v>111062.68030933678</v>
      </c>
      <c r="L34" s="97">
        <f>'PRD Volumes TD (2009-2012)'!L16</f>
        <v>6059</v>
      </c>
      <c r="M34" s="97">
        <f>'PRD Volumes TD (2009-2012)'!M16</f>
        <v>62899.406282954136</v>
      </c>
      <c r="N34" s="97">
        <f>'PRD Volumes TD (2009-2012)'!N16</f>
        <v>1630.967877847695</v>
      </c>
      <c r="O34" s="97">
        <f>'PRD Volumes TD (2009-2012)'!O16</f>
        <v>0</v>
      </c>
    </row>
    <row r="35" spans="2:15">
      <c r="B35" s="100" t="s">
        <v>228</v>
      </c>
      <c r="F35" s="109"/>
      <c r="G35" s="97">
        <f>'PRD Volumes TD (2009-2012)'!G17</f>
        <v>2</v>
      </c>
      <c r="H35" s="97">
        <f>'PRD Volumes TD (2009-2012)'!H17</f>
        <v>0</v>
      </c>
      <c r="I35" s="97">
        <f>'PRD Volumes TD (2009-2012)'!I17</f>
        <v>2347.2211340477929</v>
      </c>
      <c r="J35" s="97">
        <f>'PRD Volumes TD (2009-2012)'!J17</f>
        <v>4558.4166666666661</v>
      </c>
      <c r="K35" s="97">
        <f>'PRD Volumes TD (2009-2012)'!K17</f>
        <v>8295.6457425050194</v>
      </c>
      <c r="L35" s="97">
        <f>'PRD Volumes TD (2009-2012)'!L17</f>
        <v>685</v>
      </c>
      <c r="M35" s="97">
        <f>'PRD Volumes TD (2009-2012)'!M17</f>
        <v>7247.4544662309372</v>
      </c>
      <c r="N35" s="97">
        <f>'PRD Volumes TD (2009-2012)'!N17</f>
        <v>417.51028994994761</v>
      </c>
      <c r="O35" s="97">
        <f>'PRD Volumes TD (2009-2012)'!O17</f>
        <v>0</v>
      </c>
    </row>
    <row r="36" spans="2:15">
      <c r="B36" s="100" t="s">
        <v>229</v>
      </c>
      <c r="F36" s="109"/>
      <c r="G36" s="97">
        <f>'PRD Volumes TD (2009-2012)'!G18</f>
        <v>2296</v>
      </c>
      <c r="H36" s="97">
        <f>'PRD Volumes TD (2009-2012)'!H18</f>
        <v>2801</v>
      </c>
      <c r="I36" s="97">
        <f>'PRD Volumes TD (2009-2012)'!I18</f>
        <v>5847.6094064193476</v>
      </c>
      <c r="J36" s="97">
        <f>'PRD Volumes TD (2009-2012)'!J18</f>
        <v>28066.75</v>
      </c>
      <c r="K36" s="97">
        <f>'PRD Volumes TD (2009-2012)'!K18</f>
        <v>20795.278490225199</v>
      </c>
      <c r="L36" s="97">
        <f>'PRD Volumes TD (2009-2012)'!L18</f>
        <v>1135</v>
      </c>
      <c r="M36" s="97">
        <f>'PRD Volumes TD (2009-2012)'!M18</f>
        <v>16278.454575163403</v>
      </c>
      <c r="N36" s="97">
        <f>'PRD Volumes TD (2009-2012)'!N18</f>
        <v>399.37366814239169</v>
      </c>
      <c r="O36" s="97">
        <f>'PRD Volumes TD (2009-2012)'!O18</f>
        <v>0</v>
      </c>
    </row>
    <row r="37" spans="2:15">
      <c r="B37" s="100" t="s">
        <v>230</v>
      </c>
      <c r="F37" s="109"/>
      <c r="G37" s="97">
        <f>'PRD Volumes TD (2009-2012)'!G19</f>
        <v>716</v>
      </c>
      <c r="H37" s="97">
        <f>'PRD Volumes TD (2009-2012)'!H19</f>
        <v>649.25</v>
      </c>
      <c r="I37" s="97">
        <f>'PRD Volumes TD (2009-2012)'!I19</f>
        <v>1986.9190059855314</v>
      </c>
      <c r="J37" s="97">
        <f>'PRD Volumes TD (2009-2012)'!J19</f>
        <v>8682</v>
      </c>
      <c r="K37" s="97">
        <f>'PRD Volumes TD (2009-2012)'!K19</f>
        <v>5353.851293787442</v>
      </c>
      <c r="L37" s="97">
        <f>'PRD Volumes TD (2009-2012)'!L19</f>
        <v>416</v>
      </c>
      <c r="M37" s="97">
        <f>'PRD Volumes TD (2009-2012)'!M19</f>
        <v>6818.5454291938995</v>
      </c>
      <c r="N37" s="97">
        <f>'PRD Volumes TD (2009-2012)'!N19</f>
        <v>282.79160594252039</v>
      </c>
      <c r="O37" s="97">
        <f>'PRD Volumes TD (2009-2012)'!O19</f>
        <v>0</v>
      </c>
    </row>
    <row r="38" spans="2:15">
      <c r="B38" s="22"/>
      <c r="F38" s="50"/>
    </row>
    <row r="39" spans="2:15">
      <c r="B39" s="22" t="s">
        <v>232</v>
      </c>
      <c r="F39" s="50"/>
    </row>
    <row r="40" spans="2:15">
      <c r="B40" s="23" t="s">
        <v>233</v>
      </c>
      <c r="F40" s="109"/>
      <c r="G40" s="97">
        <f>'PRD Volumes TD (2009-2012)'!G22</f>
        <v>240</v>
      </c>
      <c r="H40" s="97">
        <f>'PRD Volumes TD (2009-2012)'!H22</f>
        <v>195</v>
      </c>
      <c r="I40" s="97">
        <f>'PRD Volumes TD (2009-2012)'!I22</f>
        <v>785.07651010420466</v>
      </c>
      <c r="J40" s="97">
        <f>'PRD Volumes TD (2009-2012)'!J22</f>
        <v>2728.483392899981</v>
      </c>
      <c r="K40" s="97">
        <f>'PRD Volumes TD (2009-2012)'!K22</f>
        <v>3043.2748443614109</v>
      </c>
      <c r="L40" s="97">
        <f>'PRD Volumes TD (2009-2012)'!L22</f>
        <v>152</v>
      </c>
      <c r="M40" s="97">
        <f>'PRD Volumes TD (2009-2012)'!M22</f>
        <v>2031.8181699346405</v>
      </c>
      <c r="N40" s="97">
        <f>'PRD Volumes TD (2009-2012)'!N22</f>
        <v>121.71852823870955</v>
      </c>
      <c r="O40" s="97">
        <f>'PRD Volumes TD (2009-2012)'!O22</f>
        <v>0</v>
      </c>
    </row>
    <row r="41" spans="2:15">
      <c r="B41" s="23" t="s">
        <v>234</v>
      </c>
      <c r="F41" s="109"/>
      <c r="G41" s="97">
        <f>'PRD Volumes TD (2009-2012)'!G23</f>
        <v>180</v>
      </c>
      <c r="H41" s="97">
        <f>'PRD Volumes TD (2009-2012)'!H23</f>
        <v>255</v>
      </c>
      <c r="I41" s="97">
        <f>'PRD Volumes TD (2009-2012)'!I23</f>
        <v>541.53275746476083</v>
      </c>
      <c r="J41" s="97">
        <f>'PRD Volumes TD (2009-2012)'!J23</f>
        <v>3439.8273642696286</v>
      </c>
      <c r="K41" s="97">
        <f>'PRD Volumes TD (2009-2012)'!K23</f>
        <v>4344.6992273250107</v>
      </c>
      <c r="L41" s="97">
        <f>'PRD Volumes TD (2009-2012)'!L23</f>
        <v>152</v>
      </c>
      <c r="M41" s="97">
        <f>'PRD Volumes TD (2009-2012)'!M23</f>
        <v>3231.4545466733703</v>
      </c>
      <c r="N41" s="97">
        <f>'PRD Volumes TD (2009-2012)'!N23</f>
        <v>211.43950806963542</v>
      </c>
      <c r="O41" s="97">
        <f>'PRD Volumes TD (2009-2012)'!O23</f>
        <v>0</v>
      </c>
    </row>
    <row r="42" spans="2:15">
      <c r="B42" s="23" t="s">
        <v>235</v>
      </c>
      <c r="F42" s="109"/>
      <c r="G42" s="97">
        <f>'PRD Volumes TD (2009-2012)'!G24</f>
        <v>59</v>
      </c>
      <c r="H42" s="97">
        <f>'PRD Volumes TD (2009-2012)'!H24</f>
        <v>76</v>
      </c>
      <c r="I42" s="97">
        <f>'PRD Volumes TD (2009-2012)'!I24</f>
        <v>301.9499349804002</v>
      </c>
      <c r="J42" s="97">
        <f>'PRD Volumes TD (2009-2012)'!J24</f>
        <v>1501.0405745832918</v>
      </c>
      <c r="K42" s="97">
        <f>'PRD Volumes TD (2009-2012)'!K24</f>
        <v>1674.2561692454269</v>
      </c>
      <c r="L42" s="97">
        <f>'PRD Volumes TD (2009-2012)'!L24</f>
        <v>41</v>
      </c>
      <c r="M42" s="97">
        <f>'PRD Volumes TD (2009-2012)'!M24</f>
        <v>1884.9576078431373</v>
      </c>
      <c r="N42" s="97">
        <f>'PRD Volumes TD (2009-2012)'!N24</f>
        <v>123.70718576134504</v>
      </c>
      <c r="O42" s="97">
        <f>'PRD Volumes TD (2009-2012)'!O24</f>
        <v>0</v>
      </c>
    </row>
    <row r="43" spans="2:15">
      <c r="B43" s="23" t="s">
        <v>236</v>
      </c>
      <c r="F43" s="109"/>
      <c r="G43" s="97">
        <f>'PRD Volumes TD (2009-2012)'!G25</f>
        <v>43</v>
      </c>
      <c r="H43" s="97">
        <f>'PRD Volumes TD (2009-2012)'!H25</f>
        <v>48</v>
      </c>
      <c r="I43" s="97">
        <f>'PRD Volumes TD (2009-2012)'!I25</f>
        <v>69.301258943265154</v>
      </c>
      <c r="J43" s="97">
        <f>'PRD Volumes TD (2009-2012)'!J25</f>
        <v>539.27442480381501</v>
      </c>
      <c r="K43" s="97">
        <f>'PRD Volumes TD (2009-2012)'!K25</f>
        <v>752.33025020323464</v>
      </c>
      <c r="L43" s="97">
        <f>'PRD Volumes TD (2009-2012)'!L25</f>
        <v>20</v>
      </c>
      <c r="M43" s="97">
        <f>'PRD Volumes TD (2009-2012)'!M25</f>
        <v>208.31933278867101</v>
      </c>
      <c r="N43" s="97">
        <f>'PRD Volumes TD (2009-2012)'!N25</f>
        <v>239.72078312002225</v>
      </c>
      <c r="O43" s="97">
        <f>'PRD Volumes TD (2009-2012)'!O25</f>
        <v>0</v>
      </c>
    </row>
    <row r="44" spans="2:15">
      <c r="B44" s="23" t="s">
        <v>237</v>
      </c>
      <c r="F44" s="109"/>
      <c r="G44" s="97">
        <f>'PRD Volumes TD (2009-2012)'!G26</f>
        <v>13</v>
      </c>
      <c r="H44" s="97">
        <f>'PRD Volumes TD (2009-2012)'!H26</f>
        <v>8</v>
      </c>
      <c r="I44" s="97">
        <f>'PRD Volumes TD (2009-2012)'!I26</f>
        <v>26.72993521509126</v>
      </c>
      <c r="J44" s="97">
        <f>'PRD Volumes TD (2009-2012)'!J26</f>
        <v>445.14615787090509</v>
      </c>
      <c r="K44" s="97">
        <f>'PRD Volumes TD (2009-2012)'!K26</f>
        <v>240.37880465426579</v>
      </c>
      <c r="L44" s="97">
        <f>'PRD Volumes TD (2009-2012)'!L26</f>
        <v>5</v>
      </c>
      <c r="M44" s="97">
        <f>'PRD Volumes TD (2009-2012)'!M26</f>
        <v>951.9371154684095</v>
      </c>
      <c r="N44" s="97">
        <f>'PRD Volumes TD (2009-2012)'!N26</f>
        <v>98.660594413342494</v>
      </c>
      <c r="O44" s="97">
        <f>'PRD Volumes TD (2009-2012)'!O26</f>
        <v>0</v>
      </c>
    </row>
    <row r="45" spans="2:15">
      <c r="B45" s="3"/>
      <c r="F45" s="50"/>
    </row>
    <row r="46" spans="2:15">
      <c r="B46" s="3"/>
      <c r="F46" s="50"/>
    </row>
    <row r="47" spans="2:15">
      <c r="B47" s="3" t="s">
        <v>238</v>
      </c>
      <c r="F47" s="50"/>
    </row>
    <row r="48" spans="2:15">
      <c r="B48" s="22"/>
      <c r="F48" s="50"/>
    </row>
    <row r="49" spans="2:15">
      <c r="B49" s="22" t="s">
        <v>239</v>
      </c>
      <c r="F49" s="50"/>
    </row>
    <row r="50" spans="2:15">
      <c r="B50" s="99" t="s">
        <v>250</v>
      </c>
      <c r="F50" s="109"/>
      <c r="G50" s="97">
        <f>'PRD Volumes TD (2009-2012)'!G32</f>
        <v>56</v>
      </c>
      <c r="H50" s="97">
        <f>'PRD Volumes TD (2009-2012)'!H32</f>
        <v>94</v>
      </c>
      <c r="I50" s="97">
        <f>'PRD Volumes TD (2009-2012)'!I32</f>
        <v>0</v>
      </c>
      <c r="J50" s="97">
        <f>'PRD Volumes TD (2009-2012)'!J32</f>
        <v>0</v>
      </c>
      <c r="K50" s="97">
        <f>'PRD Volumes TD (2009-2012)'!K32</f>
        <v>989</v>
      </c>
      <c r="L50" s="97">
        <f>'PRD Volumes TD (2009-2012)'!L32</f>
        <v>58.17</v>
      </c>
      <c r="M50" s="97">
        <f>'PRD Volumes TD (2009-2012)'!M32</f>
        <v>0</v>
      </c>
      <c r="N50" s="97">
        <f>'PRD Volumes TD (2009-2012)'!N32</f>
        <v>0</v>
      </c>
      <c r="O50" s="97">
        <f>'PRD Volumes TD (2009-2012)'!O32</f>
        <v>0</v>
      </c>
    </row>
    <row r="51" spans="2:15">
      <c r="B51" s="99" t="s">
        <v>251</v>
      </c>
      <c r="F51" s="109"/>
      <c r="G51" s="97">
        <f>'PRD Volumes TD (2009-2012)'!G33</f>
        <v>44</v>
      </c>
      <c r="H51" s="97">
        <f>'PRD Volumes TD (2009-2012)'!H33</f>
        <v>81</v>
      </c>
      <c r="I51" s="97">
        <f>'PRD Volumes TD (2009-2012)'!I33</f>
        <v>0</v>
      </c>
      <c r="J51" s="97">
        <f>'PRD Volumes TD (2009-2012)'!J33</f>
        <v>0</v>
      </c>
      <c r="K51" s="97">
        <f>'PRD Volumes TD (2009-2012)'!K33</f>
        <v>1409</v>
      </c>
      <c r="L51" s="97">
        <f>'PRD Volumes TD (2009-2012)'!L33</f>
        <v>32.64</v>
      </c>
      <c r="M51" s="97">
        <f>'PRD Volumes TD (2009-2012)'!M33</f>
        <v>0</v>
      </c>
      <c r="N51" s="97">
        <f>'PRD Volumes TD (2009-2012)'!N33</f>
        <v>0</v>
      </c>
      <c r="O51" s="97">
        <f>'PRD Volumes TD (2009-2012)'!O33</f>
        <v>0</v>
      </c>
    </row>
    <row r="52" spans="2:15">
      <c r="B52" s="101"/>
      <c r="F52" s="50"/>
    </row>
    <row r="53" spans="2:15">
      <c r="B53" s="100" t="s">
        <v>252</v>
      </c>
      <c r="F53" s="109"/>
      <c r="G53" s="97">
        <f>'PRD Volumes TD (2009-2012)'!G35</f>
        <v>0</v>
      </c>
      <c r="H53" s="97">
        <f>'PRD Volumes TD (2009-2012)'!H35</f>
        <v>0</v>
      </c>
      <c r="I53" s="97">
        <f>'PRD Volumes TD (2009-2012)'!I35</f>
        <v>501.74054034192091</v>
      </c>
      <c r="J53" s="97">
        <f>'PRD Volumes TD (2009-2012)'!J35</f>
        <v>2285.449351851852</v>
      </c>
      <c r="K53" s="97">
        <f>'PRD Volumes TD (2009-2012)'!K35</f>
        <v>99.349265871126391</v>
      </c>
      <c r="L53" s="97">
        <f>'PRD Volumes TD (2009-2012)'!L35</f>
        <v>0</v>
      </c>
      <c r="M53" s="97">
        <f>'PRD Volumes TD (2009-2012)'!M35</f>
        <v>2111.7272676776092</v>
      </c>
      <c r="N53" s="97">
        <f>'PRD Volumes TD (2009-2012)'!N35</f>
        <v>1010.4740667885786</v>
      </c>
      <c r="O53" s="97">
        <f>'PRD Volumes TD (2009-2012)'!O35</f>
        <v>0</v>
      </c>
    </row>
    <row r="54" spans="2:15">
      <c r="B54" s="22"/>
      <c r="F54" s="50"/>
    </row>
    <row r="55" spans="2:15">
      <c r="B55" s="22" t="s">
        <v>253</v>
      </c>
      <c r="F55" s="109"/>
      <c r="G55" s="28"/>
      <c r="H55" s="97">
        <f>'PRD Volumes TD (2009-2012)'!H37</f>
        <v>13</v>
      </c>
      <c r="I55" s="28"/>
      <c r="J55" s="97">
        <f>'PRD Volumes TD (2009-2012)'!J37</f>
        <v>1</v>
      </c>
      <c r="K55" s="28"/>
      <c r="L55" s="28"/>
      <c r="M55" s="28"/>
      <c r="N55" s="28"/>
      <c r="O55" s="97">
        <f>'PRD Volumes TD (2009-2012)'!O37</f>
        <v>2</v>
      </c>
    </row>
    <row r="56" spans="2:15">
      <c r="B56" s="22"/>
      <c r="F56" s="50"/>
    </row>
    <row r="57" spans="2:15">
      <c r="B57" s="22"/>
      <c r="F57" s="50"/>
    </row>
    <row r="58" spans="2:15">
      <c r="B58" s="3" t="s">
        <v>254</v>
      </c>
      <c r="F58" s="50"/>
    </row>
    <row r="59" spans="2:15">
      <c r="B59" s="22"/>
      <c r="F59" s="50"/>
    </row>
    <row r="60" spans="2:15">
      <c r="B60" s="22" t="s">
        <v>239</v>
      </c>
      <c r="F60" s="50"/>
    </row>
    <row r="61" spans="2:15">
      <c r="B61" s="99" t="s">
        <v>250</v>
      </c>
      <c r="F61" s="109"/>
      <c r="G61" s="97">
        <f>'PRD Volumes TD (2009-2012)'!G43</f>
        <v>21499</v>
      </c>
      <c r="H61" s="97">
        <f>'PRD Volumes TD (2009-2012)'!H43</f>
        <v>37063</v>
      </c>
      <c r="I61" s="97">
        <f>'PRD Volumes TD (2009-2012)'!I43</f>
        <v>0</v>
      </c>
      <c r="J61" s="97">
        <f>'PRD Volumes TD (2009-2012)'!J43</f>
        <v>0</v>
      </c>
      <c r="K61" s="97">
        <f>'PRD Volumes TD (2009-2012)'!K43</f>
        <v>505750.25</v>
      </c>
      <c r="L61" s="97">
        <f>'PRD Volumes TD (2009-2012)'!L43</f>
        <v>26108.633997536999</v>
      </c>
      <c r="M61" s="97">
        <f>'PRD Volumes TD (2009-2012)'!M43</f>
        <v>0</v>
      </c>
      <c r="N61" s="97">
        <f>'PRD Volumes TD (2009-2012)'!N43</f>
        <v>0</v>
      </c>
      <c r="O61" s="97">
        <f>'PRD Volumes TD (2009-2012)'!O43</f>
        <v>0</v>
      </c>
    </row>
    <row r="62" spans="2:15">
      <c r="B62" s="99" t="s">
        <v>251</v>
      </c>
      <c r="F62" s="109"/>
      <c r="G62" s="97">
        <f>'PRD Volumes TD (2009-2012)'!G44</f>
        <v>9712</v>
      </c>
      <c r="H62" s="97">
        <f>'PRD Volumes TD (2009-2012)'!H44</f>
        <v>12131</v>
      </c>
      <c r="I62" s="97">
        <f>'PRD Volumes TD (2009-2012)'!I44</f>
        <v>0</v>
      </c>
      <c r="J62" s="97">
        <f>'PRD Volumes TD (2009-2012)'!J44</f>
        <v>0</v>
      </c>
      <c r="K62" s="97">
        <f>'PRD Volumes TD (2009-2012)'!K44</f>
        <v>133790.75</v>
      </c>
      <c r="L62" s="97">
        <f>'PRD Volumes TD (2009-2012)'!L44</f>
        <v>3854.9999984640003</v>
      </c>
      <c r="M62" s="97">
        <f>'PRD Volumes TD (2009-2012)'!M44</f>
        <v>0</v>
      </c>
      <c r="N62" s="97">
        <f>'PRD Volumes TD (2009-2012)'!N44</f>
        <v>0</v>
      </c>
      <c r="O62" s="97">
        <f>'PRD Volumes TD (2009-2012)'!O44</f>
        <v>0</v>
      </c>
    </row>
    <row r="63" spans="2:15">
      <c r="B63" s="101"/>
      <c r="F63" s="50"/>
    </row>
    <row r="64" spans="2:15">
      <c r="B64" s="100" t="s">
        <v>252</v>
      </c>
      <c r="F64" s="109"/>
      <c r="G64" s="97">
        <f>'PRD Volumes TD (2009-2012)'!G46</f>
        <v>0</v>
      </c>
      <c r="H64" s="97">
        <f>'PRD Volumes TD (2009-2012)'!H46</f>
        <v>0</v>
      </c>
      <c r="I64" s="97">
        <f>'PRD Volumes TD (2009-2012)'!I46</f>
        <v>157330.2521667231</v>
      </c>
      <c r="J64" s="97">
        <f>'PRD Volumes TD (2009-2012)'!J46</f>
        <v>742494.48194444436</v>
      </c>
      <c r="K64" s="97">
        <f>'PRD Volumes TD (2009-2012)'!K46</f>
        <v>26459.960708187875</v>
      </c>
      <c r="L64" s="97">
        <f>'PRD Volumes TD (2009-2012)'!L46</f>
        <v>0</v>
      </c>
      <c r="M64" s="97">
        <f>'PRD Volumes TD (2009-2012)'!M46</f>
        <v>662945.27233115479</v>
      </c>
      <c r="N64" s="97">
        <f>'PRD Volumes TD (2009-2012)'!N46</f>
        <v>338804.83712984051</v>
      </c>
      <c r="O64" s="97">
        <f>'PRD Volumes TD (2009-2012)'!O46</f>
        <v>0</v>
      </c>
    </row>
    <row r="65" spans="2:15">
      <c r="B65" s="22"/>
      <c r="F65" s="50"/>
    </row>
    <row r="66" spans="2:15">
      <c r="B66" s="22" t="s">
        <v>253</v>
      </c>
      <c r="F66" s="109"/>
      <c r="G66" s="28"/>
      <c r="H66" s="97">
        <f>'PRD Volumes TD (2009-2012)'!H48</f>
        <v>5463.5344327551884</v>
      </c>
      <c r="I66" s="28"/>
      <c r="J66" s="97">
        <f>'PRD Volumes TD (2009-2012)'!J48</f>
        <v>60000</v>
      </c>
      <c r="K66" s="28"/>
      <c r="L66" s="28"/>
      <c r="M66" s="28"/>
      <c r="N66" s="28"/>
      <c r="O66" s="97">
        <f>'PRD Volumes TD (2009-2012)'!O48</f>
        <v>529268</v>
      </c>
    </row>
    <row r="67" spans="2:15">
      <c r="B67" s="22"/>
      <c r="F67" s="50"/>
    </row>
    <row r="68" spans="2:15">
      <c r="B68" s="22"/>
    </row>
    <row r="69" spans="2:15">
      <c r="B69" s="22" t="s">
        <v>316</v>
      </c>
    </row>
    <row r="70" spans="2:15">
      <c r="B70" s="22"/>
    </row>
    <row r="71" spans="2:15">
      <c r="B71" s="103" t="s">
        <v>265</v>
      </c>
    </row>
    <row r="72" spans="2:15">
      <c r="B72" s="89" t="s">
        <v>201</v>
      </c>
      <c r="F72" s="102">
        <f t="shared" ref="F72:F73" si="0">SUM(G72:O72)</f>
        <v>6886019.3088080734</v>
      </c>
      <c r="G72" s="107">
        <f>SUM(G32:G37)</f>
        <v>135040</v>
      </c>
      <c r="H72" s="107">
        <f t="shared" ref="H72:O72" si="1">SUM(H32:H37)</f>
        <v>184162</v>
      </c>
      <c r="I72" s="107">
        <f t="shared" si="1"/>
        <v>382417.11532655003</v>
      </c>
      <c r="J72" s="107">
        <f t="shared" si="1"/>
        <v>1999549.4999999998</v>
      </c>
      <c r="K72" s="107">
        <f t="shared" si="1"/>
        <v>2177234.6504745102</v>
      </c>
      <c r="L72" s="107">
        <f t="shared" si="1"/>
        <v>99960</v>
      </c>
      <c r="M72" s="107">
        <f t="shared" si="1"/>
        <v>1858709.2726986203</v>
      </c>
      <c r="N72" s="107">
        <f t="shared" si="1"/>
        <v>48946.770308392726</v>
      </c>
      <c r="O72" s="107">
        <f t="shared" si="1"/>
        <v>0</v>
      </c>
    </row>
    <row r="73" spans="2:15">
      <c r="B73" s="90" t="s">
        <v>202</v>
      </c>
      <c r="F73" s="102">
        <f t="shared" si="0"/>
        <v>22436797.307538897</v>
      </c>
      <c r="G73" s="98">
        <f>SUMPRODUCT($F$10:$F$15,G32:G37)</f>
        <v>467691.5</v>
      </c>
      <c r="H73" s="98">
        <f t="shared" ref="H73:O73" si="2">SUMPRODUCT($F$10:$F$15,H32:H37)</f>
        <v>604073.625</v>
      </c>
      <c r="I73" s="98">
        <f t="shared" si="2"/>
        <v>1317377.322264503</v>
      </c>
      <c r="J73" s="98">
        <f t="shared" si="2"/>
        <v>6712571.416666667</v>
      </c>
      <c r="K73" s="98">
        <f t="shared" si="2"/>
        <v>7009122.5866237655</v>
      </c>
      <c r="L73" s="98">
        <f t="shared" si="2"/>
        <v>340481.5</v>
      </c>
      <c r="M73" s="98">
        <f t="shared" si="2"/>
        <v>5823818.5081496947</v>
      </c>
      <c r="N73" s="98">
        <f t="shared" si="2"/>
        <v>161660.84883427003</v>
      </c>
      <c r="O73" s="98">
        <f t="shared" si="2"/>
        <v>0</v>
      </c>
    </row>
    <row r="74" spans="2:15">
      <c r="B74" s="90"/>
    </row>
    <row r="75" spans="2:15">
      <c r="B75" s="91" t="s">
        <v>266</v>
      </c>
    </row>
    <row r="76" spans="2:15">
      <c r="B76" s="89" t="s">
        <v>201</v>
      </c>
      <c r="F76" s="102">
        <f t="shared" ref="F76:F77" si="3">SUM(G76:O76)</f>
        <v>31024.034979235981</v>
      </c>
      <c r="G76" s="107">
        <f>SUM(G40:G44)</f>
        <v>535</v>
      </c>
      <c r="H76" s="107">
        <f t="shared" ref="H76:O76" si="4">SUM(H40:H44)</f>
        <v>582</v>
      </c>
      <c r="I76" s="107">
        <f t="shared" si="4"/>
        <v>1724.5903967077222</v>
      </c>
      <c r="J76" s="107">
        <f t="shared" si="4"/>
        <v>8653.7719144276216</v>
      </c>
      <c r="K76" s="107">
        <f t="shared" si="4"/>
        <v>10054.939295789349</v>
      </c>
      <c r="L76" s="107">
        <f t="shared" si="4"/>
        <v>370</v>
      </c>
      <c r="M76" s="107">
        <f t="shared" si="4"/>
        <v>8308.4867727082292</v>
      </c>
      <c r="N76" s="107">
        <f t="shared" si="4"/>
        <v>795.24659960305485</v>
      </c>
      <c r="O76" s="107">
        <f t="shared" si="4"/>
        <v>0</v>
      </c>
    </row>
    <row r="77" spans="2:15">
      <c r="B77" s="90" t="s">
        <v>202</v>
      </c>
      <c r="F77" s="102">
        <f t="shared" si="3"/>
        <v>2495627.4961930187</v>
      </c>
      <c r="G77" s="98">
        <f>SUMPRODUCT($F$18:$F$22,G40:G44)</f>
        <v>37330</v>
      </c>
      <c r="H77" s="98">
        <f t="shared" ref="H77:O77" si="5">SUMPRODUCT($F$18:$F$22,H40:H44)</f>
        <v>41655</v>
      </c>
      <c r="I77" s="98">
        <f t="shared" si="5"/>
        <v>114568.36837211291</v>
      </c>
      <c r="J77" s="98">
        <f t="shared" si="5"/>
        <v>680402.61928819085</v>
      </c>
      <c r="K77" s="98">
        <f t="shared" si="5"/>
        <v>752029.60167120886</v>
      </c>
      <c r="L77" s="98">
        <f t="shared" si="5"/>
        <v>24510</v>
      </c>
      <c r="M77" s="98">
        <f t="shared" si="5"/>
        <v>751128.40522875811</v>
      </c>
      <c r="N77" s="98">
        <f t="shared" si="5"/>
        <v>94003.501632748361</v>
      </c>
      <c r="O77" s="98">
        <f t="shared" si="5"/>
        <v>0</v>
      </c>
    </row>
    <row r="78" spans="2:15">
      <c r="B78" s="104"/>
    </row>
    <row r="79" spans="2:15">
      <c r="B79" s="88" t="s">
        <v>204</v>
      </c>
    </row>
    <row r="80" spans="2:15">
      <c r="B80" s="89" t="s">
        <v>201</v>
      </c>
      <c r="F80" s="102">
        <f t="shared" ref="F80:F84" si="6">SUM(G80:O80)</f>
        <v>8772.550492531087</v>
      </c>
      <c r="G80" s="107">
        <f>SUM(G50:G53)</f>
        <v>100</v>
      </c>
      <c r="H80" s="107">
        <f t="shared" ref="H80:O80" si="7">SUM(H50:H53)</f>
        <v>175</v>
      </c>
      <c r="I80" s="107">
        <f t="shared" si="7"/>
        <v>501.74054034192091</v>
      </c>
      <c r="J80" s="107">
        <f t="shared" si="7"/>
        <v>2285.449351851852</v>
      </c>
      <c r="K80" s="107">
        <f t="shared" si="7"/>
        <v>2497.3492658711266</v>
      </c>
      <c r="L80" s="107">
        <f t="shared" si="7"/>
        <v>90.81</v>
      </c>
      <c r="M80" s="107">
        <f t="shared" si="7"/>
        <v>2111.7272676776092</v>
      </c>
      <c r="N80" s="107">
        <f t="shared" si="7"/>
        <v>1010.4740667885786</v>
      </c>
      <c r="O80" s="107">
        <f t="shared" si="7"/>
        <v>0</v>
      </c>
    </row>
    <row r="81" spans="2:15">
      <c r="B81" s="90" t="s">
        <v>262</v>
      </c>
      <c r="F81" s="102">
        <f t="shared" si="6"/>
        <v>159488.74999846399</v>
      </c>
      <c r="G81" s="111">
        <f>G62</f>
        <v>9712</v>
      </c>
      <c r="H81" s="111">
        <f t="shared" ref="H81:O81" si="8">H62</f>
        <v>12131</v>
      </c>
      <c r="I81" s="111">
        <f t="shared" si="8"/>
        <v>0</v>
      </c>
      <c r="J81" s="111">
        <f t="shared" si="8"/>
        <v>0</v>
      </c>
      <c r="K81" s="111">
        <f t="shared" si="8"/>
        <v>133790.75</v>
      </c>
      <c r="L81" s="111">
        <f t="shared" si="8"/>
        <v>3854.9999984640003</v>
      </c>
      <c r="M81" s="111">
        <f t="shared" si="8"/>
        <v>0</v>
      </c>
      <c r="N81" s="111">
        <f t="shared" si="8"/>
        <v>0</v>
      </c>
      <c r="O81" s="111">
        <f t="shared" si="8"/>
        <v>0</v>
      </c>
    </row>
    <row r="82" spans="2:15">
      <c r="B82" s="89" t="s">
        <v>263</v>
      </c>
      <c r="F82" s="102">
        <f t="shared" si="6"/>
        <v>590420.88399753696</v>
      </c>
      <c r="G82" s="111">
        <f>G61</f>
        <v>21499</v>
      </c>
      <c r="H82" s="111">
        <f t="shared" ref="H82:O82" si="9">H61</f>
        <v>37063</v>
      </c>
      <c r="I82" s="111">
        <f t="shared" si="9"/>
        <v>0</v>
      </c>
      <c r="J82" s="111">
        <f t="shared" si="9"/>
        <v>0</v>
      </c>
      <c r="K82" s="111">
        <f t="shared" si="9"/>
        <v>505750.25</v>
      </c>
      <c r="L82" s="111">
        <f t="shared" si="9"/>
        <v>26108.633997536999</v>
      </c>
      <c r="M82" s="111">
        <f t="shared" si="9"/>
        <v>0</v>
      </c>
      <c r="N82" s="111">
        <f t="shared" si="9"/>
        <v>0</v>
      </c>
      <c r="O82" s="111">
        <f t="shared" si="9"/>
        <v>0</v>
      </c>
    </row>
    <row r="83" spans="2:15">
      <c r="B83" s="90" t="s">
        <v>264</v>
      </c>
      <c r="F83" s="102">
        <f t="shared" si="6"/>
        <v>1928034.8042803509</v>
      </c>
      <c r="G83" s="111">
        <f>G64</f>
        <v>0</v>
      </c>
      <c r="H83" s="111">
        <f t="shared" ref="H83:O83" si="10">H64</f>
        <v>0</v>
      </c>
      <c r="I83" s="111">
        <f t="shared" si="10"/>
        <v>157330.2521667231</v>
      </c>
      <c r="J83" s="111">
        <f t="shared" si="10"/>
        <v>742494.48194444436</v>
      </c>
      <c r="K83" s="111">
        <f t="shared" si="10"/>
        <v>26459.960708187875</v>
      </c>
      <c r="L83" s="111">
        <f t="shared" si="10"/>
        <v>0</v>
      </c>
      <c r="M83" s="111">
        <f t="shared" si="10"/>
        <v>662945.27233115479</v>
      </c>
      <c r="N83" s="111">
        <f t="shared" si="10"/>
        <v>338804.83712984051</v>
      </c>
      <c r="O83" s="111">
        <f t="shared" si="10"/>
        <v>0</v>
      </c>
    </row>
    <row r="84" spans="2:15">
      <c r="B84" s="90" t="s">
        <v>205</v>
      </c>
      <c r="F84" s="102">
        <f t="shared" si="6"/>
        <v>2677944.4382763519</v>
      </c>
      <c r="G84" s="102">
        <f t="shared" ref="G84:O84" si="11">SUM(G81:G83)</f>
        <v>31211</v>
      </c>
      <c r="H84" s="102">
        <f t="shared" si="11"/>
        <v>49194</v>
      </c>
      <c r="I84" s="102">
        <f t="shared" si="11"/>
        <v>157330.2521667231</v>
      </c>
      <c r="J84" s="102">
        <f t="shared" si="11"/>
        <v>742494.48194444436</v>
      </c>
      <c r="K84" s="102">
        <f t="shared" si="11"/>
        <v>666000.96070818789</v>
      </c>
      <c r="L84" s="102">
        <f t="shared" si="11"/>
        <v>29963.633996001001</v>
      </c>
      <c r="M84" s="102">
        <f t="shared" si="11"/>
        <v>662945.27233115479</v>
      </c>
      <c r="N84" s="102">
        <f t="shared" si="11"/>
        <v>338804.83712984051</v>
      </c>
      <c r="O84" s="102">
        <f t="shared" si="11"/>
        <v>0</v>
      </c>
    </row>
    <row r="85" spans="2:15">
      <c r="B85" s="105"/>
      <c r="H85" s="90"/>
    </row>
    <row r="86" spans="2:15">
      <c r="B86" s="88" t="s">
        <v>206</v>
      </c>
      <c r="H86" s="90"/>
    </row>
    <row r="87" spans="2:15">
      <c r="B87" s="89" t="s">
        <v>201</v>
      </c>
      <c r="F87" s="102">
        <f t="shared" ref="F87:F88" si="12">SUM(G87:O87)</f>
        <v>16</v>
      </c>
      <c r="G87" s="29"/>
      <c r="H87" s="97">
        <f>H55</f>
        <v>13</v>
      </c>
      <c r="I87" s="29"/>
      <c r="J87" s="97">
        <f>J55</f>
        <v>1</v>
      </c>
      <c r="K87" s="29"/>
      <c r="L87" s="29"/>
      <c r="M87" s="29"/>
      <c r="N87" s="29"/>
      <c r="O87" s="97">
        <f>O55</f>
        <v>2</v>
      </c>
    </row>
    <row r="88" spans="2:15">
      <c r="B88" s="90" t="s">
        <v>202</v>
      </c>
      <c r="F88" s="102">
        <f t="shared" si="12"/>
        <v>594731.5344327552</v>
      </c>
      <c r="G88" s="29"/>
      <c r="H88" s="97">
        <f>H66</f>
        <v>5463.5344327551884</v>
      </c>
      <c r="I88" s="29"/>
      <c r="J88" s="97">
        <f>J66</f>
        <v>60000</v>
      </c>
      <c r="K88" s="29"/>
      <c r="L88" s="29"/>
      <c r="M88" s="29"/>
      <c r="N88" s="29"/>
      <c r="O88" s="97">
        <f>O66</f>
        <v>529268</v>
      </c>
    </row>
    <row r="89" spans="2:15">
      <c r="B89" s="22"/>
      <c r="H89" s="90"/>
    </row>
    <row r="90" spans="2:15">
      <c r="B90" s="22"/>
      <c r="H90" s="90"/>
    </row>
    <row r="91" spans="2:15" s="2" customFormat="1">
      <c r="B91" s="2" t="s">
        <v>22</v>
      </c>
      <c r="F91" s="49"/>
    </row>
    <row r="93" spans="2:15">
      <c r="B93" s="3" t="s">
        <v>231</v>
      </c>
    </row>
    <row r="94" spans="2:15">
      <c r="B94" s="22"/>
    </row>
    <row r="95" spans="2:15">
      <c r="B95" s="22" t="s">
        <v>224</v>
      </c>
    </row>
    <row r="96" spans="2:15">
      <c r="B96" s="99" t="s">
        <v>225</v>
      </c>
      <c r="F96" s="109"/>
      <c r="G96" s="97">
        <f>'PRD Volumes TD (2009-2012)'!G57</f>
        <v>3619.9230769230767</v>
      </c>
      <c r="H96" s="97">
        <f>'PRD Volumes TD (2009-2012)'!H57</f>
        <v>9988.8333333333339</v>
      </c>
      <c r="I96" s="97">
        <f>'PRD Volumes TD (2009-2012)'!I57</f>
        <v>22365</v>
      </c>
      <c r="J96" s="97">
        <f>'PRD Volumes TD (2009-2012)'!J57</f>
        <v>118430.16867169866</v>
      </c>
      <c r="K96" s="97">
        <f>'PRD Volumes TD (2009-2012)'!K57</f>
        <v>207189.19916666666</v>
      </c>
      <c r="L96" s="97">
        <f>'PRD Volumes TD (2009-2012)'!L57</f>
        <v>4160.6000000000004</v>
      </c>
      <c r="M96" s="97">
        <f>'PRD Volumes TD (2009-2012)'!M57</f>
        <v>233183.22208503127</v>
      </c>
      <c r="N96" s="97">
        <f>'PRD Volumes TD (2009-2012)'!N57</f>
        <v>3069.2125480610557</v>
      </c>
      <c r="O96" s="97">
        <f>'PRD Volumes TD (2009-2012)'!O57</f>
        <v>0</v>
      </c>
    </row>
    <row r="97" spans="2:18">
      <c r="B97" s="99" t="s">
        <v>226</v>
      </c>
      <c r="F97" s="109"/>
      <c r="G97" s="97">
        <f>'PRD Volumes TD (2009-2012)'!G58</f>
        <v>121099.76923076923</v>
      </c>
      <c r="H97" s="97">
        <f>'PRD Volumes TD (2009-2012)'!H58</f>
        <v>165961.16666666666</v>
      </c>
      <c r="I97" s="97">
        <f>'PRD Volumes TD (2009-2012)'!I58</f>
        <v>334200</v>
      </c>
      <c r="J97" s="97">
        <f>'PRD Volumes TD (2009-2012)'!J58</f>
        <v>1749600.5815414325</v>
      </c>
      <c r="K97" s="97">
        <f>'PRD Volumes TD (2009-2012)'!K58</f>
        <v>1858700.2324166668</v>
      </c>
      <c r="L97" s="97">
        <f>'PRD Volumes TD (2009-2012)'!L58</f>
        <v>88160.2</v>
      </c>
      <c r="M97" s="97">
        <f>'PRD Volumes TD (2009-2012)'!M58</f>
        <v>1546257.3644275717</v>
      </c>
      <c r="N97" s="97">
        <f>'PRD Volumes TD (2009-2012)'!N58</f>
        <v>43584.694042500676</v>
      </c>
      <c r="O97" s="97">
        <f>'PRD Volumes TD (2009-2012)'!O58</f>
        <v>0</v>
      </c>
    </row>
    <row r="98" spans="2:18">
      <c r="B98" s="99" t="s">
        <v>227</v>
      </c>
      <c r="F98" s="109"/>
      <c r="G98" s="97">
        <f>'PRD Volumes TD (2009-2012)'!G59</f>
        <v>8367.7692307692305</v>
      </c>
      <c r="H98" s="97">
        <f>'PRD Volumes TD (2009-2012)'!H59</f>
        <v>5466.333333333333</v>
      </c>
      <c r="I98" s="97">
        <f>'PRD Volumes TD (2009-2012)'!I59</f>
        <v>19803</v>
      </c>
      <c r="J98" s="97">
        <f>'PRD Volumes TD (2009-2012)'!J59</f>
        <v>99868.589608802242</v>
      </c>
      <c r="K98" s="97">
        <f>'PRD Volumes TD (2009-2012)'!K59</f>
        <v>93403.901750000005</v>
      </c>
      <c r="L98" s="97">
        <f>'PRD Volumes TD (2009-2012)'!L59</f>
        <v>6055.8</v>
      </c>
      <c r="M98" s="97">
        <f>'PRD Volumes TD (2009-2012)'!M59</f>
        <v>64290.496461535338</v>
      </c>
      <c r="N98" s="97">
        <f>'PRD Volumes TD (2009-2012)'!N59</f>
        <v>1678.814850779268</v>
      </c>
      <c r="O98" s="97">
        <f>'PRD Volumes TD (2009-2012)'!O59</f>
        <v>0</v>
      </c>
    </row>
    <row r="99" spans="2:18">
      <c r="B99" s="100" t="s">
        <v>228</v>
      </c>
      <c r="F99" s="109"/>
      <c r="G99" s="97">
        <f>'PRD Volumes TD (2009-2012)'!G60</f>
        <v>2</v>
      </c>
      <c r="H99" s="97">
        <f>'PRD Volumes TD (2009-2012)'!H60</f>
        <v>6</v>
      </c>
      <c r="I99" s="97">
        <f>'PRD Volumes TD (2009-2012)'!I60</f>
        <v>2378</v>
      </c>
      <c r="J99" s="97">
        <f>'PRD Volumes TD (2009-2012)'!J60</f>
        <v>4670.6247993213483</v>
      </c>
      <c r="K99" s="97">
        <f>'PRD Volumes TD (2009-2012)'!K60</f>
        <v>8513</v>
      </c>
      <c r="L99" s="97">
        <f>'PRD Volumes TD (2009-2012)'!L60</f>
        <v>675.2</v>
      </c>
      <c r="M99" s="97">
        <f>'PRD Volumes TD (2009-2012)'!M60</f>
        <v>7057.9165948275859</v>
      </c>
      <c r="N99" s="97">
        <f>'PRD Volumes TD (2009-2012)'!N60</f>
        <v>414.10071745084508</v>
      </c>
      <c r="O99" s="97">
        <f>'PRD Volumes TD (2009-2012)'!O60</f>
        <v>0</v>
      </c>
    </row>
    <row r="100" spans="2:18">
      <c r="B100" s="100" t="s">
        <v>229</v>
      </c>
      <c r="F100" s="109"/>
      <c r="G100" s="97">
        <f>'PRD Volumes TD (2009-2012)'!G61</f>
        <v>2290.6153846153848</v>
      </c>
      <c r="H100" s="97">
        <f>'PRD Volumes TD (2009-2012)'!H61</f>
        <v>2794.25</v>
      </c>
      <c r="I100" s="97">
        <f>'PRD Volumes TD (2009-2012)'!I61</f>
        <v>5817</v>
      </c>
      <c r="J100" s="97">
        <f>'PRD Volumes TD (2009-2012)'!J61</f>
        <v>27993.299319686648</v>
      </c>
      <c r="K100" s="97">
        <f>'PRD Volumes TD (2009-2012)'!K61</f>
        <v>20948.416666666668</v>
      </c>
      <c r="L100" s="97">
        <f>'PRD Volumes TD (2009-2012)'!L61</f>
        <v>1114.2</v>
      </c>
      <c r="M100" s="97">
        <f>'PRD Volumes TD (2009-2012)'!M61</f>
        <v>16234.333351293106</v>
      </c>
      <c r="N100" s="97">
        <f>'PRD Volumes TD (2009-2012)'!N61</f>
        <v>390.19217029687979</v>
      </c>
      <c r="O100" s="97">
        <f>'PRD Volumes TD (2009-2012)'!O61</f>
        <v>0</v>
      </c>
    </row>
    <row r="101" spans="2:18">
      <c r="B101" s="100" t="s">
        <v>230</v>
      </c>
      <c r="F101" s="109"/>
      <c r="G101" s="97">
        <f>'PRD Volumes TD (2009-2012)'!G62</f>
        <v>721.61538461538464</v>
      </c>
      <c r="H101" s="97">
        <f>'PRD Volumes TD (2009-2012)'!H62</f>
        <v>653.91666666666663</v>
      </c>
      <c r="I101" s="97">
        <f>'PRD Volumes TD (2009-2012)'!I62</f>
        <v>1973</v>
      </c>
      <c r="J101" s="97">
        <f>'PRD Volumes TD (2009-2012)'!J62</f>
        <v>8681.5452318976131</v>
      </c>
      <c r="K101" s="97">
        <f>'PRD Volumes TD (2009-2012)'!K62</f>
        <v>5815.5</v>
      </c>
      <c r="L101" s="97">
        <f>'PRD Volumes TD (2009-2012)'!L62</f>
        <v>414.6</v>
      </c>
      <c r="M101" s="97">
        <f>'PRD Volumes TD (2009-2012)'!M62</f>
        <v>6774.5277758620687</v>
      </c>
      <c r="N101" s="97">
        <f>'PRD Volumes TD (2009-2012)'!N62</f>
        <v>282.36532227228099</v>
      </c>
      <c r="O101" s="97">
        <f>'PRD Volumes TD (2009-2012)'!O62</f>
        <v>0</v>
      </c>
    </row>
    <row r="102" spans="2:18">
      <c r="B102" s="22"/>
      <c r="F102" s="50"/>
    </row>
    <row r="103" spans="2:18">
      <c r="B103" s="22" t="s">
        <v>232</v>
      </c>
      <c r="F103" s="50"/>
    </row>
    <row r="104" spans="2:18">
      <c r="B104" s="23" t="s">
        <v>233</v>
      </c>
      <c r="F104" s="109"/>
      <c r="G104" s="97">
        <f>'PRD Volumes TD (2009-2012)'!G65</f>
        <v>231.38461538461539</v>
      </c>
      <c r="H104" s="97">
        <f>'PRD Volumes TD (2009-2012)'!H65</f>
        <v>186</v>
      </c>
      <c r="I104" s="97">
        <f>'PRD Volumes TD (2009-2012)'!I65</f>
        <v>782</v>
      </c>
      <c r="J104" s="97">
        <f>'PRD Volumes TD (2009-2012)'!J65</f>
        <v>2739.8333195514379</v>
      </c>
      <c r="K104" s="97">
        <f>'PRD Volumes TD (2009-2012)'!K65</f>
        <v>3062.25</v>
      </c>
      <c r="L104" s="97">
        <f>'PRD Volumes TD (2009-2012)'!L65</f>
        <v>143.80000000000001</v>
      </c>
      <c r="M104" s="97">
        <f>'PRD Volumes TD (2009-2012)'!M65</f>
        <v>2352.2777801724137</v>
      </c>
      <c r="N104" s="97">
        <f>'PRD Volumes TD (2009-2012)'!N65</f>
        <v>115.41954905109613</v>
      </c>
      <c r="O104" s="97">
        <f>'PRD Volumes TD (2009-2012)'!O65</f>
        <v>0</v>
      </c>
    </row>
    <row r="105" spans="2:18">
      <c r="B105" s="23" t="s">
        <v>234</v>
      </c>
      <c r="F105" s="109"/>
      <c r="G105" s="97">
        <f>'PRD Volumes TD (2009-2012)'!G66</f>
        <v>174.07692307692307</v>
      </c>
      <c r="H105" s="97">
        <f>'PRD Volumes TD (2009-2012)'!H66</f>
        <v>247</v>
      </c>
      <c r="I105" s="97">
        <f>'PRD Volumes TD (2009-2012)'!I66</f>
        <v>525</v>
      </c>
      <c r="J105" s="97">
        <f>'PRD Volumes TD (2009-2012)'!J66</f>
        <v>3369.7173207952019</v>
      </c>
      <c r="K105" s="97">
        <f>'PRD Volumes TD (2009-2012)'!K66</f>
        <v>4274.25</v>
      </c>
      <c r="L105" s="97">
        <f>'PRD Volumes TD (2009-2012)'!L66</f>
        <v>148.80000000000001</v>
      </c>
      <c r="M105" s="97">
        <f>'PRD Volumes TD (2009-2012)'!M66</f>
        <v>3537.0833355437667</v>
      </c>
      <c r="N105" s="97">
        <f>'PRD Volumes TD (2009-2012)'!N66</f>
        <v>198.48742265428058</v>
      </c>
      <c r="O105" s="97">
        <f>'PRD Volumes TD (2009-2012)'!O66</f>
        <v>0</v>
      </c>
    </row>
    <row r="106" spans="2:18">
      <c r="B106" s="23" t="s">
        <v>235</v>
      </c>
      <c r="F106" s="109"/>
      <c r="G106" s="97">
        <f>'PRD Volumes TD (2009-2012)'!G67</f>
        <v>55.15384615384616</v>
      </c>
      <c r="H106" s="97">
        <f>'PRD Volumes TD (2009-2012)'!H67</f>
        <v>76</v>
      </c>
      <c r="I106" s="97">
        <f>'PRD Volumes TD (2009-2012)'!I67</f>
        <v>290</v>
      </c>
      <c r="J106" s="97">
        <f>'PRD Volumes TD (2009-2012)'!J67</f>
        <v>1479.1434815260877</v>
      </c>
      <c r="K106" s="97">
        <f>'PRD Volumes TD (2009-2012)'!K67</f>
        <v>1648.5</v>
      </c>
      <c r="L106" s="97">
        <f>'PRD Volumes TD (2009-2012)'!L67</f>
        <v>37.6</v>
      </c>
      <c r="M106" s="97">
        <f>'PRD Volumes TD (2009-2012)'!M67</f>
        <v>1731.0000043103448</v>
      </c>
      <c r="N106" s="97">
        <f>'PRD Volumes TD (2009-2012)'!N67</f>
        <v>116.12929243808581</v>
      </c>
      <c r="O106" s="97">
        <f>'PRD Volumes TD (2009-2012)'!O67</f>
        <v>0</v>
      </c>
    </row>
    <row r="107" spans="2:18">
      <c r="B107" s="23" t="s">
        <v>236</v>
      </c>
      <c r="F107" s="109"/>
      <c r="G107" s="97">
        <f>'PRD Volumes TD (2009-2012)'!G68</f>
        <v>40.692307692307693</v>
      </c>
      <c r="H107" s="97">
        <f>'PRD Volumes TD (2009-2012)'!H68</f>
        <v>48</v>
      </c>
      <c r="I107" s="97">
        <f>'PRD Volumes TD (2009-2012)'!I68</f>
        <v>70</v>
      </c>
      <c r="J107" s="97">
        <f>'PRD Volumes TD (2009-2012)'!J68</f>
        <v>525.06450731614939</v>
      </c>
      <c r="K107" s="97">
        <f>'PRD Volumes TD (2009-2012)'!K68</f>
        <v>701.41666666666663</v>
      </c>
      <c r="L107" s="97">
        <f>'PRD Volumes TD (2009-2012)'!L68</f>
        <v>19</v>
      </c>
      <c r="M107" s="97">
        <f>'PRD Volumes TD (2009-2012)'!M68</f>
        <v>187.70833351293103</v>
      </c>
      <c r="N107" s="97">
        <f>'PRD Volumes TD (2009-2012)'!N68</f>
        <v>217.32050867424081</v>
      </c>
      <c r="O107" s="97">
        <f>'PRD Volumes TD (2009-2012)'!O68</f>
        <v>0</v>
      </c>
    </row>
    <row r="108" spans="2:18">
      <c r="B108" s="23" t="s">
        <v>237</v>
      </c>
      <c r="F108" s="109"/>
      <c r="G108" s="97">
        <f>'PRD Volumes TD (2009-2012)'!G69</f>
        <v>8.4615384615384599</v>
      </c>
      <c r="H108" s="97">
        <f>'PRD Volumes TD (2009-2012)'!H69</f>
        <v>5</v>
      </c>
      <c r="I108" s="97">
        <f>'PRD Volumes TD (2009-2012)'!I69</f>
        <v>21</v>
      </c>
      <c r="J108" s="97">
        <f>'PRD Volumes TD (2009-2012)'!J69</f>
        <v>403.17275075808817</v>
      </c>
      <c r="K108" s="97">
        <f>'PRD Volumes TD (2009-2012)'!K69</f>
        <v>220.33333333333337</v>
      </c>
      <c r="L108" s="97">
        <f>'PRD Volumes TD (2009-2012)'!L69</f>
        <v>7</v>
      </c>
      <c r="M108" s="97">
        <f>'PRD Volumes TD (2009-2012)'!M69</f>
        <v>880.97777862068972</v>
      </c>
      <c r="N108" s="97">
        <f>'PRD Volumes TD (2009-2012)'!N69</f>
        <v>89.441433842119523</v>
      </c>
      <c r="O108" s="97">
        <f>'PRD Volumes TD (2009-2012)'!O69</f>
        <v>0</v>
      </c>
    </row>
    <row r="109" spans="2:18">
      <c r="B109" s="3"/>
      <c r="F109" s="50"/>
    </row>
    <row r="110" spans="2:18">
      <c r="B110" s="3"/>
      <c r="F110" s="50"/>
      <c r="R110" s="147"/>
    </row>
    <row r="111" spans="2:18">
      <c r="B111" s="3" t="s">
        <v>238</v>
      </c>
      <c r="F111" s="50"/>
    </row>
    <row r="112" spans="2:18">
      <c r="B112" s="22"/>
      <c r="F112" s="50"/>
    </row>
    <row r="113" spans="2:18">
      <c r="B113" s="22" t="s">
        <v>239</v>
      </c>
      <c r="F113" s="50"/>
      <c r="R113" s="82"/>
    </row>
    <row r="114" spans="2:18">
      <c r="B114" s="99" t="s">
        <v>250</v>
      </c>
      <c r="F114" s="109"/>
      <c r="G114" s="97">
        <f>'PRD Volumes TD (2009-2012)'!G75</f>
        <v>59</v>
      </c>
      <c r="H114" s="97">
        <f>'PRD Volumes TD (2009-2012)'!H75</f>
        <v>102</v>
      </c>
      <c r="I114" s="97">
        <f>'PRD Volumes TD (2009-2012)'!I75</f>
        <v>0</v>
      </c>
      <c r="J114" s="97">
        <f>'PRD Volumes TD (2009-2012)'!J75</f>
        <v>0</v>
      </c>
      <c r="K114" s="97">
        <f>'PRD Volumes TD (2009-2012)'!K75</f>
        <v>1472.9166666666667</v>
      </c>
      <c r="L114" s="97">
        <f>'PRD Volumes TD (2009-2012)'!L75</f>
        <v>55</v>
      </c>
      <c r="M114" s="97">
        <f>'PRD Volumes TD (2009-2012)'!M75</f>
        <v>0</v>
      </c>
      <c r="N114" s="97">
        <f>'PRD Volumes TD (2009-2012)'!N75</f>
        <v>0</v>
      </c>
      <c r="O114" s="97">
        <f>'PRD Volumes TD (2009-2012)'!O75</f>
        <v>0</v>
      </c>
    </row>
    <row r="115" spans="2:18">
      <c r="B115" s="99" t="s">
        <v>251</v>
      </c>
      <c r="F115" s="109"/>
      <c r="G115" s="97">
        <f>'PRD Volumes TD (2009-2012)'!G76</f>
        <v>52</v>
      </c>
      <c r="H115" s="97">
        <f>'PRD Volumes TD (2009-2012)'!H76</f>
        <v>80</v>
      </c>
      <c r="I115" s="97">
        <f>'PRD Volumes TD (2009-2012)'!I76</f>
        <v>0</v>
      </c>
      <c r="J115" s="97">
        <f>'PRD Volumes TD (2009-2012)'!J76</f>
        <v>0</v>
      </c>
      <c r="K115" s="97">
        <f>'PRD Volumes TD (2009-2012)'!K76</f>
        <v>1052.75</v>
      </c>
      <c r="L115" s="97">
        <f>'PRD Volumes TD (2009-2012)'!L76</f>
        <v>36.6</v>
      </c>
      <c r="M115" s="97">
        <f>'PRD Volumes TD (2009-2012)'!M76</f>
        <v>0</v>
      </c>
      <c r="N115" s="97">
        <f>'PRD Volumes TD (2009-2012)'!N76</f>
        <v>0</v>
      </c>
      <c r="O115" s="97">
        <f>'PRD Volumes TD (2009-2012)'!O76</f>
        <v>0</v>
      </c>
    </row>
    <row r="116" spans="2:18">
      <c r="B116" s="101"/>
      <c r="F116" s="50"/>
    </row>
    <row r="117" spans="2:18">
      <c r="B117" s="100" t="s">
        <v>252</v>
      </c>
      <c r="F117" s="109"/>
      <c r="G117" s="97">
        <f>'PRD Volumes TD (2009-2012)'!G78</f>
        <v>0</v>
      </c>
      <c r="H117" s="97">
        <f>'PRD Volumes TD (2009-2012)'!H78</f>
        <v>0</v>
      </c>
      <c r="I117" s="97">
        <f>'PRD Volumes TD (2009-2012)'!I78</f>
        <v>513</v>
      </c>
      <c r="J117" s="97">
        <f>'PRD Volumes TD (2009-2012)'!J78</f>
        <v>2270.9508641975308</v>
      </c>
      <c r="K117" s="97">
        <f>'PRD Volumes TD (2009-2012)'!K78</f>
        <v>0</v>
      </c>
      <c r="L117" s="97">
        <f>'PRD Volumes TD (2009-2012)'!L78</f>
        <v>0</v>
      </c>
      <c r="M117" s="97">
        <f>'PRD Volumes TD (2009-2012)'!M78</f>
        <v>2044.1272669114376</v>
      </c>
      <c r="N117" s="97">
        <f>'PRD Volumes TD (2009-2012)'!N78</f>
        <v>1001.274</v>
      </c>
      <c r="O117" s="97">
        <f>'PRD Volumes TD (2009-2012)'!O78</f>
        <v>0</v>
      </c>
    </row>
    <row r="118" spans="2:18">
      <c r="B118" s="22"/>
      <c r="F118" s="50"/>
    </row>
    <row r="119" spans="2:18">
      <c r="B119" s="22" t="s">
        <v>253</v>
      </c>
      <c r="F119" s="109"/>
      <c r="G119" s="28"/>
      <c r="H119" s="97">
        <f>'PRD Volumes TD (2009-2012)'!H80</f>
        <v>4</v>
      </c>
      <c r="I119" s="28"/>
      <c r="J119" s="97">
        <f>'PRD Volumes TD (2009-2012)'!J80</f>
        <v>1</v>
      </c>
      <c r="K119" s="28"/>
      <c r="L119" s="28"/>
      <c r="M119" s="28"/>
      <c r="N119" s="28"/>
      <c r="O119" s="97">
        <f>'PRD Volumes TD (2009-2012)'!O80</f>
        <v>2</v>
      </c>
    </row>
    <row r="120" spans="2:18">
      <c r="B120" s="22"/>
      <c r="F120" s="50"/>
    </row>
    <row r="121" spans="2:18">
      <c r="B121" s="22"/>
      <c r="F121" s="50"/>
    </row>
    <row r="122" spans="2:18">
      <c r="B122" s="3" t="s">
        <v>254</v>
      </c>
      <c r="F122" s="50"/>
    </row>
    <row r="123" spans="2:18">
      <c r="B123" s="22"/>
      <c r="F123" s="50"/>
    </row>
    <row r="124" spans="2:18">
      <c r="B124" s="22" t="s">
        <v>239</v>
      </c>
      <c r="F124" s="50"/>
    </row>
    <row r="125" spans="2:18">
      <c r="B125" s="99" t="s">
        <v>250</v>
      </c>
      <c r="F125" s="109"/>
      <c r="G125" s="97">
        <f>'PRD Volumes TD (2009-2012)'!G86</f>
        <v>22291</v>
      </c>
      <c r="H125" s="97">
        <f>'PRD Volumes TD (2009-2012)'!H86</f>
        <v>50996.044355985214</v>
      </c>
      <c r="I125" s="97">
        <f>'PRD Volumes TD (2009-2012)'!I86</f>
        <v>0</v>
      </c>
      <c r="J125" s="97">
        <f>'PRD Volumes TD (2009-2012)'!J86</f>
        <v>0</v>
      </c>
      <c r="K125" s="97">
        <f>'PRD Volumes TD (2009-2012)'!K86</f>
        <v>532955.98709603562</v>
      </c>
      <c r="L125" s="97">
        <f>'PRD Volumes TD (2009-2012)'!L86</f>
        <v>26158.799999999999</v>
      </c>
      <c r="M125" s="97">
        <f>'PRD Volumes TD (2009-2012)'!M86</f>
        <v>0</v>
      </c>
      <c r="N125" s="97">
        <f>'PRD Volumes TD (2009-2012)'!N86</f>
        <v>0</v>
      </c>
      <c r="O125" s="97">
        <f>'PRD Volumes TD (2009-2012)'!O86</f>
        <v>0</v>
      </c>
    </row>
    <row r="126" spans="2:18">
      <c r="B126" s="99" t="s">
        <v>251</v>
      </c>
      <c r="F126" s="109"/>
      <c r="G126" s="97">
        <f>'PRD Volumes TD (2009-2012)'!G87</f>
        <v>7034</v>
      </c>
      <c r="H126" s="97">
        <f>'PRD Volumes TD (2009-2012)'!H87</f>
        <v>11560</v>
      </c>
      <c r="I126" s="97">
        <f>'PRD Volumes TD (2009-2012)'!I87</f>
        <v>0</v>
      </c>
      <c r="J126" s="97">
        <f>'PRD Volumes TD (2009-2012)'!J87</f>
        <v>0</v>
      </c>
      <c r="K126" s="97">
        <f>'PRD Volumes TD (2009-2012)'!K87</f>
        <v>135339.83333333334</v>
      </c>
      <c r="L126" s="97">
        <f>'PRD Volumes TD (2009-2012)'!L87</f>
        <v>4010.1</v>
      </c>
      <c r="M126" s="97">
        <f>'PRD Volumes TD (2009-2012)'!M87</f>
        <v>0</v>
      </c>
      <c r="N126" s="97">
        <f>'PRD Volumes TD (2009-2012)'!N87</f>
        <v>0</v>
      </c>
      <c r="O126" s="97">
        <f>'PRD Volumes TD (2009-2012)'!O87</f>
        <v>0</v>
      </c>
    </row>
    <row r="127" spans="2:18">
      <c r="B127" s="101"/>
      <c r="F127" s="50"/>
    </row>
    <row r="128" spans="2:18">
      <c r="B128" s="100" t="s">
        <v>252</v>
      </c>
      <c r="F128" s="109"/>
      <c r="G128" s="97">
        <f>'PRD Volumes TD (2009-2012)'!G89</f>
        <v>0</v>
      </c>
      <c r="H128" s="97">
        <f>'PRD Volumes TD (2009-2012)'!H89</f>
        <v>0</v>
      </c>
      <c r="I128" s="97">
        <f>'PRD Volumes TD (2009-2012)'!I89</f>
        <v>159593.81868478365</v>
      </c>
      <c r="J128" s="97">
        <f>'PRD Volumes TD (2009-2012)'!J89</f>
        <v>746929.2473636365</v>
      </c>
      <c r="K128" s="97">
        <f>'PRD Volumes TD (2009-2012)'!K89</f>
        <v>0</v>
      </c>
      <c r="L128" s="97">
        <f>'PRD Volumes TD (2009-2012)'!L89</f>
        <v>0</v>
      </c>
      <c r="M128" s="97">
        <f>'PRD Volumes TD (2009-2012)'!M89</f>
        <v>665703.64110297267</v>
      </c>
      <c r="N128" s="97">
        <f>'PRD Volumes TD (2009-2012)'!N89</f>
        <v>335771.55694716237</v>
      </c>
      <c r="O128" s="97">
        <f>'PRD Volumes TD (2009-2012)'!O89</f>
        <v>0</v>
      </c>
    </row>
    <row r="129" spans="2:15">
      <c r="B129" s="22"/>
      <c r="F129" s="50"/>
    </row>
    <row r="130" spans="2:15">
      <c r="B130" s="22" t="s">
        <v>253</v>
      </c>
      <c r="F130" s="109"/>
      <c r="G130" s="28"/>
      <c r="H130" s="97">
        <f>'PRD Volumes TD (2009-2012)'!H91</f>
        <v>74591</v>
      </c>
      <c r="I130" s="28"/>
      <c r="J130" s="97">
        <f>'PRD Volumes TD (2009-2012)'!J91</f>
        <v>60000</v>
      </c>
      <c r="K130" s="28"/>
      <c r="L130" s="28"/>
      <c r="M130" s="28"/>
      <c r="N130" s="28"/>
      <c r="O130" s="97">
        <f>'PRD Volumes TD (2009-2012)'!O91</f>
        <v>545321</v>
      </c>
    </row>
    <row r="131" spans="2:15">
      <c r="B131" s="22"/>
    </row>
    <row r="132" spans="2:15">
      <c r="B132" s="22"/>
    </row>
    <row r="133" spans="2:15">
      <c r="B133" s="22" t="s">
        <v>316</v>
      </c>
    </row>
    <row r="134" spans="2:15">
      <c r="B134" s="22"/>
    </row>
    <row r="135" spans="2:15">
      <c r="B135" s="103" t="s">
        <v>265</v>
      </c>
    </row>
    <row r="136" spans="2:15">
      <c r="B136" s="89" t="s">
        <v>201</v>
      </c>
      <c r="F136" s="102">
        <f t="shared" ref="F136:F137" si="13">SUM(G136:O136)</f>
        <v>6935121.0918280128</v>
      </c>
      <c r="G136" s="107">
        <f>SUM(G96:G101)</f>
        <v>136101.69230769228</v>
      </c>
      <c r="H136" s="107">
        <f t="shared" ref="H136:O136" si="14">SUM(H96:H101)</f>
        <v>184870.5</v>
      </c>
      <c r="I136" s="107">
        <f t="shared" si="14"/>
        <v>386536</v>
      </c>
      <c r="J136" s="107">
        <f t="shared" si="14"/>
        <v>2009244.8091728392</v>
      </c>
      <c r="K136" s="107">
        <f t="shared" si="14"/>
        <v>2194570.25</v>
      </c>
      <c r="L136" s="107">
        <f t="shared" si="14"/>
        <v>100580.6</v>
      </c>
      <c r="M136" s="107">
        <f t="shared" si="14"/>
        <v>1873797.8606961209</v>
      </c>
      <c r="N136" s="107">
        <f t="shared" si="14"/>
        <v>49419.379651361007</v>
      </c>
      <c r="O136" s="107">
        <f t="shared" si="14"/>
        <v>0</v>
      </c>
    </row>
    <row r="137" spans="2:15">
      <c r="B137" s="90" t="s">
        <v>202</v>
      </c>
      <c r="F137" s="102">
        <f t="shared" si="13"/>
        <v>22530721.585640498</v>
      </c>
      <c r="G137" s="98">
        <f>SUMPRODUCT($F$10:$F$15,G96:G101)</f>
        <v>473646.0384615385</v>
      </c>
      <c r="H137" s="98">
        <f t="shared" ref="H137:O137" si="15">SUMPRODUCT($F$10:$F$15,H96:H101)</f>
        <v>606780.66666666663</v>
      </c>
      <c r="I137" s="98">
        <f t="shared" si="15"/>
        <v>1321142.5</v>
      </c>
      <c r="J137" s="98">
        <f t="shared" si="15"/>
        <v>6737296.2031902997</v>
      </c>
      <c r="K137" s="98">
        <f t="shared" si="15"/>
        <v>7013000.0731666675</v>
      </c>
      <c r="L137" s="98">
        <f t="shared" si="15"/>
        <v>342000.5</v>
      </c>
      <c r="M137" s="98">
        <f t="shared" si="15"/>
        <v>5873981.5991449906</v>
      </c>
      <c r="N137" s="98">
        <f t="shared" si="15"/>
        <v>162874.00501033475</v>
      </c>
      <c r="O137" s="98">
        <f t="shared" si="15"/>
        <v>0</v>
      </c>
    </row>
    <row r="138" spans="2:15">
      <c r="B138" s="90"/>
    </row>
    <row r="139" spans="2:15">
      <c r="B139" s="91" t="s">
        <v>266</v>
      </c>
    </row>
    <row r="140" spans="2:15">
      <c r="B140" s="89" t="s">
        <v>201</v>
      </c>
      <c r="F140" s="102">
        <f t="shared" ref="F140:F141" si="16">SUM(G140:O140)</f>
        <v>30965.496049536163</v>
      </c>
      <c r="G140" s="107">
        <f>SUM(G104:G108)</f>
        <v>509.76923076923077</v>
      </c>
      <c r="H140" s="107">
        <f t="shared" ref="H140:O140" si="17">SUM(H104:H108)</f>
        <v>562</v>
      </c>
      <c r="I140" s="107">
        <f t="shared" si="17"/>
        <v>1688</v>
      </c>
      <c r="J140" s="107">
        <f t="shared" si="17"/>
        <v>8516.9313799469655</v>
      </c>
      <c r="K140" s="107">
        <f t="shared" si="17"/>
        <v>9906.75</v>
      </c>
      <c r="L140" s="107">
        <f t="shared" si="17"/>
        <v>356.20000000000005</v>
      </c>
      <c r="M140" s="107">
        <f t="shared" si="17"/>
        <v>8689.0472321601465</v>
      </c>
      <c r="N140" s="107">
        <f t="shared" si="17"/>
        <v>736.79820665982288</v>
      </c>
      <c r="O140" s="107">
        <f t="shared" si="17"/>
        <v>0</v>
      </c>
    </row>
    <row r="141" spans="2:15">
      <c r="B141" s="90" t="s">
        <v>202</v>
      </c>
      <c r="F141" s="102">
        <f t="shared" si="16"/>
        <v>2437027.3287156899</v>
      </c>
      <c r="G141" s="98">
        <f>SUMPRODUCT($F$18:$F$22,G104:G108)</f>
        <v>34711.923076923078</v>
      </c>
      <c r="H141" s="98">
        <f t="shared" ref="H141:O141" si="18">SUMPRODUCT($F$18:$F$22,H104:H108)</f>
        <v>40025</v>
      </c>
      <c r="I141" s="98">
        <f t="shared" si="18"/>
        <v>110855</v>
      </c>
      <c r="J141" s="98">
        <f t="shared" si="18"/>
        <v>661342.8156464604</v>
      </c>
      <c r="K141" s="98">
        <f t="shared" si="18"/>
        <v>732476.25</v>
      </c>
      <c r="L141" s="98">
        <f t="shared" si="18"/>
        <v>23974</v>
      </c>
      <c r="M141" s="98">
        <f t="shared" si="18"/>
        <v>747379.30646551726</v>
      </c>
      <c r="N141" s="98">
        <f t="shared" si="18"/>
        <v>86263.033526789077</v>
      </c>
      <c r="O141" s="98">
        <f t="shared" si="18"/>
        <v>0</v>
      </c>
    </row>
    <row r="142" spans="2:15">
      <c r="B142" s="104"/>
    </row>
    <row r="143" spans="2:15">
      <c r="B143" s="88" t="s">
        <v>204</v>
      </c>
    </row>
    <row r="144" spans="2:15">
      <c r="B144" s="89" t="s">
        <v>201</v>
      </c>
      <c r="F144" s="102">
        <f t="shared" ref="F144:F148" si="19">SUM(G144:O144)</f>
        <v>8739.6187977756363</v>
      </c>
      <c r="G144" s="107">
        <f>SUM(G114:G117)</f>
        <v>111</v>
      </c>
      <c r="H144" s="107">
        <f t="shared" ref="H144:O144" si="20">SUM(H114:H117)</f>
        <v>182</v>
      </c>
      <c r="I144" s="107">
        <f t="shared" si="20"/>
        <v>513</v>
      </c>
      <c r="J144" s="107">
        <f t="shared" si="20"/>
        <v>2270.9508641975308</v>
      </c>
      <c r="K144" s="107">
        <f t="shared" si="20"/>
        <v>2525.666666666667</v>
      </c>
      <c r="L144" s="107">
        <f t="shared" si="20"/>
        <v>91.6</v>
      </c>
      <c r="M144" s="107">
        <f t="shared" si="20"/>
        <v>2044.1272669114376</v>
      </c>
      <c r="N144" s="107">
        <f t="shared" si="20"/>
        <v>1001.274</v>
      </c>
      <c r="O144" s="107">
        <f t="shared" si="20"/>
        <v>0</v>
      </c>
    </row>
    <row r="145" spans="2:15">
      <c r="B145" s="90" t="s">
        <v>262</v>
      </c>
      <c r="F145" s="102">
        <f t="shared" si="19"/>
        <v>157943.93333333335</v>
      </c>
      <c r="G145" s="111">
        <f>G126</f>
        <v>7034</v>
      </c>
      <c r="H145" s="111">
        <f t="shared" ref="H145:O145" si="21">H126</f>
        <v>11560</v>
      </c>
      <c r="I145" s="111">
        <f t="shared" si="21"/>
        <v>0</v>
      </c>
      <c r="J145" s="111">
        <f t="shared" si="21"/>
        <v>0</v>
      </c>
      <c r="K145" s="111">
        <f t="shared" si="21"/>
        <v>135339.83333333334</v>
      </c>
      <c r="L145" s="111">
        <f t="shared" si="21"/>
        <v>4010.1</v>
      </c>
      <c r="M145" s="111">
        <f t="shared" si="21"/>
        <v>0</v>
      </c>
      <c r="N145" s="111">
        <f t="shared" si="21"/>
        <v>0</v>
      </c>
      <c r="O145" s="111">
        <f t="shared" si="21"/>
        <v>0</v>
      </c>
    </row>
    <row r="146" spans="2:15">
      <c r="B146" s="89" t="s">
        <v>263</v>
      </c>
      <c r="F146" s="102">
        <f t="shared" si="19"/>
        <v>632401.83145202091</v>
      </c>
      <c r="G146" s="111">
        <f>G125</f>
        <v>22291</v>
      </c>
      <c r="H146" s="111">
        <f t="shared" ref="H146:O146" si="22">H125</f>
        <v>50996.044355985214</v>
      </c>
      <c r="I146" s="111">
        <f t="shared" si="22"/>
        <v>0</v>
      </c>
      <c r="J146" s="111">
        <f t="shared" si="22"/>
        <v>0</v>
      </c>
      <c r="K146" s="111">
        <f t="shared" si="22"/>
        <v>532955.98709603562</v>
      </c>
      <c r="L146" s="111">
        <f t="shared" si="22"/>
        <v>26158.799999999999</v>
      </c>
      <c r="M146" s="111">
        <f t="shared" si="22"/>
        <v>0</v>
      </c>
      <c r="N146" s="111">
        <f t="shared" si="22"/>
        <v>0</v>
      </c>
      <c r="O146" s="111">
        <f t="shared" si="22"/>
        <v>0</v>
      </c>
    </row>
    <row r="147" spans="2:15">
      <c r="B147" s="90" t="s">
        <v>264</v>
      </c>
      <c r="F147" s="102">
        <f t="shared" si="19"/>
        <v>1907998.2640985553</v>
      </c>
      <c r="G147" s="111">
        <f>G128</f>
        <v>0</v>
      </c>
      <c r="H147" s="111">
        <f t="shared" ref="H147:O147" si="23">H128</f>
        <v>0</v>
      </c>
      <c r="I147" s="111">
        <f t="shared" si="23"/>
        <v>159593.81868478365</v>
      </c>
      <c r="J147" s="111">
        <f t="shared" si="23"/>
        <v>746929.2473636365</v>
      </c>
      <c r="K147" s="111">
        <f t="shared" si="23"/>
        <v>0</v>
      </c>
      <c r="L147" s="111">
        <f t="shared" si="23"/>
        <v>0</v>
      </c>
      <c r="M147" s="111">
        <f t="shared" si="23"/>
        <v>665703.64110297267</v>
      </c>
      <c r="N147" s="111">
        <f t="shared" si="23"/>
        <v>335771.55694716237</v>
      </c>
      <c r="O147" s="111">
        <f t="shared" si="23"/>
        <v>0</v>
      </c>
    </row>
    <row r="148" spans="2:15">
      <c r="B148" s="90" t="s">
        <v>205</v>
      </c>
      <c r="F148" s="102">
        <f t="shared" si="19"/>
        <v>2698344.0288839093</v>
      </c>
      <c r="G148" s="102">
        <f t="shared" ref="G148" si="24">SUM(G145:G147)</f>
        <v>29325</v>
      </c>
      <c r="H148" s="102">
        <f t="shared" ref="H148" si="25">SUM(H145:H147)</f>
        <v>62556.044355985214</v>
      </c>
      <c r="I148" s="102">
        <f t="shared" ref="I148" si="26">SUM(I145:I147)</f>
        <v>159593.81868478365</v>
      </c>
      <c r="J148" s="102">
        <f t="shared" ref="J148" si="27">SUM(J145:J147)</f>
        <v>746929.2473636365</v>
      </c>
      <c r="K148" s="102">
        <f t="shared" ref="K148" si="28">SUM(K145:K147)</f>
        <v>668295.82042936899</v>
      </c>
      <c r="L148" s="102">
        <f t="shared" ref="L148" si="29">SUM(L145:L147)</f>
        <v>30168.899999999998</v>
      </c>
      <c r="M148" s="102">
        <f t="shared" ref="M148" si="30">SUM(M145:M147)</f>
        <v>665703.64110297267</v>
      </c>
      <c r="N148" s="102">
        <f t="shared" ref="N148" si="31">SUM(N145:N147)</f>
        <v>335771.55694716237</v>
      </c>
      <c r="O148" s="102">
        <f t="shared" ref="O148" si="32">SUM(O145:O147)</f>
        <v>0</v>
      </c>
    </row>
    <row r="149" spans="2:15">
      <c r="B149" s="105"/>
      <c r="H149" s="90"/>
    </row>
    <row r="150" spans="2:15">
      <c r="B150" s="88" t="s">
        <v>206</v>
      </c>
      <c r="H150" s="90"/>
    </row>
    <row r="151" spans="2:15">
      <c r="B151" s="89" t="s">
        <v>201</v>
      </c>
      <c r="F151" s="102">
        <f t="shared" ref="F151:F152" si="33">SUM(G151:O151)</f>
        <v>7</v>
      </c>
      <c r="G151" s="29"/>
      <c r="H151" s="97">
        <f t="shared" ref="H151" si="34">H119</f>
        <v>4</v>
      </c>
      <c r="I151" s="29"/>
      <c r="J151" s="97">
        <f t="shared" ref="J151" si="35">J119</f>
        <v>1</v>
      </c>
      <c r="K151" s="29"/>
      <c r="L151" s="29"/>
      <c r="M151" s="29"/>
      <c r="N151" s="29"/>
      <c r="O151" s="97">
        <f t="shared" ref="O151" si="36">O119</f>
        <v>2</v>
      </c>
    </row>
    <row r="152" spans="2:15">
      <c r="B152" s="90" t="s">
        <v>202</v>
      </c>
      <c r="F152" s="102">
        <f t="shared" si="33"/>
        <v>679912</v>
      </c>
      <c r="G152" s="29"/>
      <c r="H152" s="97">
        <f t="shared" ref="H152" si="37">H130</f>
        <v>74591</v>
      </c>
      <c r="I152" s="29"/>
      <c r="J152" s="97">
        <f t="shared" ref="J152" si="38">J130</f>
        <v>60000</v>
      </c>
      <c r="K152" s="29"/>
      <c r="L152" s="29"/>
      <c r="M152" s="29"/>
      <c r="N152" s="29"/>
      <c r="O152" s="97">
        <f t="shared" ref="O152" si="39">O130</f>
        <v>545321</v>
      </c>
    </row>
    <row r="153" spans="2:15">
      <c r="B153" s="22"/>
      <c r="H153" s="90"/>
    </row>
    <row r="154" spans="2:15">
      <c r="B154" s="22"/>
      <c r="H154" s="90"/>
    </row>
    <row r="155" spans="2:15" s="2" customFormat="1">
      <c r="B155" s="2" t="s">
        <v>23</v>
      </c>
      <c r="F155" s="49"/>
    </row>
    <row r="157" spans="2:15">
      <c r="B157" s="3" t="s">
        <v>231</v>
      </c>
    </row>
    <row r="158" spans="2:15">
      <c r="B158" s="22"/>
    </row>
    <row r="159" spans="2:15">
      <c r="B159" s="22" t="s">
        <v>224</v>
      </c>
    </row>
    <row r="160" spans="2:15">
      <c r="B160" s="99" t="s">
        <v>225</v>
      </c>
      <c r="F160" s="109"/>
      <c r="G160" s="97">
        <f>'PRD Volumes TD (2009-2012)'!G99</f>
        <v>3957</v>
      </c>
      <c r="H160" s="97">
        <f>'PRD Volumes TD (2009-2012)'!H99</f>
        <v>10369.75</v>
      </c>
      <c r="I160" s="97">
        <f>'PRD Volumes TD (2009-2012)'!I99</f>
        <v>23471</v>
      </c>
      <c r="J160" s="97">
        <f>'PRD Volumes TD (2009-2012)'!J99</f>
        <v>121081.68499947319</v>
      </c>
      <c r="K160" s="97">
        <f>'PRD Volumes TD (2009-2012)'!K99</f>
        <v>211040.34796249997</v>
      </c>
      <c r="L160" s="97">
        <f>'PRD Volumes TD (2009-2012)'!L99</f>
        <v>4158.6000000000004</v>
      </c>
      <c r="M160" s="97">
        <f>'PRD Volumes TD (2009-2012)'!M99</f>
        <v>231991.23058738315</v>
      </c>
      <c r="N160" s="97">
        <f>'PRD Volumes TD (2009-2012)'!N99</f>
        <v>3212.6093251846291</v>
      </c>
      <c r="O160" s="97">
        <f>'PRD Volumes TD (2009-2012)'!O99</f>
        <v>0</v>
      </c>
    </row>
    <row r="161" spans="2:15">
      <c r="B161" s="99" t="s">
        <v>226</v>
      </c>
      <c r="F161" s="109"/>
      <c r="G161" s="97">
        <f>'PRD Volumes TD (2009-2012)'!G100</f>
        <v>119836</v>
      </c>
      <c r="H161" s="97">
        <f>'PRD Volumes TD (2009-2012)'!H100</f>
        <v>165737.66666666666</v>
      </c>
      <c r="I161" s="97">
        <f>'PRD Volumes TD (2009-2012)'!I100</f>
        <v>337167</v>
      </c>
      <c r="J161" s="97">
        <f>'PRD Volumes TD (2009-2012)'!J100</f>
        <v>1757746.867959498</v>
      </c>
      <c r="K161" s="97">
        <f>'PRD Volumes TD (2009-2012)'!K100</f>
        <v>1870836.2233587501</v>
      </c>
      <c r="L161" s="97">
        <f>'PRD Volumes TD (2009-2012)'!L100</f>
        <v>88723.4</v>
      </c>
      <c r="M161" s="97">
        <f>'PRD Volumes TD (2009-2012)'!M100</f>
        <v>1566852.9604899252</v>
      </c>
      <c r="N161" s="97">
        <f>'PRD Volumes TD (2009-2012)'!N100</f>
        <v>43440.033794215597</v>
      </c>
      <c r="O161" s="97">
        <f>'PRD Volumes TD (2009-2012)'!O100</f>
        <v>0</v>
      </c>
    </row>
    <row r="162" spans="2:15">
      <c r="B162" s="99" t="s">
        <v>227</v>
      </c>
      <c r="F162" s="109"/>
      <c r="G162" s="97">
        <f>'PRD Volumes TD (2009-2012)'!G101</f>
        <v>9851</v>
      </c>
      <c r="H162" s="97">
        <f>'PRD Volumes TD (2009-2012)'!H101</f>
        <v>5164.083333333333</v>
      </c>
      <c r="I162" s="97">
        <f>'PRD Volumes TD (2009-2012)'!I101</f>
        <v>19364</v>
      </c>
      <c r="J162" s="97">
        <f>'PRD Volumes TD (2009-2012)'!J101</f>
        <v>98218.392894218647</v>
      </c>
      <c r="K162" s="97">
        <f>'PRD Volumes TD (2009-2012)'!K101</f>
        <v>94919.178678750002</v>
      </c>
      <c r="L162" s="97">
        <f>'PRD Volumes TD (2009-2012)'!L101</f>
        <v>6101.4</v>
      </c>
      <c r="M162" s="97">
        <f>'PRD Volumes TD (2009-2012)'!M101</f>
        <v>61155.758856841829</v>
      </c>
      <c r="N162" s="97">
        <f>'PRD Volumes TD (2009-2012)'!N101</f>
        <v>1709.7860133174461</v>
      </c>
      <c r="O162" s="97">
        <f>'PRD Volumes TD (2009-2012)'!O101</f>
        <v>0</v>
      </c>
    </row>
    <row r="163" spans="2:15">
      <c r="B163" s="100" t="s">
        <v>228</v>
      </c>
      <c r="F163" s="109"/>
      <c r="G163" s="97">
        <f>'PRD Volumes TD (2009-2012)'!G102</f>
        <v>2</v>
      </c>
      <c r="H163" s="97">
        <f>'PRD Volumes TD (2009-2012)'!H102</f>
        <v>17.916666666666668</v>
      </c>
      <c r="I163" s="97">
        <f>'PRD Volumes TD (2009-2012)'!I102</f>
        <v>2406</v>
      </c>
      <c r="J163" s="97">
        <f>'PRD Volumes TD (2009-2012)'!J102</f>
        <v>4816.5970748578384</v>
      </c>
      <c r="K163" s="97">
        <f>'PRD Volumes TD (2009-2012)'!K102</f>
        <v>8678.9166666666661</v>
      </c>
      <c r="L163" s="97">
        <f>'PRD Volumes TD (2009-2012)'!L102</f>
        <v>672.6</v>
      </c>
      <c r="M163" s="97">
        <f>'PRD Volumes TD (2009-2012)'!M102</f>
        <v>7780.1666534966425</v>
      </c>
      <c r="N163" s="97">
        <f>'PRD Volumes TD (2009-2012)'!N102</f>
        <v>423.45989219513632</v>
      </c>
      <c r="O163" s="97">
        <f>'PRD Volumes TD (2009-2012)'!O102</f>
        <v>0</v>
      </c>
    </row>
    <row r="164" spans="2:15">
      <c r="B164" s="100" t="s">
        <v>229</v>
      </c>
      <c r="F164" s="109"/>
      <c r="G164" s="97">
        <f>'PRD Volumes TD (2009-2012)'!G103</f>
        <v>2282</v>
      </c>
      <c r="H164" s="97">
        <f>'PRD Volumes TD (2009-2012)'!H103</f>
        <v>2736.0833333333335</v>
      </c>
      <c r="I164" s="97">
        <f>'PRD Volumes TD (2009-2012)'!I103</f>
        <v>5762</v>
      </c>
      <c r="J164" s="97">
        <f>'PRD Volumes TD (2009-2012)'!J103</f>
        <v>27508.215926321798</v>
      </c>
      <c r="K164" s="97">
        <f>'PRD Volumes TD (2009-2012)'!K103</f>
        <v>20913</v>
      </c>
      <c r="L164" s="97">
        <f>'PRD Volumes TD (2009-2012)'!L103</f>
        <v>1111.8</v>
      </c>
      <c r="M164" s="97">
        <f>'PRD Volumes TD (2009-2012)'!M103</f>
        <v>16186.333341564601</v>
      </c>
      <c r="N164" s="97">
        <f>'PRD Volumes TD (2009-2012)'!N103</f>
        <v>395.34982284282597</v>
      </c>
      <c r="O164" s="97">
        <f>'PRD Volumes TD (2009-2012)'!O103</f>
        <v>0</v>
      </c>
    </row>
    <row r="165" spans="2:15">
      <c r="B165" s="100" t="s">
        <v>230</v>
      </c>
      <c r="F165" s="109"/>
      <c r="G165" s="97">
        <f>'PRD Volumes TD (2009-2012)'!G104</f>
        <v>722</v>
      </c>
      <c r="H165" s="97">
        <f>'PRD Volumes TD (2009-2012)'!H104</f>
        <v>665.5</v>
      </c>
      <c r="I165" s="97">
        <f>'PRD Volumes TD (2009-2012)'!I104</f>
        <v>1951</v>
      </c>
      <c r="J165" s="97">
        <f>'PRD Volumes TD (2009-2012)'!J104</f>
        <v>8459.1176753988875</v>
      </c>
      <c r="K165" s="97">
        <f>'PRD Volumes TD (2009-2012)'!K104</f>
        <v>6028.583333333333</v>
      </c>
      <c r="L165" s="97">
        <f>'PRD Volumes TD (2009-2012)'!L104</f>
        <v>410.2</v>
      </c>
      <c r="M165" s="97">
        <f>'PRD Volumes TD (2009-2012)'!M104</f>
        <v>6784.5075780323978</v>
      </c>
      <c r="N165" s="97">
        <f>'PRD Volumes TD (2009-2012)'!N104</f>
        <v>281.78372836924723</v>
      </c>
      <c r="O165" s="97">
        <f>'PRD Volumes TD (2009-2012)'!O104</f>
        <v>0</v>
      </c>
    </row>
    <row r="166" spans="2:15">
      <c r="B166" s="22"/>
      <c r="F166" s="50"/>
    </row>
    <row r="167" spans="2:15">
      <c r="B167" s="22" t="s">
        <v>232</v>
      </c>
      <c r="F167" s="50"/>
    </row>
    <row r="168" spans="2:15">
      <c r="B168" s="23" t="s">
        <v>233</v>
      </c>
      <c r="F168" s="109"/>
      <c r="G168" s="97">
        <f>'PRD Volumes TD (2009-2012)'!G107</f>
        <v>230</v>
      </c>
      <c r="H168" s="97">
        <f>'PRD Volumes TD (2009-2012)'!H107</f>
        <v>190.41666666666666</v>
      </c>
      <c r="I168" s="97">
        <f>'PRD Volumes TD (2009-2012)'!I107</f>
        <v>777</v>
      </c>
      <c r="J168" s="97">
        <f>'PRD Volumes TD (2009-2012)'!J107</f>
        <v>2774.4896120133712</v>
      </c>
      <c r="K168" s="97">
        <f>'PRD Volumes TD (2009-2012)'!K107</f>
        <v>3089.75</v>
      </c>
      <c r="L168" s="97">
        <f>'PRD Volumes TD (2009-2012)'!L107</f>
        <v>141.80000000000001</v>
      </c>
      <c r="M168" s="97">
        <f>'PRD Volumes TD (2009-2012)'!M107</f>
        <v>2346.3636408534185</v>
      </c>
      <c r="N168" s="97">
        <f>'PRD Volumes TD (2009-2012)'!N107</f>
        <v>125.01173153023764</v>
      </c>
      <c r="O168" s="97">
        <f>'PRD Volumes TD (2009-2012)'!O107</f>
        <v>0</v>
      </c>
    </row>
    <row r="169" spans="2:15">
      <c r="B169" s="23" t="s">
        <v>234</v>
      </c>
      <c r="F169" s="109"/>
      <c r="G169" s="97">
        <f>'PRD Volumes TD (2009-2012)'!G108</f>
        <v>173</v>
      </c>
      <c r="H169" s="97">
        <f>'PRD Volumes TD (2009-2012)'!H108</f>
        <v>246.58333333333334</v>
      </c>
      <c r="I169" s="97">
        <f>'PRD Volumes TD (2009-2012)'!I108</f>
        <v>533</v>
      </c>
      <c r="J169" s="97">
        <f>'PRD Volumes TD (2009-2012)'!J108</f>
        <v>3348.6566718270383</v>
      </c>
      <c r="K169" s="97">
        <f>'PRD Volumes TD (2009-2012)'!K108</f>
        <v>4226.916666666667</v>
      </c>
      <c r="L169" s="97">
        <f>'PRD Volumes TD (2009-2012)'!L108</f>
        <v>147.19999999999999</v>
      </c>
      <c r="M169" s="97">
        <f>'PRD Volumes TD (2009-2012)'!M108</f>
        <v>3423.5454517825128</v>
      </c>
      <c r="N169" s="97">
        <f>'PRD Volumes TD (2009-2012)'!N108</f>
        <v>216.67639031031712</v>
      </c>
      <c r="O169" s="97">
        <f>'PRD Volumes TD (2009-2012)'!O108</f>
        <v>0</v>
      </c>
    </row>
    <row r="170" spans="2:15">
      <c r="B170" s="23" t="s">
        <v>235</v>
      </c>
      <c r="F170" s="109"/>
      <c r="G170" s="97">
        <f>'PRD Volumes TD (2009-2012)'!G109</f>
        <v>58</v>
      </c>
      <c r="H170" s="97">
        <f>'PRD Volumes TD (2009-2012)'!H109</f>
        <v>74.5</v>
      </c>
      <c r="I170" s="97">
        <f>'PRD Volumes TD (2009-2012)'!I109</f>
        <v>288</v>
      </c>
      <c r="J170" s="97">
        <f>'PRD Volumes TD (2009-2012)'!J109</f>
        <v>1454.9337381522973</v>
      </c>
      <c r="K170" s="97">
        <f>'PRD Volumes TD (2009-2012)'!K109</f>
        <v>1631.4166666666667</v>
      </c>
      <c r="L170" s="97">
        <f>'PRD Volumes TD (2009-2012)'!L109</f>
        <v>38.6</v>
      </c>
      <c r="M170" s="97">
        <f>'PRD Volumes TD (2009-2012)'!M109</f>
        <v>1720.9090912682734</v>
      </c>
      <c r="N170" s="97">
        <f>'PRD Volumes TD (2009-2012)'!N109</f>
        <v>126.77113520992653</v>
      </c>
      <c r="O170" s="97">
        <f>'PRD Volumes TD (2009-2012)'!O109</f>
        <v>0</v>
      </c>
    </row>
    <row r="171" spans="2:15">
      <c r="B171" s="23" t="s">
        <v>236</v>
      </c>
      <c r="F171" s="109"/>
      <c r="G171" s="97">
        <f>'PRD Volumes TD (2009-2012)'!G110</f>
        <v>42</v>
      </c>
      <c r="H171" s="97">
        <f>'PRD Volumes TD (2009-2012)'!H110</f>
        <v>47</v>
      </c>
      <c r="I171" s="97">
        <f>'PRD Volumes TD (2009-2012)'!I110</f>
        <v>68</v>
      </c>
      <c r="J171" s="97">
        <f>'PRD Volumes TD (2009-2012)'!J110</f>
        <v>506.30250095309236</v>
      </c>
      <c r="K171" s="97">
        <f>'PRD Volumes TD (2009-2012)'!K110</f>
        <v>649.41666666666663</v>
      </c>
      <c r="L171" s="97">
        <f>'PRD Volumes TD (2009-2012)'!L110</f>
        <v>18.600000000000001</v>
      </c>
      <c r="M171" s="97">
        <f>'PRD Volumes TD (2009-2012)'!M110</f>
        <v>151.62136369024097</v>
      </c>
      <c r="N171" s="97">
        <f>'PRD Volumes TD (2009-2012)'!N110</f>
        <v>182.82181503220357</v>
      </c>
      <c r="O171" s="97">
        <f>'PRD Volumes TD (2009-2012)'!O110</f>
        <v>0</v>
      </c>
    </row>
    <row r="172" spans="2:15">
      <c r="B172" s="23" t="s">
        <v>237</v>
      </c>
      <c r="F172" s="109"/>
      <c r="G172" s="97">
        <f>'PRD Volumes TD (2009-2012)'!G111</f>
        <v>13</v>
      </c>
      <c r="H172" s="97">
        <f>'PRD Volumes TD (2009-2012)'!H111</f>
        <v>5</v>
      </c>
      <c r="I172" s="97">
        <f>'PRD Volumes TD (2009-2012)'!I111</f>
        <v>21</v>
      </c>
      <c r="J172" s="97">
        <f>'PRD Volumes TD (2009-2012)'!J111</f>
        <v>353.13232553904811</v>
      </c>
      <c r="K172" s="97">
        <f>'PRD Volumes TD (2009-2012)'!K111</f>
        <v>200</v>
      </c>
      <c r="L172" s="97">
        <f>'PRD Volumes TD (2009-2012)'!L111</f>
        <v>5</v>
      </c>
      <c r="M172" s="97">
        <f>'PRD Volumes TD (2009-2012)'!M111</f>
        <v>711.60960025286431</v>
      </c>
      <c r="N172" s="97">
        <f>'PRD Volumes TD (2009-2012)'!N111</f>
        <v>75.242991901008949</v>
      </c>
      <c r="O172" s="97">
        <f>'PRD Volumes TD (2009-2012)'!O111</f>
        <v>0</v>
      </c>
    </row>
    <row r="173" spans="2:15">
      <c r="B173" s="3"/>
      <c r="F173" s="50"/>
    </row>
    <row r="174" spans="2:15">
      <c r="B174" s="3"/>
      <c r="F174" s="50"/>
    </row>
    <row r="175" spans="2:15">
      <c r="B175" s="3" t="s">
        <v>256</v>
      </c>
      <c r="F175" s="50"/>
    </row>
    <row r="176" spans="2:15">
      <c r="B176" s="22"/>
      <c r="F176" s="50"/>
    </row>
    <row r="177" spans="2:15">
      <c r="B177" s="22" t="s">
        <v>255</v>
      </c>
      <c r="F177" s="109"/>
      <c r="G177" s="97">
        <f>'PRD Volumes TD (2009-2012)'!G116</f>
        <v>114</v>
      </c>
      <c r="H177" s="97">
        <f>'PRD Volumes TD (2009-2012)'!H116</f>
        <v>182.66666666666666</v>
      </c>
      <c r="I177" s="97">
        <f>'PRD Volumes TD (2009-2012)'!I116</f>
        <v>500</v>
      </c>
      <c r="J177" s="97">
        <f>'PRD Volumes TD (2009-2012)'!J116</f>
        <v>2344.8861337513063</v>
      </c>
      <c r="K177" s="97">
        <f>'PRD Volumes TD (2009-2012)'!K116</f>
        <v>2556</v>
      </c>
      <c r="L177" s="97">
        <f>'PRD Volumes TD (2009-2012)'!L116</f>
        <v>91.72</v>
      </c>
      <c r="M177" s="97">
        <f>'PRD Volumes TD (2009-2012)'!M116</f>
        <v>2062</v>
      </c>
      <c r="N177" s="97">
        <f>'PRD Volumes TD (2009-2012)'!N116</f>
        <v>964.85216666666679</v>
      </c>
      <c r="O177" s="97">
        <f>'PRD Volumes TD (2009-2012)'!O116</f>
        <v>0</v>
      </c>
    </row>
    <row r="178" spans="2:15">
      <c r="B178" s="22"/>
      <c r="F178" s="50"/>
    </row>
    <row r="179" spans="2:15">
      <c r="B179" s="22" t="s">
        <v>257</v>
      </c>
      <c r="F179" s="50"/>
    </row>
    <row r="180" spans="2:15">
      <c r="B180" s="99" t="s">
        <v>250</v>
      </c>
      <c r="F180" s="109"/>
      <c r="G180" s="97">
        <f>'PRD Volumes TD (2009-2012)'!G119</f>
        <v>23809.916666666668</v>
      </c>
      <c r="H180" s="97">
        <f>'PRD Volumes TD (2009-2012)'!H119</f>
        <v>46805</v>
      </c>
      <c r="I180" s="97">
        <f>'PRD Volumes TD (2009-2012)'!I119</f>
        <v>0</v>
      </c>
      <c r="J180" s="97">
        <f>'PRD Volumes TD (2009-2012)'!J119</f>
        <v>0</v>
      </c>
      <c r="K180" s="97">
        <f>'PRD Volumes TD (2009-2012)'!K119</f>
        <v>528939.5</v>
      </c>
      <c r="L180" s="97">
        <f>'PRD Volumes TD (2009-2012)'!L119</f>
        <v>26637.38</v>
      </c>
      <c r="M180" s="97">
        <f>'PRD Volumes TD (2009-2012)'!M119</f>
        <v>0</v>
      </c>
      <c r="N180" s="97">
        <f>'PRD Volumes TD (2009-2012)'!N119</f>
        <v>0</v>
      </c>
      <c r="O180" s="97">
        <f>'PRD Volumes TD (2009-2012)'!O119</f>
        <v>0</v>
      </c>
    </row>
    <row r="181" spans="2:15">
      <c r="B181" s="99" t="s">
        <v>251</v>
      </c>
      <c r="F181" s="109"/>
      <c r="G181" s="97">
        <f>'PRD Volumes TD (2009-2012)'!G120</f>
        <v>7409.833333333333</v>
      </c>
      <c r="H181" s="97">
        <f>'PRD Volumes TD (2009-2012)'!H120</f>
        <v>13288.166666666666</v>
      </c>
      <c r="I181" s="97">
        <f>'PRD Volumes TD (2009-2012)'!I120</f>
        <v>0</v>
      </c>
      <c r="J181" s="97">
        <f>'PRD Volumes TD (2009-2012)'!J120</f>
        <v>0</v>
      </c>
      <c r="K181" s="97">
        <f>'PRD Volumes TD (2009-2012)'!K120</f>
        <v>135029.16666666666</v>
      </c>
      <c r="L181" s="97">
        <f>'PRD Volumes TD (2009-2012)'!L120</f>
        <v>3893.17</v>
      </c>
      <c r="M181" s="97">
        <f>'PRD Volumes TD (2009-2012)'!M120</f>
        <v>0</v>
      </c>
      <c r="N181" s="97">
        <f>'PRD Volumes TD (2009-2012)'!N120</f>
        <v>0</v>
      </c>
      <c r="O181" s="97">
        <f>'PRD Volumes TD (2009-2012)'!O120</f>
        <v>0</v>
      </c>
    </row>
    <row r="182" spans="2:15">
      <c r="B182" s="101"/>
      <c r="F182" s="50"/>
    </row>
    <row r="183" spans="2:15">
      <c r="B183" s="100" t="s">
        <v>252</v>
      </c>
      <c r="F183" s="109"/>
      <c r="G183" s="97">
        <f>'PRD Volumes TD (2009-2012)'!G122</f>
        <v>0</v>
      </c>
      <c r="H183" s="97">
        <f>'PRD Volumes TD (2009-2012)'!H122</f>
        <v>0</v>
      </c>
      <c r="I183" s="97">
        <f>'PRD Volumes TD (2009-2012)'!I122</f>
        <v>151001.82915258064</v>
      </c>
      <c r="J183" s="97">
        <f>'PRD Volumes TD (2009-2012)'!J122</f>
        <v>749533.67469287384</v>
      </c>
      <c r="K183" s="97">
        <f>'PRD Volumes TD (2009-2012)'!K122</f>
        <v>0</v>
      </c>
      <c r="L183" s="97">
        <f>'PRD Volumes TD (2009-2012)'!L122</f>
        <v>0</v>
      </c>
      <c r="M183" s="97">
        <f>'PRD Volumes TD (2009-2012)'!M122</f>
        <v>642927.54563413677</v>
      </c>
      <c r="N183" s="97">
        <f>'PRD Volumes TD (2009-2012)'!N122</f>
        <v>327012.4837768866</v>
      </c>
      <c r="O183" s="97">
        <f>'PRD Volumes TD (2009-2012)'!O122</f>
        <v>0</v>
      </c>
    </row>
    <row r="184" spans="2:15">
      <c r="B184" s="22"/>
      <c r="F184" s="50"/>
    </row>
    <row r="185" spans="2:15">
      <c r="B185" s="22"/>
      <c r="F185" s="50"/>
    </row>
    <row r="186" spans="2:15">
      <c r="B186" s="3" t="s">
        <v>258</v>
      </c>
      <c r="F186" s="50"/>
      <c r="G186" s="28"/>
      <c r="I186" s="28"/>
      <c r="K186" s="28"/>
      <c r="L186" s="28"/>
      <c r="M186" s="28"/>
      <c r="N186" s="28"/>
    </row>
    <row r="187" spans="2:15">
      <c r="B187" s="22"/>
      <c r="F187" s="50"/>
      <c r="G187" s="28"/>
      <c r="I187" s="28"/>
      <c r="K187" s="28"/>
      <c r="L187" s="28"/>
      <c r="M187" s="28"/>
      <c r="N187" s="28"/>
    </row>
    <row r="188" spans="2:15">
      <c r="B188" s="22" t="s">
        <v>255</v>
      </c>
      <c r="F188" s="109"/>
      <c r="G188" s="28"/>
      <c r="H188" s="97">
        <f>'PRD Volumes TD (2009-2012)'!H127</f>
        <v>4</v>
      </c>
      <c r="I188" s="28"/>
      <c r="J188" s="97">
        <f>'PRD Volumes TD (2009-2012)'!J127</f>
        <v>1</v>
      </c>
      <c r="K188" s="28"/>
      <c r="L188" s="28"/>
      <c r="M188" s="28"/>
      <c r="N188" s="28"/>
      <c r="O188" s="97">
        <f>'PRD Volumes TD (2009-2012)'!O127</f>
        <v>2</v>
      </c>
    </row>
    <row r="189" spans="2:15">
      <c r="B189" s="22"/>
      <c r="F189" s="50"/>
      <c r="G189" s="28"/>
      <c r="I189" s="28"/>
      <c r="K189" s="28"/>
      <c r="L189" s="28"/>
      <c r="M189" s="28"/>
      <c r="N189" s="28"/>
    </row>
    <row r="190" spans="2:15">
      <c r="B190" s="22" t="s">
        <v>257</v>
      </c>
      <c r="F190" s="109"/>
      <c r="G190" s="28"/>
      <c r="H190" s="97">
        <f>'PRD Volumes TD (2009-2012)'!H129</f>
        <v>76941</v>
      </c>
      <c r="I190" s="28"/>
      <c r="J190" s="97">
        <f>'PRD Volumes TD (2009-2012)'!J129</f>
        <v>60000</v>
      </c>
      <c r="K190" s="28"/>
      <c r="L190" s="28"/>
      <c r="M190" s="28"/>
      <c r="N190" s="28"/>
      <c r="O190" s="97">
        <f>'PRD Volumes TD (2009-2012)'!O129</f>
        <v>666742</v>
      </c>
    </row>
    <row r="191" spans="2:15">
      <c r="B191" s="22"/>
      <c r="G191" s="28"/>
      <c r="I191" s="28"/>
      <c r="K191" s="28"/>
      <c r="L191" s="28"/>
      <c r="M191" s="28"/>
      <c r="N191" s="28"/>
    </row>
    <row r="192" spans="2:15">
      <c r="B192" s="22"/>
      <c r="I192" s="28"/>
    </row>
    <row r="193" spans="2:15">
      <c r="B193" s="22" t="s">
        <v>316</v>
      </c>
    </row>
    <row r="194" spans="2:15">
      <c r="B194" s="22"/>
    </row>
    <row r="195" spans="2:15">
      <c r="B195" s="103" t="s">
        <v>265</v>
      </c>
    </row>
    <row r="196" spans="2:15">
      <c r="B196" s="89" t="s">
        <v>201</v>
      </c>
      <c r="F196" s="102">
        <f t="shared" ref="F196:F197" si="40">SUM(G196:O196)</f>
        <v>6983101.1066131368</v>
      </c>
      <c r="G196" s="107">
        <f>SUM(G160:G165)</f>
        <v>136650</v>
      </c>
      <c r="H196" s="107">
        <f t="shared" ref="H196:O196" si="41">SUM(H160:H165)</f>
        <v>184691</v>
      </c>
      <c r="I196" s="107">
        <f t="shared" si="41"/>
        <v>390121</v>
      </c>
      <c r="J196" s="107">
        <f t="shared" si="41"/>
        <v>2017830.8765297683</v>
      </c>
      <c r="K196" s="107">
        <f t="shared" si="41"/>
        <v>2212416.25</v>
      </c>
      <c r="L196" s="107">
        <f t="shared" si="41"/>
        <v>101178</v>
      </c>
      <c r="M196" s="107">
        <f t="shared" si="41"/>
        <v>1890750.9575072436</v>
      </c>
      <c r="N196" s="107">
        <f t="shared" si="41"/>
        <v>49463.022576124888</v>
      </c>
      <c r="O196" s="107">
        <f t="shared" si="41"/>
        <v>0</v>
      </c>
    </row>
    <row r="197" spans="2:15">
      <c r="B197" s="90" t="s">
        <v>202</v>
      </c>
      <c r="F197" s="102">
        <f t="shared" si="40"/>
        <v>22654705.785979923</v>
      </c>
      <c r="G197" s="98">
        <f>SUMPRODUCT($F$10:$F$15,G160:G165)</f>
        <v>479131.5</v>
      </c>
      <c r="H197" s="98">
        <f t="shared" ref="H197:O197" si="42">SUMPRODUCT($F$10:$F$15,H160:H165)</f>
        <v>604346.125</v>
      </c>
      <c r="I197" s="98">
        <f t="shared" si="42"/>
        <v>1327918.5</v>
      </c>
      <c r="J197" s="98">
        <f t="shared" si="42"/>
        <v>6743948.8561977157</v>
      </c>
      <c r="K197" s="98">
        <f t="shared" si="42"/>
        <v>7070696.0140925003</v>
      </c>
      <c r="L197" s="98">
        <f t="shared" si="42"/>
        <v>343786.3</v>
      </c>
      <c r="M197" s="98">
        <f t="shared" si="42"/>
        <v>5921875.9699427113</v>
      </c>
      <c r="N197" s="98">
        <f t="shared" si="42"/>
        <v>163002.52074699616</v>
      </c>
      <c r="O197" s="98">
        <f t="shared" si="42"/>
        <v>0</v>
      </c>
    </row>
    <row r="198" spans="2:15">
      <c r="B198" s="90"/>
    </row>
    <row r="199" spans="2:15">
      <c r="B199" s="91" t="s">
        <v>266</v>
      </c>
    </row>
    <row r="200" spans="2:15">
      <c r="B200" s="89" t="s">
        <v>201</v>
      </c>
      <c r="F200" s="102">
        <f t="shared" ref="F200:F201" si="43">SUM(G200:O200)</f>
        <v>30433.288060315848</v>
      </c>
      <c r="G200" s="107">
        <f>SUM(G168:G172)</f>
        <v>516</v>
      </c>
      <c r="H200" s="107">
        <f t="shared" ref="H200:O200" si="44">SUM(H168:H172)</f>
        <v>563.5</v>
      </c>
      <c r="I200" s="107">
        <f t="shared" si="44"/>
        <v>1687</v>
      </c>
      <c r="J200" s="107">
        <f t="shared" si="44"/>
        <v>8437.5148484848469</v>
      </c>
      <c r="K200" s="107">
        <f t="shared" si="44"/>
        <v>9797.5</v>
      </c>
      <c r="L200" s="107">
        <f t="shared" si="44"/>
        <v>351.20000000000005</v>
      </c>
      <c r="M200" s="107">
        <f t="shared" si="44"/>
        <v>8354.0491478473105</v>
      </c>
      <c r="N200" s="107">
        <f t="shared" si="44"/>
        <v>726.52406398369385</v>
      </c>
      <c r="O200" s="107">
        <f t="shared" si="44"/>
        <v>0</v>
      </c>
    </row>
    <row r="201" spans="2:15">
      <c r="B201" s="90" t="s">
        <v>202</v>
      </c>
      <c r="F201" s="102">
        <f t="shared" si="43"/>
        <v>2339337.1374150384</v>
      </c>
      <c r="G201" s="98">
        <f>SUMPRODUCT($F$18:$F$22,G168:G172)</f>
        <v>36215</v>
      </c>
      <c r="H201" s="98">
        <f t="shared" ref="H201:O201" si="45">SUMPRODUCT($F$18:$F$22,H168:H172)</f>
        <v>39864.583333333336</v>
      </c>
      <c r="I201" s="98">
        <f t="shared" si="45"/>
        <v>110655</v>
      </c>
      <c r="J201" s="98">
        <f t="shared" si="45"/>
        <v>643427.12350177893</v>
      </c>
      <c r="K201" s="98">
        <f t="shared" si="45"/>
        <v>715387.91666666663</v>
      </c>
      <c r="L201" s="98">
        <f t="shared" si="45"/>
        <v>23326</v>
      </c>
      <c r="M201" s="98">
        <f t="shared" si="45"/>
        <v>690637.72738048213</v>
      </c>
      <c r="N201" s="98">
        <f t="shared" si="45"/>
        <v>79823.78653277758</v>
      </c>
      <c r="O201" s="98">
        <f t="shared" si="45"/>
        <v>0</v>
      </c>
    </row>
    <row r="202" spans="2:15">
      <c r="B202" s="104"/>
    </row>
    <row r="203" spans="2:15">
      <c r="B203" s="88" t="s">
        <v>204</v>
      </c>
    </row>
    <row r="204" spans="2:15">
      <c r="B204" s="89" t="s">
        <v>201</v>
      </c>
      <c r="F204" s="102">
        <f t="shared" ref="F204:F208" si="46">SUM(G204:O204)</f>
        <v>8816.1249670846391</v>
      </c>
      <c r="G204" s="107">
        <f>G177</f>
        <v>114</v>
      </c>
      <c r="H204" s="107">
        <f t="shared" ref="H204:O204" si="47">H177</f>
        <v>182.66666666666666</v>
      </c>
      <c r="I204" s="107">
        <f t="shared" si="47"/>
        <v>500</v>
      </c>
      <c r="J204" s="107">
        <f t="shared" si="47"/>
        <v>2344.8861337513063</v>
      </c>
      <c r="K204" s="107">
        <f t="shared" si="47"/>
        <v>2556</v>
      </c>
      <c r="L204" s="107">
        <f t="shared" si="47"/>
        <v>91.72</v>
      </c>
      <c r="M204" s="107">
        <f t="shared" si="47"/>
        <v>2062</v>
      </c>
      <c r="N204" s="107">
        <f t="shared" si="47"/>
        <v>964.85216666666679</v>
      </c>
      <c r="O204" s="107">
        <f t="shared" si="47"/>
        <v>0</v>
      </c>
    </row>
    <row r="205" spans="2:15">
      <c r="B205" s="90" t="s">
        <v>262</v>
      </c>
      <c r="F205" s="102">
        <f t="shared" si="46"/>
        <v>159620.33666666667</v>
      </c>
      <c r="G205" s="111">
        <f>G181</f>
        <v>7409.833333333333</v>
      </c>
      <c r="H205" s="111">
        <f t="shared" ref="H205:O205" si="48">H181</f>
        <v>13288.166666666666</v>
      </c>
      <c r="I205" s="111">
        <f t="shared" si="48"/>
        <v>0</v>
      </c>
      <c r="J205" s="111">
        <f t="shared" si="48"/>
        <v>0</v>
      </c>
      <c r="K205" s="111">
        <f t="shared" si="48"/>
        <v>135029.16666666666</v>
      </c>
      <c r="L205" s="111">
        <f t="shared" si="48"/>
        <v>3893.17</v>
      </c>
      <c r="M205" s="111">
        <f t="shared" si="48"/>
        <v>0</v>
      </c>
      <c r="N205" s="111">
        <f t="shared" si="48"/>
        <v>0</v>
      </c>
      <c r="O205" s="111">
        <f t="shared" si="48"/>
        <v>0</v>
      </c>
    </row>
    <row r="206" spans="2:15">
      <c r="B206" s="89" t="s">
        <v>263</v>
      </c>
      <c r="F206" s="102">
        <f t="shared" si="46"/>
        <v>626191.79666666663</v>
      </c>
      <c r="G206" s="111">
        <f>G180</f>
        <v>23809.916666666668</v>
      </c>
      <c r="H206" s="111">
        <f t="shared" ref="H206:O206" si="49">H180</f>
        <v>46805</v>
      </c>
      <c r="I206" s="111">
        <f t="shared" si="49"/>
        <v>0</v>
      </c>
      <c r="J206" s="111">
        <f t="shared" si="49"/>
        <v>0</v>
      </c>
      <c r="K206" s="111">
        <f t="shared" si="49"/>
        <v>528939.5</v>
      </c>
      <c r="L206" s="111">
        <f t="shared" si="49"/>
        <v>26637.38</v>
      </c>
      <c r="M206" s="111">
        <f t="shared" si="49"/>
        <v>0</v>
      </c>
      <c r="N206" s="111">
        <f t="shared" si="49"/>
        <v>0</v>
      </c>
      <c r="O206" s="111">
        <f t="shared" si="49"/>
        <v>0</v>
      </c>
    </row>
    <row r="207" spans="2:15">
      <c r="B207" s="90" t="s">
        <v>264</v>
      </c>
      <c r="F207" s="102">
        <f t="shared" si="46"/>
        <v>1870475.5332564777</v>
      </c>
      <c r="G207" s="111">
        <f>G183</f>
        <v>0</v>
      </c>
      <c r="H207" s="111">
        <f t="shared" ref="H207:O207" si="50">H183</f>
        <v>0</v>
      </c>
      <c r="I207" s="111">
        <f t="shared" si="50"/>
        <v>151001.82915258064</v>
      </c>
      <c r="J207" s="111">
        <f t="shared" si="50"/>
        <v>749533.67469287384</v>
      </c>
      <c r="K207" s="111">
        <f t="shared" si="50"/>
        <v>0</v>
      </c>
      <c r="L207" s="111">
        <f t="shared" si="50"/>
        <v>0</v>
      </c>
      <c r="M207" s="111">
        <f t="shared" si="50"/>
        <v>642927.54563413677</v>
      </c>
      <c r="N207" s="111">
        <f t="shared" si="50"/>
        <v>327012.4837768866</v>
      </c>
      <c r="O207" s="111">
        <f t="shared" si="50"/>
        <v>0</v>
      </c>
    </row>
    <row r="208" spans="2:15">
      <c r="B208" s="90" t="s">
        <v>205</v>
      </c>
      <c r="F208" s="102">
        <f t="shared" si="46"/>
        <v>2656287.666589811</v>
      </c>
      <c r="G208" s="102">
        <f t="shared" ref="G208" si="51">SUM(G205:G207)</f>
        <v>31219.75</v>
      </c>
      <c r="H208" s="102">
        <f t="shared" ref="H208" si="52">SUM(H205:H207)</f>
        <v>60093.166666666664</v>
      </c>
      <c r="I208" s="102">
        <f t="shared" ref="I208" si="53">SUM(I205:I207)</f>
        <v>151001.82915258064</v>
      </c>
      <c r="J208" s="102">
        <f t="shared" ref="J208" si="54">SUM(J205:J207)</f>
        <v>749533.67469287384</v>
      </c>
      <c r="K208" s="102">
        <f t="shared" ref="K208" si="55">SUM(K205:K207)</f>
        <v>663968.66666666663</v>
      </c>
      <c r="L208" s="102">
        <f t="shared" ref="L208" si="56">SUM(L205:L207)</f>
        <v>30530.550000000003</v>
      </c>
      <c r="M208" s="102">
        <f t="shared" ref="M208" si="57">SUM(M205:M207)</f>
        <v>642927.54563413677</v>
      </c>
      <c r="N208" s="102">
        <f t="shared" ref="N208" si="58">SUM(N205:N207)</f>
        <v>327012.4837768866</v>
      </c>
      <c r="O208" s="102">
        <f t="shared" ref="O208" si="59">SUM(O205:O207)</f>
        <v>0</v>
      </c>
    </row>
    <row r="209" spans="2:15">
      <c r="B209" s="105"/>
      <c r="H209" s="90"/>
    </row>
    <row r="210" spans="2:15">
      <c r="B210" s="88" t="s">
        <v>206</v>
      </c>
      <c r="H210" s="90"/>
    </row>
    <row r="211" spans="2:15">
      <c r="B211" s="89" t="s">
        <v>201</v>
      </c>
      <c r="F211" s="102">
        <f t="shared" ref="F211:F212" si="60">SUM(G211:O211)</f>
        <v>7</v>
      </c>
      <c r="G211" s="29"/>
      <c r="H211" s="97">
        <f>H188</f>
        <v>4</v>
      </c>
      <c r="I211" s="29"/>
      <c r="J211" s="97">
        <f>J188</f>
        <v>1</v>
      </c>
      <c r="K211" s="29"/>
      <c r="L211" s="29"/>
      <c r="M211" s="29"/>
      <c r="N211" s="29"/>
      <c r="O211" s="97">
        <f>O188</f>
        <v>2</v>
      </c>
    </row>
    <row r="212" spans="2:15">
      <c r="B212" s="90" t="s">
        <v>202</v>
      </c>
      <c r="F212" s="102">
        <f t="shared" si="60"/>
        <v>803683</v>
      </c>
      <c r="G212" s="29"/>
      <c r="H212" s="97">
        <f>H190</f>
        <v>76941</v>
      </c>
      <c r="I212" s="29"/>
      <c r="J212" s="97">
        <f>J190</f>
        <v>60000</v>
      </c>
      <c r="K212" s="29"/>
      <c r="L212" s="29"/>
      <c r="M212" s="29"/>
      <c r="N212" s="29"/>
      <c r="O212" s="97">
        <f>O190</f>
        <v>666742</v>
      </c>
    </row>
    <row r="213" spans="2:15">
      <c r="B213" s="22"/>
      <c r="H213" s="90"/>
    </row>
    <row r="214" spans="2:15">
      <c r="B214" s="22"/>
      <c r="H214" s="90"/>
    </row>
    <row r="215" spans="2:15" s="2" customFormat="1">
      <c r="B215" s="2" t="s">
        <v>24</v>
      </c>
      <c r="F215" s="49"/>
    </row>
    <row r="217" spans="2:15">
      <c r="B217" s="3" t="s">
        <v>231</v>
      </c>
    </row>
    <row r="218" spans="2:15">
      <c r="B218" s="22"/>
    </row>
    <row r="219" spans="2:15">
      <c r="B219" s="22" t="s">
        <v>224</v>
      </c>
      <c r="F219" s="50"/>
    </row>
    <row r="220" spans="2:15">
      <c r="B220" s="99" t="s">
        <v>225</v>
      </c>
      <c r="F220" s="109"/>
      <c r="G220" s="97">
        <f>'PRD Volumes TD (2009-2012)'!G137</f>
        <v>4706.0769230769229</v>
      </c>
      <c r="H220" s="97">
        <f>'PRD Volumes TD (2009-2012)'!H137</f>
        <v>11524.25</v>
      </c>
      <c r="I220" s="97">
        <f>'PRD Volumes TD (2009-2012)'!I137</f>
        <v>25502</v>
      </c>
      <c r="J220" s="97">
        <f>'PRD Volumes TD (2009-2012)'!J137</f>
        <v>128937.73537808127</v>
      </c>
      <c r="K220" s="97">
        <f>'PRD Volumes TD (2009-2012)'!K137</f>
        <v>226746.69763581268</v>
      </c>
      <c r="L220" s="97">
        <f>'PRD Volumes TD (2009-2012)'!L137</f>
        <v>4431.2</v>
      </c>
      <c r="M220" s="97">
        <f>'PRD Volumes TD (2009-2012)'!M137</f>
        <v>239929.89778149559</v>
      </c>
      <c r="N220" s="97">
        <f>'PRD Volumes TD (2009-2012)'!N137</f>
        <v>3557.627086732773</v>
      </c>
      <c r="O220" s="97">
        <f>'PRD Volumes TD (2009-2012)'!O137</f>
        <v>0</v>
      </c>
    </row>
    <row r="221" spans="2:15">
      <c r="B221" s="99" t="s">
        <v>226</v>
      </c>
      <c r="F221" s="109"/>
      <c r="G221" s="97">
        <f>'PRD Volumes TD (2009-2012)'!G138</f>
        <v>119731.46153846153</v>
      </c>
      <c r="H221" s="97">
        <f>'PRD Volumes TD (2009-2012)'!H138</f>
        <v>166635.33333333334</v>
      </c>
      <c r="I221" s="97">
        <f>'PRD Volumes TD (2009-2012)'!I138</f>
        <v>339004</v>
      </c>
      <c r="J221" s="97">
        <f>'PRD Volumes TD (2009-2012)'!J138</f>
        <v>1767977.9133737893</v>
      </c>
      <c r="K221" s="97">
        <f>'PRD Volumes TD (2009-2012)'!K138</f>
        <v>1875559.6630083306</v>
      </c>
      <c r="L221" s="97">
        <f>'PRD Volumes TD (2009-2012)'!L138</f>
        <v>89459.6</v>
      </c>
      <c r="M221" s="97">
        <f>'PRD Volumes TD (2009-2012)'!M138</f>
        <v>1555811.7362042542</v>
      </c>
      <c r="N221" s="97">
        <f>'PRD Volumes TD (2009-2012)'!N138</f>
        <v>44272.275245916433</v>
      </c>
      <c r="O221" s="97">
        <f>'PRD Volumes TD (2009-2012)'!O138</f>
        <v>0</v>
      </c>
    </row>
    <row r="222" spans="2:15">
      <c r="B222" s="99" t="s">
        <v>227</v>
      </c>
      <c r="F222" s="109"/>
      <c r="G222" s="97">
        <f>'PRD Volumes TD (2009-2012)'!G139</f>
        <v>9831.3846153846152</v>
      </c>
      <c r="H222" s="97">
        <f>'PRD Volumes TD (2009-2012)'!H139</f>
        <v>4721.75</v>
      </c>
      <c r="I222" s="97">
        <f>'PRD Volumes TD (2009-2012)'!I139</f>
        <v>17992</v>
      </c>
      <c r="J222" s="97">
        <f>'PRD Volumes TD (2009-2012)'!J139</f>
        <v>91078.148063461005</v>
      </c>
      <c r="K222" s="97">
        <f>'PRD Volumes TD (2009-2012)'!K139</f>
        <v>84223.546807119419</v>
      </c>
      <c r="L222" s="97">
        <f>'PRD Volumes TD (2009-2012)'!L139</f>
        <v>5656.4</v>
      </c>
      <c r="M222" s="97">
        <f>'PRD Volumes TD (2009-2012)'!M139</f>
        <v>52316.439847584108</v>
      </c>
      <c r="N222" s="97">
        <f>'PRD Volumes TD (2009-2012)'!N139</f>
        <v>1679.8005084060314</v>
      </c>
      <c r="O222" s="97">
        <f>'PRD Volumes TD (2009-2012)'!O139</f>
        <v>0</v>
      </c>
    </row>
    <row r="223" spans="2:15">
      <c r="B223" s="100" t="s">
        <v>228</v>
      </c>
      <c r="F223" s="109"/>
      <c r="G223" s="97">
        <f>'PRD Volumes TD (2009-2012)'!G140</f>
        <v>5.4615384615384617</v>
      </c>
      <c r="H223" s="97">
        <f>'PRD Volumes TD (2009-2012)'!H140</f>
        <v>39.833333333333336</v>
      </c>
      <c r="I223" s="97">
        <f>'PRD Volumes TD (2009-2012)'!I140</f>
        <v>2414</v>
      </c>
      <c r="J223" s="97">
        <f>'PRD Volumes TD (2009-2012)'!J140</f>
        <v>5057.2961147389278</v>
      </c>
      <c r="K223" s="97">
        <f>'PRD Volumes TD (2009-2012)'!K140</f>
        <v>10688.651921390165</v>
      </c>
      <c r="L223" s="97">
        <f>'PRD Volumes TD (2009-2012)'!L140</f>
        <v>659</v>
      </c>
      <c r="M223" s="97">
        <f>'PRD Volumes TD (2009-2012)'!M140</f>
        <v>7824.666666666667</v>
      </c>
      <c r="N223" s="97">
        <f>'PRD Volumes TD (2009-2012)'!N140</f>
        <v>427.91403300237721</v>
      </c>
      <c r="O223" s="97">
        <f>'PRD Volumes TD (2009-2012)'!O140</f>
        <v>0</v>
      </c>
    </row>
    <row r="224" spans="2:15">
      <c r="B224" s="100" t="s">
        <v>229</v>
      </c>
      <c r="F224" s="109"/>
      <c r="G224" s="97">
        <f>'PRD Volumes TD (2009-2012)'!G141</f>
        <v>2262.0769230769229</v>
      </c>
      <c r="H224" s="97">
        <f>'PRD Volumes TD (2009-2012)'!H141</f>
        <v>2716.5833333333335</v>
      </c>
      <c r="I224" s="97">
        <f>'PRD Volumes TD (2009-2012)'!I141</f>
        <v>5701</v>
      </c>
      <c r="J224" s="97">
        <f>'PRD Volumes TD (2009-2012)'!J141</f>
        <v>27323.848373488549</v>
      </c>
      <c r="K224" s="97">
        <f>'PRD Volumes TD (2009-2012)'!K141</f>
        <v>22043.070050282378</v>
      </c>
      <c r="L224" s="97">
        <f>'PRD Volumes TD (2009-2012)'!L141</f>
        <v>1087.5999999999999</v>
      </c>
      <c r="M224" s="97">
        <f>'PRD Volumes TD (2009-2012)'!M141</f>
        <v>16067.083333333334</v>
      </c>
      <c r="N224" s="97">
        <f>'PRD Volumes TD (2009-2012)'!N141</f>
        <v>408.0127861665855</v>
      </c>
      <c r="O224" s="97">
        <f>'PRD Volumes TD (2009-2012)'!O141</f>
        <v>0</v>
      </c>
    </row>
    <row r="225" spans="2:15">
      <c r="B225" s="100" t="s">
        <v>230</v>
      </c>
      <c r="F225" s="109"/>
      <c r="G225" s="97">
        <f>'PRD Volumes TD (2009-2012)'!G142</f>
        <v>712.53846153846155</v>
      </c>
      <c r="H225" s="97">
        <f>'PRD Volumes TD (2009-2012)'!H142</f>
        <v>675.58333333333337</v>
      </c>
      <c r="I225" s="97">
        <f>'PRD Volumes TD (2009-2012)'!I142</f>
        <v>1937</v>
      </c>
      <c r="J225" s="97">
        <f>'PRD Volumes TD (2009-2012)'!J142</f>
        <v>8462.8841155718292</v>
      </c>
      <c r="K225" s="97">
        <f>'PRD Volumes TD (2009-2012)'!K142</f>
        <v>8824.0870913819799</v>
      </c>
      <c r="L225" s="97">
        <f>'PRD Volumes TD (2009-2012)'!L142</f>
        <v>403.2</v>
      </c>
      <c r="M225" s="97">
        <f>'PRD Volumes TD (2009-2012)'!M142</f>
        <v>6768.833333333333</v>
      </c>
      <c r="N225" s="97">
        <f>'PRD Volumes TD (2009-2012)'!N142</f>
        <v>289.64757046081792</v>
      </c>
      <c r="O225" s="97">
        <f>'PRD Volumes TD (2009-2012)'!O142</f>
        <v>0</v>
      </c>
    </row>
    <row r="226" spans="2:15">
      <c r="B226" s="22"/>
      <c r="F226" s="50"/>
    </row>
    <row r="227" spans="2:15">
      <c r="B227" s="22" t="s">
        <v>232</v>
      </c>
      <c r="F227" s="50"/>
    </row>
    <row r="228" spans="2:15">
      <c r="B228" s="23" t="s">
        <v>233</v>
      </c>
      <c r="F228" s="109"/>
      <c r="G228" s="97">
        <f>'PRD Volumes TD (2009-2012)'!G145</f>
        <v>225.30769230769232</v>
      </c>
      <c r="H228" s="97">
        <f>'PRD Volumes TD (2009-2012)'!H145</f>
        <v>192.66751412429332</v>
      </c>
      <c r="I228" s="97">
        <f>'PRD Volumes TD (2009-2012)'!I145</f>
        <v>758</v>
      </c>
      <c r="J228" s="97">
        <f>'PRD Volumes TD (2009-2012)'!J145</f>
        <v>2773.3032963784185</v>
      </c>
      <c r="K228" s="97">
        <f>'PRD Volumes TD (2009-2012)'!K145</f>
        <v>3085.5095458204605</v>
      </c>
      <c r="L228" s="97">
        <f>'PRD Volumes TD (2009-2012)'!L145</f>
        <v>137.4</v>
      </c>
      <c r="M228" s="97">
        <f>'PRD Volumes TD (2009-2012)'!M145</f>
        <v>2220.7272727272725</v>
      </c>
      <c r="N228" s="97">
        <f>'PRD Volumes TD (2009-2012)'!N145</f>
        <v>134.70537746303603</v>
      </c>
      <c r="O228" s="97">
        <f>'PRD Volumes TD (2009-2012)'!O145</f>
        <v>0</v>
      </c>
    </row>
    <row r="229" spans="2:15">
      <c r="B229" s="23" t="s">
        <v>234</v>
      </c>
      <c r="F229" s="109"/>
      <c r="G229" s="97">
        <f>'PRD Volumes TD (2009-2012)'!G146</f>
        <v>171.30769230769232</v>
      </c>
      <c r="H229" s="97">
        <f>'PRD Volumes TD (2009-2012)'!H146</f>
        <v>245.99999999999963</v>
      </c>
      <c r="I229" s="97">
        <f>'PRD Volumes TD (2009-2012)'!I146</f>
        <v>537</v>
      </c>
      <c r="J229" s="97">
        <f>'PRD Volumes TD (2009-2012)'!J146</f>
        <v>3341.1999454204329</v>
      </c>
      <c r="K229" s="97">
        <f>'PRD Volumes TD (2009-2012)'!K146</f>
        <v>4131.9564445619781</v>
      </c>
      <c r="L229" s="97">
        <f>'PRD Volumes TD (2009-2012)'!L146</f>
        <v>146.80000000000001</v>
      </c>
      <c r="M229" s="97">
        <f>'PRD Volumes TD (2009-2012)'!M146</f>
        <v>3237.2727272727275</v>
      </c>
      <c r="N229" s="97">
        <f>'PRD Volumes TD (2009-2012)'!N146</f>
        <v>233.99920420711169</v>
      </c>
      <c r="O229" s="97">
        <f>'PRD Volumes TD (2009-2012)'!O146</f>
        <v>0</v>
      </c>
    </row>
    <row r="230" spans="2:15">
      <c r="B230" s="23" t="s">
        <v>235</v>
      </c>
      <c r="F230" s="109"/>
      <c r="G230" s="97">
        <f>'PRD Volumes TD (2009-2012)'!G147</f>
        <v>55.307692307692307</v>
      </c>
      <c r="H230" s="97">
        <f>'PRD Volumes TD (2009-2012)'!H147</f>
        <v>70.583333333333343</v>
      </c>
      <c r="I230" s="97">
        <f>'PRD Volumes TD (2009-2012)'!I147</f>
        <v>288</v>
      </c>
      <c r="J230" s="97">
        <f>'PRD Volumes TD (2009-2012)'!J147</f>
        <v>1444.4640172835298</v>
      </c>
      <c r="K230" s="97">
        <f>'PRD Volumes TD (2009-2012)'!K147</f>
        <v>1575.7138538220715</v>
      </c>
      <c r="L230" s="97">
        <f>'PRD Volumes TD (2009-2012)'!L147</f>
        <v>41.2</v>
      </c>
      <c r="M230" s="97">
        <f>'PRD Volumes TD (2009-2012)'!M147</f>
        <v>1598.5454545454543</v>
      </c>
      <c r="N230" s="97">
        <f>'PRD Volumes TD (2009-2012)'!N147</f>
        <v>136.90621628443512</v>
      </c>
      <c r="O230" s="97">
        <f>'PRD Volumes TD (2009-2012)'!O147</f>
        <v>0</v>
      </c>
    </row>
    <row r="231" spans="2:15">
      <c r="B231" s="23" t="s">
        <v>236</v>
      </c>
      <c r="F231" s="109"/>
      <c r="G231" s="97">
        <f>'PRD Volumes TD (2009-2012)'!G148</f>
        <v>42.07692307692308</v>
      </c>
      <c r="H231" s="97">
        <f>'PRD Volumes TD (2009-2012)'!H148</f>
        <v>43.58333333333335</v>
      </c>
      <c r="I231" s="97">
        <f>'PRD Volumes TD (2009-2012)'!I148</f>
        <v>72</v>
      </c>
      <c r="J231" s="97">
        <f>'PRD Volumes TD (2009-2012)'!J148</f>
        <v>490.05280118255735</v>
      </c>
      <c r="K231" s="97">
        <f>'PRD Volumes TD (2009-2012)'!K148</f>
        <v>596.93413010060613</v>
      </c>
      <c r="L231" s="97">
        <f>'PRD Volumes TD (2009-2012)'!L148</f>
        <v>22.6</v>
      </c>
      <c r="M231" s="97">
        <f>'PRD Volumes TD (2009-2012)'!M148</f>
        <v>422.81818181818176</v>
      </c>
      <c r="N231" s="97">
        <f>'PRD Volumes TD (2009-2012)'!N148</f>
        <v>148.91024340489815</v>
      </c>
      <c r="O231" s="97">
        <f>'PRD Volumes TD (2009-2012)'!O148</f>
        <v>0</v>
      </c>
    </row>
    <row r="232" spans="2:15">
      <c r="B232" s="23" t="s">
        <v>237</v>
      </c>
      <c r="F232" s="109"/>
      <c r="G232" s="97">
        <f>'PRD Volumes TD (2009-2012)'!G149</f>
        <v>8.6923076923076934</v>
      </c>
      <c r="H232" s="97">
        <f>'PRD Volumes TD (2009-2012)'!H149</f>
        <v>5</v>
      </c>
      <c r="I232" s="97">
        <f>'PRD Volumes TD (2009-2012)'!I149</f>
        <v>23</v>
      </c>
      <c r="J232" s="97">
        <f>'PRD Volumes TD (2009-2012)'!J149</f>
        <v>330.22357609869806</v>
      </c>
      <c r="K232" s="97">
        <f>'PRD Volumes TD (2009-2012)'!K149</f>
        <v>162.67121194399337</v>
      </c>
      <c r="L232" s="97">
        <f>'PRD Volumes TD (2009-2012)'!L149</f>
        <v>5</v>
      </c>
      <c r="M232" s="97">
        <f>'PRD Volumes TD (2009-2012)'!M149</f>
        <v>480.45454545454544</v>
      </c>
      <c r="N232" s="97">
        <f>'PRD Volumes TD (2009-2012)'!N149</f>
        <v>61.286188612219988</v>
      </c>
      <c r="O232" s="97">
        <f>'PRD Volumes TD (2009-2012)'!O149</f>
        <v>0</v>
      </c>
    </row>
    <row r="233" spans="2:15">
      <c r="B233" s="3"/>
      <c r="F233" s="50"/>
    </row>
    <row r="234" spans="2:15">
      <c r="B234" s="3"/>
      <c r="F234" s="50"/>
    </row>
    <row r="235" spans="2:15">
      <c r="B235" s="3" t="s">
        <v>256</v>
      </c>
      <c r="F235" s="50"/>
    </row>
    <row r="236" spans="2:15">
      <c r="B236" s="22"/>
      <c r="F236" s="50"/>
    </row>
    <row r="237" spans="2:15">
      <c r="B237" s="22" t="s">
        <v>255</v>
      </c>
      <c r="F237" s="109"/>
      <c r="G237" s="97">
        <f>'PRD Volumes TD (2009-2012)'!G154</f>
        <v>115</v>
      </c>
      <c r="H237" s="97">
        <f>'PRD Volumes TD (2009-2012)'!H154</f>
        <v>187.91666666666666</v>
      </c>
      <c r="I237" s="97">
        <f>'PRD Volumes TD (2009-2012)'!I154</f>
        <v>490</v>
      </c>
      <c r="J237" s="97">
        <f>'PRD Volumes TD (2009-2012)'!J154</f>
        <v>2338.3301880877743</v>
      </c>
      <c r="K237" s="97">
        <f>'PRD Volumes TD (2009-2012)'!K154</f>
        <v>2665.3304394474262</v>
      </c>
      <c r="L237" s="97">
        <f>'PRD Volumes TD (2009-2012)'!L154</f>
        <v>86.5</v>
      </c>
      <c r="M237" s="97">
        <f>'PRD Volumes TD (2009-2012)'!M154</f>
        <v>2093.8181818181815</v>
      </c>
      <c r="N237" s="97">
        <f>'PRD Volumes TD (2009-2012)'!N154</f>
        <v>936.18433100848983</v>
      </c>
      <c r="O237" s="97">
        <f>'PRD Volumes TD (2009-2012)'!O154</f>
        <v>0</v>
      </c>
    </row>
    <row r="238" spans="2:15">
      <c r="B238" s="22"/>
      <c r="F238" s="50"/>
    </row>
    <row r="239" spans="2:15">
      <c r="B239" s="22" t="s">
        <v>257</v>
      </c>
      <c r="F239" s="50"/>
    </row>
    <row r="240" spans="2:15">
      <c r="B240" s="99" t="s">
        <v>250</v>
      </c>
      <c r="F240" s="109"/>
      <c r="G240" s="97">
        <f>'PRD Volumes TD (2009-2012)'!G157</f>
        <v>23924</v>
      </c>
      <c r="H240" s="97">
        <f>'PRD Volumes TD (2009-2012)'!H157</f>
        <v>48013.083333333336</v>
      </c>
      <c r="I240" s="97">
        <f>'PRD Volumes TD (2009-2012)'!I157</f>
        <v>0</v>
      </c>
      <c r="J240" s="97">
        <f>'PRD Volumes TD (2009-2012)'!J157</f>
        <v>0</v>
      </c>
      <c r="K240" s="97">
        <f>'PRD Volumes TD (2009-2012)'!K157</f>
        <v>527648.08333333337</v>
      </c>
      <c r="L240" s="97">
        <f>'PRD Volumes TD (2009-2012)'!L157</f>
        <v>26381</v>
      </c>
      <c r="M240" s="97">
        <f>'PRD Volumes TD (2009-2012)'!M157</f>
        <v>0</v>
      </c>
      <c r="N240" s="97">
        <f>'PRD Volumes TD (2009-2012)'!N157</f>
        <v>0</v>
      </c>
      <c r="O240" s="97">
        <f>'PRD Volumes TD (2009-2012)'!O157</f>
        <v>0</v>
      </c>
    </row>
    <row r="241" spans="2:15">
      <c r="B241" s="99" t="s">
        <v>251</v>
      </c>
      <c r="F241" s="109"/>
      <c r="G241" s="97">
        <f>'PRD Volumes TD (2009-2012)'!G158</f>
        <v>7655.333333333333</v>
      </c>
      <c r="H241" s="97">
        <f>'PRD Volumes TD (2009-2012)'!H158</f>
        <v>11773.916666666666</v>
      </c>
      <c r="I241" s="97">
        <f>'PRD Volumes TD (2009-2012)'!I158</f>
        <v>0</v>
      </c>
      <c r="J241" s="97">
        <f>'PRD Volumes TD (2009-2012)'!J158</f>
        <v>0</v>
      </c>
      <c r="K241" s="97">
        <f>'PRD Volumes TD (2009-2012)'!K158</f>
        <v>137935.08333333334</v>
      </c>
      <c r="L241" s="97">
        <f>'PRD Volumes TD (2009-2012)'!L158</f>
        <v>3451</v>
      </c>
      <c r="M241" s="97">
        <f>'PRD Volumes TD (2009-2012)'!M158</f>
        <v>0</v>
      </c>
      <c r="N241" s="97">
        <f>'PRD Volumes TD (2009-2012)'!N158</f>
        <v>0</v>
      </c>
      <c r="O241" s="97">
        <f>'PRD Volumes TD (2009-2012)'!O158</f>
        <v>0</v>
      </c>
    </row>
    <row r="242" spans="2:15">
      <c r="B242" s="101"/>
      <c r="F242" s="50"/>
    </row>
    <row r="243" spans="2:15">
      <c r="B243" s="100" t="s">
        <v>252</v>
      </c>
      <c r="F243" s="109"/>
      <c r="G243" s="97">
        <f>'PRD Volumes TD (2009-2012)'!G160</f>
        <v>0</v>
      </c>
      <c r="H243" s="97">
        <f>'PRD Volumes TD (2009-2012)'!H160</f>
        <v>0</v>
      </c>
      <c r="I243" s="97">
        <f>'PRD Volumes TD (2009-2012)'!I160</f>
        <v>149664</v>
      </c>
      <c r="J243" s="97">
        <f>'PRD Volumes TD (2009-2012)'!J160</f>
        <v>743261.09777915606</v>
      </c>
      <c r="K243" s="97">
        <f>'PRD Volumes TD (2009-2012)'!K160</f>
        <v>0</v>
      </c>
      <c r="L243" s="97">
        <f>'PRD Volumes TD (2009-2012)'!L160</f>
        <v>0</v>
      </c>
      <c r="M243" s="97">
        <f>'PRD Volumes TD (2009-2012)'!M160</f>
        <v>642638.36363636365</v>
      </c>
      <c r="N243" s="97">
        <f>'PRD Volumes TD (2009-2012)'!N160</f>
        <v>321281.03241214604</v>
      </c>
      <c r="O243" s="97">
        <f>'PRD Volumes TD (2009-2012)'!O160</f>
        <v>0</v>
      </c>
    </row>
    <row r="244" spans="2:15">
      <c r="B244" s="22"/>
      <c r="F244" s="50"/>
    </row>
    <row r="245" spans="2:15">
      <c r="B245" s="22"/>
      <c r="F245" s="50"/>
    </row>
    <row r="246" spans="2:15">
      <c r="B246" s="3" t="s">
        <v>258</v>
      </c>
      <c r="F246" s="50"/>
      <c r="G246" s="28"/>
      <c r="I246" s="28"/>
      <c r="K246" s="28"/>
      <c r="L246" s="28"/>
      <c r="M246" s="28"/>
      <c r="N246" s="28"/>
    </row>
    <row r="247" spans="2:15">
      <c r="B247" s="22"/>
      <c r="F247" s="50"/>
      <c r="G247" s="28"/>
      <c r="I247" s="28"/>
      <c r="K247" s="28"/>
      <c r="L247" s="28"/>
      <c r="M247" s="28"/>
      <c r="N247" s="28"/>
    </row>
    <row r="248" spans="2:15">
      <c r="B248" s="22" t="s">
        <v>255</v>
      </c>
      <c r="F248" s="109"/>
      <c r="G248" s="28"/>
      <c r="H248" s="97">
        <f>'PRD Volumes TD (2009-2012)'!H165</f>
        <v>4</v>
      </c>
      <c r="I248" s="28"/>
      <c r="J248" s="97">
        <f>'PRD Volumes TD (2009-2012)'!J165</f>
        <v>1</v>
      </c>
      <c r="K248" s="28"/>
      <c r="L248" s="28"/>
      <c r="M248" s="28"/>
      <c r="N248" s="28"/>
      <c r="O248" s="97">
        <f>'PRD Volumes TD (2009-2012)'!O165</f>
        <v>2</v>
      </c>
    </row>
    <row r="249" spans="2:15">
      <c r="B249" s="22"/>
      <c r="F249" s="50"/>
      <c r="G249" s="28"/>
      <c r="I249" s="28"/>
      <c r="K249" s="28"/>
      <c r="L249" s="28"/>
      <c r="M249" s="28"/>
      <c r="N249" s="28"/>
    </row>
    <row r="250" spans="2:15">
      <c r="B250" s="22" t="s">
        <v>257</v>
      </c>
      <c r="F250" s="109"/>
      <c r="G250" s="28"/>
      <c r="H250" s="97">
        <f>'PRD Volumes TD (2009-2012)'!H167</f>
        <v>76941</v>
      </c>
      <c r="I250" s="28"/>
      <c r="J250" s="97">
        <f>'PRD Volumes TD (2009-2012)'!J167</f>
        <v>60000</v>
      </c>
      <c r="K250" s="28"/>
      <c r="L250" s="28"/>
      <c r="M250" s="28"/>
      <c r="N250" s="28"/>
      <c r="O250" s="97">
        <f>'PRD Volumes TD (2009-2012)'!O167</f>
        <v>738362.3763</v>
      </c>
    </row>
    <row r="251" spans="2:15">
      <c r="B251" s="22"/>
      <c r="F251" s="50"/>
      <c r="G251" s="28"/>
      <c r="I251" s="28"/>
      <c r="K251" s="28"/>
      <c r="L251" s="28"/>
      <c r="M251" s="28"/>
      <c r="N251" s="28"/>
    </row>
    <row r="252" spans="2:15">
      <c r="B252" s="22"/>
      <c r="F252" s="50"/>
      <c r="I252" s="28"/>
    </row>
    <row r="253" spans="2:15">
      <c r="B253" s="22" t="s">
        <v>316</v>
      </c>
    </row>
    <row r="254" spans="2:15">
      <c r="B254" s="22"/>
    </row>
    <row r="255" spans="2:15">
      <c r="B255" s="103" t="s">
        <v>265</v>
      </c>
    </row>
    <row r="256" spans="2:15">
      <c r="B256" s="89" t="s">
        <v>201</v>
      </c>
      <c r="F256" s="102">
        <f t="shared" ref="F256:F257" si="61">SUM(G256:O256)</f>
        <v>7004086.809664133</v>
      </c>
      <c r="G256" s="107">
        <f>SUM(G220:G225)</f>
        <v>137249</v>
      </c>
      <c r="H256" s="107">
        <f t="shared" ref="H256:O256" si="62">SUM(H220:H225)</f>
        <v>186313.33333333337</v>
      </c>
      <c r="I256" s="107">
        <f t="shared" si="62"/>
        <v>392550</v>
      </c>
      <c r="J256" s="107">
        <f t="shared" si="62"/>
        <v>2028837.825419131</v>
      </c>
      <c r="K256" s="107">
        <f t="shared" si="62"/>
        <v>2228085.7165143173</v>
      </c>
      <c r="L256" s="107">
        <f t="shared" si="62"/>
        <v>101697</v>
      </c>
      <c r="M256" s="107">
        <f t="shared" si="62"/>
        <v>1878718.6571666673</v>
      </c>
      <c r="N256" s="107">
        <f t="shared" si="62"/>
        <v>50635.277230685009</v>
      </c>
      <c r="O256" s="107">
        <f t="shared" si="62"/>
        <v>0</v>
      </c>
    </row>
    <row r="257" spans="2:15">
      <c r="B257" s="90" t="s">
        <v>202</v>
      </c>
      <c r="F257" s="102">
        <f t="shared" si="61"/>
        <v>22663116.974883109</v>
      </c>
      <c r="G257" s="98">
        <f>SUMPRODUCT($F$10:$F$15,G220:G225)</f>
        <v>479303.11538461538</v>
      </c>
      <c r="H257" s="98">
        <f t="shared" ref="H257:O257" si="63">SUMPRODUCT($F$10:$F$15,H220:H225)</f>
        <v>606276.12500000012</v>
      </c>
      <c r="I257" s="98">
        <f t="shared" si="63"/>
        <v>1326998</v>
      </c>
      <c r="J257" s="98">
        <f t="shared" si="63"/>
        <v>6743135.8695817571</v>
      </c>
      <c r="K257" s="98">
        <f t="shared" si="63"/>
        <v>7152318.1336243981</v>
      </c>
      <c r="L257" s="98">
        <f t="shared" si="63"/>
        <v>343035.6</v>
      </c>
      <c r="M257" s="98">
        <f t="shared" si="63"/>
        <v>5845769.5277038431</v>
      </c>
      <c r="N257" s="98">
        <f t="shared" si="63"/>
        <v>166280.60358849424</v>
      </c>
      <c r="O257" s="98">
        <f t="shared" si="63"/>
        <v>0</v>
      </c>
    </row>
    <row r="258" spans="2:15">
      <c r="B258" s="90"/>
    </row>
    <row r="259" spans="2:15">
      <c r="B259" s="91" t="s">
        <v>266</v>
      </c>
    </row>
    <row r="260" spans="2:15">
      <c r="B260" s="89" t="s">
        <v>201</v>
      </c>
      <c r="F260" s="102">
        <f t="shared" ref="F260:F261" si="64">SUM(G260:O260)</f>
        <v>29699.180722885896</v>
      </c>
      <c r="G260" s="107">
        <f>SUM(G228:G232)</f>
        <v>502.69230769230774</v>
      </c>
      <c r="H260" s="107">
        <f t="shared" ref="H260:O260" si="65">SUM(H228:H232)</f>
        <v>557.83418079095964</v>
      </c>
      <c r="I260" s="107">
        <f t="shared" si="65"/>
        <v>1678</v>
      </c>
      <c r="J260" s="107">
        <f t="shared" si="65"/>
        <v>8379.2436363636371</v>
      </c>
      <c r="K260" s="107">
        <f t="shared" si="65"/>
        <v>9552.7851862491098</v>
      </c>
      <c r="L260" s="107">
        <f t="shared" si="65"/>
        <v>353.00000000000006</v>
      </c>
      <c r="M260" s="107">
        <f t="shared" si="65"/>
        <v>7959.8181818181811</v>
      </c>
      <c r="N260" s="107">
        <f t="shared" si="65"/>
        <v>715.80722997170096</v>
      </c>
      <c r="O260" s="107">
        <f t="shared" si="65"/>
        <v>0</v>
      </c>
    </row>
    <row r="261" spans="2:15">
      <c r="B261" s="90" t="s">
        <v>202</v>
      </c>
      <c r="F261" s="102">
        <f t="shared" si="64"/>
        <v>2248454.7811226263</v>
      </c>
      <c r="G261" s="98">
        <f>SUMPRODUCT($F$18:$F$22,G228:G232)</f>
        <v>34583.461538461539</v>
      </c>
      <c r="H261" s="98">
        <f t="shared" ref="H261:O261" si="66">SUMPRODUCT($F$18:$F$22,H228:H232)</f>
        <v>38978.367231638382</v>
      </c>
      <c r="I261" s="98">
        <f t="shared" si="66"/>
        <v>111295</v>
      </c>
      <c r="J261" s="98">
        <f t="shared" si="66"/>
        <v>633520.87224970164</v>
      </c>
      <c r="K261" s="98">
        <f t="shared" si="66"/>
        <v>685746.19991364959</v>
      </c>
      <c r="L261" s="98">
        <f t="shared" si="66"/>
        <v>24024</v>
      </c>
      <c r="M261" s="98">
        <f t="shared" si="66"/>
        <v>646870.90909090906</v>
      </c>
      <c r="N261" s="98">
        <f t="shared" si="66"/>
        <v>73435.971098265916</v>
      </c>
      <c r="O261" s="98">
        <f t="shared" si="66"/>
        <v>0</v>
      </c>
    </row>
    <row r="262" spans="2:15">
      <c r="B262" s="104"/>
    </row>
    <row r="263" spans="2:15">
      <c r="B263" s="88" t="s">
        <v>204</v>
      </c>
    </row>
    <row r="264" spans="2:15">
      <c r="B264" s="89" t="s">
        <v>201</v>
      </c>
      <c r="F264" s="102">
        <f t="shared" ref="F264:F268" si="67">SUM(G264:O264)</f>
        <v>8913.0798070285382</v>
      </c>
      <c r="G264" s="107">
        <f>G237</f>
        <v>115</v>
      </c>
      <c r="H264" s="107">
        <f t="shared" ref="H264:O264" si="68">H237</f>
        <v>187.91666666666666</v>
      </c>
      <c r="I264" s="107">
        <f t="shared" si="68"/>
        <v>490</v>
      </c>
      <c r="J264" s="107">
        <f t="shared" si="68"/>
        <v>2338.3301880877743</v>
      </c>
      <c r="K264" s="107">
        <f t="shared" si="68"/>
        <v>2665.3304394474262</v>
      </c>
      <c r="L264" s="107">
        <f t="shared" si="68"/>
        <v>86.5</v>
      </c>
      <c r="M264" s="107">
        <f t="shared" si="68"/>
        <v>2093.8181818181815</v>
      </c>
      <c r="N264" s="107">
        <f t="shared" si="68"/>
        <v>936.18433100848983</v>
      </c>
      <c r="O264" s="107">
        <f t="shared" si="68"/>
        <v>0</v>
      </c>
    </row>
    <row r="265" spans="2:15">
      <c r="B265" s="90" t="s">
        <v>262</v>
      </c>
      <c r="F265" s="102">
        <f t="shared" si="67"/>
        <v>160815.33333333334</v>
      </c>
      <c r="G265" s="111">
        <f>G241</f>
        <v>7655.333333333333</v>
      </c>
      <c r="H265" s="111">
        <f t="shared" ref="H265:O265" si="69">H241</f>
        <v>11773.916666666666</v>
      </c>
      <c r="I265" s="111">
        <f t="shared" si="69"/>
        <v>0</v>
      </c>
      <c r="J265" s="111">
        <f t="shared" si="69"/>
        <v>0</v>
      </c>
      <c r="K265" s="111">
        <f t="shared" si="69"/>
        <v>137935.08333333334</v>
      </c>
      <c r="L265" s="111">
        <f t="shared" si="69"/>
        <v>3451</v>
      </c>
      <c r="M265" s="111">
        <f t="shared" si="69"/>
        <v>0</v>
      </c>
      <c r="N265" s="111">
        <f t="shared" si="69"/>
        <v>0</v>
      </c>
      <c r="O265" s="111">
        <f t="shared" si="69"/>
        <v>0</v>
      </c>
    </row>
    <row r="266" spans="2:15">
      <c r="B266" s="89" t="s">
        <v>263</v>
      </c>
      <c r="F266" s="102">
        <f t="shared" si="67"/>
        <v>625966.16666666674</v>
      </c>
      <c r="G266" s="111">
        <f>G240</f>
        <v>23924</v>
      </c>
      <c r="H266" s="111">
        <f t="shared" ref="H266:O266" si="70">H240</f>
        <v>48013.083333333336</v>
      </c>
      <c r="I266" s="111">
        <f t="shared" si="70"/>
        <v>0</v>
      </c>
      <c r="J266" s="111">
        <f t="shared" si="70"/>
        <v>0</v>
      </c>
      <c r="K266" s="111">
        <f t="shared" si="70"/>
        <v>527648.08333333337</v>
      </c>
      <c r="L266" s="111">
        <f t="shared" si="70"/>
        <v>26381</v>
      </c>
      <c r="M266" s="111">
        <f t="shared" si="70"/>
        <v>0</v>
      </c>
      <c r="N266" s="111">
        <f t="shared" si="70"/>
        <v>0</v>
      </c>
      <c r="O266" s="111">
        <f t="shared" si="70"/>
        <v>0</v>
      </c>
    </row>
    <row r="267" spans="2:15">
      <c r="B267" s="90" t="s">
        <v>264</v>
      </c>
      <c r="F267" s="102">
        <f t="shared" si="67"/>
        <v>1856844.4938276657</v>
      </c>
      <c r="G267" s="111">
        <f>G243</f>
        <v>0</v>
      </c>
      <c r="H267" s="111">
        <f t="shared" ref="H267:O267" si="71">H243</f>
        <v>0</v>
      </c>
      <c r="I267" s="111">
        <f t="shared" si="71"/>
        <v>149664</v>
      </c>
      <c r="J267" s="111">
        <f t="shared" si="71"/>
        <v>743261.09777915606</v>
      </c>
      <c r="K267" s="111">
        <f t="shared" si="71"/>
        <v>0</v>
      </c>
      <c r="L267" s="111">
        <f t="shared" si="71"/>
        <v>0</v>
      </c>
      <c r="M267" s="111">
        <f t="shared" si="71"/>
        <v>642638.36363636365</v>
      </c>
      <c r="N267" s="111">
        <f t="shared" si="71"/>
        <v>321281.03241214604</v>
      </c>
      <c r="O267" s="111">
        <f t="shared" si="71"/>
        <v>0</v>
      </c>
    </row>
    <row r="268" spans="2:15">
      <c r="B268" s="90" t="s">
        <v>205</v>
      </c>
      <c r="F268" s="102">
        <f t="shared" si="67"/>
        <v>2643625.9938276662</v>
      </c>
      <c r="G268" s="102">
        <f t="shared" ref="G268" si="72">SUM(G265:G267)</f>
        <v>31579.333333333332</v>
      </c>
      <c r="H268" s="102">
        <f t="shared" ref="H268" si="73">SUM(H265:H267)</f>
        <v>59787</v>
      </c>
      <c r="I268" s="102">
        <f t="shared" ref="I268" si="74">SUM(I265:I267)</f>
        <v>149664</v>
      </c>
      <c r="J268" s="102">
        <f t="shared" ref="J268" si="75">SUM(J265:J267)</f>
        <v>743261.09777915606</v>
      </c>
      <c r="K268" s="102">
        <f t="shared" ref="K268" si="76">SUM(K265:K267)</f>
        <v>665583.16666666674</v>
      </c>
      <c r="L268" s="102">
        <f t="shared" ref="L268" si="77">SUM(L265:L267)</f>
        <v>29832</v>
      </c>
      <c r="M268" s="102">
        <f t="shared" ref="M268" si="78">SUM(M265:M267)</f>
        <v>642638.36363636365</v>
      </c>
      <c r="N268" s="102">
        <f t="shared" ref="N268" si="79">SUM(N265:N267)</f>
        <v>321281.03241214604</v>
      </c>
      <c r="O268" s="102">
        <f t="shared" ref="O268" si="80">SUM(O265:O267)</f>
        <v>0</v>
      </c>
    </row>
    <row r="269" spans="2:15">
      <c r="B269" s="105"/>
      <c r="H269" s="90"/>
    </row>
    <row r="270" spans="2:15">
      <c r="B270" s="88" t="s">
        <v>206</v>
      </c>
      <c r="H270" s="90"/>
    </row>
    <row r="271" spans="2:15">
      <c r="B271" s="89" t="s">
        <v>201</v>
      </c>
      <c r="F271" s="102">
        <f t="shared" ref="F271:F272" si="81">SUM(G271:O271)</f>
        <v>7</v>
      </c>
      <c r="G271" s="29"/>
      <c r="H271" s="97">
        <f>H248</f>
        <v>4</v>
      </c>
      <c r="I271" s="29"/>
      <c r="J271" s="97">
        <f>J248</f>
        <v>1</v>
      </c>
      <c r="K271" s="29"/>
      <c r="L271" s="29"/>
      <c r="M271" s="29"/>
      <c r="N271" s="29"/>
      <c r="O271" s="97">
        <f>O248</f>
        <v>2</v>
      </c>
    </row>
    <row r="272" spans="2:15">
      <c r="B272" s="90" t="s">
        <v>202</v>
      </c>
      <c r="F272" s="102">
        <f t="shared" si="81"/>
        <v>875303.3763</v>
      </c>
      <c r="G272" s="29"/>
      <c r="H272" s="97">
        <f>H250</f>
        <v>76941</v>
      </c>
      <c r="I272" s="29"/>
      <c r="J272" s="97">
        <f>J250</f>
        <v>60000</v>
      </c>
      <c r="K272" s="29"/>
      <c r="L272" s="29"/>
      <c r="M272" s="29"/>
      <c r="N272" s="29"/>
      <c r="O272" s="97">
        <f>O250</f>
        <v>738362.3763</v>
      </c>
    </row>
    <row r="273" spans="2:15">
      <c r="B273" s="22"/>
      <c r="H273" s="90"/>
    </row>
    <row r="274" spans="2:15">
      <c r="B274" s="22"/>
      <c r="H274" s="90"/>
    </row>
    <row r="275" spans="2:15">
      <c r="B275" s="22"/>
    </row>
    <row r="276" spans="2:15">
      <c r="B276" s="22"/>
      <c r="G276" s="63"/>
      <c r="H276" s="63"/>
      <c r="I276" s="63"/>
      <c r="J276" s="63"/>
      <c r="K276" s="63"/>
      <c r="L276" s="63"/>
      <c r="M276" s="63"/>
      <c r="N276" s="63"/>
      <c r="O276" s="63"/>
    </row>
    <row r="277" spans="2:15">
      <c r="B277" s="22"/>
    </row>
    <row r="278" spans="2:15">
      <c r="B278" s="22"/>
    </row>
    <row r="279" spans="2:15">
      <c r="B279" s="22"/>
    </row>
    <row r="280" spans="2:15">
      <c r="B280" s="22"/>
    </row>
    <row r="281" spans="2:15">
      <c r="B281" s="22"/>
    </row>
    <row r="282" spans="2:15">
      <c r="B282" s="22"/>
    </row>
    <row r="283" spans="2:15">
      <c r="B283" s="22"/>
    </row>
    <row r="284" spans="2:15">
      <c r="B284" s="22"/>
    </row>
    <row r="285" spans="2:15">
      <c r="B285" s="22"/>
    </row>
    <row r="286" spans="2:15">
      <c r="B286" s="22"/>
    </row>
    <row r="287" spans="2:15">
      <c r="B287" s="22"/>
    </row>
    <row r="288" spans="2:15">
      <c r="B288" s="22"/>
    </row>
    <row r="289" spans="2:2">
      <c r="B289" s="22"/>
    </row>
    <row r="290" spans="2:2">
      <c r="B290" s="22"/>
    </row>
    <row r="291" spans="2:2">
      <c r="B291" s="22"/>
    </row>
    <row r="292" spans="2:2">
      <c r="B292" s="22"/>
    </row>
    <row r="293" spans="2:2">
      <c r="B293" s="22"/>
    </row>
    <row r="294" spans="2:2">
      <c r="B294" s="22"/>
    </row>
    <row r="295" spans="2:2">
      <c r="B295" s="22"/>
    </row>
    <row r="296" spans="2:2">
      <c r="B296" s="22"/>
    </row>
    <row r="297" spans="2:2">
      <c r="B297" s="22"/>
    </row>
    <row r="298" spans="2:2">
      <c r="B298" s="22"/>
    </row>
    <row r="299" spans="2:2">
      <c r="B299" s="22"/>
    </row>
    <row r="300" spans="2:2">
      <c r="B300" s="22"/>
    </row>
    <row r="301" spans="2:2">
      <c r="B301" s="22"/>
    </row>
    <row r="302" spans="2:2">
      <c r="B302" s="22"/>
    </row>
    <row r="303" spans="2:2">
      <c r="B303" s="22"/>
    </row>
    <row r="304" spans="2:2">
      <c r="B304" s="22"/>
    </row>
    <row r="305" spans="2:2">
      <c r="B305" s="22"/>
    </row>
    <row r="306" spans="2:2">
      <c r="B306" s="22"/>
    </row>
    <row r="307" spans="2:2">
      <c r="B307" s="22"/>
    </row>
    <row r="308" spans="2:2">
      <c r="B308" s="22"/>
    </row>
    <row r="309" spans="2:2">
      <c r="B309" s="22"/>
    </row>
    <row r="310" spans="2:2">
      <c r="B310" s="22"/>
    </row>
    <row r="311" spans="2:2">
      <c r="B311" s="22"/>
    </row>
    <row r="312" spans="2:2">
      <c r="B312" s="22"/>
    </row>
    <row r="313" spans="2:2">
      <c r="B313" s="22"/>
    </row>
    <row r="314" spans="2:2">
      <c r="B314" s="22"/>
    </row>
    <row r="315" spans="2:2">
      <c r="B315" s="22"/>
    </row>
    <row r="316" spans="2:2">
      <c r="B316" s="22"/>
    </row>
    <row r="317" spans="2:2">
      <c r="B317" s="22"/>
    </row>
    <row r="318" spans="2:2">
      <c r="B318" s="22"/>
    </row>
    <row r="319" spans="2:2">
      <c r="B319" s="22"/>
    </row>
    <row r="320" spans="2:2">
      <c r="B320" s="22"/>
    </row>
    <row r="321" spans="2:2">
      <c r="B321" s="22"/>
    </row>
    <row r="322" spans="2:2">
      <c r="B322" s="22"/>
    </row>
    <row r="323" spans="2:2">
      <c r="B323" s="22"/>
    </row>
    <row r="324" spans="2:2">
      <c r="B324" s="22"/>
    </row>
    <row r="325" spans="2:2">
      <c r="B325" s="22"/>
    </row>
    <row r="326" spans="2:2">
      <c r="B326" s="22"/>
    </row>
    <row r="327" spans="2:2">
      <c r="B327" s="22"/>
    </row>
    <row r="328" spans="2:2">
      <c r="B328" s="22"/>
    </row>
    <row r="329" spans="2:2">
      <c r="B329" s="22"/>
    </row>
    <row r="330" spans="2:2">
      <c r="B330" s="22"/>
    </row>
    <row r="331" spans="2:2">
      <c r="B331" s="22"/>
    </row>
    <row r="332" spans="2:2">
      <c r="B332" s="22"/>
    </row>
    <row r="333" spans="2:2">
      <c r="B333" s="22"/>
    </row>
    <row r="334" spans="2:2">
      <c r="B334" s="22"/>
    </row>
    <row r="335" spans="2:2">
      <c r="B335" s="22"/>
    </row>
    <row r="336" spans="2:2">
      <c r="B336" s="22"/>
    </row>
    <row r="337" spans="2:2">
      <c r="B337" s="22"/>
    </row>
    <row r="338" spans="2:2">
      <c r="B338" s="22"/>
    </row>
    <row r="339" spans="2:2">
      <c r="B339" s="22"/>
    </row>
    <row r="340" spans="2:2">
      <c r="B340" s="22"/>
    </row>
    <row r="341" spans="2:2">
      <c r="B341" s="22"/>
    </row>
    <row r="342" spans="2:2">
      <c r="B342" s="22"/>
    </row>
    <row r="343" spans="2:2">
      <c r="B343" s="22"/>
    </row>
    <row r="344" spans="2:2">
      <c r="B344" s="22"/>
    </row>
    <row r="345" spans="2:2">
      <c r="B345" s="22"/>
    </row>
    <row r="346" spans="2:2">
      <c r="B346" s="22"/>
    </row>
    <row r="347" spans="2:2">
      <c r="B347" s="22"/>
    </row>
    <row r="348" spans="2:2">
      <c r="B348" s="22"/>
    </row>
    <row r="349" spans="2:2">
      <c r="B349" s="22"/>
    </row>
    <row r="350" spans="2:2">
      <c r="B350" s="22"/>
    </row>
    <row r="351" spans="2:2">
      <c r="B351" s="22"/>
    </row>
    <row r="352" spans="2:2">
      <c r="B352" s="22"/>
    </row>
    <row r="353" spans="2:2">
      <c r="B353" s="22"/>
    </row>
    <row r="354" spans="2:2">
      <c r="B354" s="22"/>
    </row>
    <row r="355" spans="2:2">
      <c r="B355" s="22"/>
    </row>
    <row r="356" spans="2:2">
      <c r="B356" s="22"/>
    </row>
    <row r="357" spans="2:2">
      <c r="B357" s="22"/>
    </row>
    <row r="358" spans="2:2">
      <c r="B358" s="22"/>
    </row>
    <row r="359" spans="2:2">
      <c r="B359" s="22"/>
    </row>
    <row r="360" spans="2:2">
      <c r="B360" s="22"/>
    </row>
    <row r="361" spans="2:2">
      <c r="B361" s="22"/>
    </row>
    <row r="362" spans="2:2">
      <c r="B362" s="22"/>
    </row>
    <row r="363" spans="2:2">
      <c r="B363" s="22"/>
    </row>
    <row r="364" spans="2:2">
      <c r="B364" s="22"/>
    </row>
    <row r="365" spans="2:2">
      <c r="B365" s="22"/>
    </row>
    <row r="366" spans="2:2">
      <c r="B366" s="22"/>
    </row>
    <row r="367" spans="2:2">
      <c r="B367" s="22"/>
    </row>
    <row r="368" spans="2:2">
      <c r="B368" s="22"/>
    </row>
    <row r="369" spans="2:2">
      <c r="B369" s="22"/>
    </row>
    <row r="370" spans="2:2">
      <c r="B370" s="22"/>
    </row>
    <row r="371" spans="2:2">
      <c r="B371" s="22"/>
    </row>
    <row r="372" spans="2:2">
      <c r="B372" s="22"/>
    </row>
    <row r="373" spans="2:2">
      <c r="B373" s="22"/>
    </row>
    <row r="374" spans="2:2">
      <c r="B374" s="22"/>
    </row>
    <row r="375" spans="2:2">
      <c r="B375" s="22"/>
    </row>
    <row r="376" spans="2:2">
      <c r="B376" s="22"/>
    </row>
    <row r="377" spans="2:2">
      <c r="B377" s="22"/>
    </row>
    <row r="378" spans="2:2">
      <c r="B378" s="22"/>
    </row>
    <row r="379" spans="2:2">
      <c r="B379" s="22"/>
    </row>
    <row r="380" spans="2:2">
      <c r="B380" s="22"/>
    </row>
    <row r="381" spans="2:2">
      <c r="B381" s="22"/>
    </row>
    <row r="382" spans="2:2">
      <c r="B382" s="22"/>
    </row>
    <row r="383" spans="2:2">
      <c r="B383" s="22"/>
    </row>
    <row r="384" spans="2:2">
      <c r="B384" s="22"/>
    </row>
    <row r="385" spans="2:2">
      <c r="B385" s="22"/>
    </row>
    <row r="386" spans="2:2">
      <c r="B386" s="22"/>
    </row>
    <row r="387" spans="2:2">
      <c r="B387" s="22"/>
    </row>
    <row r="388" spans="2:2">
      <c r="B388" s="22"/>
    </row>
    <row r="389" spans="2:2">
      <c r="B389" s="22"/>
    </row>
    <row r="390" spans="2:2">
      <c r="B390" s="22"/>
    </row>
    <row r="391" spans="2:2">
      <c r="B391" s="22"/>
    </row>
    <row r="392" spans="2:2">
      <c r="B392" s="22"/>
    </row>
    <row r="393" spans="2:2">
      <c r="B393" s="22"/>
    </row>
    <row r="394" spans="2:2">
      <c r="B394" s="22"/>
    </row>
    <row r="395" spans="2:2">
      <c r="B395" s="22"/>
    </row>
  </sheetData>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C99"/>
  </sheetPr>
  <dimension ref="B1:Q145"/>
  <sheetViews>
    <sheetView showGridLines="0" zoomScale="85" zoomScaleNormal="85" workbookViewId="0"/>
  </sheetViews>
  <sheetFormatPr defaultRowHeight="12.75"/>
  <cols>
    <col min="1" max="1" width="2.5703125" customWidth="1"/>
    <col min="2" max="2" width="51.5703125" customWidth="1"/>
    <col min="3" max="3" width="2.5703125" customWidth="1"/>
    <col min="4" max="4" width="14.5703125" customWidth="1"/>
    <col min="5" max="5" width="2.5703125" customWidth="1"/>
    <col min="6" max="6" width="21.42578125" customWidth="1"/>
    <col min="7" max="15" width="14.85546875" customWidth="1"/>
    <col min="17" max="17" width="23.140625" customWidth="1"/>
  </cols>
  <sheetData>
    <row r="1" spans="2:17" ht="12" customHeight="1"/>
    <row r="2" spans="2:17" s="1" customFormat="1" ht="18">
      <c r="B2" s="1" t="s">
        <v>27</v>
      </c>
      <c r="F2" s="5" t="s">
        <v>105</v>
      </c>
      <c r="G2" s="5" t="s">
        <v>96</v>
      </c>
      <c r="H2" s="5" t="s">
        <v>97</v>
      </c>
      <c r="I2" s="5" t="s">
        <v>98</v>
      </c>
      <c r="J2" s="5" t="s">
        <v>99</v>
      </c>
      <c r="K2" s="5" t="s">
        <v>100</v>
      </c>
      <c r="L2" s="5" t="s">
        <v>101</v>
      </c>
      <c r="M2" s="5" t="s">
        <v>102</v>
      </c>
      <c r="N2" s="5" t="s">
        <v>103</v>
      </c>
      <c r="O2" s="5" t="s">
        <v>197</v>
      </c>
      <c r="Q2" s="5" t="s">
        <v>567</v>
      </c>
    </row>
    <row r="4" spans="2:17">
      <c r="B4" s="51" t="s">
        <v>132</v>
      </c>
      <c r="F4" s="47"/>
    </row>
    <row r="5" spans="2:17">
      <c r="B5" s="508"/>
      <c r="C5" s="508"/>
      <c r="D5" s="508"/>
    </row>
    <row r="7" spans="2:17" s="2" customFormat="1">
      <c r="B7" s="2" t="s">
        <v>28</v>
      </c>
    </row>
    <row r="9" spans="2:17">
      <c r="B9" s="103" t="s">
        <v>265</v>
      </c>
      <c r="F9" s="47"/>
    </row>
    <row r="10" spans="2:17">
      <c r="B10" s="89" t="s">
        <v>201</v>
      </c>
      <c r="F10" s="102">
        <f t="shared" ref="F10:F11" si="0">SUM(G10:O10)</f>
        <v>6974103.0027017621</v>
      </c>
      <c r="G10" s="150">
        <f>AVERAGE('Aggregatie Volumes TD'!G136,'Aggregatie Volumes TD'!G196,'Aggregatie Volumes TD'!G256)</f>
        <v>136666.89743589741</v>
      </c>
      <c r="H10" s="150">
        <f>AVERAGE('Aggregatie Volumes TD'!H136,'Aggregatie Volumes TD'!H196,'Aggregatie Volumes TD'!H256)</f>
        <v>185291.61111111112</v>
      </c>
      <c r="I10" s="150">
        <f>AVERAGE('Aggregatie Volumes TD'!I136,'Aggregatie Volumes TD'!I196,'Aggregatie Volumes TD'!I256)</f>
        <v>389735.66666666669</v>
      </c>
      <c r="J10" s="150">
        <f>AVERAGE('Aggregatie Volumes TD'!J136,'Aggregatie Volumes TD'!J196,'Aggregatie Volumes TD'!J256)</f>
        <v>2018637.8370405796</v>
      </c>
      <c r="K10" s="150">
        <f>AVERAGE('Aggregatie Volumes TD'!K136,'Aggregatie Volumes TD'!K196,'Aggregatie Volumes TD'!K256)</f>
        <v>2211690.7388381059</v>
      </c>
      <c r="L10" s="150">
        <f>AVERAGE('Aggregatie Volumes TD'!L136,'Aggregatie Volumes TD'!L196,'Aggregatie Volumes TD'!L256)</f>
        <v>101151.86666666665</v>
      </c>
      <c r="M10" s="150">
        <f>AVERAGE('Aggregatie Volumes TD'!M136,'Aggregatie Volumes TD'!M196,'Aggregatie Volumes TD'!M256)</f>
        <v>1881089.1584566773</v>
      </c>
      <c r="N10" s="150">
        <f>AVERAGE('Aggregatie Volumes TD'!N136,'Aggregatie Volumes TD'!N196,'Aggregatie Volumes TD'!N256)</f>
        <v>49839.226486056963</v>
      </c>
      <c r="O10" s="150">
        <f>AVERAGE('Aggregatie Volumes TD'!O136,'Aggregatie Volumes TD'!O196,'Aggregatie Volumes TD'!O256)</f>
        <v>0</v>
      </c>
      <c r="Q10" s="51" t="s">
        <v>983</v>
      </c>
    </row>
    <row r="11" spans="2:17">
      <c r="B11" s="90" t="s">
        <v>202</v>
      </c>
      <c r="F11" s="102">
        <f t="shared" si="0"/>
        <v>22616181.448834509</v>
      </c>
      <c r="G11" s="150">
        <f>AVERAGE('Aggregatie Volumes TD'!G137,'Aggregatie Volumes TD'!G197,'Aggregatie Volumes TD'!G257)</f>
        <v>477360.217948718</v>
      </c>
      <c r="H11" s="150">
        <f>AVERAGE('Aggregatie Volumes TD'!H137,'Aggregatie Volumes TD'!H197,'Aggregatie Volumes TD'!H257)</f>
        <v>605800.97222222213</v>
      </c>
      <c r="I11" s="150">
        <f>AVERAGE('Aggregatie Volumes TD'!I137,'Aggregatie Volumes TD'!I197,'Aggregatie Volumes TD'!I257)</f>
        <v>1325353</v>
      </c>
      <c r="J11" s="150">
        <f>AVERAGE('Aggregatie Volumes TD'!J137,'Aggregatie Volumes TD'!J197,'Aggregatie Volumes TD'!J257)</f>
        <v>6741460.3096565902</v>
      </c>
      <c r="K11" s="150">
        <f>AVERAGE('Aggregatie Volumes TD'!K137,'Aggregatie Volumes TD'!K197,'Aggregatie Volumes TD'!K257)</f>
        <v>7078671.4069611887</v>
      </c>
      <c r="L11" s="150">
        <f>AVERAGE('Aggregatie Volumes TD'!L137,'Aggregatie Volumes TD'!L197,'Aggregatie Volumes TD'!L257)</f>
        <v>342940.8</v>
      </c>
      <c r="M11" s="150">
        <f>AVERAGE('Aggregatie Volumes TD'!M137,'Aggregatie Volumes TD'!M197,'Aggregatie Volumes TD'!M257)</f>
        <v>5880542.365597182</v>
      </c>
      <c r="N11" s="150">
        <f>AVERAGE('Aggregatie Volumes TD'!N137,'Aggregatie Volumes TD'!N197,'Aggregatie Volumes TD'!N257)</f>
        <v>164052.37644860838</v>
      </c>
      <c r="O11" s="150">
        <f>AVERAGE('Aggregatie Volumes TD'!O137,'Aggregatie Volumes TD'!O197,'Aggregatie Volumes TD'!O257)</f>
        <v>0</v>
      </c>
    </row>
    <row r="12" spans="2:17">
      <c r="B12" s="90"/>
      <c r="F12" s="47"/>
    </row>
    <row r="13" spans="2:17">
      <c r="B13" s="91" t="s">
        <v>266</v>
      </c>
      <c r="F13" s="47"/>
    </row>
    <row r="14" spans="2:17">
      <c r="B14" s="89" t="s">
        <v>201</v>
      </c>
      <c r="F14" s="102">
        <f t="shared" ref="F14:F15" si="1">SUM(G14:O14)</f>
        <v>30365.988277579301</v>
      </c>
      <c r="G14" s="150">
        <f>AVERAGE('Aggregatie Volumes TD'!G140,'Aggregatie Volumes TD'!G200,'Aggregatie Volumes TD'!G260)</f>
        <v>509.4871794871795</v>
      </c>
      <c r="H14" s="150">
        <f>AVERAGE('Aggregatie Volumes TD'!H140,'Aggregatie Volumes TD'!H200,'Aggregatie Volumes TD'!H260)</f>
        <v>561.11139359698655</v>
      </c>
      <c r="I14" s="150">
        <f>AVERAGE('Aggregatie Volumes TD'!I140,'Aggregatie Volumes TD'!I200,'Aggregatie Volumes TD'!I260)</f>
        <v>1684.3333333333333</v>
      </c>
      <c r="J14" s="150">
        <f>AVERAGE('Aggregatie Volumes TD'!J140,'Aggregatie Volumes TD'!J200,'Aggregatie Volumes TD'!J260)</f>
        <v>8444.5632882651498</v>
      </c>
      <c r="K14" s="150">
        <f>AVERAGE('Aggregatie Volumes TD'!K140,'Aggregatie Volumes TD'!K200,'Aggregatie Volumes TD'!K260)</f>
        <v>9752.3450620830354</v>
      </c>
      <c r="L14" s="150">
        <f>AVERAGE('Aggregatie Volumes TD'!L140,'Aggregatie Volumes TD'!L200,'Aggregatie Volumes TD'!L260)</f>
        <v>353.4666666666667</v>
      </c>
      <c r="M14" s="150">
        <f>AVERAGE('Aggregatie Volumes TD'!M140,'Aggregatie Volumes TD'!M200,'Aggregatie Volumes TD'!M260)</f>
        <v>8334.3048539418796</v>
      </c>
      <c r="N14" s="150">
        <f>AVERAGE('Aggregatie Volumes TD'!N140,'Aggregatie Volumes TD'!N200,'Aggregatie Volumes TD'!N260)</f>
        <v>726.3765002050726</v>
      </c>
      <c r="O14" s="150">
        <f>AVERAGE('Aggregatie Volumes TD'!O140,'Aggregatie Volumes TD'!O200,'Aggregatie Volumes TD'!O260)</f>
        <v>0</v>
      </c>
    </row>
    <row r="15" spans="2:17">
      <c r="B15" s="90" t="s">
        <v>202</v>
      </c>
      <c r="F15" s="102">
        <f t="shared" si="1"/>
        <v>2341606.4157511177</v>
      </c>
      <c r="G15" s="150">
        <f>AVERAGE('Aggregatie Volumes TD'!G141,'Aggregatie Volumes TD'!G201,'Aggregatie Volumes TD'!G261)</f>
        <v>35170.128205128211</v>
      </c>
      <c r="H15" s="150">
        <f>AVERAGE('Aggregatie Volumes TD'!H141,'Aggregatie Volumes TD'!H201,'Aggregatie Volumes TD'!H261)</f>
        <v>39622.650188323903</v>
      </c>
      <c r="I15" s="150">
        <f>AVERAGE('Aggregatie Volumes TD'!I141,'Aggregatie Volumes TD'!I201,'Aggregatie Volumes TD'!I261)</f>
        <v>110935</v>
      </c>
      <c r="J15" s="150">
        <f>AVERAGE('Aggregatie Volumes TD'!J141,'Aggregatie Volumes TD'!J201,'Aggregatie Volumes TD'!J261)</f>
        <v>646096.93713264691</v>
      </c>
      <c r="K15" s="150">
        <f>AVERAGE('Aggregatie Volumes TD'!K141,'Aggregatie Volumes TD'!K201,'Aggregatie Volumes TD'!K261)</f>
        <v>711203.45552677196</v>
      </c>
      <c r="L15" s="150">
        <f>AVERAGE('Aggregatie Volumes TD'!L141,'Aggregatie Volumes TD'!L201,'Aggregatie Volumes TD'!L261)</f>
        <v>23774.666666666668</v>
      </c>
      <c r="M15" s="150">
        <f>AVERAGE('Aggregatie Volumes TD'!M141,'Aggregatie Volumes TD'!M201,'Aggregatie Volumes TD'!M261)</f>
        <v>694962.64764563611</v>
      </c>
      <c r="N15" s="150">
        <f>AVERAGE('Aggregatie Volumes TD'!N141,'Aggregatie Volumes TD'!N201,'Aggregatie Volumes TD'!N261)</f>
        <v>79840.930385944186</v>
      </c>
      <c r="O15" s="150">
        <f>AVERAGE('Aggregatie Volumes TD'!O141,'Aggregatie Volumes TD'!O201,'Aggregatie Volumes TD'!O261)</f>
        <v>0</v>
      </c>
    </row>
    <row r="16" spans="2:17">
      <c r="B16" s="104"/>
      <c r="F16" s="47"/>
    </row>
    <row r="17" spans="2:15">
      <c r="B17" s="88" t="s">
        <v>204</v>
      </c>
      <c r="F17" s="47"/>
    </row>
    <row r="18" spans="2:15">
      <c r="B18" s="89" t="s">
        <v>201</v>
      </c>
      <c r="F18" s="102">
        <f t="shared" ref="F18:F22" si="2">SUM(G18:O18)</f>
        <v>8822.9411906296045</v>
      </c>
      <c r="G18" s="150">
        <f>AVERAGE('Aggregatie Volumes TD'!G144,'Aggregatie Volumes TD'!G204,'Aggregatie Volumes TD'!G264)</f>
        <v>113.33333333333333</v>
      </c>
      <c r="H18" s="150">
        <f>AVERAGE('Aggregatie Volumes TD'!H144,'Aggregatie Volumes TD'!H204,'Aggregatie Volumes TD'!H264)</f>
        <v>184.19444444444443</v>
      </c>
      <c r="I18" s="150">
        <f>AVERAGE('Aggregatie Volumes TD'!I144,'Aggregatie Volumes TD'!I204,'Aggregatie Volumes TD'!I264)</f>
        <v>501</v>
      </c>
      <c r="J18" s="150">
        <f>AVERAGE('Aggregatie Volumes TD'!J144,'Aggregatie Volumes TD'!J204,'Aggregatie Volumes TD'!J264)</f>
        <v>2318.0557286788703</v>
      </c>
      <c r="K18" s="150">
        <f>AVERAGE('Aggregatie Volumes TD'!K144,'Aggregatie Volumes TD'!K204,'Aggregatie Volumes TD'!K264)</f>
        <v>2582.3323687046977</v>
      </c>
      <c r="L18" s="150">
        <f>AVERAGE('Aggregatie Volumes TD'!L144,'Aggregatie Volumes TD'!L204,'Aggregatie Volumes TD'!L264)</f>
        <v>89.94</v>
      </c>
      <c r="M18" s="150">
        <f>AVERAGE('Aggregatie Volumes TD'!M144,'Aggregatie Volumes TD'!M204,'Aggregatie Volumes TD'!M264)</f>
        <v>2066.6484829098731</v>
      </c>
      <c r="N18" s="150">
        <f>AVERAGE('Aggregatie Volumes TD'!N144,'Aggregatie Volumes TD'!N204,'Aggregatie Volumes TD'!N264)</f>
        <v>967.4368325583855</v>
      </c>
      <c r="O18" s="150">
        <f>AVERAGE('Aggregatie Volumes TD'!O144,'Aggregatie Volumes TD'!O204,'Aggregatie Volumes TD'!O264)</f>
        <v>0</v>
      </c>
    </row>
    <row r="19" spans="2:15">
      <c r="B19" s="90" t="s">
        <v>262</v>
      </c>
      <c r="F19" s="102">
        <f t="shared" si="2"/>
        <v>159459.86777777778</v>
      </c>
      <c r="G19" s="150">
        <f>AVERAGE('Aggregatie Volumes TD'!G145,'Aggregatie Volumes TD'!G205,'Aggregatie Volumes TD'!G265)</f>
        <v>7366.3888888888878</v>
      </c>
      <c r="H19" s="150">
        <f>AVERAGE('Aggregatie Volumes TD'!H145,'Aggregatie Volumes TD'!H205,'Aggregatie Volumes TD'!H265)</f>
        <v>12207.361111111109</v>
      </c>
      <c r="I19" s="150">
        <f>AVERAGE('Aggregatie Volumes TD'!I145,'Aggregatie Volumes TD'!I205,'Aggregatie Volumes TD'!I265)</f>
        <v>0</v>
      </c>
      <c r="J19" s="150">
        <f>AVERAGE('Aggregatie Volumes TD'!J145,'Aggregatie Volumes TD'!J205,'Aggregatie Volumes TD'!J265)</f>
        <v>0</v>
      </c>
      <c r="K19" s="150">
        <f>AVERAGE('Aggregatie Volumes TD'!K145,'Aggregatie Volumes TD'!K205,'Aggregatie Volumes TD'!K265)</f>
        <v>136101.36111111112</v>
      </c>
      <c r="L19" s="150">
        <f>AVERAGE('Aggregatie Volumes TD'!L145,'Aggregatie Volumes TD'!L205,'Aggregatie Volumes TD'!L265)</f>
        <v>3784.7566666666667</v>
      </c>
      <c r="M19" s="150">
        <f>AVERAGE('Aggregatie Volumes TD'!M145,'Aggregatie Volumes TD'!M205,'Aggregatie Volumes TD'!M265)</f>
        <v>0</v>
      </c>
      <c r="N19" s="150">
        <f>AVERAGE('Aggregatie Volumes TD'!N145,'Aggregatie Volumes TD'!N205,'Aggregatie Volumes TD'!N265)</f>
        <v>0</v>
      </c>
      <c r="O19" s="150">
        <f>AVERAGE('Aggregatie Volumes TD'!O145,'Aggregatie Volumes TD'!O205,'Aggregatie Volumes TD'!O265)</f>
        <v>0</v>
      </c>
    </row>
    <row r="20" spans="2:15">
      <c r="B20" s="89" t="s">
        <v>263</v>
      </c>
      <c r="F20" s="102">
        <f t="shared" si="2"/>
        <v>628186.59826178476</v>
      </c>
      <c r="G20" s="150">
        <f>AVERAGE('Aggregatie Volumes TD'!G146,'Aggregatie Volumes TD'!G206,'Aggregatie Volumes TD'!G266)</f>
        <v>23341.638888888891</v>
      </c>
      <c r="H20" s="150">
        <f>AVERAGE('Aggregatie Volumes TD'!H146,'Aggregatie Volumes TD'!H206,'Aggregatie Volumes TD'!H266)</f>
        <v>48604.709229772852</v>
      </c>
      <c r="I20" s="150">
        <f>AVERAGE('Aggregatie Volumes TD'!I146,'Aggregatie Volumes TD'!I206,'Aggregatie Volumes TD'!I266)</f>
        <v>0</v>
      </c>
      <c r="J20" s="150">
        <f>AVERAGE('Aggregatie Volumes TD'!J146,'Aggregatie Volumes TD'!J206,'Aggregatie Volumes TD'!J266)</f>
        <v>0</v>
      </c>
      <c r="K20" s="150">
        <f>AVERAGE('Aggregatie Volumes TD'!K146,'Aggregatie Volumes TD'!K206,'Aggregatie Volumes TD'!K266)</f>
        <v>529847.85680978966</v>
      </c>
      <c r="L20" s="150">
        <f>AVERAGE('Aggregatie Volumes TD'!L146,'Aggregatie Volumes TD'!L206,'Aggregatie Volumes TD'!L266)</f>
        <v>26392.39333333333</v>
      </c>
      <c r="M20" s="150">
        <f>AVERAGE('Aggregatie Volumes TD'!M146,'Aggregatie Volumes TD'!M206,'Aggregatie Volumes TD'!M266)</f>
        <v>0</v>
      </c>
      <c r="N20" s="150">
        <f>AVERAGE('Aggregatie Volumes TD'!N146,'Aggregatie Volumes TD'!N206,'Aggregatie Volumes TD'!N266)</f>
        <v>0</v>
      </c>
      <c r="O20" s="150">
        <f>AVERAGE('Aggregatie Volumes TD'!O146,'Aggregatie Volumes TD'!O206,'Aggregatie Volumes TD'!O266)</f>
        <v>0</v>
      </c>
    </row>
    <row r="21" spans="2:15">
      <c r="B21" s="90" t="s">
        <v>264</v>
      </c>
      <c r="F21" s="102">
        <f t="shared" si="2"/>
        <v>1878439.430394233</v>
      </c>
      <c r="G21" s="150">
        <f>AVERAGE('Aggregatie Volumes TD'!G147,'Aggregatie Volumes TD'!G207,'Aggregatie Volumes TD'!G267)</f>
        <v>0</v>
      </c>
      <c r="H21" s="150">
        <f>AVERAGE('Aggregatie Volumes TD'!H147,'Aggregatie Volumes TD'!H207,'Aggregatie Volumes TD'!H267)</f>
        <v>0</v>
      </c>
      <c r="I21" s="150">
        <f>AVERAGE('Aggregatie Volumes TD'!I147,'Aggregatie Volumes TD'!I207,'Aggregatie Volumes TD'!I267)</f>
        <v>153419.88261245476</v>
      </c>
      <c r="J21" s="150">
        <f>AVERAGE('Aggregatie Volumes TD'!J147,'Aggregatie Volumes TD'!J207,'Aggregatie Volumes TD'!J267)</f>
        <v>746574.67327855539</v>
      </c>
      <c r="K21" s="150">
        <f>AVERAGE('Aggregatie Volumes TD'!K147,'Aggregatie Volumes TD'!K207,'Aggregatie Volumes TD'!K267)</f>
        <v>0</v>
      </c>
      <c r="L21" s="150">
        <f>AVERAGE('Aggregatie Volumes TD'!L147,'Aggregatie Volumes TD'!L207,'Aggregatie Volumes TD'!L267)</f>
        <v>0</v>
      </c>
      <c r="M21" s="150">
        <f>AVERAGE('Aggregatie Volumes TD'!M147,'Aggregatie Volumes TD'!M207,'Aggregatie Volumes TD'!M267)</f>
        <v>650423.1834578244</v>
      </c>
      <c r="N21" s="150">
        <f>AVERAGE('Aggregatie Volumes TD'!N147,'Aggregatie Volumes TD'!N207,'Aggregatie Volumes TD'!N267)</f>
        <v>328021.69104539836</v>
      </c>
      <c r="O21" s="150">
        <f>AVERAGE('Aggregatie Volumes TD'!O147,'Aggregatie Volumes TD'!O207,'Aggregatie Volumes TD'!O267)</f>
        <v>0</v>
      </c>
    </row>
    <row r="22" spans="2:15">
      <c r="B22" s="90" t="s">
        <v>205</v>
      </c>
      <c r="F22" s="102">
        <f t="shared" si="2"/>
        <v>2666085.8964337953</v>
      </c>
      <c r="G22" s="107">
        <f>AVERAGE('Aggregatie Volumes TD'!G148,'Aggregatie Volumes TD'!G208,'Aggregatie Volumes TD'!G268)</f>
        <v>30708.027777777777</v>
      </c>
      <c r="H22" s="107">
        <f>AVERAGE('Aggregatie Volumes TD'!H148,'Aggregatie Volumes TD'!H208,'Aggregatie Volumes TD'!H268)</f>
        <v>60812.070340883954</v>
      </c>
      <c r="I22" s="107">
        <f>AVERAGE('Aggregatie Volumes TD'!I148,'Aggregatie Volumes TD'!I208,'Aggregatie Volumes TD'!I268)</f>
        <v>153419.88261245476</v>
      </c>
      <c r="J22" s="107">
        <f>AVERAGE('Aggregatie Volumes TD'!J148,'Aggregatie Volumes TD'!J208,'Aggregatie Volumes TD'!J268)</f>
        <v>746574.67327855539</v>
      </c>
      <c r="K22" s="107">
        <f>AVERAGE('Aggregatie Volumes TD'!K148,'Aggregatie Volumes TD'!K208,'Aggregatie Volumes TD'!K268)</f>
        <v>665949.21792090079</v>
      </c>
      <c r="L22" s="107">
        <f>AVERAGE('Aggregatie Volumes TD'!L148,'Aggregatie Volumes TD'!L208,'Aggregatie Volumes TD'!L268)</f>
        <v>30177.149999999998</v>
      </c>
      <c r="M22" s="107">
        <f>AVERAGE('Aggregatie Volumes TD'!M148,'Aggregatie Volumes TD'!M208,'Aggregatie Volumes TD'!M268)</f>
        <v>650423.1834578244</v>
      </c>
      <c r="N22" s="107">
        <f>AVERAGE('Aggregatie Volumes TD'!N148,'Aggregatie Volumes TD'!N208,'Aggregatie Volumes TD'!N268)</f>
        <v>328021.69104539836</v>
      </c>
      <c r="O22" s="107">
        <f>AVERAGE('Aggregatie Volumes TD'!O148,'Aggregatie Volumes TD'!O208,'Aggregatie Volumes TD'!O268)</f>
        <v>0</v>
      </c>
    </row>
    <row r="23" spans="2:15">
      <c r="B23" s="105"/>
      <c r="F23" s="47"/>
      <c r="H23" s="90"/>
    </row>
    <row r="24" spans="2:15">
      <c r="B24" s="88" t="s">
        <v>206</v>
      </c>
      <c r="F24" s="47"/>
      <c r="H24" s="90"/>
    </row>
    <row r="25" spans="2:15">
      <c r="B25" s="89" t="s">
        <v>201</v>
      </c>
      <c r="F25" s="102">
        <f t="shared" ref="F25:F26" si="3">SUM(G25:O25)</f>
        <v>7</v>
      </c>
      <c r="G25" s="29"/>
      <c r="H25" s="150">
        <f>AVERAGE('Aggregatie Volumes TD'!H151,'Aggregatie Volumes TD'!H211,'Aggregatie Volumes TD'!H271)</f>
        <v>4</v>
      </c>
      <c r="I25" s="29"/>
      <c r="J25" s="150">
        <f>AVERAGE('Aggregatie Volumes TD'!J151,'Aggregatie Volumes TD'!J211,'Aggregatie Volumes TD'!J271)</f>
        <v>1</v>
      </c>
      <c r="K25" s="29"/>
      <c r="L25" s="29"/>
      <c r="M25" s="29"/>
      <c r="N25" s="29"/>
      <c r="O25" s="150">
        <f>AVERAGE('Aggregatie Volumes TD'!O151,'Aggregatie Volumes TD'!O211,'Aggregatie Volumes TD'!O271)</f>
        <v>2</v>
      </c>
    </row>
    <row r="26" spans="2:15">
      <c r="B26" s="90" t="s">
        <v>202</v>
      </c>
      <c r="F26" s="102">
        <f t="shared" si="3"/>
        <v>786299.45876666671</v>
      </c>
      <c r="G26" s="29"/>
      <c r="H26" s="150">
        <f>AVERAGE('Aggregatie Volumes TD'!H152,'Aggregatie Volumes TD'!H212,'Aggregatie Volumes TD'!H272)</f>
        <v>76157.666666666672</v>
      </c>
      <c r="I26" s="29"/>
      <c r="J26" s="150">
        <f>AVERAGE('Aggregatie Volumes TD'!J152,'Aggregatie Volumes TD'!J212,'Aggregatie Volumes TD'!J272)</f>
        <v>60000</v>
      </c>
      <c r="K26" s="29"/>
      <c r="L26" s="29"/>
      <c r="M26" s="29"/>
      <c r="N26" s="29"/>
      <c r="O26" s="150">
        <f>AVERAGE('Aggregatie Volumes TD'!O152,'Aggregatie Volumes TD'!O212,'Aggregatie Volumes TD'!O272)</f>
        <v>650141.79210000008</v>
      </c>
    </row>
    <row r="27" spans="2:15">
      <c r="B27" s="22"/>
      <c r="F27" s="47"/>
      <c r="H27" s="90"/>
    </row>
    <row r="28" spans="2:15">
      <c r="B28" s="22"/>
      <c r="F28" s="47"/>
      <c r="H28" s="90"/>
    </row>
    <row r="30" spans="2:15" s="2" customFormat="1">
      <c r="B30" s="2" t="s">
        <v>136</v>
      </c>
      <c r="F30" s="49"/>
    </row>
    <row r="31" spans="2:15">
      <c r="F31" s="47"/>
    </row>
    <row r="32" spans="2:15">
      <c r="B32" s="3" t="s">
        <v>306</v>
      </c>
      <c r="F32" s="47"/>
    </row>
    <row r="33" spans="2:17">
      <c r="B33" s="3"/>
      <c r="F33" s="47"/>
    </row>
    <row r="34" spans="2:17">
      <c r="B34" s="108" t="s">
        <v>284</v>
      </c>
      <c r="F34" s="47"/>
    </row>
    <row r="35" spans="2:17">
      <c r="B35" s="23" t="s">
        <v>285</v>
      </c>
      <c r="F35" s="102">
        <f t="shared" ref="F35:F38" si="4">SUM(G35:O35)</f>
        <v>6839272.7536220178</v>
      </c>
      <c r="G35" s="139">
        <f>AVERAGE('PRD Volumes AD (2009-2012)'!G132,'PRD Volumes AD (2009-2012)'!G250,'PRD Volumes AD (2009-2012)'!G368)</f>
        <v>133669.8205128205</v>
      </c>
      <c r="H35" s="139">
        <f>AVERAGE('PRD Volumes AD (2009-2012)'!H132,'PRD Volumes AD (2009-2012)'!H250,'PRD Volumes AD (2009-2012)'!H368)</f>
        <v>181856.27777777778</v>
      </c>
      <c r="I35" s="139">
        <f>AVERAGE('PRD Volumes AD (2009-2012)'!I132,'PRD Volumes AD (2009-2012)'!I250,'PRD Volumes AD (2009-2012)'!I368)</f>
        <v>379622.66666666669</v>
      </c>
      <c r="J35" s="139">
        <f>AVERAGE('PRD Volumes AD (2009-2012)'!J132,'PRD Volumes AD (2009-2012)'!J250,'PRD Volumes AD (2009-2012)'!J368)</f>
        <v>1977711.7453203599</v>
      </c>
      <c r="K35" s="139">
        <f>AVERAGE('PRD Volumes AD (2009-2012)'!K132,'PRD Volumes AD (2009-2012)'!K250,'PRD Volumes AD (2009-2012)'!K368)</f>
        <v>2174210.75</v>
      </c>
      <c r="L35" s="139">
        <f>AVERAGE('PRD Volumes AD (2009-2012)'!L132,'PRD Volumes AD (2009-2012)'!L250,'PRD Volumes AD (2009-2012)'!L368)</f>
        <v>98969</v>
      </c>
      <c r="M35" s="139">
        <f>AVERAGE('PRD Volumes AD (2009-2012)'!M132,'PRD Volumes AD (2009-2012)'!M250,'PRD Volumes AD (2009-2012)'!M368)</f>
        <v>1843974.2536454611</v>
      </c>
      <c r="N35" s="139">
        <f>AVERAGE('PRD Volumes AD (2009-2012)'!N132,'PRD Volumes AD (2009-2012)'!N250,'PRD Volumes AD (2009-2012)'!N368)</f>
        <v>49258.239698931109</v>
      </c>
      <c r="O35" s="139">
        <f>AVERAGE('PRD Volumes AD (2009-2012)'!O132,'PRD Volumes AD (2009-2012)'!O250,'PRD Volumes AD (2009-2012)'!O368)</f>
        <v>0</v>
      </c>
      <c r="Q35" s="51" t="s">
        <v>983</v>
      </c>
    </row>
    <row r="36" spans="2:17">
      <c r="B36" s="23" t="s">
        <v>286</v>
      </c>
      <c r="F36" s="102">
        <f t="shared" si="4"/>
        <v>25425.08257336833</v>
      </c>
      <c r="G36" s="139">
        <f>AVERAGE('PRD Volumes AD (2009-2012)'!G133,'PRD Volumes AD (2009-2012)'!G251,'PRD Volumes AD (2009-2012)'!G369)</f>
        <v>3</v>
      </c>
      <c r="H36" s="139">
        <f>AVERAGE('PRD Volumes AD (2009-2012)'!H133,'PRD Volumes AD (2009-2012)'!H251,'PRD Volumes AD (2009-2012)'!H369)</f>
        <v>21.305555555555557</v>
      </c>
      <c r="I36" s="139">
        <f>AVERAGE('PRD Volumes AD (2009-2012)'!I133,'PRD Volumes AD (2009-2012)'!I251,'PRD Volumes AD (2009-2012)'!I369)</f>
        <v>2400</v>
      </c>
      <c r="J36" s="139">
        <f>AVERAGE('PRD Volumes AD (2009-2012)'!J133,'PRD Volumes AD (2009-2012)'!J251,'PRD Volumes AD (2009-2012)'!J369)</f>
        <v>4849.0895288625497</v>
      </c>
      <c r="K36" s="139">
        <f>AVERAGE('PRD Volumes AD (2009-2012)'!K133,'PRD Volumes AD (2009-2012)'!K251,'PRD Volumes AD (2009-2012)'!K369)</f>
        <v>9294.6944444444434</v>
      </c>
      <c r="L36" s="139">
        <f>AVERAGE('PRD Volumes AD (2009-2012)'!L133,'PRD Volumes AD (2009-2012)'!L251,'PRD Volumes AD (2009-2012)'!L369)</f>
        <v>668.93333333333339</v>
      </c>
      <c r="M36" s="139">
        <f>AVERAGE('PRD Volumes AD (2009-2012)'!M133,'PRD Volumes AD (2009-2012)'!M251,'PRD Volumes AD (2009-2012)'!M369)</f>
        <v>7761.4052458553897</v>
      </c>
      <c r="N36" s="139">
        <f>AVERAGE('PRD Volumes AD (2009-2012)'!N133,'PRD Volumes AD (2009-2012)'!N251,'PRD Volumes AD (2009-2012)'!N369)</f>
        <v>426.65446531706112</v>
      </c>
      <c r="O36" s="139">
        <f>AVERAGE('PRD Volumes AD (2009-2012)'!O133,'PRD Volumes AD (2009-2012)'!O251,'PRD Volumes AD (2009-2012)'!O369)</f>
        <v>0</v>
      </c>
    </row>
    <row r="37" spans="2:17">
      <c r="B37" s="61" t="s">
        <v>287</v>
      </c>
      <c r="F37" s="102">
        <f t="shared" si="4"/>
        <v>77388.462006510017</v>
      </c>
      <c r="G37" s="139">
        <f>AVERAGE('PRD Volumes AD (2009-2012)'!G134,'PRD Volumes AD (2009-2012)'!G252,'PRD Volumes AD (2009-2012)'!G370)</f>
        <v>2278.8717948717949</v>
      </c>
      <c r="H37" s="139">
        <f>AVERAGE('PRD Volumes AD (2009-2012)'!H134,'PRD Volumes AD (2009-2012)'!H252,'PRD Volumes AD (2009-2012)'!H370)</f>
        <v>2749.1111111111113</v>
      </c>
      <c r="I37" s="139">
        <f>AVERAGE('PRD Volumes AD (2009-2012)'!I134,'PRD Volumes AD (2009-2012)'!I252,'PRD Volumes AD (2009-2012)'!I370)</f>
        <v>5758.666666666667</v>
      </c>
      <c r="J37" s="139">
        <f>AVERAGE('PRD Volumes AD (2009-2012)'!J134,'PRD Volumes AD (2009-2012)'!J252,'PRD Volumes AD (2009-2012)'!J370)</f>
        <v>27627.476785386138</v>
      </c>
      <c r="K37" s="139">
        <f>AVERAGE('PRD Volumes AD (2009-2012)'!K134,'PRD Volumes AD (2009-2012)'!K252,'PRD Volumes AD (2009-2012)'!K370)</f>
        <v>21302.916666666668</v>
      </c>
      <c r="L37" s="139">
        <f>AVERAGE('PRD Volumes AD (2009-2012)'!L134,'PRD Volumes AD (2009-2012)'!L252,'PRD Volumes AD (2009-2012)'!L370)</f>
        <v>1103.6666666666667</v>
      </c>
      <c r="M37" s="139">
        <f>AVERAGE('PRD Volumes AD (2009-2012)'!M134,'PRD Volumes AD (2009-2012)'!M252,'PRD Volumes AD (2009-2012)'!M370)</f>
        <v>16163.250026709402</v>
      </c>
      <c r="N37" s="139">
        <f>AVERAGE('PRD Volumes AD (2009-2012)'!N134,'PRD Volumes AD (2009-2012)'!N252,'PRD Volumes AD (2009-2012)'!N370)</f>
        <v>404.5022884315693</v>
      </c>
      <c r="O37" s="139">
        <f>AVERAGE('PRD Volumes AD (2009-2012)'!O134,'PRD Volumes AD (2009-2012)'!O252,'PRD Volumes AD (2009-2012)'!O370)</f>
        <v>0</v>
      </c>
    </row>
    <row r="38" spans="2:17">
      <c r="B38" s="61" t="s">
        <v>288</v>
      </c>
      <c r="F38" s="102">
        <f t="shared" si="4"/>
        <v>26317.47691902451</v>
      </c>
      <c r="G38" s="139">
        <f>AVERAGE('PRD Volumes AD (2009-2012)'!G135,'PRD Volumes AD (2009-2012)'!G253,'PRD Volumes AD (2009-2012)'!G371)</f>
        <v>719.53846153846155</v>
      </c>
      <c r="H38" s="139">
        <f>AVERAGE('PRD Volumes AD (2009-2012)'!H135,'PRD Volumes AD (2009-2012)'!H253,'PRD Volumes AD (2009-2012)'!H371)</f>
        <v>665.1388888888888</v>
      </c>
      <c r="I38" s="139">
        <f>AVERAGE('PRD Volumes AD (2009-2012)'!I135,'PRD Volumes AD (2009-2012)'!I253,'PRD Volumes AD (2009-2012)'!I371)</f>
        <v>1955.6666666666667</v>
      </c>
      <c r="J38" s="139">
        <f>AVERAGE('PRD Volumes AD (2009-2012)'!J135,'PRD Volumes AD (2009-2012)'!J253,'PRD Volumes AD (2009-2012)'!J371)</f>
        <v>8602.3974507738694</v>
      </c>
      <c r="K38" s="139">
        <f>AVERAGE('PRD Volumes AD (2009-2012)'!K135,'PRD Volumes AD (2009-2012)'!K253,'PRD Volumes AD (2009-2012)'!K371)</f>
        <v>6891.3888888888878</v>
      </c>
      <c r="L38" s="139">
        <f>AVERAGE('PRD Volumes AD (2009-2012)'!L135,'PRD Volumes AD (2009-2012)'!L253,'PRD Volumes AD (2009-2012)'!L371)</f>
        <v>409.59999999999997</v>
      </c>
      <c r="M38" s="139">
        <f>AVERAGE('PRD Volumes AD (2009-2012)'!M135,'PRD Volumes AD (2009-2012)'!M253,'PRD Volumes AD (2009-2012)'!M371)</f>
        <v>6778.6834589757646</v>
      </c>
      <c r="N38" s="139">
        <f>AVERAGE('PRD Volumes AD (2009-2012)'!N135,'PRD Volumes AD (2009-2012)'!N253,'PRD Volumes AD (2009-2012)'!N371)</f>
        <v>295.06310329197191</v>
      </c>
      <c r="O38" s="139">
        <f>AVERAGE('PRD Volumes AD (2009-2012)'!O135,'PRD Volumes AD (2009-2012)'!O253,'PRD Volumes AD (2009-2012)'!O371)</f>
        <v>0</v>
      </c>
    </row>
    <row r="39" spans="2:17">
      <c r="B39" s="23"/>
      <c r="F39" s="109"/>
    </row>
    <row r="40" spans="2:17">
      <c r="B40" s="108" t="s">
        <v>289</v>
      </c>
      <c r="F40" s="109"/>
    </row>
    <row r="41" spans="2:17">
      <c r="B41" s="23" t="s">
        <v>285</v>
      </c>
      <c r="F41" s="102">
        <f t="shared" ref="F41:F44" si="5">SUM(G41:O41)</f>
        <v>0</v>
      </c>
      <c r="G41" s="139">
        <f>AVERAGE('PRD Volumes AD (2009-2012)'!G138,'PRD Volumes AD (2009-2012)'!G256,'PRD Volumes AD (2009-2012)'!G374)</f>
        <v>0</v>
      </c>
      <c r="H41" s="139">
        <f>AVERAGE('PRD Volumes AD (2009-2012)'!H138,'PRD Volumes AD (2009-2012)'!H256,'PRD Volumes AD (2009-2012)'!H374)</f>
        <v>0</v>
      </c>
      <c r="I41" s="139">
        <f>AVERAGE('PRD Volumes AD (2009-2012)'!I138,'PRD Volumes AD (2009-2012)'!I256,'PRD Volumes AD (2009-2012)'!I374)</f>
        <v>0</v>
      </c>
      <c r="J41" s="139">
        <f>AVERAGE('PRD Volumes AD (2009-2012)'!J138,'PRD Volumes AD (2009-2012)'!J256,'PRD Volumes AD (2009-2012)'!J374)</f>
        <v>0</v>
      </c>
      <c r="K41" s="139">
        <f>AVERAGE('PRD Volumes AD (2009-2012)'!K138,'PRD Volumes AD (2009-2012)'!K256,'PRD Volumes AD (2009-2012)'!K374)</f>
        <v>0</v>
      </c>
      <c r="L41" s="139">
        <f>AVERAGE('PRD Volumes AD (2009-2012)'!L138,'PRD Volumes AD (2009-2012)'!L256,'PRD Volumes AD (2009-2012)'!L374)</f>
        <v>0</v>
      </c>
      <c r="M41" s="139">
        <f>AVERAGE('PRD Volumes AD (2009-2012)'!M138,'PRD Volumes AD (2009-2012)'!M256,'PRD Volumes AD (2009-2012)'!M374)</f>
        <v>0</v>
      </c>
      <c r="N41" s="139">
        <f>AVERAGE('PRD Volumes AD (2009-2012)'!N138,'PRD Volumes AD (2009-2012)'!N256,'PRD Volumes AD (2009-2012)'!N374)</f>
        <v>0</v>
      </c>
      <c r="O41" s="139">
        <f>AVERAGE('PRD Volumes AD (2009-2012)'!O138,'PRD Volumes AD (2009-2012)'!O256,'PRD Volumes AD (2009-2012)'!O374)</f>
        <v>0</v>
      </c>
    </row>
    <row r="42" spans="2:17">
      <c r="B42" s="23" t="s">
        <v>286</v>
      </c>
      <c r="F42" s="102">
        <f t="shared" si="5"/>
        <v>0.33333333333333331</v>
      </c>
      <c r="G42" s="139">
        <f>AVERAGE('PRD Volumes AD (2009-2012)'!G139,'PRD Volumes AD (2009-2012)'!G257,'PRD Volumes AD (2009-2012)'!G375)</f>
        <v>0</v>
      </c>
      <c r="H42" s="139">
        <f>AVERAGE('PRD Volumes AD (2009-2012)'!H139,'PRD Volumes AD (2009-2012)'!H257,'PRD Volumes AD (2009-2012)'!H375)</f>
        <v>0</v>
      </c>
      <c r="I42" s="139">
        <f>AVERAGE('PRD Volumes AD (2009-2012)'!I139,'PRD Volumes AD (2009-2012)'!I257,'PRD Volumes AD (2009-2012)'!I375)</f>
        <v>0</v>
      </c>
      <c r="J42" s="139">
        <f>AVERAGE('PRD Volumes AD (2009-2012)'!J139,'PRD Volumes AD (2009-2012)'!J257,'PRD Volumes AD (2009-2012)'!J375)</f>
        <v>0</v>
      </c>
      <c r="K42" s="139">
        <f>AVERAGE('PRD Volumes AD (2009-2012)'!K139,'PRD Volumes AD (2009-2012)'!K257,'PRD Volumes AD (2009-2012)'!K375)</f>
        <v>0.33333333333333331</v>
      </c>
      <c r="L42" s="139">
        <f>AVERAGE('PRD Volumes AD (2009-2012)'!L139,'PRD Volumes AD (2009-2012)'!L257,'PRD Volumes AD (2009-2012)'!L375)</f>
        <v>0</v>
      </c>
      <c r="M42" s="139">
        <f>AVERAGE('PRD Volumes AD (2009-2012)'!M139,'PRD Volumes AD (2009-2012)'!M257,'PRD Volumes AD (2009-2012)'!M375)</f>
        <v>0</v>
      </c>
      <c r="N42" s="139">
        <f>AVERAGE('PRD Volumes AD (2009-2012)'!N139,'PRD Volumes AD (2009-2012)'!N257,'PRD Volumes AD (2009-2012)'!N375)</f>
        <v>0</v>
      </c>
      <c r="O42" s="139">
        <f>AVERAGE('PRD Volumes AD (2009-2012)'!O139,'PRD Volumes AD (2009-2012)'!O257,'PRD Volumes AD (2009-2012)'!O375)</f>
        <v>0</v>
      </c>
    </row>
    <row r="43" spans="2:17">
      <c r="B43" s="61" t="s">
        <v>287</v>
      </c>
      <c r="F43" s="102">
        <f t="shared" si="5"/>
        <v>1.6666666666666665</v>
      </c>
      <c r="G43" s="139">
        <f>AVERAGE('PRD Volumes AD (2009-2012)'!G140,'PRD Volumes AD (2009-2012)'!G258,'PRD Volumes AD (2009-2012)'!G376)</f>
        <v>0</v>
      </c>
      <c r="H43" s="139">
        <f>AVERAGE('PRD Volumes AD (2009-2012)'!H140,'PRD Volumes AD (2009-2012)'!H258,'PRD Volumes AD (2009-2012)'!H376)</f>
        <v>0</v>
      </c>
      <c r="I43" s="139">
        <f>AVERAGE('PRD Volumes AD (2009-2012)'!I140,'PRD Volumes AD (2009-2012)'!I258,'PRD Volumes AD (2009-2012)'!I376)</f>
        <v>0.66666666666666663</v>
      </c>
      <c r="J43" s="139">
        <f>AVERAGE('PRD Volumes AD (2009-2012)'!J140,'PRD Volumes AD (2009-2012)'!J258,'PRD Volumes AD (2009-2012)'!J376)</f>
        <v>0</v>
      </c>
      <c r="K43" s="139">
        <f>AVERAGE('PRD Volumes AD (2009-2012)'!K140,'PRD Volumes AD (2009-2012)'!K258,'PRD Volumes AD (2009-2012)'!K376)</f>
        <v>0</v>
      </c>
      <c r="L43" s="139">
        <f>AVERAGE('PRD Volumes AD (2009-2012)'!L140,'PRD Volumes AD (2009-2012)'!L258,'PRD Volumes AD (2009-2012)'!L376)</f>
        <v>1</v>
      </c>
      <c r="M43" s="139">
        <f>AVERAGE('PRD Volumes AD (2009-2012)'!M140,'PRD Volumes AD (2009-2012)'!M258,'PRD Volumes AD (2009-2012)'!M376)</f>
        <v>0</v>
      </c>
      <c r="N43" s="139">
        <f>AVERAGE('PRD Volumes AD (2009-2012)'!N140,'PRD Volumes AD (2009-2012)'!N258,'PRD Volumes AD (2009-2012)'!N376)</f>
        <v>0</v>
      </c>
      <c r="O43" s="139">
        <f>AVERAGE('PRD Volumes AD (2009-2012)'!O140,'PRD Volumes AD (2009-2012)'!O258,'PRD Volumes AD (2009-2012)'!O376)</f>
        <v>0</v>
      </c>
    </row>
    <row r="44" spans="2:17">
      <c r="B44" s="61" t="s">
        <v>288</v>
      </c>
      <c r="F44" s="102">
        <f t="shared" si="5"/>
        <v>1.6666666666666665</v>
      </c>
      <c r="G44" s="139">
        <f>AVERAGE('PRD Volumes AD (2009-2012)'!G141,'PRD Volumes AD (2009-2012)'!G259,'PRD Volumes AD (2009-2012)'!G377)</f>
        <v>1</v>
      </c>
      <c r="H44" s="139">
        <f>AVERAGE('PRD Volumes AD (2009-2012)'!H141,'PRD Volumes AD (2009-2012)'!H259,'PRD Volumes AD (2009-2012)'!H377)</f>
        <v>0</v>
      </c>
      <c r="I44" s="139">
        <f>AVERAGE('PRD Volumes AD (2009-2012)'!I141,'PRD Volumes AD (2009-2012)'!I259,'PRD Volumes AD (2009-2012)'!I377)</f>
        <v>0.66666666666666663</v>
      </c>
      <c r="J44" s="139">
        <f>AVERAGE('PRD Volumes AD (2009-2012)'!J141,'PRD Volumes AD (2009-2012)'!J259,'PRD Volumes AD (2009-2012)'!J377)</f>
        <v>0</v>
      </c>
      <c r="K44" s="139">
        <f>AVERAGE('PRD Volumes AD (2009-2012)'!K141,'PRD Volumes AD (2009-2012)'!K259,'PRD Volumes AD (2009-2012)'!K377)</f>
        <v>0</v>
      </c>
      <c r="L44" s="139">
        <f>AVERAGE('PRD Volumes AD (2009-2012)'!L141,'PRD Volumes AD (2009-2012)'!L259,'PRD Volumes AD (2009-2012)'!L377)</f>
        <v>0</v>
      </c>
      <c r="M44" s="139">
        <f>AVERAGE('PRD Volumes AD (2009-2012)'!M141,'PRD Volumes AD (2009-2012)'!M259,'PRD Volumes AD (2009-2012)'!M377)</f>
        <v>0</v>
      </c>
      <c r="N44" s="139">
        <f>AVERAGE('PRD Volumes AD (2009-2012)'!N141,'PRD Volumes AD (2009-2012)'!N259,'PRD Volumes AD (2009-2012)'!N377)</f>
        <v>0</v>
      </c>
      <c r="O44" s="139">
        <f>AVERAGE('PRD Volumes AD (2009-2012)'!O141,'PRD Volumes AD (2009-2012)'!O259,'PRD Volumes AD (2009-2012)'!O377)</f>
        <v>0</v>
      </c>
    </row>
    <row r="45" spans="2:17">
      <c r="B45" s="23"/>
      <c r="F45" s="109"/>
    </row>
    <row r="46" spans="2:17">
      <c r="B46" s="108" t="s">
        <v>290</v>
      </c>
      <c r="F46" s="109"/>
    </row>
    <row r="47" spans="2:17">
      <c r="B47" s="23" t="s">
        <v>291</v>
      </c>
      <c r="F47" s="102">
        <f t="shared" ref="F47" si="6">SUM(G47:O47)</f>
        <v>0</v>
      </c>
      <c r="G47" s="29"/>
      <c r="H47" s="139">
        <f>AVERAGE('PRD Volumes AD (2009-2012)'!H144,'PRD Volumes AD (2009-2012)'!H262,'PRD Volumes AD (2009-2012)'!H380)</f>
        <v>0</v>
      </c>
      <c r="I47" s="29"/>
      <c r="J47" s="139">
        <f>AVERAGE('PRD Volumes AD (2009-2012)'!J144,'PRD Volumes AD (2009-2012)'!J262,'PRD Volumes AD (2009-2012)'!J380)</f>
        <v>0</v>
      </c>
      <c r="K47" s="29"/>
      <c r="L47" s="29"/>
      <c r="M47" s="29"/>
      <c r="N47" s="29"/>
      <c r="O47" s="139">
        <f>AVERAGE('PRD Volumes AD (2009-2012)'!O144,'PRD Volumes AD (2009-2012)'!O262,'PRD Volumes AD (2009-2012)'!O380)</f>
        <v>0</v>
      </c>
    </row>
    <row r="48" spans="2:17">
      <c r="B48" s="3"/>
      <c r="F48" s="109"/>
    </row>
    <row r="49" spans="2:15">
      <c r="B49" s="3"/>
      <c r="F49" s="109"/>
    </row>
    <row r="50" spans="2:15">
      <c r="B50" s="3" t="s">
        <v>305</v>
      </c>
      <c r="F50" s="109"/>
    </row>
    <row r="51" spans="2:15">
      <c r="B51" s="3"/>
      <c r="F51" s="109"/>
    </row>
    <row r="52" spans="2:15">
      <c r="B52" s="108" t="s">
        <v>284</v>
      </c>
      <c r="F52" s="109"/>
    </row>
    <row r="53" spans="2:15">
      <c r="B53" s="61" t="s">
        <v>292</v>
      </c>
      <c r="F53" s="102">
        <f t="shared" ref="F53:F62" si="7">SUM(G53:O53)</f>
        <v>9602.8028512042201</v>
      </c>
      <c r="G53" s="139">
        <f>AVERAGE('PRD Volumes AD (2009-2012)'!G150,'PRD Volumes AD (2009-2012)'!G268,'PRD Volumes AD (2009-2012)'!G386)</f>
        <v>233.51282051282053</v>
      </c>
      <c r="H53" s="139">
        <f>AVERAGE('PRD Volumes AD (2009-2012)'!H150,'PRD Volumes AD (2009-2012)'!H268,'PRD Volumes AD (2009-2012)'!H386)</f>
        <v>191.47222222222206</v>
      </c>
      <c r="I53" s="139">
        <f>AVERAGE('PRD Volumes AD (2009-2012)'!I150,'PRD Volumes AD (2009-2012)'!I268,'PRD Volumes AD (2009-2012)'!I386)</f>
        <v>778.33333333333337</v>
      </c>
      <c r="J53" s="139">
        <f>AVERAGE('PRD Volumes AD (2009-2012)'!J150,'PRD Volumes AD (2009-2012)'!J268,'PRD Volumes AD (2009-2012)'!J386)</f>
        <v>2718.1035215193433</v>
      </c>
      <c r="K53" s="139">
        <f>AVERAGE('PRD Volumes AD (2009-2012)'!K150,'PRD Volumes AD (2009-2012)'!K268,'PRD Volumes AD (2009-2012)'!K386)</f>
        <v>3108.4166666666665</v>
      </c>
      <c r="L53" s="139">
        <f>AVERAGE('PRD Volumes AD (2009-2012)'!L150,'PRD Volumes AD (2009-2012)'!L268,'PRD Volumes AD (2009-2012)'!L386)</f>
        <v>142.20000000000002</v>
      </c>
      <c r="M53" s="139">
        <f>AVERAGE('PRD Volumes AD (2009-2012)'!M150,'PRD Volumes AD (2009-2012)'!M268,'PRD Volumes AD (2009-2012)'!M386)</f>
        <v>2326.9309536165019</v>
      </c>
      <c r="N53" s="139">
        <f>AVERAGE('PRD Volumes AD (2009-2012)'!N150,'PRD Volumes AD (2009-2012)'!N268,'PRD Volumes AD (2009-2012)'!N386)</f>
        <v>103.83333333333333</v>
      </c>
      <c r="O53" s="139">
        <f>AVERAGE('PRD Volumes AD (2009-2012)'!O150,'PRD Volumes AD (2009-2012)'!O268,'PRD Volumes AD (2009-2012)'!O386)</f>
        <v>0</v>
      </c>
    </row>
    <row r="54" spans="2:15">
      <c r="B54" s="61" t="s">
        <v>293</v>
      </c>
      <c r="F54" s="102">
        <f t="shared" si="7"/>
        <v>12530.104091542276</v>
      </c>
      <c r="G54" s="139">
        <f>AVERAGE('PRD Volumes AD (2009-2012)'!G151,'PRD Volumes AD (2009-2012)'!G269,'PRD Volumes AD (2009-2012)'!G387)</f>
        <v>182.71794871794873</v>
      </c>
      <c r="H54" s="139">
        <f>AVERAGE('PRD Volumes AD (2009-2012)'!H151,'PRD Volumes AD (2009-2012)'!H269,'PRD Volumes AD (2009-2012)'!H387)</f>
        <v>257.77777777777777</v>
      </c>
      <c r="I54" s="139">
        <f>AVERAGE('PRD Volumes AD (2009-2012)'!I151,'PRD Volumes AD (2009-2012)'!I269,'PRD Volumes AD (2009-2012)'!I387)</f>
        <v>538</v>
      </c>
      <c r="J54" s="139">
        <f>AVERAGE('PRD Volumes AD (2009-2012)'!J151,'PRD Volumes AD (2009-2012)'!J269,'PRD Volumes AD (2009-2012)'!J387)</f>
        <v>3347.6866336168182</v>
      </c>
      <c r="K54" s="139">
        <f>AVERAGE('PRD Volumes AD (2009-2012)'!K151,'PRD Volumes AD (2009-2012)'!K269,'PRD Volumes AD (2009-2012)'!K387)</f>
        <v>4378.833333333333</v>
      </c>
      <c r="L54" s="139">
        <f>AVERAGE('PRD Volumes AD (2009-2012)'!L151,'PRD Volumes AD (2009-2012)'!L269,'PRD Volumes AD (2009-2012)'!L387)</f>
        <v>142</v>
      </c>
      <c r="M54" s="139">
        <f>AVERAGE('PRD Volumes AD (2009-2012)'!M151,'PRD Volumes AD (2009-2012)'!M269,'PRD Volumes AD (2009-2012)'!M387)</f>
        <v>3498.1995092075081</v>
      </c>
      <c r="N54" s="139">
        <f>AVERAGE('PRD Volumes AD (2009-2012)'!N151,'PRD Volumes AD (2009-2012)'!N269,'PRD Volumes AD (2009-2012)'!N387)</f>
        <v>184.88888888888891</v>
      </c>
      <c r="O54" s="139">
        <f>AVERAGE('PRD Volumes AD (2009-2012)'!O151,'PRD Volumes AD (2009-2012)'!O269,'PRD Volumes AD (2009-2012)'!O387)</f>
        <v>0</v>
      </c>
    </row>
    <row r="55" spans="2:15">
      <c r="B55" s="61" t="s">
        <v>294</v>
      </c>
      <c r="F55" s="102">
        <f t="shared" si="7"/>
        <v>6436.7590309702664</v>
      </c>
      <c r="G55" s="139">
        <f>AVERAGE('PRD Volumes AD (2009-2012)'!G152,'PRD Volumes AD (2009-2012)'!G270,'PRD Volumes AD (2009-2012)'!G388)</f>
        <v>63.717948717948723</v>
      </c>
      <c r="H55" s="139">
        <f>AVERAGE('PRD Volumes AD (2009-2012)'!H152,'PRD Volumes AD (2009-2012)'!H270,'PRD Volumes AD (2009-2012)'!H388)</f>
        <v>99.25</v>
      </c>
      <c r="I55" s="139">
        <f>AVERAGE('PRD Volumes AD (2009-2012)'!I152,'PRD Volumes AD (2009-2012)'!I270,'PRD Volumes AD (2009-2012)'!I388)</f>
        <v>371.33333333333331</v>
      </c>
      <c r="J55" s="139">
        <f>AVERAGE('PRD Volumes AD (2009-2012)'!J152,'PRD Volumes AD (2009-2012)'!J270,'PRD Volumes AD (2009-2012)'!J388)</f>
        <v>1673.718934988404</v>
      </c>
      <c r="K55" s="139">
        <f>AVERAGE('PRD Volumes AD (2009-2012)'!K152,'PRD Volumes AD (2009-2012)'!K270,'PRD Volumes AD (2009-2012)'!K388)</f>
        <v>2043.5555555555554</v>
      </c>
      <c r="L55" s="139">
        <f>AVERAGE('PRD Volumes AD (2009-2012)'!L152,'PRD Volumes AD (2009-2012)'!L270,'PRD Volumes AD (2009-2012)'!L388)</f>
        <v>36.800000000000004</v>
      </c>
      <c r="M55" s="139">
        <f>AVERAGE('PRD Volumes AD (2009-2012)'!M152,'PRD Volumes AD (2009-2012)'!M270,'PRD Volumes AD (2009-2012)'!M388)</f>
        <v>1998.6054805972469</v>
      </c>
      <c r="N55" s="139">
        <f>AVERAGE('PRD Volumes AD (2009-2012)'!N152,'PRD Volumes AD (2009-2012)'!N270,'PRD Volumes AD (2009-2012)'!N388)</f>
        <v>149.7777777777778</v>
      </c>
      <c r="O55" s="139">
        <f>AVERAGE('PRD Volumes AD (2009-2012)'!O152,'PRD Volumes AD (2009-2012)'!O270,'PRD Volumes AD (2009-2012)'!O388)</f>
        <v>0</v>
      </c>
    </row>
    <row r="56" spans="2:15">
      <c r="B56" s="61" t="s">
        <v>295</v>
      </c>
      <c r="F56" s="102">
        <f t="shared" si="7"/>
        <v>3436.7743157947516</v>
      </c>
      <c r="G56" s="139">
        <f>AVERAGE('PRD Volumes AD (2009-2012)'!G153,'PRD Volumes AD (2009-2012)'!G271,'PRD Volumes AD (2009-2012)'!G389)</f>
        <v>62.564102564102562</v>
      </c>
      <c r="H56" s="139">
        <f>AVERAGE('PRD Volumes AD (2009-2012)'!H153,'PRD Volumes AD (2009-2012)'!H271,'PRD Volumes AD (2009-2012)'!H389)</f>
        <v>58.888888888888879</v>
      </c>
      <c r="I56" s="139">
        <f>AVERAGE('PRD Volumes AD (2009-2012)'!I153,'PRD Volumes AD (2009-2012)'!I271,'PRD Volumes AD (2009-2012)'!I389)</f>
        <v>116.66666666666667</v>
      </c>
      <c r="J56" s="139">
        <f>AVERAGE('PRD Volumes AD (2009-2012)'!J153,'PRD Volumes AD (2009-2012)'!J271,'PRD Volumes AD (2009-2012)'!J389)</f>
        <v>851.61106987371329</v>
      </c>
      <c r="K56" s="139">
        <f>AVERAGE('PRD Volumes AD (2009-2012)'!K153,'PRD Volumes AD (2009-2012)'!K271,'PRD Volumes AD (2009-2012)'!K389)</f>
        <v>1278.8055555555554</v>
      </c>
      <c r="L56" s="139">
        <f>AVERAGE('PRD Volumes AD (2009-2012)'!L153,'PRD Volumes AD (2009-2012)'!L271,'PRD Volumes AD (2009-2012)'!L389)</f>
        <v>21.733333333333334</v>
      </c>
      <c r="M56" s="139">
        <f>AVERAGE('PRD Volumes AD (2009-2012)'!M153,'PRD Volumes AD (2009-2012)'!M271,'PRD Volumes AD (2009-2012)'!M389)</f>
        <v>721.25700857506945</v>
      </c>
      <c r="N56" s="139">
        <f>AVERAGE('PRD Volumes AD (2009-2012)'!N153,'PRD Volumes AD (2009-2012)'!N271,'PRD Volumes AD (2009-2012)'!N389)</f>
        <v>325.24769033742217</v>
      </c>
      <c r="O56" s="139">
        <f>AVERAGE('PRD Volumes AD (2009-2012)'!O153,'PRD Volumes AD (2009-2012)'!O271,'PRD Volumes AD (2009-2012)'!O389)</f>
        <v>0</v>
      </c>
    </row>
    <row r="57" spans="2:15">
      <c r="B57" s="26" t="s">
        <v>296</v>
      </c>
      <c r="F57" s="102">
        <f t="shared" si="7"/>
        <v>2848.7746845314637</v>
      </c>
      <c r="G57" s="139">
        <f>AVERAGE('PRD Volumes AD (2009-2012)'!G154,'PRD Volumes AD (2009-2012)'!G272,'PRD Volumes AD (2009-2012)'!G390)</f>
        <v>18.076923076923077</v>
      </c>
      <c r="H57" s="139">
        <f>AVERAGE('PRD Volumes AD (2009-2012)'!H154,'PRD Volumes AD (2009-2012)'!H272,'PRD Volumes AD (2009-2012)'!H390)</f>
        <v>9.3333333333333339</v>
      </c>
      <c r="I57" s="139">
        <f>AVERAGE('PRD Volumes AD (2009-2012)'!I154,'PRD Volumes AD (2009-2012)'!I272,'PRD Volumes AD (2009-2012)'!I390)</f>
        <v>75</v>
      </c>
      <c r="J57" s="139">
        <f>AVERAGE('PRD Volumes AD (2009-2012)'!J154,'PRD Volumes AD (2009-2012)'!J272,'PRD Volumes AD (2009-2012)'!J390)</f>
        <v>679.24862959107213</v>
      </c>
      <c r="K57" s="139">
        <f>AVERAGE('PRD Volumes AD (2009-2012)'!K154,'PRD Volumes AD (2009-2012)'!K272,'PRD Volumes AD (2009-2012)'!K390)</f>
        <v>665.22222222222217</v>
      </c>
      <c r="L57" s="139">
        <f>AVERAGE('PRD Volumes AD (2009-2012)'!L154,'PRD Volumes AD (2009-2012)'!L272,'PRD Volumes AD (2009-2012)'!L390)</f>
        <v>4.7</v>
      </c>
      <c r="M57" s="139">
        <f>AVERAGE('PRD Volumes AD (2009-2012)'!M154,'PRD Volumes AD (2009-2012)'!M272,'PRD Volumes AD (2009-2012)'!M390)</f>
        <v>925.48709916903829</v>
      </c>
      <c r="N57" s="139">
        <f>AVERAGE('PRD Volumes AD (2009-2012)'!N154,'PRD Volumes AD (2009-2012)'!N272,'PRD Volumes AD (2009-2012)'!N390)</f>
        <v>471.70647713887439</v>
      </c>
      <c r="O57" s="139">
        <f>AVERAGE('PRD Volumes AD (2009-2012)'!O154,'PRD Volumes AD (2009-2012)'!O272,'PRD Volumes AD (2009-2012)'!O390)</f>
        <v>0</v>
      </c>
    </row>
    <row r="58" spans="2:15">
      <c r="B58" s="61" t="s">
        <v>297</v>
      </c>
      <c r="F58" s="102">
        <f t="shared" si="7"/>
        <v>1028.5127058938176</v>
      </c>
      <c r="G58" s="139">
        <f>AVERAGE('PRD Volumes AD (2009-2012)'!G155,'PRD Volumes AD (2009-2012)'!G273,'PRD Volumes AD (2009-2012)'!G391)</f>
        <v>8</v>
      </c>
      <c r="H58" s="139">
        <f>AVERAGE('PRD Volumes AD (2009-2012)'!H155,'PRD Volumes AD (2009-2012)'!H273,'PRD Volumes AD (2009-2012)'!H391)</f>
        <v>0</v>
      </c>
      <c r="I58" s="139">
        <f>AVERAGE('PRD Volumes AD (2009-2012)'!I155,'PRD Volumes AD (2009-2012)'!I273,'PRD Volumes AD (2009-2012)'!I391)</f>
        <v>12.333333333333334</v>
      </c>
      <c r="J58" s="139">
        <f>AVERAGE('PRD Volumes AD (2009-2012)'!J155,'PRD Volumes AD (2009-2012)'!J273,'PRD Volumes AD (2009-2012)'!J391)</f>
        <v>282.71042648101064</v>
      </c>
      <c r="K58" s="139">
        <f>AVERAGE('PRD Volumes AD (2009-2012)'!K155,'PRD Volumes AD (2009-2012)'!K273,'PRD Volumes AD (2009-2012)'!K391)</f>
        <v>324.72222222222223</v>
      </c>
      <c r="L58" s="139">
        <f>AVERAGE('PRD Volumes AD (2009-2012)'!L155,'PRD Volumes AD (2009-2012)'!L273,'PRD Volumes AD (2009-2012)'!L391)</f>
        <v>3</v>
      </c>
      <c r="M58" s="139">
        <f>AVERAGE('PRD Volumes AD (2009-2012)'!M155,'PRD Volumes AD (2009-2012)'!M273,'PRD Volumes AD (2009-2012)'!M391)</f>
        <v>396.91339052391828</v>
      </c>
      <c r="N58" s="139">
        <f>AVERAGE('PRD Volumes AD (2009-2012)'!N155,'PRD Volumes AD (2009-2012)'!N273,'PRD Volumes AD (2009-2012)'!N391)</f>
        <v>0.83333333333333337</v>
      </c>
      <c r="O58" s="139">
        <f>AVERAGE('PRD Volumes AD (2009-2012)'!O155,'PRD Volumes AD (2009-2012)'!O273,'PRD Volumes AD (2009-2012)'!O391)</f>
        <v>0</v>
      </c>
    </row>
    <row r="59" spans="2:15">
      <c r="B59" s="61" t="s">
        <v>298</v>
      </c>
      <c r="F59" s="102">
        <f t="shared" si="7"/>
        <v>652.14003762949073</v>
      </c>
      <c r="G59" s="139">
        <f>AVERAGE('PRD Volumes AD (2009-2012)'!G156,'PRD Volumes AD (2009-2012)'!G274,'PRD Volumes AD (2009-2012)'!G392)</f>
        <v>7.6923076923076941E-2</v>
      </c>
      <c r="H59" s="139">
        <f>AVERAGE('PRD Volumes AD (2009-2012)'!H156,'PRD Volumes AD (2009-2012)'!H274,'PRD Volumes AD (2009-2012)'!H392)</f>
        <v>1</v>
      </c>
      <c r="I59" s="139">
        <f>AVERAGE('PRD Volumes AD (2009-2012)'!I156,'PRD Volumes AD (2009-2012)'!I274,'PRD Volumes AD (2009-2012)'!I392)</f>
        <v>5</v>
      </c>
      <c r="J59" s="139">
        <f>AVERAGE('PRD Volumes AD (2009-2012)'!J156,'PRD Volumes AD (2009-2012)'!J274,'PRD Volumes AD (2009-2012)'!J392)</f>
        <v>156.29552775577582</v>
      </c>
      <c r="K59" s="139">
        <f>AVERAGE('PRD Volumes AD (2009-2012)'!K156,'PRD Volumes AD (2009-2012)'!K274,'PRD Volumes AD (2009-2012)'!K392)</f>
        <v>174.58333333333334</v>
      </c>
      <c r="L59" s="139">
        <f>AVERAGE('PRD Volumes AD (2009-2012)'!L156,'PRD Volumes AD (2009-2012)'!L274,'PRD Volumes AD (2009-2012)'!L392)</f>
        <v>0</v>
      </c>
      <c r="M59" s="139">
        <f>AVERAGE('PRD Volumes AD (2009-2012)'!M156,'PRD Volumes AD (2009-2012)'!M274,'PRD Volumes AD (2009-2012)'!M392)</f>
        <v>314.85092013012513</v>
      </c>
      <c r="N59" s="139">
        <f>AVERAGE('PRD Volumes AD (2009-2012)'!N156,'PRD Volumes AD (2009-2012)'!N274,'PRD Volumes AD (2009-2012)'!N392)</f>
        <v>0.33333333333333331</v>
      </c>
      <c r="O59" s="139">
        <f>AVERAGE('PRD Volumes AD (2009-2012)'!O156,'PRD Volumes AD (2009-2012)'!O274,'PRD Volumes AD (2009-2012)'!O392)</f>
        <v>0</v>
      </c>
    </row>
    <row r="60" spans="2:15">
      <c r="B60" s="61" t="s">
        <v>299</v>
      </c>
      <c r="F60" s="102">
        <f t="shared" si="7"/>
        <v>517.90379621986972</v>
      </c>
      <c r="G60" s="139">
        <f>AVERAGE('PRD Volumes AD (2009-2012)'!G157,'PRD Volumes AD (2009-2012)'!G275,'PRD Volumes AD (2009-2012)'!G393)</f>
        <v>0</v>
      </c>
      <c r="H60" s="139">
        <f>AVERAGE('PRD Volumes AD (2009-2012)'!H157,'PRD Volumes AD (2009-2012)'!H275,'PRD Volumes AD (2009-2012)'!H393)</f>
        <v>0</v>
      </c>
      <c r="I60" s="139">
        <f>AVERAGE('PRD Volumes AD (2009-2012)'!I157,'PRD Volumes AD (2009-2012)'!I275,'PRD Volumes AD (2009-2012)'!I393)</f>
        <v>1.6666666666666667</v>
      </c>
      <c r="J60" s="139">
        <f>AVERAGE('PRD Volumes AD (2009-2012)'!J157,'PRD Volumes AD (2009-2012)'!J275,'PRD Volumes AD (2009-2012)'!J393)</f>
        <v>54.666666978379588</v>
      </c>
      <c r="K60" s="139">
        <f>AVERAGE('PRD Volumes AD (2009-2012)'!K157,'PRD Volumes AD (2009-2012)'!K275,'PRD Volumes AD (2009-2012)'!K393)</f>
        <v>80.75</v>
      </c>
      <c r="L60" s="139">
        <f>AVERAGE('PRD Volumes AD (2009-2012)'!L157,'PRD Volumes AD (2009-2012)'!L275,'PRD Volumes AD (2009-2012)'!L393)</f>
        <v>0</v>
      </c>
      <c r="M60" s="139">
        <f>AVERAGE('PRD Volumes AD (2009-2012)'!M157,'PRD Volumes AD (2009-2012)'!M275,'PRD Volumes AD (2009-2012)'!M393)</f>
        <v>145.43157368593452</v>
      </c>
      <c r="N60" s="139">
        <f>AVERAGE('PRD Volumes AD (2009-2012)'!N157,'PRD Volumes AD (2009-2012)'!N275,'PRD Volumes AD (2009-2012)'!N393)</f>
        <v>235.38888888888891</v>
      </c>
      <c r="O60" s="139">
        <f>AVERAGE('PRD Volumes AD (2009-2012)'!O157,'PRD Volumes AD (2009-2012)'!O275,'PRD Volumes AD (2009-2012)'!O393)</f>
        <v>0</v>
      </c>
    </row>
    <row r="61" spans="2:15">
      <c r="B61" s="23" t="s">
        <v>300</v>
      </c>
      <c r="F61" s="102">
        <f t="shared" si="7"/>
        <v>98.339469004556165</v>
      </c>
      <c r="G61" s="139">
        <f>AVERAGE('PRD Volumes AD (2009-2012)'!G158,'PRD Volumes AD (2009-2012)'!G276,'PRD Volumes AD (2009-2012)'!G394)</f>
        <v>0</v>
      </c>
      <c r="H61" s="139">
        <f>AVERAGE('PRD Volumes AD (2009-2012)'!H158,'PRD Volumes AD (2009-2012)'!H276,'PRD Volumes AD (2009-2012)'!H394)</f>
        <v>0</v>
      </c>
      <c r="I61" s="139">
        <f>AVERAGE('PRD Volumes AD (2009-2012)'!I158,'PRD Volumes AD (2009-2012)'!I276,'PRD Volumes AD (2009-2012)'!I394)</f>
        <v>0.66666666666666663</v>
      </c>
      <c r="J61" s="139">
        <f>AVERAGE('PRD Volumes AD (2009-2012)'!J158,'PRD Volumes AD (2009-2012)'!J276,'PRD Volumes AD (2009-2012)'!J394)</f>
        <v>18</v>
      </c>
      <c r="K61" s="139">
        <f>AVERAGE('PRD Volumes AD (2009-2012)'!K158,'PRD Volumes AD (2009-2012)'!K276,'PRD Volumes AD (2009-2012)'!K394)</f>
        <v>28.666666666666668</v>
      </c>
      <c r="L61" s="139">
        <f>AVERAGE('PRD Volumes AD (2009-2012)'!L158,'PRD Volumes AD (2009-2012)'!L276,'PRD Volumes AD (2009-2012)'!L394)</f>
        <v>0</v>
      </c>
      <c r="M61" s="139">
        <f>AVERAGE('PRD Volumes AD (2009-2012)'!M158,'PRD Volumes AD (2009-2012)'!M276,'PRD Volumes AD (2009-2012)'!M394)</f>
        <v>51.006135671222829</v>
      </c>
      <c r="N61" s="139">
        <f>AVERAGE('PRD Volumes AD (2009-2012)'!N158,'PRD Volumes AD (2009-2012)'!N276,'PRD Volumes AD (2009-2012)'!N394)</f>
        <v>0</v>
      </c>
      <c r="O61" s="139">
        <f>AVERAGE('PRD Volumes AD (2009-2012)'!O158,'PRD Volumes AD (2009-2012)'!O276,'PRD Volumes AD (2009-2012)'!O394)</f>
        <v>0</v>
      </c>
    </row>
    <row r="62" spans="2:15">
      <c r="B62" s="23" t="s">
        <v>301</v>
      </c>
      <c r="F62" s="102">
        <f t="shared" si="7"/>
        <v>89.080807225659925</v>
      </c>
      <c r="G62" s="139">
        <f>AVERAGE('PRD Volumes AD (2009-2012)'!G159,'PRD Volumes AD (2009-2012)'!G277,'PRD Volumes AD (2009-2012)'!G395)</f>
        <v>0</v>
      </c>
      <c r="H62" s="139">
        <f>AVERAGE('PRD Volumes AD (2009-2012)'!H159,'PRD Volumes AD (2009-2012)'!H277,'PRD Volumes AD (2009-2012)'!H395)</f>
        <v>0</v>
      </c>
      <c r="I62" s="139">
        <f>AVERAGE('PRD Volumes AD (2009-2012)'!I159,'PRD Volumes AD (2009-2012)'!I277,'PRD Volumes AD (2009-2012)'!I395)</f>
        <v>0</v>
      </c>
      <c r="J62" s="139">
        <f>AVERAGE('PRD Volumes AD (2009-2012)'!J159,'PRD Volumes AD (2009-2012)'!J277,'PRD Volumes AD (2009-2012)'!J395)</f>
        <v>15</v>
      </c>
      <c r="K62" s="139">
        <f>AVERAGE('PRD Volumes AD (2009-2012)'!K159,'PRD Volumes AD (2009-2012)'!K277,'PRD Volumes AD (2009-2012)'!K395)</f>
        <v>19.777777777777775</v>
      </c>
      <c r="L62" s="139">
        <f>AVERAGE('PRD Volumes AD (2009-2012)'!L159,'PRD Volumes AD (2009-2012)'!L277,'PRD Volumes AD (2009-2012)'!L395)</f>
        <v>0</v>
      </c>
      <c r="M62" s="139">
        <f>AVERAGE('PRD Volumes AD (2009-2012)'!M159,'PRD Volumes AD (2009-2012)'!M277,'PRD Volumes AD (2009-2012)'!M395)</f>
        <v>45.303029447882146</v>
      </c>
      <c r="N62" s="139">
        <f>AVERAGE('PRD Volumes AD (2009-2012)'!N159,'PRD Volumes AD (2009-2012)'!N277,'PRD Volumes AD (2009-2012)'!N395)</f>
        <v>9</v>
      </c>
      <c r="O62" s="139">
        <f>AVERAGE('PRD Volumes AD (2009-2012)'!O159,'PRD Volumes AD (2009-2012)'!O277,'PRD Volumes AD (2009-2012)'!O395)</f>
        <v>0</v>
      </c>
    </row>
    <row r="63" spans="2:15">
      <c r="B63" s="23"/>
      <c r="F63" s="109"/>
    </row>
    <row r="64" spans="2:15">
      <c r="B64" s="108" t="s">
        <v>289</v>
      </c>
      <c r="F64" s="109"/>
    </row>
    <row r="65" spans="2:15">
      <c r="B65" s="61" t="s">
        <v>292</v>
      </c>
      <c r="F65" s="102">
        <f t="shared" ref="F65:F74" si="8">SUM(G65:O65)</f>
        <v>45.748388349307859</v>
      </c>
      <c r="G65" s="139">
        <f>AVERAGE('PRD Volumes AD (2009-2012)'!G162,'PRD Volumes AD (2009-2012)'!G280,'PRD Volumes AD (2009-2012)'!G398)</f>
        <v>0</v>
      </c>
      <c r="H65" s="139">
        <f>AVERAGE('PRD Volumes AD (2009-2012)'!H162,'PRD Volumes AD (2009-2012)'!H280,'PRD Volumes AD (2009-2012)'!H398)</f>
        <v>1.1944444444444444</v>
      </c>
      <c r="I65" s="139">
        <f>AVERAGE('PRD Volumes AD (2009-2012)'!I162,'PRD Volumes AD (2009-2012)'!I280,'PRD Volumes AD (2009-2012)'!I398)</f>
        <v>1.3333333333333333</v>
      </c>
      <c r="J65" s="139">
        <f>AVERAGE('PRD Volumes AD (2009-2012)'!J162,'PRD Volumes AD (2009-2012)'!J280,'PRD Volumes AD (2009-2012)'!J398)</f>
        <v>31.887277238196749</v>
      </c>
      <c r="K65" s="139">
        <f>AVERAGE('PRD Volumes AD (2009-2012)'!K162,'PRD Volumes AD (2009-2012)'!K280,'PRD Volumes AD (2009-2012)'!K398)</f>
        <v>8.3333333333333339</v>
      </c>
      <c r="L65" s="139">
        <f>AVERAGE('PRD Volumes AD (2009-2012)'!L162,'PRD Volumes AD (2009-2012)'!L280,'PRD Volumes AD (2009-2012)'!L398)</f>
        <v>2</v>
      </c>
      <c r="M65" s="139">
        <f>AVERAGE('PRD Volumes AD (2009-2012)'!M162,'PRD Volumes AD (2009-2012)'!M280,'PRD Volumes AD (2009-2012)'!M398)</f>
        <v>0</v>
      </c>
      <c r="N65" s="139">
        <f>AVERAGE('PRD Volumes AD (2009-2012)'!N162,'PRD Volumes AD (2009-2012)'!N280,'PRD Volumes AD (2009-2012)'!N398)</f>
        <v>1</v>
      </c>
      <c r="O65" s="139">
        <f>AVERAGE('PRD Volumes AD (2009-2012)'!O162,'PRD Volumes AD (2009-2012)'!O280,'PRD Volumes AD (2009-2012)'!O398)</f>
        <v>0</v>
      </c>
    </row>
    <row r="66" spans="2:15">
      <c r="B66" s="61" t="s">
        <v>293</v>
      </c>
      <c r="F66" s="102">
        <f t="shared" si="8"/>
        <v>163.97664999530312</v>
      </c>
      <c r="G66" s="139">
        <f>AVERAGE('PRD Volumes AD (2009-2012)'!G163,'PRD Volumes AD (2009-2012)'!G281,'PRD Volumes AD (2009-2012)'!G399)</f>
        <v>4.666666666666667</v>
      </c>
      <c r="H66" s="139">
        <f>AVERAGE('PRD Volumes AD (2009-2012)'!H163,'PRD Volumes AD (2009-2012)'!H281,'PRD Volumes AD (2009-2012)'!H399)</f>
        <v>22</v>
      </c>
      <c r="I66" s="139">
        <f>AVERAGE('PRD Volumes AD (2009-2012)'!I163,'PRD Volumes AD (2009-2012)'!I281,'PRD Volumes AD (2009-2012)'!I399)</f>
        <v>9.3459420322296811</v>
      </c>
      <c r="J66" s="139">
        <f>AVERAGE('PRD Volumes AD (2009-2012)'!J163,'PRD Volumes AD (2009-2012)'!J281,'PRD Volumes AD (2009-2012)'!J399)</f>
        <v>105.96713563754302</v>
      </c>
      <c r="K66" s="139">
        <f>AVERAGE('PRD Volumes AD (2009-2012)'!K163,'PRD Volumes AD (2009-2012)'!K281,'PRD Volumes AD (2009-2012)'!K399)</f>
        <v>11.663572325530382</v>
      </c>
      <c r="L66" s="139">
        <f>AVERAGE('PRD Volumes AD (2009-2012)'!L163,'PRD Volumes AD (2009-2012)'!L281,'PRD Volumes AD (2009-2012)'!L399)</f>
        <v>8.3333333333333339</v>
      </c>
      <c r="M66" s="139">
        <f>AVERAGE('PRD Volumes AD (2009-2012)'!M163,'PRD Volumes AD (2009-2012)'!M281,'PRD Volumes AD (2009-2012)'!M399)</f>
        <v>0</v>
      </c>
      <c r="N66" s="139">
        <f>AVERAGE('PRD Volumes AD (2009-2012)'!N163,'PRD Volumes AD (2009-2012)'!N281,'PRD Volumes AD (2009-2012)'!N399)</f>
        <v>2</v>
      </c>
      <c r="O66" s="139">
        <f>AVERAGE('PRD Volumes AD (2009-2012)'!O163,'PRD Volumes AD (2009-2012)'!O281,'PRD Volumes AD (2009-2012)'!O399)</f>
        <v>0</v>
      </c>
    </row>
    <row r="67" spans="2:15">
      <c r="B67" s="61" t="s">
        <v>294</v>
      </c>
      <c r="F67" s="102">
        <f t="shared" si="8"/>
        <v>199.98867706186874</v>
      </c>
      <c r="G67" s="139">
        <f>AVERAGE('PRD Volumes AD (2009-2012)'!G164,'PRD Volumes AD (2009-2012)'!G282,'PRD Volumes AD (2009-2012)'!G400)</f>
        <v>3.6666666666666665</v>
      </c>
      <c r="H67" s="139">
        <f>AVERAGE('PRD Volumes AD (2009-2012)'!H164,'PRD Volumes AD (2009-2012)'!H282,'PRD Volumes AD (2009-2012)'!H400)</f>
        <v>9.3333333333333339</v>
      </c>
      <c r="I67" s="139">
        <f>AVERAGE('PRD Volumes AD (2009-2012)'!I164,'PRD Volumes AD (2009-2012)'!I282,'PRD Volumes AD (2009-2012)'!I400)</f>
        <v>16.339637682781508</v>
      </c>
      <c r="J67" s="139">
        <f>AVERAGE('PRD Volumes AD (2009-2012)'!J164,'PRD Volumes AD (2009-2012)'!J282,'PRD Volumes AD (2009-2012)'!J400)</f>
        <v>129.78635115102438</v>
      </c>
      <c r="K67" s="139">
        <f>AVERAGE('PRD Volumes AD (2009-2012)'!K164,'PRD Volumes AD (2009-2012)'!K282,'PRD Volumes AD (2009-2012)'!K400)</f>
        <v>8.3293548947295353</v>
      </c>
      <c r="L67" s="139">
        <f>AVERAGE('PRD Volumes AD (2009-2012)'!L164,'PRD Volumes AD (2009-2012)'!L282,'PRD Volumes AD (2009-2012)'!L400)</f>
        <v>13.366666666666667</v>
      </c>
      <c r="M67" s="139">
        <f>AVERAGE('PRD Volumes AD (2009-2012)'!M164,'PRD Volumes AD (2009-2012)'!M282,'PRD Volumes AD (2009-2012)'!M400)</f>
        <v>0</v>
      </c>
      <c r="N67" s="139">
        <f>AVERAGE('PRD Volumes AD (2009-2012)'!N164,'PRD Volumes AD (2009-2012)'!N282,'PRD Volumes AD (2009-2012)'!N400)</f>
        <v>19.166666666666668</v>
      </c>
      <c r="O67" s="139">
        <f>AVERAGE('PRD Volumes AD (2009-2012)'!O164,'PRD Volumes AD (2009-2012)'!O282,'PRD Volumes AD (2009-2012)'!O400)</f>
        <v>0</v>
      </c>
    </row>
    <row r="68" spans="2:15">
      <c r="B68" s="61" t="s">
        <v>295</v>
      </c>
      <c r="F68" s="102">
        <f t="shared" si="8"/>
        <v>341.39107878253003</v>
      </c>
      <c r="G68" s="139">
        <f>AVERAGE('PRD Volumes AD (2009-2012)'!G165,'PRD Volumes AD (2009-2012)'!G283,'PRD Volumes AD (2009-2012)'!G401)</f>
        <v>22</v>
      </c>
      <c r="H68" s="139">
        <f>AVERAGE('PRD Volumes AD (2009-2012)'!H165,'PRD Volumes AD (2009-2012)'!H283,'PRD Volumes AD (2009-2012)'!H401)</f>
        <v>37.333333333333336</v>
      </c>
      <c r="I68" s="139">
        <f>AVERAGE('PRD Volumes AD (2009-2012)'!I165,'PRD Volumes AD (2009-2012)'!I283,'PRD Volumes AD (2009-2012)'!I401)</f>
        <v>28.050434795585392</v>
      </c>
      <c r="J68" s="139">
        <f>AVERAGE('PRD Volumes AD (2009-2012)'!J165,'PRD Volumes AD (2009-2012)'!J283,'PRD Volumes AD (2009-2012)'!J401)</f>
        <v>181.65440739045823</v>
      </c>
      <c r="K68" s="139">
        <f>AVERAGE('PRD Volumes AD (2009-2012)'!K165,'PRD Volumes AD (2009-2012)'!K283,'PRD Volumes AD (2009-2012)'!K401)</f>
        <v>24.330681040930802</v>
      </c>
      <c r="L68" s="139">
        <f>AVERAGE('PRD Volumes AD (2009-2012)'!L165,'PRD Volumes AD (2009-2012)'!L283,'PRD Volumes AD (2009-2012)'!L401)</f>
        <v>22.522222222222222</v>
      </c>
      <c r="M68" s="139">
        <f>AVERAGE('PRD Volumes AD (2009-2012)'!M165,'PRD Volumes AD (2009-2012)'!M283,'PRD Volumes AD (2009-2012)'!M401)</f>
        <v>0</v>
      </c>
      <c r="N68" s="139">
        <f>AVERAGE('PRD Volumes AD (2009-2012)'!N165,'PRD Volumes AD (2009-2012)'!N283,'PRD Volumes AD (2009-2012)'!N401)</f>
        <v>25.5</v>
      </c>
      <c r="O68" s="139">
        <f>AVERAGE('PRD Volumes AD (2009-2012)'!O165,'PRD Volumes AD (2009-2012)'!O283,'PRD Volumes AD (2009-2012)'!O401)</f>
        <v>0</v>
      </c>
    </row>
    <row r="69" spans="2:15">
      <c r="B69" s="26" t="s">
        <v>296</v>
      </c>
      <c r="F69" s="102">
        <f t="shared" si="8"/>
        <v>394.86904554164039</v>
      </c>
      <c r="G69" s="139">
        <f>AVERAGE('PRD Volumes AD (2009-2012)'!G166,'PRD Volumes AD (2009-2012)'!G284,'PRD Volumes AD (2009-2012)'!G402)</f>
        <v>17</v>
      </c>
      <c r="H69" s="139">
        <f>AVERAGE('PRD Volumes AD (2009-2012)'!H166,'PRD Volumes AD (2009-2012)'!H284,'PRD Volumes AD (2009-2012)'!H402)</f>
        <v>33.666666666666664</v>
      </c>
      <c r="I69" s="139">
        <f>AVERAGE('PRD Volumes AD (2009-2012)'!I166,'PRD Volumes AD (2009-2012)'!I284,'PRD Volumes AD (2009-2012)'!I402)</f>
        <v>58.09141306699852</v>
      </c>
      <c r="J69" s="139">
        <f>AVERAGE('PRD Volumes AD (2009-2012)'!J166,'PRD Volumes AD (2009-2012)'!J284,'PRD Volumes AD (2009-2012)'!J402)</f>
        <v>214.46506973195423</v>
      </c>
      <c r="K69" s="139">
        <f>AVERAGE('PRD Volumes AD (2009-2012)'!K166,'PRD Volumes AD (2009-2012)'!K284,'PRD Volumes AD (2009-2012)'!K402)</f>
        <v>23.998673853798735</v>
      </c>
      <c r="L69" s="139">
        <f>AVERAGE('PRD Volumes AD (2009-2012)'!L166,'PRD Volumes AD (2009-2012)'!L284,'PRD Volumes AD (2009-2012)'!L402)</f>
        <v>18.980555555555554</v>
      </c>
      <c r="M69" s="139">
        <f>AVERAGE('PRD Volumes AD (2009-2012)'!M166,'PRD Volumes AD (2009-2012)'!M284,'PRD Volumes AD (2009-2012)'!M402)</f>
        <v>0</v>
      </c>
      <c r="N69" s="139">
        <f>AVERAGE('PRD Volumes AD (2009-2012)'!N166,'PRD Volumes AD (2009-2012)'!N284,'PRD Volumes AD (2009-2012)'!N402)</f>
        <v>28.666666666666668</v>
      </c>
      <c r="O69" s="139">
        <f>AVERAGE('PRD Volumes AD (2009-2012)'!O166,'PRD Volumes AD (2009-2012)'!O284,'PRD Volumes AD (2009-2012)'!O402)</f>
        <v>0</v>
      </c>
    </row>
    <row r="70" spans="2:15">
      <c r="B70" s="61" t="s">
        <v>297</v>
      </c>
      <c r="F70" s="102">
        <f t="shared" si="8"/>
        <v>287.70831394255521</v>
      </c>
      <c r="G70" s="139">
        <f>AVERAGE('PRD Volumes AD (2009-2012)'!G167,'PRD Volumes AD (2009-2012)'!G285,'PRD Volumes AD (2009-2012)'!G403)</f>
        <v>8</v>
      </c>
      <c r="H70" s="139">
        <f>AVERAGE('PRD Volumes AD (2009-2012)'!H167,'PRD Volumes AD (2009-2012)'!H285,'PRD Volumes AD (2009-2012)'!H403)</f>
        <v>17</v>
      </c>
      <c r="I70" s="139">
        <f>AVERAGE('PRD Volumes AD (2009-2012)'!I167,'PRD Volumes AD (2009-2012)'!I285,'PRD Volumes AD (2009-2012)'!I403)</f>
        <v>70.531920340950819</v>
      </c>
      <c r="J70" s="139">
        <f>AVERAGE('PRD Volumes AD (2009-2012)'!J167,'PRD Volumes AD (2009-2012)'!J285,'PRD Volumes AD (2009-2012)'!J403)</f>
        <v>114.85985812015377</v>
      </c>
      <c r="K70" s="139">
        <f>AVERAGE('PRD Volumes AD (2009-2012)'!K167,'PRD Volumes AD (2009-2012)'!K285,'PRD Volumes AD (2009-2012)'!K403)</f>
        <v>55.316535481450636</v>
      </c>
      <c r="L70" s="139">
        <f>AVERAGE('PRD Volumes AD (2009-2012)'!L167,'PRD Volumes AD (2009-2012)'!L285,'PRD Volumes AD (2009-2012)'!L403)</f>
        <v>8</v>
      </c>
      <c r="M70" s="139">
        <f>AVERAGE('PRD Volumes AD (2009-2012)'!M167,'PRD Volumes AD (2009-2012)'!M285,'PRD Volumes AD (2009-2012)'!M403)</f>
        <v>0</v>
      </c>
      <c r="N70" s="139">
        <f>AVERAGE('PRD Volumes AD (2009-2012)'!N167,'PRD Volumes AD (2009-2012)'!N285,'PRD Volumes AD (2009-2012)'!N403)</f>
        <v>14</v>
      </c>
      <c r="O70" s="139">
        <f>AVERAGE('PRD Volumes AD (2009-2012)'!O167,'PRD Volumes AD (2009-2012)'!O285,'PRD Volumes AD (2009-2012)'!O403)</f>
        <v>0</v>
      </c>
    </row>
    <row r="71" spans="2:15">
      <c r="B71" s="61" t="s">
        <v>298</v>
      </c>
      <c r="F71" s="102">
        <f t="shared" si="8"/>
        <v>239.78263944868053</v>
      </c>
      <c r="G71" s="139">
        <f>AVERAGE('PRD Volumes AD (2009-2012)'!G168,'PRD Volumes AD (2009-2012)'!G286,'PRD Volumes AD (2009-2012)'!G404)</f>
        <v>3</v>
      </c>
      <c r="H71" s="139">
        <f>AVERAGE('PRD Volumes AD (2009-2012)'!H168,'PRD Volumes AD (2009-2012)'!H286,'PRD Volumes AD (2009-2012)'!H404)</f>
        <v>3</v>
      </c>
      <c r="I71" s="139">
        <f>AVERAGE('PRD Volumes AD (2009-2012)'!I168,'PRD Volumes AD (2009-2012)'!I286,'PRD Volumes AD (2009-2012)'!I404)</f>
        <v>50.151304386756181</v>
      </c>
      <c r="J71" s="139">
        <f>AVERAGE('PRD Volumes AD (2009-2012)'!J168,'PRD Volumes AD (2009-2012)'!J286,'PRD Volumes AD (2009-2012)'!J404)</f>
        <v>128.68777471494741</v>
      </c>
      <c r="K71" s="139">
        <f>AVERAGE('PRD Volumes AD (2009-2012)'!K168,'PRD Volumes AD (2009-2012)'!K286,'PRD Volumes AD (2009-2012)'!K404)</f>
        <v>38.665782569199159</v>
      </c>
      <c r="L71" s="139">
        <f>AVERAGE('PRD Volumes AD (2009-2012)'!L168,'PRD Volumes AD (2009-2012)'!L286,'PRD Volumes AD (2009-2012)'!L404)</f>
        <v>6.6111111111111107</v>
      </c>
      <c r="M71" s="139">
        <f>AVERAGE('PRD Volumes AD (2009-2012)'!M168,'PRD Volumes AD (2009-2012)'!M286,'PRD Volumes AD (2009-2012)'!M404)</f>
        <v>0</v>
      </c>
      <c r="N71" s="139">
        <f>AVERAGE('PRD Volumes AD (2009-2012)'!N168,'PRD Volumes AD (2009-2012)'!N286,'PRD Volumes AD (2009-2012)'!N404)</f>
        <v>9.6666666666666661</v>
      </c>
      <c r="O71" s="139">
        <f>AVERAGE('PRD Volumes AD (2009-2012)'!O168,'PRD Volumes AD (2009-2012)'!O286,'PRD Volumes AD (2009-2012)'!O404)</f>
        <v>0</v>
      </c>
    </row>
    <row r="72" spans="2:15">
      <c r="B72" s="61" t="s">
        <v>299</v>
      </c>
      <c r="F72" s="102">
        <f t="shared" si="8"/>
        <v>121.63505666513302</v>
      </c>
      <c r="G72" s="139">
        <f>AVERAGE('PRD Volumes AD (2009-2012)'!G169,'PRD Volumes AD (2009-2012)'!G287,'PRD Volumes AD (2009-2012)'!G405)</f>
        <v>0</v>
      </c>
      <c r="H72" s="139">
        <f>AVERAGE('PRD Volumes AD (2009-2012)'!H169,'PRD Volumes AD (2009-2012)'!H287,'PRD Volumes AD (2009-2012)'!H405)</f>
        <v>2.3333333333333335</v>
      </c>
      <c r="I72" s="139">
        <f>AVERAGE('PRD Volumes AD (2009-2012)'!I169,'PRD Volumes AD (2009-2012)'!I287,'PRD Volumes AD (2009-2012)'!I405)</f>
        <v>30.18282613399705</v>
      </c>
      <c r="J72" s="139">
        <f>AVERAGE('PRD Volumes AD (2009-2012)'!J169,'PRD Volumes AD (2009-2012)'!J287,'PRD Volumes AD (2009-2012)'!J405)</f>
        <v>24.628180221211508</v>
      </c>
      <c r="K72" s="139">
        <f>AVERAGE('PRD Volumes AD (2009-2012)'!K169,'PRD Volumes AD (2009-2012)'!K287,'PRD Volumes AD (2009-2012)'!K405)</f>
        <v>27.324050309924473</v>
      </c>
      <c r="L72" s="139">
        <f>AVERAGE('PRD Volumes AD (2009-2012)'!L169,'PRD Volumes AD (2009-2012)'!L287,'PRD Volumes AD (2009-2012)'!L405)</f>
        <v>5.333333333333333</v>
      </c>
      <c r="M72" s="139">
        <f>AVERAGE('PRD Volumes AD (2009-2012)'!M169,'PRD Volumes AD (2009-2012)'!M287,'PRD Volumes AD (2009-2012)'!M405)</f>
        <v>0</v>
      </c>
      <c r="N72" s="139">
        <f>AVERAGE('PRD Volumes AD (2009-2012)'!N169,'PRD Volumes AD (2009-2012)'!N287,'PRD Volumes AD (2009-2012)'!N405)</f>
        <v>31.833333333333332</v>
      </c>
      <c r="O72" s="139">
        <f>AVERAGE('PRD Volumes AD (2009-2012)'!O169,'PRD Volumes AD (2009-2012)'!O287,'PRD Volumes AD (2009-2012)'!O405)</f>
        <v>0</v>
      </c>
    </row>
    <row r="73" spans="2:15">
      <c r="B73" s="23" t="s">
        <v>300</v>
      </c>
      <c r="F73" s="102">
        <f t="shared" si="8"/>
        <v>91.594969080877448</v>
      </c>
      <c r="G73" s="139">
        <f>AVERAGE('PRD Volumes AD (2009-2012)'!G170,'PRD Volumes AD (2009-2012)'!G288,'PRD Volumes AD (2009-2012)'!G406)</f>
        <v>0</v>
      </c>
      <c r="H73" s="139">
        <f>AVERAGE('PRD Volumes AD (2009-2012)'!H170,'PRD Volumes AD (2009-2012)'!H288,'PRD Volumes AD (2009-2012)'!H406)</f>
        <v>0.66666666666666663</v>
      </c>
      <c r="I73" s="139">
        <f>AVERAGE('PRD Volumes AD (2009-2012)'!I170,'PRD Volumes AD (2009-2012)'!I288,'PRD Volumes AD (2009-2012)'!I406)</f>
        <v>12.682427540287103</v>
      </c>
      <c r="J73" s="139">
        <f>AVERAGE('PRD Volumes AD (2009-2012)'!J170,'PRD Volumes AD (2009-2012)'!J288,'PRD Volumes AD (2009-2012)'!J406)</f>
        <v>59.279208207257007</v>
      </c>
      <c r="K73" s="139">
        <f>AVERAGE('PRD Volumes AD (2009-2012)'!K170,'PRD Volumes AD (2009-2012)'!K288,'PRD Volumes AD (2009-2012)'!K406)</f>
        <v>11.333333333333334</v>
      </c>
      <c r="L73" s="139">
        <f>AVERAGE('PRD Volumes AD (2009-2012)'!L170,'PRD Volumes AD (2009-2012)'!L288,'PRD Volumes AD (2009-2012)'!L406)</f>
        <v>4.9666666666666668</v>
      </c>
      <c r="M73" s="139">
        <f>AVERAGE('PRD Volumes AD (2009-2012)'!M170,'PRD Volumes AD (2009-2012)'!M288,'PRD Volumes AD (2009-2012)'!M406)</f>
        <v>0</v>
      </c>
      <c r="N73" s="139">
        <f>AVERAGE('PRD Volumes AD (2009-2012)'!N170,'PRD Volumes AD (2009-2012)'!N288,'PRD Volumes AD (2009-2012)'!N406)</f>
        <v>2.6666666666666665</v>
      </c>
      <c r="O73" s="139">
        <f>AVERAGE('PRD Volumes AD (2009-2012)'!O170,'PRD Volumes AD (2009-2012)'!O288,'PRD Volumes AD (2009-2012)'!O406)</f>
        <v>0</v>
      </c>
    </row>
    <row r="74" spans="2:15">
      <c r="B74" s="23" t="s">
        <v>301</v>
      </c>
      <c r="F74" s="102">
        <f t="shared" si="8"/>
        <v>118.85311919461085</v>
      </c>
      <c r="G74" s="139">
        <f>AVERAGE('PRD Volumes AD (2009-2012)'!G171,'PRD Volumes AD (2009-2012)'!G289,'PRD Volumes AD (2009-2012)'!G407)</f>
        <v>0</v>
      </c>
      <c r="H74" s="139">
        <f>AVERAGE('PRD Volumes AD (2009-2012)'!H171,'PRD Volumes AD (2009-2012)'!H289,'PRD Volumes AD (2009-2012)'!H407)</f>
        <v>0.66666666666666663</v>
      </c>
      <c r="I74" s="139">
        <f>AVERAGE('PRD Volumes AD (2009-2012)'!I171,'PRD Volumes AD (2009-2012)'!I289,'PRD Volumes AD (2009-2012)'!I407)</f>
        <v>3.3364855080574203</v>
      </c>
      <c r="J74" s="139">
        <f>AVERAGE('PRD Volumes AD (2009-2012)'!J171,'PRD Volumes AD (2009-2012)'!J289,'PRD Volumes AD (2009-2012)'!J407)</f>
        <v>23.31751778402095</v>
      </c>
      <c r="K74" s="139">
        <f>AVERAGE('PRD Volumes AD (2009-2012)'!K171,'PRD Volumes AD (2009-2012)'!K289,'PRD Volumes AD (2009-2012)'!K407)</f>
        <v>10.332449235865823</v>
      </c>
      <c r="L74" s="139">
        <f>AVERAGE('PRD Volumes AD (2009-2012)'!L171,'PRD Volumes AD (2009-2012)'!L289,'PRD Volumes AD (2009-2012)'!L407)</f>
        <v>3.0333333333333332</v>
      </c>
      <c r="M74" s="139">
        <f>AVERAGE('PRD Volumes AD (2009-2012)'!M171,'PRD Volumes AD (2009-2012)'!M289,'PRD Volumes AD (2009-2012)'!M407)</f>
        <v>0</v>
      </c>
      <c r="N74" s="139">
        <f>AVERAGE('PRD Volumes AD (2009-2012)'!N171,'PRD Volumes AD (2009-2012)'!N289,'PRD Volumes AD (2009-2012)'!N407)</f>
        <v>78.166666666666671</v>
      </c>
      <c r="O74" s="139">
        <f>AVERAGE('PRD Volumes AD (2009-2012)'!O171,'PRD Volumes AD (2009-2012)'!O289,'PRD Volumes AD (2009-2012)'!O407)</f>
        <v>0</v>
      </c>
    </row>
    <row r="75" spans="2:15">
      <c r="B75" s="23"/>
      <c r="F75" s="109"/>
    </row>
    <row r="76" spans="2:15">
      <c r="B76" s="108" t="s">
        <v>290</v>
      </c>
      <c r="F76" s="109"/>
    </row>
    <row r="77" spans="2:15">
      <c r="B77" s="23" t="s">
        <v>302</v>
      </c>
      <c r="F77" s="102">
        <f t="shared" ref="F77" si="9">SUM(G77:O77)</f>
        <v>7</v>
      </c>
      <c r="G77" s="29"/>
      <c r="H77" s="139">
        <f>AVERAGE('PRD Volumes AD (2009-2012)'!H174,'PRD Volumes AD (2009-2012)'!H292,'PRD Volumes AD (2009-2012)'!H410)</f>
        <v>4</v>
      </c>
      <c r="I77" s="29"/>
      <c r="J77" s="139">
        <f>AVERAGE('PRD Volumes AD (2009-2012)'!J174,'PRD Volumes AD (2009-2012)'!J292,'PRD Volumes AD (2009-2012)'!J410)</f>
        <v>3</v>
      </c>
      <c r="K77" s="29"/>
      <c r="L77" s="29"/>
      <c r="M77" s="29"/>
      <c r="N77" s="29"/>
      <c r="O77" s="139">
        <f>AVERAGE('PRD Volumes AD (2009-2012)'!O174,'PRD Volumes AD (2009-2012)'!O292,'PRD Volumes AD (2009-2012)'!O410)</f>
        <v>0</v>
      </c>
    </row>
    <row r="78" spans="2:15">
      <c r="B78" s="22"/>
      <c r="F78" s="109"/>
    </row>
    <row r="79" spans="2:15">
      <c r="B79" s="22"/>
      <c r="F79" s="109"/>
    </row>
    <row r="80" spans="2:15">
      <c r="B80" s="22"/>
      <c r="F80" s="109"/>
    </row>
    <row r="81" spans="2:15">
      <c r="B81" s="22"/>
      <c r="F81" s="109"/>
    </row>
    <row r="82" spans="2:15">
      <c r="B82" s="3" t="s">
        <v>307</v>
      </c>
      <c r="F82" s="109"/>
    </row>
    <row r="83" spans="2:15">
      <c r="B83" s="3"/>
      <c r="F83" s="109"/>
    </row>
    <row r="84" spans="2:15">
      <c r="B84" s="108" t="s">
        <v>284</v>
      </c>
      <c r="F84" s="109"/>
    </row>
    <row r="85" spans="2:15">
      <c r="B85" s="23" t="s">
        <v>285</v>
      </c>
      <c r="F85" s="102">
        <f t="shared" ref="F85:F88" si="10">SUM(G85:O85)</f>
        <v>51842.011868305919</v>
      </c>
      <c r="G85" s="139">
        <f>AVERAGE('PRD Volumes AD (2009-2012)'!G182,'PRD Volumes AD (2009-2012)'!G300,'PRD Volumes AD (2009-2012)'!G418)</f>
        <v>1101.3333333333333</v>
      </c>
      <c r="H85" s="139">
        <f>AVERAGE('PRD Volumes AD (2009-2012)'!H182,'PRD Volumes AD (2009-2012)'!H300,'PRD Volumes AD (2009-2012)'!H418)</f>
        <v>1577.3333333333333</v>
      </c>
      <c r="I85" s="139">
        <f>AVERAGE('PRD Volumes AD (2009-2012)'!I182,'PRD Volumes AD (2009-2012)'!I300,'PRD Volumes AD (2009-2012)'!I418)</f>
        <v>3346.2714542463054</v>
      </c>
      <c r="J85" s="139">
        <f>AVERAGE('PRD Volumes AD (2009-2012)'!J182,'PRD Volumes AD (2009-2012)'!J300,'PRD Volumes AD (2009-2012)'!J418)</f>
        <v>14397.763727903106</v>
      </c>
      <c r="K85" s="139">
        <f>AVERAGE('PRD Volumes AD (2009-2012)'!K182,'PRD Volumes AD (2009-2012)'!K300,'PRD Volumes AD (2009-2012)'!K418)</f>
        <v>17141.919151138718</v>
      </c>
      <c r="L85" s="139">
        <f>AVERAGE('PRD Volumes AD (2009-2012)'!L182,'PRD Volumes AD (2009-2012)'!L300,'PRD Volumes AD (2009-2012)'!L418)</f>
        <v>699</v>
      </c>
      <c r="M85" s="139">
        <f>AVERAGE('PRD Volumes AD (2009-2012)'!M182,'PRD Volumes AD (2009-2012)'!M300,'PRD Volumes AD (2009-2012)'!M418)</f>
        <v>12947.057535017788</v>
      </c>
      <c r="N85" s="139">
        <f>AVERAGE('PRD Volumes AD (2009-2012)'!N182,'PRD Volumes AD (2009-2012)'!N300,'PRD Volumes AD (2009-2012)'!N418)</f>
        <v>631.33333333333337</v>
      </c>
      <c r="O85" s="139">
        <f>AVERAGE('PRD Volumes AD (2009-2012)'!O182,'PRD Volumes AD (2009-2012)'!O300,'PRD Volumes AD (2009-2012)'!O418)</f>
        <v>0</v>
      </c>
    </row>
    <row r="86" spans="2:15">
      <c r="B86" s="23" t="s">
        <v>286</v>
      </c>
      <c r="F86" s="102">
        <f t="shared" si="10"/>
        <v>543.24620636605516</v>
      </c>
      <c r="G86" s="139">
        <f>AVERAGE('PRD Volumes AD (2009-2012)'!G183,'PRD Volumes AD (2009-2012)'!G301,'PRD Volumes AD (2009-2012)'!G419)</f>
        <v>1</v>
      </c>
      <c r="H86" s="139">
        <f>AVERAGE('PRD Volumes AD (2009-2012)'!H183,'PRD Volumes AD (2009-2012)'!H301,'PRD Volumes AD (2009-2012)'!H419)</f>
        <v>14.333333333333334</v>
      </c>
      <c r="I86" s="139">
        <f>AVERAGE('PRD Volumes AD (2009-2012)'!I183,'PRD Volumes AD (2009-2012)'!I301,'PRD Volumes AD (2009-2012)'!I419)</f>
        <v>41.424476631584099</v>
      </c>
      <c r="J86" s="139">
        <f>AVERAGE('PRD Volumes AD (2009-2012)'!J183,'PRD Volumes AD (2009-2012)'!J301,'PRD Volumes AD (2009-2012)'!J419)</f>
        <v>166.56916048495694</v>
      </c>
      <c r="K86" s="139">
        <f>AVERAGE('PRD Volumes AD (2009-2012)'!K183,'PRD Volumes AD (2009-2012)'!K301,'PRD Volumes AD (2009-2012)'!K419)</f>
        <v>164.02290217895225</v>
      </c>
      <c r="L86" s="139">
        <f>AVERAGE('PRD Volumes AD (2009-2012)'!L183,'PRD Volumes AD (2009-2012)'!L301,'PRD Volumes AD (2009-2012)'!L419)</f>
        <v>4</v>
      </c>
      <c r="M86" s="139">
        <f>AVERAGE('PRD Volumes AD (2009-2012)'!M183,'PRD Volumes AD (2009-2012)'!M301,'PRD Volumes AD (2009-2012)'!M419)</f>
        <v>147.56300040389513</v>
      </c>
      <c r="N86" s="139">
        <f>AVERAGE('PRD Volumes AD (2009-2012)'!N183,'PRD Volumes AD (2009-2012)'!N301,'PRD Volumes AD (2009-2012)'!N419)</f>
        <v>4.333333333333333</v>
      </c>
      <c r="O86" s="139">
        <f>AVERAGE('PRD Volumes AD (2009-2012)'!O183,'PRD Volumes AD (2009-2012)'!O301,'PRD Volumes AD (2009-2012)'!O419)</f>
        <v>0</v>
      </c>
    </row>
    <row r="87" spans="2:15">
      <c r="B87" s="61" t="s">
        <v>287</v>
      </c>
      <c r="F87" s="102">
        <f t="shared" si="10"/>
        <v>560.56048111135317</v>
      </c>
      <c r="G87" s="139">
        <f>AVERAGE('PRD Volumes AD (2009-2012)'!G184,'PRD Volumes AD (2009-2012)'!G302,'PRD Volumes AD (2009-2012)'!G420)</f>
        <v>16.666666666666668</v>
      </c>
      <c r="H87" s="139">
        <f>AVERAGE('PRD Volumes AD (2009-2012)'!H184,'PRD Volumes AD (2009-2012)'!H302,'PRD Volumes AD (2009-2012)'!H420)</f>
        <v>20.666666666666668</v>
      </c>
      <c r="I87" s="139">
        <f>AVERAGE('PRD Volumes AD (2009-2012)'!I184,'PRD Volumes AD (2009-2012)'!I302,'PRD Volumes AD (2009-2012)'!I420)</f>
        <v>27.03154706235917</v>
      </c>
      <c r="J87" s="139">
        <f>AVERAGE('PRD Volumes AD (2009-2012)'!J184,'PRD Volumes AD (2009-2012)'!J302,'PRD Volumes AD (2009-2012)'!J420)</f>
        <v>205.01287658678424</v>
      </c>
      <c r="K87" s="139">
        <f>AVERAGE('PRD Volumes AD (2009-2012)'!K184,'PRD Volumes AD (2009-2012)'!K302,'PRD Volumes AD (2009-2012)'!K420)</f>
        <v>129.99188687992583</v>
      </c>
      <c r="L87" s="139">
        <f>AVERAGE('PRD Volumes AD (2009-2012)'!L184,'PRD Volumes AD (2009-2012)'!L302,'PRD Volumes AD (2009-2012)'!L420)</f>
        <v>9.3333333333333339</v>
      </c>
      <c r="M87" s="139">
        <f>AVERAGE('PRD Volumes AD (2009-2012)'!M184,'PRD Volumes AD (2009-2012)'!M302,'PRD Volumes AD (2009-2012)'!M420)</f>
        <v>149.19083724895074</v>
      </c>
      <c r="N87" s="139">
        <f>AVERAGE('PRD Volumes AD (2009-2012)'!N184,'PRD Volumes AD (2009-2012)'!N302,'PRD Volumes AD (2009-2012)'!N420)</f>
        <v>2.6666666666666665</v>
      </c>
      <c r="O87" s="139">
        <f>AVERAGE('PRD Volumes AD (2009-2012)'!O184,'PRD Volumes AD (2009-2012)'!O302,'PRD Volumes AD (2009-2012)'!O420)</f>
        <v>0</v>
      </c>
    </row>
    <row r="88" spans="2:15">
      <c r="B88" s="61" t="s">
        <v>288</v>
      </c>
      <c r="F88" s="102">
        <f t="shared" si="10"/>
        <v>398.88422496174678</v>
      </c>
      <c r="G88" s="139">
        <f>AVERAGE('PRD Volumes AD (2009-2012)'!G185,'PRD Volumes AD (2009-2012)'!G303,'PRD Volumes AD (2009-2012)'!G421)</f>
        <v>4</v>
      </c>
      <c r="H88" s="139">
        <f>AVERAGE('PRD Volumes AD (2009-2012)'!H185,'PRD Volumes AD (2009-2012)'!H303,'PRD Volumes AD (2009-2012)'!H421)</f>
        <v>12</v>
      </c>
      <c r="I88" s="139">
        <f>AVERAGE('PRD Volumes AD (2009-2012)'!I185,'PRD Volumes AD (2009-2012)'!I303,'PRD Volumes AD (2009-2012)'!I421)</f>
        <v>17.677565969780012</v>
      </c>
      <c r="J88" s="139">
        <f>AVERAGE('PRD Volumes AD (2009-2012)'!J185,'PRD Volumes AD (2009-2012)'!J303,'PRD Volumes AD (2009-2012)'!J421)</f>
        <v>131.33434382319933</v>
      </c>
      <c r="K88" s="139">
        <f>AVERAGE('PRD Volumes AD (2009-2012)'!K185,'PRD Volumes AD (2009-2012)'!K303,'PRD Volumes AD (2009-2012)'!K421)</f>
        <v>132</v>
      </c>
      <c r="L88" s="139">
        <f>AVERAGE('PRD Volumes AD (2009-2012)'!L185,'PRD Volumes AD (2009-2012)'!L303,'PRD Volumes AD (2009-2012)'!L421)</f>
        <v>4.333333333333333</v>
      </c>
      <c r="M88" s="139">
        <f>AVERAGE('PRD Volumes AD (2009-2012)'!M185,'PRD Volumes AD (2009-2012)'!M303,'PRD Volumes AD (2009-2012)'!M421)</f>
        <v>95.205648502100829</v>
      </c>
      <c r="N88" s="139">
        <f>AVERAGE('PRD Volumes AD (2009-2012)'!N185,'PRD Volumes AD (2009-2012)'!N303,'PRD Volumes AD (2009-2012)'!N421)</f>
        <v>2.3333333333333335</v>
      </c>
      <c r="O88" s="139">
        <f>AVERAGE('PRD Volumes AD (2009-2012)'!O185,'PRD Volumes AD (2009-2012)'!O303,'PRD Volumes AD (2009-2012)'!O421)</f>
        <v>0</v>
      </c>
    </row>
    <row r="89" spans="2:15">
      <c r="B89" s="23"/>
      <c r="F89" s="109"/>
    </row>
    <row r="90" spans="2:15">
      <c r="B90" s="108" t="s">
        <v>289</v>
      </c>
      <c r="F90" s="109"/>
    </row>
    <row r="91" spans="2:15">
      <c r="B91" s="23" t="s">
        <v>285</v>
      </c>
      <c r="F91" s="102">
        <f t="shared" ref="F91:F94" si="11">SUM(G91:O91)</f>
        <v>0</v>
      </c>
      <c r="G91" s="139">
        <f>AVERAGE('PRD Volumes AD (2009-2012)'!G188,'PRD Volumes AD (2009-2012)'!G306,'PRD Volumes AD (2009-2012)'!G424)</f>
        <v>0</v>
      </c>
      <c r="H91" s="139">
        <f>AVERAGE('PRD Volumes AD (2009-2012)'!H188,'PRD Volumes AD (2009-2012)'!H306,'PRD Volumes AD (2009-2012)'!H424)</f>
        <v>0</v>
      </c>
      <c r="I91" s="139">
        <f>AVERAGE('PRD Volumes AD (2009-2012)'!I188,'PRD Volumes AD (2009-2012)'!I306,'PRD Volumes AD (2009-2012)'!I424)</f>
        <v>0</v>
      </c>
      <c r="J91" s="139">
        <f>AVERAGE('PRD Volumes AD (2009-2012)'!J188,'PRD Volumes AD (2009-2012)'!J306,'PRD Volumes AD (2009-2012)'!J424)</f>
        <v>0</v>
      </c>
      <c r="K91" s="139">
        <f>AVERAGE('PRD Volumes AD (2009-2012)'!K188,'PRD Volumes AD (2009-2012)'!K306,'PRD Volumes AD (2009-2012)'!K424)</f>
        <v>0</v>
      </c>
      <c r="L91" s="139">
        <f>AVERAGE('PRD Volumes AD (2009-2012)'!L188,'PRD Volumes AD (2009-2012)'!L306,'PRD Volumes AD (2009-2012)'!L424)</f>
        <v>0</v>
      </c>
      <c r="M91" s="139">
        <f>AVERAGE('PRD Volumes AD (2009-2012)'!M188,'PRD Volumes AD (2009-2012)'!M306,'PRD Volumes AD (2009-2012)'!M424)</f>
        <v>0</v>
      </c>
      <c r="N91" s="139">
        <f>AVERAGE('PRD Volumes AD (2009-2012)'!N188,'PRD Volumes AD (2009-2012)'!N306,'PRD Volumes AD (2009-2012)'!N424)</f>
        <v>0</v>
      </c>
      <c r="O91" s="139">
        <f>AVERAGE('PRD Volumes AD (2009-2012)'!O188,'PRD Volumes AD (2009-2012)'!O306,'PRD Volumes AD (2009-2012)'!O424)</f>
        <v>0</v>
      </c>
    </row>
    <row r="92" spans="2:15">
      <c r="B92" s="23" t="s">
        <v>286</v>
      </c>
      <c r="F92" s="102">
        <f t="shared" si="11"/>
        <v>0</v>
      </c>
      <c r="G92" s="139"/>
      <c r="H92" s="139">
        <f>AVERAGE('PRD Volumes AD (2009-2012)'!H189,'PRD Volumes AD (2009-2012)'!H307,'PRD Volumes AD (2009-2012)'!H425)</f>
        <v>0</v>
      </c>
      <c r="I92" s="139">
        <f>AVERAGE('PRD Volumes AD (2009-2012)'!I189,'PRD Volumes AD (2009-2012)'!I307,'PRD Volumes AD (2009-2012)'!I425)</f>
        <v>0</v>
      </c>
      <c r="J92" s="139">
        <f>AVERAGE('PRD Volumes AD (2009-2012)'!J189,'PRD Volumes AD (2009-2012)'!J307,'PRD Volumes AD (2009-2012)'!J425)</f>
        <v>0</v>
      </c>
      <c r="K92" s="139">
        <f>AVERAGE('PRD Volumes AD (2009-2012)'!K189,'PRD Volumes AD (2009-2012)'!K307,'PRD Volumes AD (2009-2012)'!K425)</f>
        <v>0</v>
      </c>
      <c r="L92" s="139">
        <f>AVERAGE('PRD Volumes AD (2009-2012)'!L189,'PRD Volumes AD (2009-2012)'!L307,'PRD Volumes AD (2009-2012)'!L425)</f>
        <v>0</v>
      </c>
      <c r="M92" s="139">
        <f>AVERAGE('PRD Volumes AD (2009-2012)'!M189,'PRD Volumes AD (2009-2012)'!M307,'PRD Volumes AD (2009-2012)'!M425)</f>
        <v>0</v>
      </c>
      <c r="N92" s="139">
        <f>AVERAGE('PRD Volumes AD (2009-2012)'!N189,'PRD Volumes AD (2009-2012)'!N307,'PRD Volumes AD (2009-2012)'!N425)</f>
        <v>0</v>
      </c>
      <c r="O92" s="139">
        <f>AVERAGE('PRD Volumes AD (2009-2012)'!O189,'PRD Volumes AD (2009-2012)'!O307,'PRD Volumes AD (2009-2012)'!O425)</f>
        <v>0</v>
      </c>
    </row>
    <row r="93" spans="2:15">
      <c r="B93" s="61" t="s">
        <v>287</v>
      </c>
      <c r="F93" s="102">
        <f t="shared" si="11"/>
        <v>0.33333333333333331</v>
      </c>
      <c r="G93" s="139">
        <f>AVERAGE('PRD Volumes AD (2009-2012)'!G190,'PRD Volumes AD (2009-2012)'!G308,'PRD Volumes AD (2009-2012)'!G426)</f>
        <v>0</v>
      </c>
      <c r="H93" s="139">
        <f>AVERAGE('PRD Volumes AD (2009-2012)'!H190,'PRD Volumes AD (2009-2012)'!H308,'PRD Volumes AD (2009-2012)'!H426)</f>
        <v>0</v>
      </c>
      <c r="I93" s="139">
        <f>AVERAGE('PRD Volumes AD (2009-2012)'!I190,'PRD Volumes AD (2009-2012)'!I308,'PRD Volumes AD (2009-2012)'!I426)</f>
        <v>0.33333333333333331</v>
      </c>
      <c r="J93" s="139">
        <f>AVERAGE('PRD Volumes AD (2009-2012)'!J190,'PRD Volumes AD (2009-2012)'!J308,'PRD Volumes AD (2009-2012)'!J426)</f>
        <v>0</v>
      </c>
      <c r="K93" s="139">
        <f>AVERAGE('PRD Volumes AD (2009-2012)'!K190,'PRD Volumes AD (2009-2012)'!K308,'PRD Volumes AD (2009-2012)'!K426)</f>
        <v>0</v>
      </c>
      <c r="L93" s="139">
        <f>AVERAGE('PRD Volumes AD (2009-2012)'!L190,'PRD Volumes AD (2009-2012)'!L308,'PRD Volumes AD (2009-2012)'!L426)</f>
        <v>0</v>
      </c>
      <c r="M93" s="139">
        <f>AVERAGE('PRD Volumes AD (2009-2012)'!M190,'PRD Volumes AD (2009-2012)'!M308,'PRD Volumes AD (2009-2012)'!M426)</f>
        <v>0</v>
      </c>
      <c r="N93" s="139">
        <f>AVERAGE('PRD Volumes AD (2009-2012)'!N190,'PRD Volumes AD (2009-2012)'!N308,'PRD Volumes AD (2009-2012)'!N426)</f>
        <v>0</v>
      </c>
      <c r="O93" s="139">
        <f>AVERAGE('PRD Volumes AD (2009-2012)'!O190,'PRD Volumes AD (2009-2012)'!O308,'PRD Volumes AD (2009-2012)'!O426)</f>
        <v>0</v>
      </c>
    </row>
    <row r="94" spans="2:15">
      <c r="B94" s="61" t="s">
        <v>288</v>
      </c>
      <c r="F94" s="102">
        <f t="shared" si="11"/>
        <v>0</v>
      </c>
      <c r="G94" s="139">
        <f>AVERAGE('PRD Volumes AD (2009-2012)'!G191,'PRD Volumes AD (2009-2012)'!G309,'PRD Volumes AD (2009-2012)'!G427)</f>
        <v>0</v>
      </c>
      <c r="H94" s="139">
        <f>AVERAGE('PRD Volumes AD (2009-2012)'!H191,'PRD Volumes AD (2009-2012)'!H309,'PRD Volumes AD (2009-2012)'!H427)</f>
        <v>0</v>
      </c>
      <c r="I94" s="139">
        <f>AVERAGE('PRD Volumes AD (2009-2012)'!I191,'PRD Volumes AD (2009-2012)'!I309,'PRD Volumes AD (2009-2012)'!I427)</f>
        <v>0</v>
      </c>
      <c r="J94" s="139">
        <f>AVERAGE('PRD Volumes AD (2009-2012)'!J191,'PRD Volumes AD (2009-2012)'!J309,'PRD Volumes AD (2009-2012)'!J427)</f>
        <v>0</v>
      </c>
      <c r="K94" s="139">
        <f>AVERAGE('PRD Volumes AD (2009-2012)'!K191,'PRD Volumes AD (2009-2012)'!K309,'PRD Volumes AD (2009-2012)'!K427)</f>
        <v>0</v>
      </c>
      <c r="L94" s="139">
        <f>AVERAGE('PRD Volumes AD (2009-2012)'!L191,'PRD Volumes AD (2009-2012)'!L309,'PRD Volumes AD (2009-2012)'!L427)</f>
        <v>0</v>
      </c>
      <c r="M94" s="139">
        <f>AVERAGE('PRD Volumes AD (2009-2012)'!M191,'PRD Volumes AD (2009-2012)'!M309,'PRD Volumes AD (2009-2012)'!M427)</f>
        <v>0</v>
      </c>
      <c r="N94" s="139">
        <f>AVERAGE('PRD Volumes AD (2009-2012)'!N191,'PRD Volumes AD (2009-2012)'!N309,'PRD Volumes AD (2009-2012)'!N427)</f>
        <v>0</v>
      </c>
      <c r="O94" s="139">
        <f>AVERAGE('PRD Volumes AD (2009-2012)'!O191,'PRD Volumes AD (2009-2012)'!O309,'PRD Volumes AD (2009-2012)'!O427)</f>
        <v>0</v>
      </c>
    </row>
    <row r="95" spans="2:15">
      <c r="B95" s="23"/>
      <c r="F95" s="109"/>
    </row>
    <row r="96" spans="2:15">
      <c r="B96" s="108" t="s">
        <v>290</v>
      </c>
      <c r="F96" s="109"/>
    </row>
    <row r="97" spans="2:15">
      <c r="B97" s="23" t="s">
        <v>291</v>
      </c>
      <c r="F97" s="102">
        <f t="shared" ref="F97" si="12">SUM(G97:O97)</f>
        <v>0</v>
      </c>
      <c r="G97" s="29"/>
      <c r="H97" s="139">
        <f>AVERAGE('PRD Volumes AD (2009-2012)'!H194,'PRD Volumes AD (2009-2012)'!H312,'PRD Volumes AD (2009-2012)'!H430)</f>
        <v>0</v>
      </c>
      <c r="I97" s="29"/>
      <c r="J97" s="139">
        <f>AVERAGE('PRD Volumes AD (2009-2012)'!J194,'PRD Volumes AD (2009-2012)'!J312,'PRD Volumes AD (2009-2012)'!J430)</f>
        <v>0</v>
      </c>
      <c r="K97" s="29"/>
      <c r="L97" s="29"/>
      <c r="M97" s="29"/>
      <c r="N97" s="29"/>
      <c r="O97" s="139">
        <f>AVERAGE('PRD Volumes AD (2009-2012)'!O194,'PRD Volumes AD (2009-2012)'!O312,'PRD Volumes AD (2009-2012)'!O430)</f>
        <v>0</v>
      </c>
    </row>
    <row r="98" spans="2:15">
      <c r="B98" s="3"/>
      <c r="F98" s="109"/>
    </row>
    <row r="99" spans="2:15">
      <c r="B99" s="3"/>
      <c r="F99" s="109"/>
    </row>
    <row r="100" spans="2:15">
      <c r="B100" s="3" t="s">
        <v>308</v>
      </c>
      <c r="F100" s="109"/>
    </row>
    <row r="101" spans="2:15">
      <c r="B101" s="3"/>
      <c r="F101" s="109"/>
    </row>
    <row r="102" spans="2:15">
      <c r="B102" s="108" t="s">
        <v>284</v>
      </c>
      <c r="F102" s="109"/>
    </row>
    <row r="103" spans="2:15">
      <c r="B103" s="23" t="s">
        <v>285</v>
      </c>
      <c r="F103" s="102">
        <f t="shared" ref="F103:F106" si="13">SUM(G103:O103)</f>
        <v>62595.82235485017</v>
      </c>
      <c r="G103" s="139">
        <f>AVERAGE('PRD Volumes AD (2009-2012)'!G200,'PRD Volumes AD (2009-2012)'!G318,'PRD Volumes AD (2009-2012)'!G436)</f>
        <v>1621</v>
      </c>
      <c r="H103" s="139">
        <f>AVERAGE('PRD Volumes AD (2009-2012)'!H200,'PRD Volumes AD (2009-2012)'!H318,'PRD Volumes AD (2009-2012)'!H436)</f>
        <v>1370.6666666666667</v>
      </c>
      <c r="I103" s="139">
        <f>AVERAGE('PRD Volumes AD (2009-2012)'!I200,'PRD Volumes AD (2009-2012)'!I318,'PRD Volumes AD (2009-2012)'!I436)</f>
        <v>3372.5588862119498</v>
      </c>
      <c r="J103" s="139">
        <f>AVERAGE('PRD Volumes AD (2009-2012)'!J200,'PRD Volumes AD (2009-2012)'!J318,'PRD Volumes AD (2009-2012)'!J436)</f>
        <v>26755.346681058374</v>
      </c>
      <c r="K103" s="139">
        <f>AVERAGE('PRD Volumes AD (2009-2012)'!K200,'PRD Volumes AD (2009-2012)'!K318,'PRD Volumes AD (2009-2012)'!K436)</f>
        <v>17560.136363636364</v>
      </c>
      <c r="L103" s="139">
        <f>AVERAGE('PRD Volumes AD (2009-2012)'!L200,'PRD Volumes AD (2009-2012)'!L318,'PRD Volumes AD (2009-2012)'!L436)</f>
        <v>1394.6666666666667</v>
      </c>
      <c r="M103" s="139">
        <f>AVERAGE('PRD Volumes AD (2009-2012)'!M200,'PRD Volumes AD (2009-2012)'!M318,'PRD Volumes AD (2009-2012)'!M436)</f>
        <v>9701.2804239434936</v>
      </c>
      <c r="N103" s="139">
        <f>AVERAGE('PRD Volumes AD (2009-2012)'!N200,'PRD Volumes AD (2009-2012)'!N318,'PRD Volumes AD (2009-2012)'!N436)</f>
        <v>820.16666666666663</v>
      </c>
      <c r="O103" s="139">
        <f>AVERAGE('PRD Volumes AD (2009-2012)'!O200,'PRD Volumes AD (2009-2012)'!O318,'PRD Volumes AD (2009-2012)'!O436)</f>
        <v>0</v>
      </c>
    </row>
    <row r="104" spans="2:15">
      <c r="B104" s="23" t="s">
        <v>286</v>
      </c>
      <c r="F104" s="102">
        <f t="shared" si="13"/>
        <v>11300.709600355782</v>
      </c>
      <c r="G104" s="139">
        <f>AVERAGE('PRD Volumes AD (2009-2012)'!G201,'PRD Volumes AD (2009-2012)'!G319,'PRD Volumes AD (2009-2012)'!G437)</f>
        <v>483.33333333333331</v>
      </c>
      <c r="H104" s="139">
        <f>AVERAGE('PRD Volumes AD (2009-2012)'!H201,'PRD Volumes AD (2009-2012)'!H319,'PRD Volumes AD (2009-2012)'!H437)</f>
        <v>235</v>
      </c>
      <c r="I104" s="139">
        <f>AVERAGE('PRD Volumes AD (2009-2012)'!I201,'PRD Volumes AD (2009-2012)'!I319,'PRD Volumes AD (2009-2012)'!I437)</f>
        <v>502.33315660544514</v>
      </c>
      <c r="J104" s="139">
        <f>AVERAGE('PRD Volumes AD (2009-2012)'!J201,'PRD Volumes AD (2009-2012)'!J319,'PRD Volumes AD (2009-2012)'!J437)</f>
        <v>5716.8951515151521</v>
      </c>
      <c r="K104" s="139">
        <f>AVERAGE('PRD Volumes AD (2009-2012)'!K201,'PRD Volumes AD (2009-2012)'!K319,'PRD Volumes AD (2009-2012)'!K437)</f>
        <v>2562.3333333333335</v>
      </c>
      <c r="L104" s="139">
        <f>AVERAGE('PRD Volumes AD (2009-2012)'!L201,'PRD Volumes AD (2009-2012)'!L319,'PRD Volumes AD (2009-2012)'!L437)</f>
        <v>8.3333333333333339</v>
      </c>
      <c r="M104" s="139">
        <f>AVERAGE('PRD Volumes AD (2009-2012)'!M201,'PRD Volumes AD (2009-2012)'!M319,'PRD Volumes AD (2009-2012)'!M437)</f>
        <v>1769.1479589018484</v>
      </c>
      <c r="N104" s="139">
        <f>AVERAGE('PRD Volumes AD (2009-2012)'!N201,'PRD Volumes AD (2009-2012)'!N319,'PRD Volumes AD (2009-2012)'!N437)</f>
        <v>23.333333333333332</v>
      </c>
      <c r="O104" s="139">
        <f>AVERAGE('PRD Volumes AD (2009-2012)'!O201,'PRD Volumes AD (2009-2012)'!O319,'PRD Volumes AD (2009-2012)'!O437)</f>
        <v>0</v>
      </c>
    </row>
    <row r="105" spans="2:15">
      <c r="B105" s="61" t="s">
        <v>287</v>
      </c>
      <c r="F105" s="102">
        <f t="shared" si="13"/>
        <v>7922.4824220571618</v>
      </c>
      <c r="G105" s="139">
        <f>AVERAGE('PRD Volumes AD (2009-2012)'!G202,'PRD Volumes AD (2009-2012)'!G320,'PRD Volumes AD (2009-2012)'!G438)</f>
        <v>362</v>
      </c>
      <c r="H105" s="139">
        <f>AVERAGE('PRD Volumes AD (2009-2012)'!H202,'PRD Volumes AD (2009-2012)'!H320,'PRD Volumes AD (2009-2012)'!H438)</f>
        <v>296</v>
      </c>
      <c r="I105" s="139">
        <f>AVERAGE('PRD Volumes AD (2009-2012)'!I202,'PRD Volumes AD (2009-2012)'!I320,'PRD Volumes AD (2009-2012)'!I438)</f>
        <v>396.06910432094793</v>
      </c>
      <c r="J105" s="139">
        <f>AVERAGE('PRD Volumes AD (2009-2012)'!J202,'PRD Volumes AD (2009-2012)'!J320,'PRD Volumes AD (2009-2012)'!J438)</f>
        <v>1966.5660561167231</v>
      </c>
      <c r="K105" s="139">
        <f>AVERAGE('PRD Volumes AD (2009-2012)'!K202,'PRD Volumes AD (2009-2012)'!K320,'PRD Volumes AD (2009-2012)'!K438)</f>
        <v>2013.3333333333333</v>
      </c>
      <c r="L105" s="139">
        <f>AVERAGE('PRD Volumes AD (2009-2012)'!L202,'PRD Volumes AD (2009-2012)'!L320,'PRD Volumes AD (2009-2012)'!L438)</f>
        <v>142</v>
      </c>
      <c r="M105" s="139">
        <f>AVERAGE('PRD Volumes AD (2009-2012)'!M202,'PRD Volumes AD (2009-2012)'!M320,'PRD Volumes AD (2009-2012)'!M438)</f>
        <v>2704.8472616194899</v>
      </c>
      <c r="N105" s="139">
        <f>AVERAGE('PRD Volumes AD (2009-2012)'!N202,'PRD Volumes AD (2009-2012)'!N320,'PRD Volumes AD (2009-2012)'!N438)</f>
        <v>41.666666666666664</v>
      </c>
      <c r="O105" s="139">
        <f>AVERAGE('PRD Volumes AD (2009-2012)'!O202,'PRD Volumes AD (2009-2012)'!O320,'PRD Volumes AD (2009-2012)'!O438)</f>
        <v>0</v>
      </c>
    </row>
    <row r="106" spans="2:15">
      <c r="B106" s="61" t="s">
        <v>288</v>
      </c>
      <c r="F106" s="102">
        <f t="shared" si="13"/>
        <v>5344.4797107800423</v>
      </c>
      <c r="G106" s="139">
        <f>AVERAGE('PRD Volumes AD (2009-2012)'!G203,'PRD Volumes AD (2009-2012)'!G321,'PRD Volumes AD (2009-2012)'!G439)</f>
        <v>113</v>
      </c>
      <c r="H106" s="139">
        <f>AVERAGE('PRD Volumes AD (2009-2012)'!H203,'PRD Volumes AD (2009-2012)'!H321,'PRD Volumes AD (2009-2012)'!H439)</f>
        <v>94</v>
      </c>
      <c r="I106" s="139">
        <f>AVERAGE('PRD Volumes AD (2009-2012)'!I203,'PRD Volumes AD (2009-2012)'!I321,'PRD Volumes AD (2009-2012)'!I439)</f>
        <v>322.89908188323778</v>
      </c>
      <c r="J106" s="139">
        <f>AVERAGE('PRD Volumes AD (2009-2012)'!J203,'PRD Volumes AD (2009-2012)'!J321,'PRD Volumes AD (2009-2012)'!J439)</f>
        <v>932.55115600448937</v>
      </c>
      <c r="K106" s="139">
        <f>AVERAGE('PRD Volumes AD (2009-2012)'!K203,'PRD Volumes AD (2009-2012)'!K321,'PRD Volumes AD (2009-2012)'!K439)</f>
        <v>2318.3333333333335</v>
      </c>
      <c r="L106" s="139">
        <f>AVERAGE('PRD Volumes AD (2009-2012)'!L203,'PRD Volumes AD (2009-2012)'!L321,'PRD Volumes AD (2009-2012)'!L439)</f>
        <v>120</v>
      </c>
      <c r="M106" s="139">
        <f>AVERAGE('PRD Volumes AD (2009-2012)'!M203,'PRD Volumes AD (2009-2012)'!M321,'PRD Volumes AD (2009-2012)'!M439)</f>
        <v>1369.612270187383</v>
      </c>
      <c r="N106" s="139">
        <f>AVERAGE('PRD Volumes AD (2009-2012)'!N203,'PRD Volumes AD (2009-2012)'!N321,'PRD Volumes AD (2009-2012)'!N439)</f>
        <v>74.083869371598212</v>
      </c>
      <c r="O106" s="139">
        <f>AVERAGE('PRD Volumes AD (2009-2012)'!O203,'PRD Volumes AD (2009-2012)'!O321,'PRD Volumes AD (2009-2012)'!O439)</f>
        <v>0</v>
      </c>
    </row>
    <row r="107" spans="2:15">
      <c r="B107" s="23"/>
      <c r="F107" s="109"/>
    </row>
    <row r="108" spans="2:15">
      <c r="B108" s="108" t="s">
        <v>289</v>
      </c>
      <c r="F108" s="109"/>
    </row>
    <row r="109" spans="2:15">
      <c r="B109" s="23" t="s">
        <v>285</v>
      </c>
      <c r="F109" s="102">
        <f t="shared" ref="F109:F112" si="14">SUM(G109:O109)</f>
        <v>0</v>
      </c>
      <c r="G109" s="139">
        <f>AVERAGE('PRD Volumes AD (2009-2012)'!G206,'PRD Volumes AD (2009-2012)'!G324,'PRD Volumes AD (2009-2012)'!G442)</f>
        <v>0</v>
      </c>
      <c r="H109" s="139">
        <f>AVERAGE('PRD Volumes AD (2009-2012)'!H206,'PRD Volumes AD (2009-2012)'!H324,'PRD Volumes AD (2009-2012)'!H442)</f>
        <v>0</v>
      </c>
      <c r="I109" s="139">
        <f>AVERAGE('PRD Volumes AD (2009-2012)'!I206,'PRD Volumes AD (2009-2012)'!I324,'PRD Volumes AD (2009-2012)'!I442)</f>
        <v>0</v>
      </c>
      <c r="J109" s="139">
        <f>AVERAGE('PRD Volumes AD (2009-2012)'!J206,'PRD Volumes AD (2009-2012)'!J324,'PRD Volumes AD (2009-2012)'!J442)</f>
        <v>0</v>
      </c>
      <c r="K109" s="139">
        <f>AVERAGE('PRD Volumes AD (2009-2012)'!K206,'PRD Volumes AD (2009-2012)'!K324,'PRD Volumes AD (2009-2012)'!K442)</f>
        <v>0</v>
      </c>
      <c r="L109" s="139">
        <f>AVERAGE('PRD Volumes AD (2009-2012)'!L206,'PRD Volumes AD (2009-2012)'!L324,'PRD Volumes AD (2009-2012)'!L442)</f>
        <v>0</v>
      </c>
      <c r="M109" s="139">
        <f>AVERAGE('PRD Volumes AD (2009-2012)'!M206,'PRD Volumes AD (2009-2012)'!M324,'PRD Volumes AD (2009-2012)'!M442)</f>
        <v>0</v>
      </c>
      <c r="N109" s="139">
        <f>AVERAGE('PRD Volumes AD (2009-2012)'!N206,'PRD Volumes AD (2009-2012)'!N324,'PRD Volumes AD (2009-2012)'!N442)</f>
        <v>0</v>
      </c>
      <c r="O109" s="139">
        <f>AVERAGE('PRD Volumes AD (2009-2012)'!O206,'PRD Volumes AD (2009-2012)'!O324,'PRD Volumes AD (2009-2012)'!O442)</f>
        <v>0</v>
      </c>
    </row>
    <row r="110" spans="2:15">
      <c r="B110" s="23" t="s">
        <v>286</v>
      </c>
      <c r="F110" s="102">
        <f t="shared" si="14"/>
        <v>0</v>
      </c>
      <c r="G110" s="139">
        <f>AVERAGE('PRD Volumes AD (2009-2012)'!G207,'PRD Volumes AD (2009-2012)'!G325,'PRD Volumes AD (2009-2012)'!G443)</f>
        <v>0</v>
      </c>
      <c r="H110" s="139">
        <f>AVERAGE('PRD Volumes AD (2009-2012)'!H207,'PRD Volumes AD (2009-2012)'!H325,'PRD Volumes AD (2009-2012)'!H443)</f>
        <v>0</v>
      </c>
      <c r="I110" s="139">
        <f>AVERAGE('PRD Volumes AD (2009-2012)'!I207,'PRD Volumes AD (2009-2012)'!I325,'PRD Volumes AD (2009-2012)'!I443)</f>
        <v>0</v>
      </c>
      <c r="J110" s="139">
        <f>AVERAGE('PRD Volumes AD (2009-2012)'!J207,'PRD Volumes AD (2009-2012)'!J325,'PRD Volumes AD (2009-2012)'!J443)</f>
        <v>0</v>
      </c>
      <c r="K110" s="139">
        <f>AVERAGE('PRD Volumes AD (2009-2012)'!K207,'PRD Volumes AD (2009-2012)'!K325,'PRD Volumes AD (2009-2012)'!K443)</f>
        <v>0</v>
      </c>
      <c r="L110" s="139">
        <f>AVERAGE('PRD Volumes AD (2009-2012)'!L207,'PRD Volumes AD (2009-2012)'!L325,'PRD Volumes AD (2009-2012)'!L443)</f>
        <v>0</v>
      </c>
      <c r="M110" s="139">
        <f>AVERAGE('PRD Volumes AD (2009-2012)'!M207,'PRD Volumes AD (2009-2012)'!M325,'PRD Volumes AD (2009-2012)'!M443)</f>
        <v>0</v>
      </c>
      <c r="N110" s="139">
        <f>AVERAGE('PRD Volumes AD (2009-2012)'!N207,'PRD Volumes AD (2009-2012)'!N325,'PRD Volumes AD (2009-2012)'!N443)</f>
        <v>0</v>
      </c>
      <c r="O110" s="139">
        <f>AVERAGE('PRD Volumes AD (2009-2012)'!O207,'PRD Volumes AD (2009-2012)'!O325,'PRD Volumes AD (2009-2012)'!O443)</f>
        <v>0</v>
      </c>
    </row>
    <row r="111" spans="2:15">
      <c r="B111" s="61" t="s">
        <v>287</v>
      </c>
      <c r="F111" s="102">
        <f t="shared" si="14"/>
        <v>0</v>
      </c>
      <c r="G111" s="139">
        <f>AVERAGE('PRD Volumes AD (2009-2012)'!G208,'PRD Volumes AD (2009-2012)'!G326,'PRD Volumes AD (2009-2012)'!G444)</f>
        <v>0</v>
      </c>
      <c r="H111" s="139">
        <f>AVERAGE('PRD Volumes AD (2009-2012)'!H208,'PRD Volumes AD (2009-2012)'!H326,'PRD Volumes AD (2009-2012)'!H444)</f>
        <v>0</v>
      </c>
      <c r="I111" s="139">
        <f>AVERAGE('PRD Volumes AD (2009-2012)'!I208,'PRD Volumes AD (2009-2012)'!I326,'PRD Volumes AD (2009-2012)'!I444)</f>
        <v>0</v>
      </c>
      <c r="J111" s="139">
        <f>AVERAGE('PRD Volumes AD (2009-2012)'!J208,'PRD Volumes AD (2009-2012)'!J326,'PRD Volumes AD (2009-2012)'!J444)</f>
        <v>0</v>
      </c>
      <c r="K111" s="139">
        <f>AVERAGE('PRD Volumes AD (2009-2012)'!K208,'PRD Volumes AD (2009-2012)'!K326,'PRD Volumes AD (2009-2012)'!K444)</f>
        <v>0</v>
      </c>
      <c r="L111" s="139">
        <f>AVERAGE('PRD Volumes AD (2009-2012)'!L208,'PRD Volumes AD (2009-2012)'!L326,'PRD Volumes AD (2009-2012)'!L444)</f>
        <v>0</v>
      </c>
      <c r="M111" s="139">
        <f>AVERAGE('PRD Volumes AD (2009-2012)'!M208,'PRD Volumes AD (2009-2012)'!M326,'PRD Volumes AD (2009-2012)'!M444)</f>
        <v>0</v>
      </c>
      <c r="N111" s="139">
        <f>AVERAGE('PRD Volumes AD (2009-2012)'!N208,'PRD Volumes AD (2009-2012)'!N326,'PRD Volumes AD (2009-2012)'!N444)</f>
        <v>0</v>
      </c>
      <c r="O111" s="139">
        <f>AVERAGE('PRD Volumes AD (2009-2012)'!O208,'PRD Volumes AD (2009-2012)'!O326,'PRD Volumes AD (2009-2012)'!O444)</f>
        <v>0</v>
      </c>
    </row>
    <row r="112" spans="2:15">
      <c r="B112" s="61" t="s">
        <v>288</v>
      </c>
      <c r="F112" s="102">
        <f t="shared" si="14"/>
        <v>512</v>
      </c>
      <c r="G112" s="139">
        <f>AVERAGE('PRD Volumes AD (2009-2012)'!G209,'PRD Volumes AD (2009-2012)'!G327,'PRD Volumes AD (2009-2012)'!G445)</f>
        <v>86.333333333333329</v>
      </c>
      <c r="H112" s="139">
        <f>AVERAGE('PRD Volumes AD (2009-2012)'!H209,'PRD Volumes AD (2009-2012)'!H327,'PRD Volumes AD (2009-2012)'!H445)</f>
        <v>0</v>
      </c>
      <c r="I112" s="139">
        <f>AVERAGE('PRD Volumes AD (2009-2012)'!I209,'PRD Volumes AD (2009-2012)'!I327,'PRD Volumes AD (2009-2012)'!I445)</f>
        <v>0</v>
      </c>
      <c r="J112" s="139">
        <f>AVERAGE('PRD Volumes AD (2009-2012)'!J209,'PRD Volumes AD (2009-2012)'!J327,'PRD Volumes AD (2009-2012)'!J445)</f>
        <v>0</v>
      </c>
      <c r="K112" s="139">
        <f>AVERAGE('PRD Volumes AD (2009-2012)'!K209,'PRD Volumes AD (2009-2012)'!K327,'PRD Volumes AD (2009-2012)'!K445)</f>
        <v>425.66666666666669</v>
      </c>
      <c r="L112" s="139">
        <f>AVERAGE('PRD Volumes AD (2009-2012)'!L209,'PRD Volumes AD (2009-2012)'!L327,'PRD Volumes AD (2009-2012)'!L445)</f>
        <v>0</v>
      </c>
      <c r="M112" s="139">
        <f>AVERAGE('PRD Volumes AD (2009-2012)'!M209,'PRD Volumes AD (2009-2012)'!M327,'PRD Volumes AD (2009-2012)'!M445)</f>
        <v>0</v>
      </c>
      <c r="N112" s="139">
        <f>AVERAGE('PRD Volumes AD (2009-2012)'!N209,'PRD Volumes AD (2009-2012)'!N327,'PRD Volumes AD (2009-2012)'!N445)</f>
        <v>0</v>
      </c>
      <c r="O112" s="139">
        <f>AVERAGE('PRD Volumes AD (2009-2012)'!O209,'PRD Volumes AD (2009-2012)'!O327,'PRD Volumes AD (2009-2012)'!O445)</f>
        <v>0</v>
      </c>
    </row>
    <row r="113" spans="2:15">
      <c r="B113" s="23"/>
      <c r="F113" s="109"/>
    </row>
    <row r="114" spans="2:15">
      <c r="B114" s="108" t="s">
        <v>290</v>
      </c>
      <c r="F114" s="109"/>
    </row>
    <row r="115" spans="2:15">
      <c r="B115" s="23" t="s">
        <v>291</v>
      </c>
      <c r="F115" s="102">
        <f t="shared" ref="F115" si="15">SUM(G115:O115)</f>
        <v>0</v>
      </c>
      <c r="G115" s="29"/>
      <c r="H115" s="139">
        <f>AVERAGE('PRD Volumes AD (2009-2012)'!H212,'PRD Volumes AD (2009-2012)'!H330,'PRD Volumes AD (2009-2012)'!H448)</f>
        <v>0</v>
      </c>
      <c r="I115" s="29"/>
      <c r="J115" s="139">
        <f>AVERAGE('PRD Volumes AD (2009-2012)'!J212,'PRD Volumes AD (2009-2012)'!J330,'PRD Volumes AD (2009-2012)'!J448)</f>
        <v>0</v>
      </c>
      <c r="K115" s="29"/>
      <c r="L115" s="29"/>
      <c r="M115" s="29"/>
      <c r="N115" s="29"/>
      <c r="O115" s="139">
        <f>AVERAGE('PRD Volumes AD (2009-2012)'!O212,'PRD Volumes AD (2009-2012)'!O330,'PRD Volumes AD (2009-2012)'!O448)</f>
        <v>0</v>
      </c>
    </row>
    <row r="116" spans="2:15">
      <c r="B116" s="3"/>
      <c r="F116" s="109"/>
    </row>
    <row r="117" spans="2:15">
      <c r="B117" s="3"/>
      <c r="F117" s="109"/>
    </row>
    <row r="118" spans="2:15">
      <c r="B118" s="3" t="s">
        <v>309</v>
      </c>
      <c r="F118" s="109"/>
    </row>
    <row r="119" spans="2:15">
      <c r="B119" s="3"/>
      <c r="F119" s="109"/>
    </row>
    <row r="120" spans="2:15">
      <c r="B120" s="108" t="s">
        <v>284</v>
      </c>
      <c r="F120" s="109"/>
    </row>
    <row r="121" spans="2:15">
      <c r="B121" s="61" t="s">
        <v>292</v>
      </c>
      <c r="F121" s="102">
        <f t="shared" ref="F121:F130" si="16">SUM(G121:O121)</f>
        <v>99.46367339171988</v>
      </c>
      <c r="G121" s="139">
        <f>AVERAGE('PRD Volumes AD (2009-2012)'!G218,'PRD Volumes AD (2009-2012)'!G336,'PRD Volumes AD (2009-2012)'!G454)</f>
        <v>3.6666666666666665</v>
      </c>
      <c r="H121" s="139">
        <f>AVERAGE('PRD Volumes AD (2009-2012)'!H218,'PRD Volumes AD (2009-2012)'!H336,'PRD Volumes AD (2009-2012)'!H454)</f>
        <v>1.6666666666666667</v>
      </c>
      <c r="I121" s="139">
        <f>AVERAGE('PRD Volumes AD (2009-2012)'!I218,'PRD Volumes AD (2009-2012)'!I336,'PRD Volumes AD (2009-2012)'!I454)</f>
        <v>4.3020963811571811</v>
      </c>
      <c r="J121" s="139">
        <f>AVERAGE('PRD Volumes AD (2009-2012)'!J218,'PRD Volumes AD (2009-2012)'!J336,'PRD Volumes AD (2009-2012)'!J454)</f>
        <v>44.138016722990187</v>
      </c>
      <c r="K121" s="139">
        <f>AVERAGE('PRD Volumes AD (2009-2012)'!K218,'PRD Volumes AD (2009-2012)'!K336,'PRD Volumes AD (2009-2012)'!K454)</f>
        <v>0.97660032275416897</v>
      </c>
      <c r="L121" s="139">
        <f>AVERAGE('PRD Volumes AD (2009-2012)'!L218,'PRD Volumes AD (2009-2012)'!L336,'PRD Volumes AD (2009-2012)'!L454)</f>
        <v>0.66666666666666663</v>
      </c>
      <c r="M121" s="139">
        <f>AVERAGE('PRD Volumes AD (2009-2012)'!M218,'PRD Volumes AD (2009-2012)'!M336,'PRD Volumes AD (2009-2012)'!M454)</f>
        <v>43.380293298151678</v>
      </c>
      <c r="N121" s="139">
        <f>AVERAGE('PRD Volumes AD (2009-2012)'!N218,'PRD Volumes AD (2009-2012)'!N336,'PRD Volumes AD (2009-2012)'!N454)</f>
        <v>0.66666666666666663</v>
      </c>
      <c r="O121" s="139">
        <f>AVERAGE('PRD Volumes AD (2009-2012)'!O218,'PRD Volumes AD (2009-2012)'!O336,'PRD Volumes AD (2009-2012)'!O454)</f>
        <v>0</v>
      </c>
    </row>
    <row r="122" spans="2:15">
      <c r="B122" s="61" t="s">
        <v>293</v>
      </c>
      <c r="F122" s="102">
        <f t="shared" si="16"/>
        <v>184.02251803922601</v>
      </c>
      <c r="G122" s="139">
        <f>AVERAGE('PRD Volumes AD (2009-2012)'!G219,'PRD Volumes AD (2009-2012)'!G337,'PRD Volumes AD (2009-2012)'!G455)</f>
        <v>1.6666666666666667</v>
      </c>
      <c r="H122" s="139">
        <f>AVERAGE('PRD Volumes AD (2009-2012)'!H219,'PRD Volumes AD (2009-2012)'!H337,'PRD Volumes AD (2009-2012)'!H455)</f>
        <v>2</v>
      </c>
      <c r="I122" s="139">
        <f>AVERAGE('PRD Volumes AD (2009-2012)'!I219,'PRD Volumes AD (2009-2012)'!I337,'PRD Volumes AD (2009-2012)'!I455)</f>
        <v>6.6276394328919395</v>
      </c>
      <c r="J122" s="139">
        <f>AVERAGE('PRD Volumes AD (2009-2012)'!J219,'PRD Volumes AD (2009-2012)'!J337,'PRD Volumes AD (2009-2012)'!J455)</f>
        <v>60.598659754342741</v>
      </c>
      <c r="K122" s="139">
        <f>AVERAGE('PRD Volumes AD (2009-2012)'!K219,'PRD Volumes AD (2009-2012)'!K337,'PRD Volumes AD (2009-2012)'!K455)</f>
        <v>74</v>
      </c>
      <c r="L122" s="139">
        <f>AVERAGE('PRD Volumes AD (2009-2012)'!L219,'PRD Volumes AD (2009-2012)'!L337,'PRD Volumes AD (2009-2012)'!L455)</f>
        <v>2</v>
      </c>
      <c r="M122" s="139">
        <f>AVERAGE('PRD Volumes AD (2009-2012)'!M219,'PRD Volumes AD (2009-2012)'!M337,'PRD Volumes AD (2009-2012)'!M455)</f>
        <v>36.462885518658041</v>
      </c>
      <c r="N122" s="139">
        <f>AVERAGE('PRD Volumes AD (2009-2012)'!N219,'PRD Volumes AD (2009-2012)'!N337,'PRD Volumes AD (2009-2012)'!N455)</f>
        <v>0.66666666666666663</v>
      </c>
      <c r="O122" s="139">
        <f>AVERAGE('PRD Volumes AD (2009-2012)'!O219,'PRD Volumes AD (2009-2012)'!O337,'PRD Volumes AD (2009-2012)'!O455)</f>
        <v>0</v>
      </c>
    </row>
    <row r="123" spans="2:15">
      <c r="B123" s="61" t="s">
        <v>294</v>
      </c>
      <c r="F123" s="102">
        <f t="shared" si="16"/>
        <v>70.189223475092504</v>
      </c>
      <c r="G123" s="139">
        <f>AVERAGE('PRD Volumes AD (2009-2012)'!G220,'PRD Volumes AD (2009-2012)'!G338,'PRD Volumes AD (2009-2012)'!G456)</f>
        <v>0.66666666666666663</v>
      </c>
      <c r="H123" s="139">
        <f>AVERAGE('PRD Volumes AD (2009-2012)'!H220,'PRD Volumes AD (2009-2012)'!H338,'PRD Volumes AD (2009-2012)'!H456)</f>
        <v>1.3333333333333333</v>
      </c>
      <c r="I123" s="139">
        <f>AVERAGE('PRD Volumes AD (2009-2012)'!I220,'PRD Volumes AD (2009-2012)'!I338,'PRD Volumes AD (2009-2012)'!I456)</f>
        <v>1.9843554813666151</v>
      </c>
      <c r="J123" s="139">
        <f>AVERAGE('PRD Volumes AD (2009-2012)'!J220,'PRD Volumes AD (2009-2012)'!J338,'PRD Volumes AD (2009-2012)'!J456)</f>
        <v>26.961346216325563</v>
      </c>
      <c r="K123" s="139">
        <f>AVERAGE('PRD Volumes AD (2009-2012)'!K220,'PRD Volumes AD (2009-2012)'!K338,'PRD Volumes AD (2009-2012)'!K456)</f>
        <v>21.666666666666668</v>
      </c>
      <c r="L123" s="139">
        <f>AVERAGE('PRD Volumes AD (2009-2012)'!L220,'PRD Volumes AD (2009-2012)'!L338,'PRD Volumes AD (2009-2012)'!L456)</f>
        <v>0</v>
      </c>
      <c r="M123" s="139">
        <f>AVERAGE('PRD Volumes AD (2009-2012)'!M220,'PRD Volumes AD (2009-2012)'!M338,'PRD Volumes AD (2009-2012)'!M456)</f>
        <v>16.576855110733661</v>
      </c>
      <c r="N123" s="139">
        <f>AVERAGE('PRD Volumes AD (2009-2012)'!N220,'PRD Volumes AD (2009-2012)'!N338,'PRD Volumes AD (2009-2012)'!N456)</f>
        <v>1</v>
      </c>
      <c r="O123" s="139">
        <f>AVERAGE('PRD Volumes AD (2009-2012)'!O220,'PRD Volumes AD (2009-2012)'!O338,'PRD Volumes AD (2009-2012)'!O456)</f>
        <v>0</v>
      </c>
    </row>
    <row r="124" spans="2:15">
      <c r="B124" s="61" t="s">
        <v>295</v>
      </c>
      <c r="F124" s="102">
        <f t="shared" si="16"/>
        <v>22.630938239140189</v>
      </c>
      <c r="G124" s="139">
        <f>AVERAGE('PRD Volumes AD (2009-2012)'!G221,'PRD Volumes AD (2009-2012)'!G339,'PRD Volumes AD (2009-2012)'!G457)</f>
        <v>0</v>
      </c>
      <c r="H124" s="139">
        <f>AVERAGE('PRD Volumes AD (2009-2012)'!H221,'PRD Volumes AD (2009-2012)'!H339,'PRD Volumes AD (2009-2012)'!H457)</f>
        <v>0</v>
      </c>
      <c r="I124" s="139">
        <f>AVERAGE('PRD Volumes AD (2009-2012)'!I221,'PRD Volumes AD (2009-2012)'!I339,'PRD Volumes AD (2009-2012)'!I457)</f>
        <v>1</v>
      </c>
      <c r="J124" s="139">
        <f>AVERAGE('PRD Volumes AD (2009-2012)'!J221,'PRD Volumes AD (2009-2012)'!J339,'PRD Volumes AD (2009-2012)'!J457)</f>
        <v>12.964271572473523</v>
      </c>
      <c r="K124" s="139">
        <f>AVERAGE('PRD Volumes AD (2009-2012)'!K221,'PRD Volumes AD (2009-2012)'!K339,'PRD Volumes AD (2009-2012)'!K457)</f>
        <v>7.333333333333333</v>
      </c>
      <c r="L124" s="139">
        <f>AVERAGE('PRD Volumes AD (2009-2012)'!L221,'PRD Volumes AD (2009-2012)'!L339,'PRD Volumes AD (2009-2012)'!L457)</f>
        <v>0</v>
      </c>
      <c r="M124" s="139">
        <f>AVERAGE('PRD Volumes AD (2009-2012)'!M221,'PRD Volumes AD (2009-2012)'!M339,'PRD Volumes AD (2009-2012)'!M457)</f>
        <v>1</v>
      </c>
      <c r="N124" s="139">
        <f>AVERAGE('PRD Volumes AD (2009-2012)'!N221,'PRD Volumes AD (2009-2012)'!N339,'PRD Volumes AD (2009-2012)'!N457)</f>
        <v>0.33333333333333331</v>
      </c>
      <c r="O124" s="139">
        <f>AVERAGE('PRD Volumes AD (2009-2012)'!O221,'PRD Volumes AD (2009-2012)'!O339,'PRD Volumes AD (2009-2012)'!O457)</f>
        <v>0</v>
      </c>
    </row>
    <row r="125" spans="2:15">
      <c r="B125" s="26" t="s">
        <v>296</v>
      </c>
      <c r="F125" s="102">
        <f t="shared" si="16"/>
        <v>14.179744796149514</v>
      </c>
      <c r="G125" s="139">
        <f>AVERAGE('PRD Volumes AD (2009-2012)'!G222,'PRD Volumes AD (2009-2012)'!G340,'PRD Volumes AD (2009-2012)'!G458)</f>
        <v>0</v>
      </c>
      <c r="H125" s="139">
        <f>AVERAGE('PRD Volumes AD (2009-2012)'!H222,'PRD Volumes AD (2009-2012)'!H340,'PRD Volumes AD (2009-2012)'!H458)</f>
        <v>0.66666666666666663</v>
      </c>
      <c r="I125" s="139">
        <f>AVERAGE('PRD Volumes AD (2009-2012)'!I222,'PRD Volumes AD (2009-2012)'!I340,'PRD Volumes AD (2009-2012)'!I458)</f>
        <v>0</v>
      </c>
      <c r="J125" s="139">
        <f>AVERAGE('PRD Volumes AD (2009-2012)'!J222,'PRD Volumes AD (2009-2012)'!J340,'PRD Volumes AD (2009-2012)'!J458)</f>
        <v>6.013114880028958</v>
      </c>
      <c r="K125" s="139">
        <f>AVERAGE('PRD Volumes AD (2009-2012)'!K222,'PRD Volumes AD (2009-2012)'!K340,'PRD Volumes AD (2009-2012)'!K458)</f>
        <v>7</v>
      </c>
      <c r="L125" s="139">
        <f>AVERAGE('PRD Volumes AD (2009-2012)'!L222,'PRD Volumes AD (2009-2012)'!L340,'PRD Volumes AD (2009-2012)'!L458)</f>
        <v>0</v>
      </c>
      <c r="M125" s="139">
        <f>AVERAGE('PRD Volumes AD (2009-2012)'!M222,'PRD Volumes AD (2009-2012)'!M340,'PRD Volumes AD (2009-2012)'!M458)</f>
        <v>0.16662991612055356</v>
      </c>
      <c r="N125" s="139">
        <f>AVERAGE('PRD Volumes AD (2009-2012)'!N222,'PRD Volumes AD (2009-2012)'!N340,'PRD Volumes AD (2009-2012)'!N458)</f>
        <v>0.33333333333333331</v>
      </c>
      <c r="O125" s="139">
        <f>AVERAGE('PRD Volumes AD (2009-2012)'!O222,'PRD Volumes AD (2009-2012)'!O340,'PRD Volumes AD (2009-2012)'!O458)</f>
        <v>0</v>
      </c>
    </row>
    <row r="126" spans="2:15">
      <c r="B126" s="61" t="s">
        <v>297</v>
      </c>
      <c r="F126" s="102">
        <f t="shared" si="16"/>
        <v>2.6666666666666665</v>
      </c>
      <c r="G126" s="139">
        <f>AVERAGE('PRD Volumes AD (2009-2012)'!G223,'PRD Volumes AD (2009-2012)'!G341,'PRD Volumes AD (2009-2012)'!G459)</f>
        <v>0</v>
      </c>
      <c r="H126" s="139">
        <f>AVERAGE('PRD Volumes AD (2009-2012)'!H223,'PRD Volumes AD (2009-2012)'!H341,'PRD Volumes AD (2009-2012)'!H459)</f>
        <v>0</v>
      </c>
      <c r="I126" s="139">
        <f>AVERAGE('PRD Volumes AD (2009-2012)'!I223,'PRD Volumes AD (2009-2012)'!I341,'PRD Volumes AD (2009-2012)'!I459)</f>
        <v>0</v>
      </c>
      <c r="J126" s="139">
        <f>AVERAGE('PRD Volumes AD (2009-2012)'!J223,'PRD Volumes AD (2009-2012)'!J341,'PRD Volumes AD (2009-2012)'!J459)</f>
        <v>0.66666666666666663</v>
      </c>
      <c r="K126" s="139">
        <f>AVERAGE('PRD Volumes AD (2009-2012)'!K223,'PRD Volumes AD (2009-2012)'!K341,'PRD Volumes AD (2009-2012)'!K459)</f>
        <v>0.66666666666666663</v>
      </c>
      <c r="L126" s="139">
        <f>AVERAGE('PRD Volumes AD (2009-2012)'!L223,'PRD Volumes AD (2009-2012)'!L341,'PRD Volumes AD (2009-2012)'!L459)</f>
        <v>0</v>
      </c>
      <c r="M126" s="139">
        <f>AVERAGE('PRD Volumes AD (2009-2012)'!M223,'PRD Volumes AD (2009-2012)'!M341,'PRD Volumes AD (2009-2012)'!M459)</f>
        <v>0</v>
      </c>
      <c r="N126" s="139">
        <f>AVERAGE('PRD Volumes AD (2009-2012)'!N223,'PRD Volumes AD (2009-2012)'!N341,'PRD Volumes AD (2009-2012)'!N459)</f>
        <v>1.3333333333333333</v>
      </c>
      <c r="O126" s="139">
        <f>AVERAGE('PRD Volumes AD (2009-2012)'!O223,'PRD Volumes AD (2009-2012)'!O341,'PRD Volumes AD (2009-2012)'!O459)</f>
        <v>0</v>
      </c>
    </row>
    <row r="127" spans="2:15">
      <c r="B127" s="61" t="s">
        <v>298</v>
      </c>
      <c r="F127" s="102">
        <f t="shared" si="16"/>
        <v>0</v>
      </c>
      <c r="G127" s="139">
        <f>AVERAGE('PRD Volumes AD (2009-2012)'!G224,'PRD Volumes AD (2009-2012)'!G342,'PRD Volumes AD (2009-2012)'!G460)</f>
        <v>0</v>
      </c>
      <c r="H127" s="139">
        <f>AVERAGE('PRD Volumes AD (2009-2012)'!H224,'PRD Volumes AD (2009-2012)'!H342,'PRD Volumes AD (2009-2012)'!H460)</f>
        <v>0</v>
      </c>
      <c r="I127" s="139">
        <f>AVERAGE('PRD Volumes AD (2009-2012)'!I224,'PRD Volumes AD (2009-2012)'!I342,'PRD Volumes AD (2009-2012)'!I460)</f>
        <v>0</v>
      </c>
      <c r="J127" s="139">
        <f>AVERAGE('PRD Volumes AD (2009-2012)'!J224,'PRD Volumes AD (2009-2012)'!J342,'PRD Volumes AD (2009-2012)'!J460)</f>
        <v>0</v>
      </c>
      <c r="K127" s="139">
        <f>AVERAGE('PRD Volumes AD (2009-2012)'!K224,'PRD Volumes AD (2009-2012)'!K342,'PRD Volumes AD (2009-2012)'!K460)</f>
        <v>0</v>
      </c>
      <c r="L127" s="139">
        <f>AVERAGE('PRD Volumes AD (2009-2012)'!L224,'PRD Volumes AD (2009-2012)'!L342,'PRD Volumes AD (2009-2012)'!L460)</f>
        <v>0</v>
      </c>
      <c r="M127" s="139">
        <f>AVERAGE('PRD Volumes AD (2009-2012)'!M224,'PRD Volumes AD (2009-2012)'!M342,'PRD Volumes AD (2009-2012)'!M460)</f>
        <v>0</v>
      </c>
      <c r="N127" s="139">
        <f>AVERAGE('PRD Volumes AD (2009-2012)'!N224,'PRD Volumes AD (2009-2012)'!N342,'PRD Volumes AD (2009-2012)'!N460)</f>
        <v>0</v>
      </c>
      <c r="O127" s="139">
        <f>AVERAGE('PRD Volumes AD (2009-2012)'!O224,'PRD Volumes AD (2009-2012)'!O342,'PRD Volumes AD (2009-2012)'!O460)</f>
        <v>0</v>
      </c>
    </row>
    <row r="128" spans="2:15">
      <c r="B128" s="61" t="s">
        <v>299</v>
      </c>
      <c r="F128" s="102">
        <f t="shared" si="16"/>
        <v>1.3333333333333333</v>
      </c>
      <c r="G128" s="139">
        <f>AVERAGE('PRD Volumes AD (2009-2012)'!G225,'PRD Volumes AD (2009-2012)'!G343,'PRD Volumes AD (2009-2012)'!G461)</f>
        <v>0</v>
      </c>
      <c r="H128" s="139">
        <f>AVERAGE('PRD Volumes AD (2009-2012)'!H225,'PRD Volumes AD (2009-2012)'!H343,'PRD Volumes AD (2009-2012)'!H461)</f>
        <v>0</v>
      </c>
      <c r="I128" s="139">
        <f>AVERAGE('PRD Volumes AD (2009-2012)'!I225,'PRD Volumes AD (2009-2012)'!I343,'PRD Volumes AD (2009-2012)'!I461)</f>
        <v>0</v>
      </c>
      <c r="J128" s="139">
        <f>AVERAGE('PRD Volumes AD (2009-2012)'!J225,'PRD Volumes AD (2009-2012)'!J343,'PRD Volumes AD (2009-2012)'!J461)</f>
        <v>1.3333333333333333</v>
      </c>
      <c r="K128" s="139">
        <f>AVERAGE('PRD Volumes AD (2009-2012)'!K225,'PRD Volumes AD (2009-2012)'!K343,'PRD Volumes AD (2009-2012)'!K461)</f>
        <v>0</v>
      </c>
      <c r="L128" s="139">
        <f>AVERAGE('PRD Volumes AD (2009-2012)'!L225,'PRD Volumes AD (2009-2012)'!L343,'PRD Volumes AD (2009-2012)'!L461)</f>
        <v>0</v>
      </c>
      <c r="M128" s="139">
        <f>AVERAGE('PRD Volumes AD (2009-2012)'!M225,'PRD Volumes AD (2009-2012)'!M343,'PRD Volumes AD (2009-2012)'!M461)</f>
        <v>0</v>
      </c>
      <c r="N128" s="139">
        <f>AVERAGE('PRD Volumes AD (2009-2012)'!N225,'PRD Volumes AD (2009-2012)'!N343,'PRD Volumes AD (2009-2012)'!N461)</f>
        <v>0</v>
      </c>
      <c r="O128" s="139">
        <f>AVERAGE('PRD Volumes AD (2009-2012)'!O225,'PRD Volumes AD (2009-2012)'!O343,'PRD Volumes AD (2009-2012)'!O461)</f>
        <v>0</v>
      </c>
    </row>
    <row r="129" spans="2:15">
      <c r="B129" s="23" t="s">
        <v>300</v>
      </c>
      <c r="F129" s="102">
        <f t="shared" si="16"/>
        <v>0</v>
      </c>
      <c r="G129" s="139">
        <f>AVERAGE('PRD Volumes AD (2009-2012)'!G226,'PRD Volumes AD (2009-2012)'!G344,'PRD Volumes AD (2009-2012)'!G462)</f>
        <v>0</v>
      </c>
      <c r="H129" s="139">
        <f>AVERAGE('PRD Volumes AD (2009-2012)'!H226,'PRD Volumes AD (2009-2012)'!H344,'PRD Volumes AD (2009-2012)'!H462)</f>
        <v>0</v>
      </c>
      <c r="I129" s="139">
        <f>AVERAGE('PRD Volumes AD (2009-2012)'!I226,'PRD Volumes AD (2009-2012)'!I344,'PRD Volumes AD (2009-2012)'!I462)</f>
        <v>0</v>
      </c>
      <c r="J129" s="139">
        <f>AVERAGE('PRD Volumes AD (2009-2012)'!J226,'PRD Volumes AD (2009-2012)'!J344,'PRD Volumes AD (2009-2012)'!J462)</f>
        <v>0</v>
      </c>
      <c r="K129" s="139">
        <f>AVERAGE('PRD Volumes AD (2009-2012)'!K226,'PRD Volumes AD (2009-2012)'!K344,'PRD Volumes AD (2009-2012)'!K462)</f>
        <v>0</v>
      </c>
      <c r="L129" s="139">
        <f>AVERAGE('PRD Volumes AD (2009-2012)'!L226,'PRD Volumes AD (2009-2012)'!L344,'PRD Volumes AD (2009-2012)'!L462)</f>
        <v>0</v>
      </c>
      <c r="M129" s="139">
        <f>AVERAGE('PRD Volumes AD (2009-2012)'!M226,'PRD Volumes AD (2009-2012)'!M344,'PRD Volumes AD (2009-2012)'!M462)</f>
        <v>0</v>
      </c>
      <c r="N129" s="139">
        <f>AVERAGE('PRD Volumes AD (2009-2012)'!N226,'PRD Volumes AD (2009-2012)'!N344,'PRD Volumes AD (2009-2012)'!N462)</f>
        <v>0</v>
      </c>
      <c r="O129" s="139">
        <f>AVERAGE('PRD Volumes AD (2009-2012)'!O226,'PRD Volumes AD (2009-2012)'!O344,'PRD Volumes AD (2009-2012)'!O462)</f>
        <v>0</v>
      </c>
    </row>
    <row r="130" spans="2:15">
      <c r="B130" s="23" t="s">
        <v>301</v>
      </c>
      <c r="F130" s="102">
        <f t="shared" si="16"/>
        <v>0.33333333333333331</v>
      </c>
      <c r="G130" s="139">
        <f>AVERAGE('PRD Volumes AD (2009-2012)'!G227,'PRD Volumes AD (2009-2012)'!G345,'PRD Volumes AD (2009-2012)'!G463)</f>
        <v>0</v>
      </c>
      <c r="H130" s="139">
        <f>AVERAGE('PRD Volumes AD (2009-2012)'!H227,'PRD Volumes AD (2009-2012)'!H345,'PRD Volumes AD (2009-2012)'!H463)</f>
        <v>0</v>
      </c>
      <c r="I130" s="139">
        <f>AVERAGE('PRD Volumes AD (2009-2012)'!I227,'PRD Volumes AD (2009-2012)'!I345,'PRD Volumes AD (2009-2012)'!I463)</f>
        <v>0</v>
      </c>
      <c r="J130" s="139">
        <f>AVERAGE('PRD Volumes AD (2009-2012)'!J227,'PRD Volumes AD (2009-2012)'!J345,'PRD Volumes AD (2009-2012)'!J463)</f>
        <v>0.33333333333333331</v>
      </c>
      <c r="K130" s="139">
        <f>AVERAGE('PRD Volumes AD (2009-2012)'!K227,'PRD Volumes AD (2009-2012)'!K345,'PRD Volumes AD (2009-2012)'!K463)</f>
        <v>0</v>
      </c>
      <c r="L130" s="139">
        <f>AVERAGE('PRD Volumes AD (2009-2012)'!L227,'PRD Volumes AD (2009-2012)'!L345,'PRD Volumes AD (2009-2012)'!L463)</f>
        <v>0</v>
      </c>
      <c r="M130" s="139">
        <f>AVERAGE('PRD Volumes AD (2009-2012)'!M227,'PRD Volumes AD (2009-2012)'!M345,'PRD Volumes AD (2009-2012)'!M463)</f>
        <v>0</v>
      </c>
      <c r="N130" s="139">
        <f>AVERAGE('PRD Volumes AD (2009-2012)'!N227,'PRD Volumes AD (2009-2012)'!N345,'PRD Volumes AD (2009-2012)'!N463)</f>
        <v>0</v>
      </c>
      <c r="O130" s="139">
        <f>AVERAGE('PRD Volumes AD (2009-2012)'!O227,'PRD Volumes AD (2009-2012)'!O345,'PRD Volumes AD (2009-2012)'!O463)</f>
        <v>0</v>
      </c>
    </row>
    <row r="131" spans="2:15">
      <c r="B131" s="23"/>
      <c r="F131" s="109"/>
    </row>
    <row r="132" spans="2:15">
      <c r="B132" s="108" t="s">
        <v>289</v>
      </c>
      <c r="F132" s="109"/>
    </row>
    <row r="133" spans="2:15">
      <c r="B133" s="61" t="s">
        <v>292</v>
      </c>
      <c r="F133" s="102">
        <f t="shared" ref="F133:F141" si="17">SUM(G133:O133)</f>
        <v>9.1427857644176243</v>
      </c>
      <c r="G133" s="139">
        <f>AVERAGE('PRD Volumes AD (2009-2012)'!G230,'PRD Volumes AD (2009-2012)'!G348,'PRD Volumes AD (2009-2012)'!G466)</f>
        <v>0</v>
      </c>
      <c r="H133" s="139">
        <f>AVERAGE('PRD Volumes AD (2009-2012)'!H230,'PRD Volumes AD (2009-2012)'!H348,'PRD Volumes AD (2009-2012)'!H466)</f>
        <v>0</v>
      </c>
      <c r="I133" s="139">
        <f>AVERAGE('PRD Volumes AD (2009-2012)'!I230,'PRD Volumes AD (2009-2012)'!I348,'PRD Volumes AD (2009-2012)'!I466)</f>
        <v>0</v>
      </c>
      <c r="J133" s="139">
        <f>AVERAGE('PRD Volumes AD (2009-2012)'!J230,'PRD Volumes AD (2009-2012)'!J348,'PRD Volumes AD (2009-2012)'!J466)</f>
        <v>2.3333333333333335</v>
      </c>
      <c r="K133" s="139">
        <f>AVERAGE('PRD Volumes AD (2009-2012)'!K230,'PRD Volumes AD (2009-2012)'!K348,'PRD Volumes AD (2009-2012)'!K466)</f>
        <v>0.33333333333333331</v>
      </c>
      <c r="L133" s="139">
        <f>AVERAGE('PRD Volumes AD (2009-2012)'!L230,'PRD Volumes AD (2009-2012)'!L348,'PRD Volumes AD (2009-2012)'!L466)</f>
        <v>0</v>
      </c>
      <c r="M133" s="139">
        <f>AVERAGE('PRD Volumes AD (2009-2012)'!M230,'PRD Volumes AD (2009-2012)'!M348,'PRD Volumes AD (2009-2012)'!M466)</f>
        <v>6.4761190977509564</v>
      </c>
      <c r="N133" s="139">
        <f>AVERAGE('PRD Volumes AD (2009-2012)'!N230,'PRD Volumes AD (2009-2012)'!N348,'PRD Volumes AD (2009-2012)'!N466)</f>
        <v>0</v>
      </c>
      <c r="O133" s="139">
        <f>AVERAGE('PRD Volumes AD (2009-2012)'!O230,'PRD Volumes AD (2009-2012)'!O348,'PRD Volumes AD (2009-2012)'!O466)</f>
        <v>0</v>
      </c>
    </row>
    <row r="134" spans="2:15">
      <c r="B134" s="61" t="s">
        <v>293</v>
      </c>
      <c r="F134" s="102">
        <f t="shared" si="17"/>
        <v>13.613099777384546</v>
      </c>
      <c r="G134" s="139">
        <f>AVERAGE('PRD Volumes AD (2009-2012)'!G231,'PRD Volumes AD (2009-2012)'!G349,'PRD Volumes AD (2009-2012)'!G467)</f>
        <v>0.33333333333333331</v>
      </c>
      <c r="H134" s="139">
        <f>AVERAGE('PRD Volumes AD (2009-2012)'!H231,'PRD Volumes AD (2009-2012)'!H349,'PRD Volumes AD (2009-2012)'!H467)</f>
        <v>0.33333333333333331</v>
      </c>
      <c r="I134" s="139">
        <f>AVERAGE('PRD Volumes AD (2009-2012)'!I231,'PRD Volumes AD (2009-2012)'!I349,'PRD Volumes AD (2009-2012)'!I467)</f>
        <v>0.33333333333333331</v>
      </c>
      <c r="J134" s="139">
        <f>AVERAGE('PRD Volumes AD (2009-2012)'!J231,'PRD Volumes AD (2009-2012)'!J349,'PRD Volumes AD (2009-2012)'!J467)</f>
        <v>8.6666666666666661</v>
      </c>
      <c r="K134" s="139">
        <f>AVERAGE('PRD Volumes AD (2009-2012)'!K231,'PRD Volumes AD (2009-2012)'!K349,'PRD Volumes AD (2009-2012)'!K467)</f>
        <v>0</v>
      </c>
      <c r="L134" s="139">
        <f>AVERAGE('PRD Volumes AD (2009-2012)'!L231,'PRD Volumes AD (2009-2012)'!L349,'PRD Volumes AD (2009-2012)'!L467)</f>
        <v>0</v>
      </c>
      <c r="M134" s="139">
        <f>AVERAGE('PRD Volumes AD (2009-2012)'!M231,'PRD Volumes AD (2009-2012)'!M349,'PRD Volumes AD (2009-2012)'!M467)</f>
        <v>3.9464331107178801</v>
      </c>
      <c r="N134" s="139">
        <f>AVERAGE('PRD Volumes AD (2009-2012)'!N231,'PRD Volumes AD (2009-2012)'!N349,'PRD Volumes AD (2009-2012)'!N467)</f>
        <v>0</v>
      </c>
      <c r="O134" s="139">
        <f>AVERAGE('PRD Volumes AD (2009-2012)'!O231,'PRD Volumes AD (2009-2012)'!O349,'PRD Volumes AD (2009-2012)'!O467)</f>
        <v>0</v>
      </c>
    </row>
    <row r="135" spans="2:15">
      <c r="B135" s="61" t="s">
        <v>294</v>
      </c>
      <c r="F135" s="102">
        <f t="shared" si="17"/>
        <v>14.597791902413366</v>
      </c>
      <c r="G135" s="139">
        <f>AVERAGE('PRD Volumes AD (2009-2012)'!G232,'PRD Volumes AD (2009-2012)'!G350,'PRD Volumes AD (2009-2012)'!G468)</f>
        <v>0</v>
      </c>
      <c r="H135" s="139">
        <f>AVERAGE('PRD Volumes AD (2009-2012)'!H232,'PRD Volumes AD (2009-2012)'!H350,'PRD Volumes AD (2009-2012)'!H468)</f>
        <v>0</v>
      </c>
      <c r="I135" s="139">
        <f>AVERAGE('PRD Volumes AD (2009-2012)'!I232,'PRD Volumes AD (2009-2012)'!I350,'PRD Volumes AD (2009-2012)'!I468)</f>
        <v>0.33333333333333331</v>
      </c>
      <c r="J135" s="139">
        <f>AVERAGE('PRD Volumes AD (2009-2012)'!J232,'PRD Volumes AD (2009-2012)'!J350,'PRD Volumes AD (2009-2012)'!J468)</f>
        <v>6.333333333333333</v>
      </c>
      <c r="K135" s="139">
        <f>AVERAGE('PRD Volumes AD (2009-2012)'!K232,'PRD Volumes AD (2009-2012)'!K350,'PRD Volumes AD (2009-2012)'!K468)</f>
        <v>1.3333333333333333</v>
      </c>
      <c r="L135" s="139">
        <f>AVERAGE('PRD Volumes AD (2009-2012)'!L232,'PRD Volumes AD (2009-2012)'!L350,'PRD Volumes AD (2009-2012)'!L468)</f>
        <v>0</v>
      </c>
      <c r="M135" s="139">
        <f>AVERAGE('PRD Volumes AD (2009-2012)'!M232,'PRD Volumes AD (2009-2012)'!M350,'PRD Volumes AD (2009-2012)'!M468)</f>
        <v>6.5977919024133662</v>
      </c>
      <c r="N135" s="139">
        <f>AVERAGE('PRD Volumes AD (2009-2012)'!N232,'PRD Volumes AD (2009-2012)'!N350,'PRD Volumes AD (2009-2012)'!N468)</f>
        <v>0</v>
      </c>
      <c r="O135" s="139">
        <f>AVERAGE('PRD Volumes AD (2009-2012)'!O232,'PRD Volumes AD (2009-2012)'!O350,'PRD Volumes AD (2009-2012)'!O468)</f>
        <v>0</v>
      </c>
    </row>
    <row r="136" spans="2:15">
      <c r="B136" s="61" t="s">
        <v>295</v>
      </c>
      <c r="F136" s="102">
        <f t="shared" si="17"/>
        <v>20.541038448257076</v>
      </c>
      <c r="G136" s="139">
        <f>AVERAGE('PRD Volumes AD (2009-2012)'!G233,'PRD Volumes AD (2009-2012)'!G351,'PRD Volumes AD (2009-2012)'!G469)</f>
        <v>0</v>
      </c>
      <c r="H136" s="139">
        <f>AVERAGE('PRD Volumes AD (2009-2012)'!H233,'PRD Volumes AD (2009-2012)'!H351,'PRD Volumes AD (2009-2012)'!H469)</f>
        <v>0.33333333333333331</v>
      </c>
      <c r="I136" s="139">
        <f>AVERAGE('PRD Volumes AD (2009-2012)'!I233,'PRD Volumes AD (2009-2012)'!I351,'PRD Volumes AD (2009-2012)'!I469)</f>
        <v>0.66666666666666663</v>
      </c>
      <c r="J136" s="139">
        <f>AVERAGE('PRD Volumes AD (2009-2012)'!J233,'PRD Volumes AD (2009-2012)'!J351,'PRD Volumes AD (2009-2012)'!J469)</f>
        <v>3.5126763367463028</v>
      </c>
      <c r="K136" s="139">
        <f>AVERAGE('PRD Volumes AD (2009-2012)'!K233,'PRD Volumes AD (2009-2012)'!K351,'PRD Volumes AD (2009-2012)'!K469)</f>
        <v>1.6666666666666667</v>
      </c>
      <c r="L136" s="139">
        <f>AVERAGE('PRD Volumes AD (2009-2012)'!L233,'PRD Volumes AD (2009-2012)'!L351,'PRD Volumes AD (2009-2012)'!L469)</f>
        <v>0.33333333333333331</v>
      </c>
      <c r="M136" s="139">
        <f>AVERAGE('PRD Volumes AD (2009-2012)'!M233,'PRD Volumes AD (2009-2012)'!M351,'PRD Volumes AD (2009-2012)'!M469)</f>
        <v>14.028362111510775</v>
      </c>
      <c r="N136" s="139">
        <f>AVERAGE('PRD Volumes AD (2009-2012)'!N233,'PRD Volumes AD (2009-2012)'!N351,'PRD Volumes AD (2009-2012)'!N469)</f>
        <v>0</v>
      </c>
      <c r="O136" s="139">
        <f>AVERAGE('PRD Volumes AD (2009-2012)'!O233,'PRD Volumes AD (2009-2012)'!O351,'PRD Volumes AD (2009-2012)'!O469)</f>
        <v>0</v>
      </c>
    </row>
    <row r="137" spans="2:15">
      <c r="B137" s="26" t="s">
        <v>296</v>
      </c>
      <c r="F137" s="102">
        <f t="shared" si="17"/>
        <v>7.1644408971541695</v>
      </c>
      <c r="G137" s="139">
        <f>AVERAGE('PRD Volumes AD (2009-2012)'!G234,'PRD Volumes AD (2009-2012)'!G352,'PRD Volumes AD (2009-2012)'!G470)</f>
        <v>0</v>
      </c>
      <c r="H137" s="139">
        <f>AVERAGE('PRD Volumes AD (2009-2012)'!H234,'PRD Volumes AD (2009-2012)'!H352,'PRD Volumes AD (2009-2012)'!H470)</f>
        <v>0</v>
      </c>
      <c r="I137" s="139">
        <f>AVERAGE('PRD Volumes AD (2009-2012)'!I234,'PRD Volumes AD (2009-2012)'!I352,'PRD Volumes AD (2009-2012)'!I470)</f>
        <v>0</v>
      </c>
      <c r="J137" s="139">
        <f>AVERAGE('PRD Volumes AD (2009-2012)'!J234,'PRD Volumes AD (2009-2012)'!J352,'PRD Volumes AD (2009-2012)'!J470)</f>
        <v>3.6666666666666665</v>
      </c>
      <c r="K137" s="139">
        <f>AVERAGE('PRD Volumes AD (2009-2012)'!K234,'PRD Volumes AD (2009-2012)'!K352,'PRD Volumes AD (2009-2012)'!K470)</f>
        <v>1</v>
      </c>
      <c r="L137" s="139">
        <f>AVERAGE('PRD Volumes AD (2009-2012)'!L234,'PRD Volumes AD (2009-2012)'!L352,'PRD Volumes AD (2009-2012)'!L470)</f>
        <v>0.66666666666666663</v>
      </c>
      <c r="M137" s="139">
        <f>AVERAGE('PRD Volumes AD (2009-2012)'!M234,'PRD Volumes AD (2009-2012)'!M352,'PRD Volumes AD (2009-2012)'!M470)</f>
        <v>1.8311075638208365</v>
      </c>
      <c r="N137" s="139">
        <f>AVERAGE('PRD Volumes AD (2009-2012)'!N234,'PRD Volumes AD (2009-2012)'!N352,'PRD Volumes AD (2009-2012)'!N470)</f>
        <v>0</v>
      </c>
      <c r="O137" s="139">
        <f>AVERAGE('PRD Volumes AD (2009-2012)'!O234,'PRD Volumes AD (2009-2012)'!O352,'PRD Volumes AD (2009-2012)'!O470)</f>
        <v>0</v>
      </c>
    </row>
    <row r="138" spans="2:15">
      <c r="B138" s="61" t="s">
        <v>297</v>
      </c>
      <c r="F138" s="102">
        <f t="shared" si="17"/>
        <v>8.3384296285924258</v>
      </c>
      <c r="G138" s="139">
        <f>AVERAGE('PRD Volumes AD (2009-2012)'!G235,'PRD Volumes AD (2009-2012)'!G353,'PRD Volumes AD (2009-2012)'!G471)</f>
        <v>0</v>
      </c>
      <c r="H138" s="139">
        <f>AVERAGE('PRD Volumes AD (2009-2012)'!H235,'PRD Volumes AD (2009-2012)'!H353,'PRD Volumes AD (2009-2012)'!H471)</f>
        <v>0</v>
      </c>
      <c r="I138" s="139">
        <f>AVERAGE('PRD Volumes AD (2009-2012)'!I235,'PRD Volumes AD (2009-2012)'!I353,'PRD Volumes AD (2009-2012)'!I471)</f>
        <v>0</v>
      </c>
      <c r="J138" s="139">
        <f>AVERAGE('PRD Volumes AD (2009-2012)'!J235,'PRD Volumes AD (2009-2012)'!J353,'PRD Volumes AD (2009-2012)'!J471)</f>
        <v>2.7153988478812732</v>
      </c>
      <c r="K138" s="139">
        <f>AVERAGE('PRD Volumes AD (2009-2012)'!K235,'PRD Volumes AD (2009-2012)'!K353,'PRD Volumes AD (2009-2012)'!K471)</f>
        <v>2.3333333333333335</v>
      </c>
      <c r="L138" s="139">
        <f>AVERAGE('PRD Volumes AD (2009-2012)'!L235,'PRD Volumes AD (2009-2012)'!L353,'PRD Volumes AD (2009-2012)'!L471)</f>
        <v>0</v>
      </c>
      <c r="M138" s="139">
        <f>AVERAGE('PRD Volumes AD (2009-2012)'!M235,'PRD Volumes AD (2009-2012)'!M353,'PRD Volumes AD (2009-2012)'!M471)</f>
        <v>3.2896974473778187</v>
      </c>
      <c r="N138" s="139">
        <f>AVERAGE('PRD Volumes AD (2009-2012)'!N235,'PRD Volumes AD (2009-2012)'!N353,'PRD Volumes AD (2009-2012)'!N471)</f>
        <v>0</v>
      </c>
      <c r="O138" s="139">
        <f>AVERAGE('PRD Volumes AD (2009-2012)'!O235,'PRD Volumes AD (2009-2012)'!O353,'PRD Volumes AD (2009-2012)'!O471)</f>
        <v>0</v>
      </c>
    </row>
    <row r="139" spans="2:15">
      <c r="B139" s="61" t="s">
        <v>298</v>
      </c>
      <c r="F139" s="102">
        <f t="shared" si="17"/>
        <v>8.6906489075099866</v>
      </c>
      <c r="G139" s="139">
        <f>AVERAGE('PRD Volumes AD (2009-2012)'!G236,'PRD Volumes AD (2009-2012)'!G354,'PRD Volumes AD (2009-2012)'!G472)</f>
        <v>0</v>
      </c>
      <c r="H139" s="139">
        <f>AVERAGE('PRD Volumes AD (2009-2012)'!H236,'PRD Volumes AD (2009-2012)'!H354,'PRD Volumes AD (2009-2012)'!H472)</f>
        <v>0</v>
      </c>
      <c r="I139" s="139">
        <f>AVERAGE('PRD Volumes AD (2009-2012)'!I236,'PRD Volumes AD (2009-2012)'!I354,'PRD Volumes AD (2009-2012)'!I472)</f>
        <v>0.66666666666666663</v>
      </c>
      <c r="J139" s="139">
        <f>AVERAGE('PRD Volumes AD (2009-2012)'!J236,'PRD Volumes AD (2009-2012)'!J354,'PRD Volumes AD (2009-2012)'!J472)</f>
        <v>5.666666666666667</v>
      </c>
      <c r="K139" s="139">
        <f>AVERAGE('PRD Volumes AD (2009-2012)'!K236,'PRD Volumes AD (2009-2012)'!K354,'PRD Volumes AD (2009-2012)'!K472)</f>
        <v>0.66666666666666663</v>
      </c>
      <c r="L139" s="139">
        <f>AVERAGE('PRD Volumes AD (2009-2012)'!L236,'PRD Volumes AD (2009-2012)'!L354,'PRD Volumes AD (2009-2012)'!L472)</f>
        <v>0.66666666666666663</v>
      </c>
      <c r="M139" s="139">
        <f>AVERAGE('PRD Volumes AD (2009-2012)'!M236,'PRD Volumes AD (2009-2012)'!M354,'PRD Volumes AD (2009-2012)'!M472)</f>
        <v>1.0239822408433188</v>
      </c>
      <c r="N139" s="139">
        <f>AVERAGE('PRD Volumes AD (2009-2012)'!N236,'PRD Volumes AD (2009-2012)'!N354,'PRD Volumes AD (2009-2012)'!N472)</f>
        <v>0</v>
      </c>
      <c r="O139" s="139">
        <f>AVERAGE('PRD Volumes AD (2009-2012)'!O236,'PRD Volumes AD (2009-2012)'!O354,'PRD Volumes AD (2009-2012)'!O472)</f>
        <v>0</v>
      </c>
    </row>
    <row r="140" spans="2:15">
      <c r="B140" s="61" t="s">
        <v>299</v>
      </c>
      <c r="F140" s="102">
        <f t="shared" si="17"/>
        <v>3.1648344292627528</v>
      </c>
      <c r="G140" s="139">
        <f>AVERAGE('PRD Volumes AD (2009-2012)'!G237,'PRD Volumes AD (2009-2012)'!G355,'PRD Volumes AD (2009-2012)'!G473)</f>
        <v>0</v>
      </c>
      <c r="H140" s="139">
        <f>AVERAGE('PRD Volumes AD (2009-2012)'!H237,'PRD Volumes AD (2009-2012)'!H355,'PRD Volumes AD (2009-2012)'!H473)</f>
        <v>0</v>
      </c>
      <c r="I140" s="139">
        <f>AVERAGE('PRD Volumes AD (2009-2012)'!I237,'PRD Volumes AD (2009-2012)'!I355,'PRD Volumes AD (2009-2012)'!I473)</f>
        <v>0</v>
      </c>
      <c r="J140" s="139">
        <f>AVERAGE('PRD Volumes AD (2009-2012)'!J237,'PRD Volumes AD (2009-2012)'!J355,'PRD Volumes AD (2009-2012)'!J473)</f>
        <v>0.66666666666666663</v>
      </c>
      <c r="K140" s="139">
        <f>AVERAGE('PRD Volumes AD (2009-2012)'!K237,'PRD Volumes AD (2009-2012)'!K355,'PRD Volumes AD (2009-2012)'!K473)</f>
        <v>0</v>
      </c>
      <c r="L140" s="139">
        <f>AVERAGE('PRD Volumes AD (2009-2012)'!L237,'PRD Volumes AD (2009-2012)'!L355,'PRD Volumes AD (2009-2012)'!L473)</f>
        <v>0</v>
      </c>
      <c r="M140" s="139">
        <f>AVERAGE('PRD Volumes AD (2009-2012)'!M237,'PRD Volumes AD (2009-2012)'!M355,'PRD Volumes AD (2009-2012)'!M473)</f>
        <v>1.4981677625960863</v>
      </c>
      <c r="N140" s="139">
        <f>AVERAGE('PRD Volumes AD (2009-2012)'!N237,'PRD Volumes AD (2009-2012)'!N355,'PRD Volumes AD (2009-2012)'!N473)</f>
        <v>1</v>
      </c>
      <c r="O140" s="139">
        <f>AVERAGE('PRD Volumes AD (2009-2012)'!O237,'PRD Volumes AD (2009-2012)'!O355,'PRD Volumes AD (2009-2012)'!O473)</f>
        <v>0</v>
      </c>
    </row>
    <row r="141" spans="2:15">
      <c r="B141" s="23" t="s">
        <v>300</v>
      </c>
      <c r="F141" s="102">
        <f t="shared" si="17"/>
        <v>1.3333333333333333</v>
      </c>
      <c r="G141" s="139">
        <f>AVERAGE('PRD Volumes AD (2009-2012)'!G238,'PRD Volumes AD (2009-2012)'!G356,'PRD Volumes AD (2009-2012)'!G474)</f>
        <v>0</v>
      </c>
      <c r="H141" s="139">
        <f>AVERAGE('PRD Volumes AD (2009-2012)'!H238,'PRD Volumes AD (2009-2012)'!H356,'PRD Volumes AD (2009-2012)'!H474)</f>
        <v>0</v>
      </c>
      <c r="I141" s="139">
        <f>AVERAGE('PRD Volumes AD (2009-2012)'!I238,'PRD Volumes AD (2009-2012)'!I356,'PRD Volumes AD (2009-2012)'!I474)</f>
        <v>0</v>
      </c>
      <c r="J141" s="139">
        <f>AVERAGE('PRD Volumes AD (2009-2012)'!J238,'PRD Volumes AD (2009-2012)'!J356,'PRD Volumes AD (2009-2012)'!J474)</f>
        <v>1.3333333333333333</v>
      </c>
      <c r="K141" s="139">
        <f>AVERAGE('PRD Volumes AD (2009-2012)'!K238,'PRD Volumes AD (2009-2012)'!K356,'PRD Volumes AD (2009-2012)'!K474)</f>
        <v>0</v>
      </c>
      <c r="L141" s="139">
        <f>AVERAGE('PRD Volumes AD (2009-2012)'!L238,'PRD Volumes AD (2009-2012)'!L356,'PRD Volumes AD (2009-2012)'!L474)</f>
        <v>0</v>
      </c>
      <c r="M141" s="139">
        <f>AVERAGE('PRD Volumes AD (2009-2012)'!M238,'PRD Volumes AD (2009-2012)'!M356,'PRD Volumes AD (2009-2012)'!M474)</f>
        <v>0</v>
      </c>
      <c r="N141" s="139">
        <f>AVERAGE('PRD Volumes AD (2009-2012)'!N238,'PRD Volumes AD (2009-2012)'!N356,'PRD Volumes AD (2009-2012)'!N474)</f>
        <v>0</v>
      </c>
      <c r="O141" s="139">
        <f>AVERAGE('PRD Volumes AD (2009-2012)'!O238,'PRD Volumes AD (2009-2012)'!O356,'PRD Volumes AD (2009-2012)'!O474)</f>
        <v>0</v>
      </c>
    </row>
    <row r="142" spans="2:15">
      <c r="B142" s="23" t="s">
        <v>301</v>
      </c>
      <c r="F142" s="102">
        <f>SUM(G142:O142)</f>
        <v>1.9698351307316317</v>
      </c>
      <c r="G142" s="139">
        <f>AVERAGE('PRD Volumes AD (2009-2012)'!G239,'PRD Volumes AD (2009-2012)'!G357,'PRD Volumes AD (2009-2012)'!G475)</f>
        <v>0</v>
      </c>
      <c r="H142" s="139">
        <f>AVERAGE('PRD Volumes AD (2009-2012)'!H239,'PRD Volumes AD (2009-2012)'!H357,'PRD Volumes AD (2009-2012)'!H475)</f>
        <v>0</v>
      </c>
      <c r="I142" s="139">
        <f>AVERAGE('PRD Volumes AD (2009-2012)'!I239,'PRD Volumes AD (2009-2012)'!I357,'PRD Volumes AD (2009-2012)'!I475)</f>
        <v>0</v>
      </c>
      <c r="J142" s="139">
        <f>AVERAGE('PRD Volumes AD (2009-2012)'!J239,'PRD Volumes AD (2009-2012)'!J357,'PRD Volumes AD (2009-2012)'!J475)</f>
        <v>1.6365017973982985</v>
      </c>
      <c r="K142" s="139">
        <f>AVERAGE('PRD Volumes AD (2009-2012)'!K239,'PRD Volumes AD (2009-2012)'!K357,'PRD Volumes AD (2009-2012)'!K475)</f>
        <v>0</v>
      </c>
      <c r="L142" s="139">
        <f>AVERAGE('PRD Volumes AD (2009-2012)'!L239,'PRD Volumes AD (2009-2012)'!L357,'PRD Volumes AD (2009-2012)'!L475)</f>
        <v>0</v>
      </c>
      <c r="M142" s="139">
        <f>AVERAGE('PRD Volumes AD (2009-2012)'!M239,'PRD Volumes AD (2009-2012)'!M357,'PRD Volumes AD (2009-2012)'!M475)</f>
        <v>0</v>
      </c>
      <c r="N142" s="139">
        <f>AVERAGE('PRD Volumes AD (2009-2012)'!N239,'PRD Volumes AD (2009-2012)'!N357,'PRD Volumes AD (2009-2012)'!N475)</f>
        <v>0.33333333333333331</v>
      </c>
      <c r="O142" s="139">
        <f>AVERAGE('PRD Volumes AD (2009-2012)'!O239,'PRD Volumes AD (2009-2012)'!O357,'PRD Volumes AD (2009-2012)'!O475)</f>
        <v>0</v>
      </c>
    </row>
    <row r="143" spans="2:15">
      <c r="B143" s="23"/>
      <c r="F143" s="47"/>
    </row>
    <row r="144" spans="2:15">
      <c r="B144" s="108" t="s">
        <v>290</v>
      </c>
      <c r="F144" s="47"/>
    </row>
    <row r="145" spans="2:15">
      <c r="B145" s="23" t="s">
        <v>302</v>
      </c>
      <c r="F145" s="102">
        <f>SUM(G145:O145)</f>
        <v>0</v>
      </c>
      <c r="G145" s="29"/>
      <c r="H145" s="139">
        <f>AVERAGE('PRD Volumes AD (2009-2012)'!H242,'PRD Volumes AD (2009-2012)'!H360,'PRD Volumes AD (2009-2012)'!H478)</f>
        <v>0</v>
      </c>
      <c r="I145" s="29"/>
      <c r="J145" s="139">
        <f>AVERAGE('PRD Volumes AD (2009-2012)'!J242,'PRD Volumes AD (2009-2012)'!J360,'PRD Volumes AD (2009-2012)'!J478)</f>
        <v>0</v>
      </c>
      <c r="K145" s="29"/>
      <c r="L145" s="29"/>
      <c r="M145" s="29"/>
      <c r="N145" s="29"/>
      <c r="O145" s="139">
        <f>AVERAGE('PRD Volumes AD (2009-2012)'!O242,'PRD Volumes AD (2009-2012)'!O360,'PRD Volumes AD (2009-2012)'!O478)</f>
        <v>0</v>
      </c>
    </row>
  </sheetData>
  <mergeCells count="1">
    <mergeCell ref="B5:D5"/>
  </mergeCells>
  <phoneticPr fontId="4"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BE721"/>
  </sheetPr>
  <dimension ref="B1:Q91"/>
  <sheetViews>
    <sheetView showGridLines="0" zoomScale="85" zoomScaleNormal="85" workbookViewId="0"/>
  </sheetViews>
  <sheetFormatPr defaultRowHeight="12.75"/>
  <cols>
    <col min="1" max="1" width="2.5703125" customWidth="1"/>
    <col min="2" max="2" width="69.85546875" customWidth="1"/>
    <col min="3" max="3" width="2.5703125" customWidth="1"/>
    <col min="4" max="4" width="19.42578125" customWidth="1"/>
    <col min="5" max="5" width="2.5703125" customWidth="1"/>
    <col min="6" max="6" width="21.42578125" customWidth="1"/>
    <col min="7" max="15" width="17.5703125" customWidth="1"/>
    <col min="17" max="17" width="20.7109375" customWidth="1"/>
  </cols>
  <sheetData>
    <row r="1" spans="2:17" ht="12" customHeight="1"/>
    <row r="2" spans="2:17" s="1" customFormat="1" ht="18">
      <c r="B2" s="1" t="s">
        <v>602</v>
      </c>
      <c r="F2" s="5" t="s">
        <v>105</v>
      </c>
      <c r="G2" s="5" t="s">
        <v>96</v>
      </c>
      <c r="H2" s="5" t="s">
        <v>97</v>
      </c>
      <c r="I2" s="5" t="s">
        <v>98</v>
      </c>
      <c r="J2" s="5" t="s">
        <v>99</v>
      </c>
      <c r="K2" s="5" t="s">
        <v>100</v>
      </c>
      <c r="L2" s="5" t="s">
        <v>101</v>
      </c>
      <c r="M2" s="5" t="s">
        <v>102</v>
      </c>
      <c r="N2" s="5" t="s">
        <v>103</v>
      </c>
      <c r="O2" s="5" t="s">
        <v>197</v>
      </c>
      <c r="P2" s="5"/>
      <c r="Q2" s="5" t="s">
        <v>567</v>
      </c>
    </row>
    <row r="4" spans="2:17">
      <c r="B4" s="78" t="s">
        <v>834</v>
      </c>
    </row>
    <row r="5" spans="2:17">
      <c r="B5" s="78" t="s">
        <v>835</v>
      </c>
    </row>
    <row r="6" spans="2:17">
      <c r="B6" s="28"/>
    </row>
    <row r="7" spans="2:17">
      <c r="F7" s="47"/>
    </row>
    <row r="8" spans="2:17" s="2" customFormat="1">
      <c r="B8" s="2" t="s">
        <v>463</v>
      </c>
      <c r="F8" s="49"/>
    </row>
    <row r="9" spans="2:17">
      <c r="F9" s="47"/>
    </row>
    <row r="10" spans="2:17">
      <c r="B10" s="3" t="s">
        <v>37</v>
      </c>
      <c r="G10" t="s">
        <v>70</v>
      </c>
      <c r="H10" t="s">
        <v>71</v>
      </c>
      <c r="I10" t="s">
        <v>72</v>
      </c>
    </row>
    <row r="11" spans="2:17">
      <c r="B11" t="s">
        <v>76</v>
      </c>
      <c r="D11" t="s">
        <v>135</v>
      </c>
      <c r="F11" s="28" t="s">
        <v>73</v>
      </c>
      <c r="G11" s="71">
        <f>CPI!P41</f>
        <v>1.4999999999999999E-2</v>
      </c>
      <c r="H11" s="72"/>
      <c r="I11" s="72"/>
    </row>
    <row r="12" spans="2:17">
      <c r="B12" t="s">
        <v>77</v>
      </c>
      <c r="D12" t="s">
        <v>135</v>
      </c>
      <c r="F12" s="28" t="s">
        <v>74</v>
      </c>
      <c r="G12" s="71">
        <f>CPI!P42</f>
        <v>4.1389999999999816E-2</v>
      </c>
      <c r="H12" s="71">
        <f>CPI!Q42</f>
        <v>2.5999999999999999E-2</v>
      </c>
      <c r="I12" s="72"/>
    </row>
    <row r="13" spans="2:17">
      <c r="B13" t="s">
        <v>78</v>
      </c>
      <c r="D13" t="s">
        <v>135</v>
      </c>
      <c r="F13" s="28" t="s">
        <v>75</v>
      </c>
      <c r="G13" s="71">
        <f>CPI!P43</f>
        <v>6.5341969999999749E-2</v>
      </c>
      <c r="H13" s="71">
        <f>CPI!Q43</f>
        <v>4.9598000000000031E-2</v>
      </c>
      <c r="I13" s="71">
        <f>CPI!R43</f>
        <v>2.3E-2</v>
      </c>
    </row>
    <row r="14" spans="2:17">
      <c r="B14" s="3"/>
      <c r="F14" s="47"/>
    </row>
    <row r="15" spans="2:17">
      <c r="B15" s="51"/>
      <c r="F15" s="67"/>
      <c r="G15" s="29"/>
      <c r="H15" s="29"/>
      <c r="I15" s="29"/>
      <c r="J15" s="29"/>
      <c r="K15" s="29"/>
      <c r="L15" s="29"/>
      <c r="M15" s="29"/>
      <c r="N15" s="29"/>
      <c r="O15" s="29"/>
    </row>
    <row r="16" spans="2:17" s="2" customFormat="1">
      <c r="B16" s="2" t="s">
        <v>611</v>
      </c>
    </row>
    <row r="18" spans="2:15">
      <c r="B18" s="22" t="s">
        <v>610</v>
      </c>
      <c r="C18" s="23"/>
      <c r="D18" s="23"/>
      <c r="E18" s="23"/>
      <c r="F18" s="23"/>
      <c r="G18" s="23"/>
      <c r="H18" s="23"/>
      <c r="I18" s="23"/>
      <c r="J18" s="23"/>
      <c r="K18" s="23"/>
      <c r="L18" s="23"/>
      <c r="M18" s="23"/>
      <c r="N18" s="23"/>
      <c r="O18" s="23"/>
    </row>
    <row r="19" spans="2:15">
      <c r="B19" s="135" t="s">
        <v>591</v>
      </c>
      <c r="C19" s="23"/>
      <c r="D19" s="135" t="s">
        <v>592</v>
      </c>
      <c r="E19" s="23"/>
      <c r="F19" s="180">
        <f>SUM(G19:O19)</f>
        <v>763743312911</v>
      </c>
      <c r="G19" s="193">
        <f>'Data Netverliezen'!G14</f>
        <v>13935648628</v>
      </c>
      <c r="H19" s="193">
        <f>'Data Netverliezen'!H14</f>
        <v>16406033920</v>
      </c>
      <c r="I19" s="193">
        <f>'Data Netverliezen'!I14</f>
        <v>50817953058</v>
      </c>
      <c r="J19" s="193">
        <f>'Data Netverliezen'!J14</f>
        <v>228556283671</v>
      </c>
      <c r="K19" s="193">
        <f>'Data Netverliezen'!K14</f>
        <v>213487111819</v>
      </c>
      <c r="L19" s="193">
        <f>'Data Netverliezen'!L14</f>
        <v>10676092808</v>
      </c>
      <c r="M19" s="193">
        <f>'Data Netverliezen'!M14</f>
        <v>185279866450</v>
      </c>
      <c r="N19" s="193">
        <f>'Data Netverliezen'!N14</f>
        <v>44584322557</v>
      </c>
      <c r="O19" s="193">
        <f>'Data Netverliezen'!O14</f>
        <v>0</v>
      </c>
    </row>
    <row r="20" spans="2:15">
      <c r="B20" s="135" t="s">
        <v>593</v>
      </c>
      <c r="C20" s="23"/>
      <c r="D20" s="135" t="s">
        <v>592</v>
      </c>
      <c r="E20" s="23"/>
      <c r="F20" s="180">
        <f>SUM(G20:O20)</f>
        <v>499733286902.31561</v>
      </c>
      <c r="G20" s="193">
        <f>'Data Netverliezen'!G15</f>
        <v>12552127184.830252</v>
      </c>
      <c r="H20" s="193">
        <f>'Data Netverliezen'!H15</f>
        <v>12607252725.282059</v>
      </c>
      <c r="I20" s="193">
        <f>'Data Netverliezen'!I15</f>
        <v>34953479765.913078</v>
      </c>
      <c r="J20" s="193">
        <f>'Data Netverliezen'!J15</f>
        <v>154940422010.00259</v>
      </c>
      <c r="K20" s="193">
        <f>'Data Netverliezen'!K15</f>
        <v>151395501668.12152</v>
      </c>
      <c r="L20" s="193">
        <f>'Data Netverliezen'!L15</f>
        <v>7835790198.2271643</v>
      </c>
      <c r="M20" s="193">
        <f>'Data Netverliezen'!M15</f>
        <v>121081293807.13327</v>
      </c>
      <c r="N20" s="193">
        <f>'Data Netverliezen'!N15</f>
        <v>4367419542.8056078</v>
      </c>
      <c r="O20" s="193">
        <f>'Data Netverliezen'!O15</f>
        <v>0</v>
      </c>
    </row>
    <row r="21" spans="2:15">
      <c r="B21" s="135" t="s">
        <v>594</v>
      </c>
      <c r="C21" s="23"/>
      <c r="D21" s="135" t="s">
        <v>592</v>
      </c>
      <c r="E21" s="23"/>
      <c r="F21" s="180">
        <f>SUM(G21:O21)</f>
        <v>260389713654</v>
      </c>
      <c r="G21" s="193">
        <f>'Data Netverliezen'!G16</f>
        <v>2128924906</v>
      </c>
      <c r="H21" s="193">
        <f>'Data Netverliezen'!H16</f>
        <v>3901353537</v>
      </c>
      <c r="I21" s="193">
        <f>'Data Netverliezen'!I16</f>
        <v>15842681425</v>
      </c>
      <c r="J21" s="193">
        <f>'Data Netverliezen'!J16</f>
        <v>73415328534</v>
      </c>
      <c r="K21" s="193">
        <f>'Data Netverliezen'!K16</f>
        <v>60461364558</v>
      </c>
      <c r="L21" s="193">
        <f>'Data Netverliezen'!L16</f>
        <v>2501732658</v>
      </c>
      <c r="M21" s="193">
        <f>'Data Netverliezen'!M16</f>
        <v>62175323653</v>
      </c>
      <c r="N21" s="193">
        <f>'Data Netverliezen'!N16</f>
        <v>39963004383</v>
      </c>
      <c r="O21" s="193">
        <f>'Data Netverliezen'!O16</f>
        <v>0</v>
      </c>
    </row>
    <row r="22" spans="2:15">
      <c r="B22" s="23"/>
      <c r="C22" s="23"/>
      <c r="D22" s="23"/>
      <c r="E22" s="23"/>
      <c r="F22" s="213"/>
      <c r="G22" s="23"/>
      <c r="H22" s="23"/>
      <c r="I22" s="23"/>
      <c r="J22" s="23"/>
      <c r="K22" s="23"/>
      <c r="L22" s="23"/>
      <c r="M22" s="23"/>
      <c r="N22" s="23"/>
      <c r="O22" s="23"/>
    </row>
    <row r="23" spans="2:15">
      <c r="B23" s="135" t="s">
        <v>660</v>
      </c>
      <c r="C23" s="23"/>
      <c r="D23" s="135" t="s">
        <v>592</v>
      </c>
      <c r="E23" s="23"/>
      <c r="F23" s="180">
        <f>SUM(G23:O23)</f>
        <v>760123000556.31555</v>
      </c>
      <c r="G23" s="177">
        <f t="shared" ref="G23:N23" si="0">G21+G20</f>
        <v>14681052090.830252</v>
      </c>
      <c r="H23" s="177">
        <f t="shared" si="0"/>
        <v>16508606262.282059</v>
      </c>
      <c r="I23" s="177">
        <f t="shared" si="0"/>
        <v>50796161190.913078</v>
      </c>
      <c r="J23" s="177">
        <f t="shared" si="0"/>
        <v>228355750544.00259</v>
      </c>
      <c r="K23" s="177">
        <f t="shared" si="0"/>
        <v>211856866226.12152</v>
      </c>
      <c r="L23" s="177">
        <f t="shared" si="0"/>
        <v>10337522856.227165</v>
      </c>
      <c r="M23" s="177">
        <f t="shared" si="0"/>
        <v>183256617460.13327</v>
      </c>
      <c r="N23" s="177">
        <f t="shared" si="0"/>
        <v>44330423925.805611</v>
      </c>
      <c r="O23" s="177">
        <f t="shared" ref="O23" si="1">O21+O20</f>
        <v>0</v>
      </c>
    </row>
    <row r="24" spans="2:15">
      <c r="B24" s="135" t="s">
        <v>595</v>
      </c>
      <c r="C24" s="23"/>
      <c r="D24" s="135" t="s">
        <v>592</v>
      </c>
      <c r="E24" s="23"/>
      <c r="F24" s="180">
        <f>SUM(G24:O24)</f>
        <v>3620312354.6844501</v>
      </c>
      <c r="G24" s="180">
        <f t="shared" ref="G24:O24" si="2">G19-G23</f>
        <v>-745403462.83025169</v>
      </c>
      <c r="H24" s="180">
        <f t="shared" si="2"/>
        <v>-102572342.28205872</v>
      </c>
      <c r="I24" s="180">
        <f t="shared" si="2"/>
        <v>21791867.086921692</v>
      </c>
      <c r="J24" s="180">
        <f t="shared" si="2"/>
        <v>200533126.99740601</v>
      </c>
      <c r="K24" s="180">
        <f t="shared" si="2"/>
        <v>1630245592.878479</v>
      </c>
      <c r="L24" s="180">
        <f t="shared" si="2"/>
        <v>338569951.77283478</v>
      </c>
      <c r="M24" s="180">
        <f t="shared" si="2"/>
        <v>2023248989.8667297</v>
      </c>
      <c r="N24" s="180">
        <f t="shared" si="2"/>
        <v>253898631.19438934</v>
      </c>
      <c r="O24" s="180">
        <f t="shared" si="2"/>
        <v>0</v>
      </c>
    </row>
    <row r="25" spans="2:15">
      <c r="B25" s="135" t="s">
        <v>443</v>
      </c>
      <c r="C25" s="23"/>
      <c r="D25" s="135" t="s">
        <v>135</v>
      </c>
      <c r="E25" s="23"/>
      <c r="F25" s="181">
        <f t="shared" ref="F25:O25" si="3">F24/F19</f>
        <v>4.7402213459462788E-3</v>
      </c>
      <c r="G25" s="181">
        <f t="shared" si="3"/>
        <v>-5.3488967950337134E-2</v>
      </c>
      <c r="H25" s="181">
        <f t="shared" si="3"/>
        <v>-6.2521108259453555E-3</v>
      </c>
      <c r="I25" s="181">
        <f t="shared" si="3"/>
        <v>4.2882221293033985E-4</v>
      </c>
      <c r="J25" s="181">
        <f t="shared" si="3"/>
        <v>8.7739056558194437E-4</v>
      </c>
      <c r="K25" s="181">
        <f t="shared" si="3"/>
        <v>7.6362717120865087E-3</v>
      </c>
      <c r="L25" s="181">
        <f t="shared" si="3"/>
        <v>3.1712908257891081E-2</v>
      </c>
      <c r="M25" s="181">
        <f t="shared" si="3"/>
        <v>1.0919961400192005E-2</v>
      </c>
      <c r="N25" s="181">
        <f t="shared" si="3"/>
        <v>5.6947962116007476E-3</v>
      </c>
      <c r="O25" s="181" t="e">
        <f t="shared" si="3"/>
        <v>#DIV/0!</v>
      </c>
    </row>
    <row r="26" spans="2:15">
      <c r="B26" s="23"/>
      <c r="C26" s="23"/>
      <c r="D26" s="23"/>
      <c r="E26" s="23"/>
      <c r="F26" s="213"/>
      <c r="G26" s="23"/>
      <c r="H26" s="23"/>
      <c r="I26" s="23"/>
      <c r="J26" s="23"/>
      <c r="K26" s="23"/>
      <c r="L26" s="23"/>
      <c r="M26" s="23"/>
      <c r="N26" s="23"/>
      <c r="O26" s="23"/>
    </row>
    <row r="27" spans="2:15">
      <c r="B27" s="22" t="s">
        <v>470</v>
      </c>
      <c r="C27" s="23"/>
      <c r="D27" s="176"/>
      <c r="E27" s="23"/>
      <c r="F27" s="213"/>
      <c r="G27" s="23"/>
      <c r="H27" s="23"/>
      <c r="I27" s="23"/>
      <c r="J27" s="23"/>
      <c r="K27" s="23"/>
      <c r="L27" s="23"/>
      <c r="M27" s="23"/>
      <c r="N27" s="23"/>
      <c r="O27" s="23"/>
    </row>
    <row r="28" spans="2:15">
      <c r="B28" s="135" t="s">
        <v>591</v>
      </c>
      <c r="C28" s="23"/>
      <c r="D28" s="135" t="s">
        <v>592</v>
      </c>
      <c r="E28" s="23"/>
      <c r="F28" s="180">
        <f>SUM(G28:O28)</f>
        <v>882209267536</v>
      </c>
      <c r="G28" s="193">
        <f>'Data Netverliezen'!G19</f>
        <v>15997699486</v>
      </c>
      <c r="H28" s="193">
        <f>'Data Netverliezen'!H19</f>
        <v>19141037823</v>
      </c>
      <c r="I28" s="193">
        <f>'Data Netverliezen'!I19</f>
        <v>58573800167</v>
      </c>
      <c r="J28" s="193">
        <f>'Data Netverliezen'!J19</f>
        <v>265177851823</v>
      </c>
      <c r="K28" s="193">
        <f>'Data Netverliezen'!K19</f>
        <v>246987092495</v>
      </c>
      <c r="L28" s="193">
        <f>'Data Netverliezen'!L19</f>
        <v>12394963197</v>
      </c>
      <c r="M28" s="193">
        <f>'Data Netverliezen'!M19</f>
        <v>212023674142</v>
      </c>
      <c r="N28" s="193">
        <f>'Data Netverliezen'!N19</f>
        <v>51913148403</v>
      </c>
      <c r="O28" s="193">
        <f>'Data Netverliezen'!O19</f>
        <v>0</v>
      </c>
    </row>
    <row r="29" spans="2:15">
      <c r="B29" s="135" t="s">
        <v>593</v>
      </c>
      <c r="C29" s="23"/>
      <c r="D29" s="135" t="s">
        <v>592</v>
      </c>
      <c r="E29" s="23"/>
      <c r="F29" s="180">
        <f>SUM(G29:O29)</f>
        <v>587845614975.5105</v>
      </c>
      <c r="G29" s="193">
        <f>'Data Netverliezen'!G20</f>
        <v>12607023972.32687</v>
      </c>
      <c r="H29" s="193">
        <f>'Data Netverliezen'!H20</f>
        <v>14627314956.226517</v>
      </c>
      <c r="I29" s="193">
        <f>'Data Netverliezen'!I20</f>
        <v>40924324263.126137</v>
      </c>
      <c r="J29" s="193">
        <f>'Data Netverliezen'!J20</f>
        <v>182745270775.31216</v>
      </c>
      <c r="K29" s="193">
        <f>'Data Netverliezen'!K20</f>
        <v>179111137010.93436</v>
      </c>
      <c r="L29" s="193">
        <f>'Data Netverliezen'!L20</f>
        <v>9890219303.2712574</v>
      </c>
      <c r="M29" s="193">
        <f>'Data Netverliezen'!M20</f>
        <v>142589740642.18515</v>
      </c>
      <c r="N29" s="193">
        <f>'Data Netverliezen'!N20</f>
        <v>5350584052.1280279</v>
      </c>
      <c r="O29" s="193">
        <f>'Data Netverliezen'!O20</f>
        <v>0</v>
      </c>
    </row>
    <row r="30" spans="2:15">
      <c r="B30" s="135" t="s">
        <v>594</v>
      </c>
      <c r="C30" s="23"/>
      <c r="D30" s="135" t="s">
        <v>592</v>
      </c>
      <c r="E30" s="23"/>
      <c r="F30" s="180">
        <f>SUM(G30:O30)</f>
        <v>289444606371</v>
      </c>
      <c r="G30" s="193">
        <f>'Data Netverliezen'!G21</f>
        <v>2323954675</v>
      </c>
      <c r="H30" s="193">
        <f>'Data Netverliezen'!H21</f>
        <v>4649307981</v>
      </c>
      <c r="I30" s="193">
        <f>'Data Netverliezen'!I21</f>
        <v>17490221869</v>
      </c>
      <c r="J30" s="193">
        <f>'Data Netverliezen'!J21</f>
        <v>81680961943</v>
      </c>
      <c r="K30" s="193">
        <f>'Data Netverliezen'!K21</f>
        <v>66756956736</v>
      </c>
      <c r="L30" s="193">
        <f>'Data Netverliezen'!L21</f>
        <v>2679777246</v>
      </c>
      <c r="M30" s="193">
        <f>'Data Netverliezen'!M21</f>
        <v>67634419153</v>
      </c>
      <c r="N30" s="193">
        <f>'Data Netverliezen'!N21</f>
        <v>46229006768</v>
      </c>
      <c r="O30" s="193">
        <f>'Data Netverliezen'!O21</f>
        <v>0</v>
      </c>
    </row>
    <row r="31" spans="2:15">
      <c r="B31" s="23"/>
      <c r="C31" s="23"/>
      <c r="D31" s="23"/>
      <c r="E31" s="23"/>
      <c r="F31" s="213"/>
      <c r="G31" s="23"/>
      <c r="H31" s="23"/>
      <c r="I31" s="23"/>
      <c r="J31" s="23"/>
      <c r="K31" s="23"/>
      <c r="L31" s="23"/>
      <c r="M31" s="23"/>
      <c r="N31" s="23"/>
      <c r="O31" s="23"/>
    </row>
    <row r="32" spans="2:15">
      <c r="B32" s="135" t="s">
        <v>660</v>
      </c>
      <c r="C32" s="23"/>
      <c r="D32" s="135" t="s">
        <v>592</v>
      </c>
      <c r="E32" s="23"/>
      <c r="F32" s="180">
        <f>SUM(G32:O32)</f>
        <v>877290221346.5105</v>
      </c>
      <c r="G32" s="177">
        <f t="shared" ref="G32:N32" si="4">G30+G29</f>
        <v>14930978647.32687</v>
      </c>
      <c r="H32" s="177">
        <f t="shared" si="4"/>
        <v>19276622937.226517</v>
      </c>
      <c r="I32" s="177">
        <f t="shared" si="4"/>
        <v>58414546132.126137</v>
      </c>
      <c r="J32" s="177">
        <f t="shared" si="4"/>
        <v>264426232718.31216</v>
      </c>
      <c r="K32" s="177">
        <f t="shared" si="4"/>
        <v>245868093746.93436</v>
      </c>
      <c r="L32" s="177">
        <f t="shared" si="4"/>
        <v>12569996549.271257</v>
      </c>
      <c r="M32" s="177">
        <f t="shared" si="4"/>
        <v>210224159795.18515</v>
      </c>
      <c r="N32" s="177">
        <f t="shared" si="4"/>
        <v>51579590820.128029</v>
      </c>
      <c r="O32" s="177">
        <f t="shared" ref="O32" si="5">O30+O29</f>
        <v>0</v>
      </c>
    </row>
    <row r="33" spans="2:15">
      <c r="B33" s="135" t="s">
        <v>595</v>
      </c>
      <c r="C33" s="23"/>
      <c r="D33" s="135" t="s">
        <v>592</v>
      </c>
      <c r="E33" s="23"/>
      <c r="F33" s="180">
        <f>SUM(G33:O33)</f>
        <v>4919046189.4895191</v>
      </c>
      <c r="G33" s="180">
        <f t="shared" ref="G33:O33" si="6">G28-G32</f>
        <v>1066720838.67313</v>
      </c>
      <c r="H33" s="180">
        <f t="shared" si="6"/>
        <v>-135585114.22651672</v>
      </c>
      <c r="I33" s="180">
        <f t="shared" si="6"/>
        <v>159254034.87386322</v>
      </c>
      <c r="J33" s="180">
        <f t="shared" si="6"/>
        <v>751619104.68783569</v>
      </c>
      <c r="K33" s="180">
        <f t="shared" si="6"/>
        <v>1118998748.0656433</v>
      </c>
      <c r="L33" s="180">
        <f t="shared" si="6"/>
        <v>-175033352.2712574</v>
      </c>
      <c r="M33" s="180">
        <f t="shared" si="6"/>
        <v>1799514346.8148499</v>
      </c>
      <c r="N33" s="180">
        <f t="shared" si="6"/>
        <v>333557582.87197113</v>
      </c>
      <c r="O33" s="180">
        <f t="shared" si="6"/>
        <v>0</v>
      </c>
    </row>
    <row r="34" spans="2:15">
      <c r="B34" s="135" t="s">
        <v>443</v>
      </c>
      <c r="C34" s="23"/>
      <c r="D34" s="135" t="s">
        <v>135</v>
      </c>
      <c r="E34" s="23"/>
      <c r="F34" s="181">
        <f t="shared" ref="F34:O34" si="7">F33/F28</f>
        <v>5.5758269273551804E-3</v>
      </c>
      <c r="G34" s="181">
        <f t="shared" si="7"/>
        <v>6.667963975736918E-2</v>
      </c>
      <c r="H34" s="181">
        <f t="shared" si="7"/>
        <v>-7.0834776818421378E-3</v>
      </c>
      <c r="I34" s="181">
        <f t="shared" si="7"/>
        <v>2.7188612386393474E-3</v>
      </c>
      <c r="J34" s="181">
        <f t="shared" si="7"/>
        <v>2.8343962345298876E-3</v>
      </c>
      <c r="K34" s="181">
        <f t="shared" si="7"/>
        <v>4.5305960597446862E-3</v>
      </c>
      <c r="L34" s="181">
        <f t="shared" si="7"/>
        <v>-1.4121328921220306E-2</v>
      </c>
      <c r="M34" s="181">
        <f t="shared" si="7"/>
        <v>8.4873274368863615E-3</v>
      </c>
      <c r="N34" s="181">
        <f t="shared" si="7"/>
        <v>6.4253005863288233E-3</v>
      </c>
      <c r="O34" s="181" t="e">
        <f t="shared" si="7"/>
        <v>#DIV/0!</v>
      </c>
    </row>
    <row r="35" spans="2:15" s="28" customFormat="1">
      <c r="B35" s="188"/>
      <c r="C35" s="61"/>
      <c r="D35" s="188"/>
      <c r="E35" s="61"/>
      <c r="F35" s="214"/>
      <c r="G35" s="192"/>
      <c r="H35" s="192"/>
      <c r="I35" s="192"/>
      <c r="J35" s="192"/>
      <c r="K35" s="192"/>
      <c r="L35" s="192"/>
      <c r="M35" s="192"/>
      <c r="N35" s="192"/>
      <c r="O35" s="61"/>
    </row>
    <row r="36" spans="2:15">
      <c r="B36" s="23"/>
      <c r="C36" s="23"/>
      <c r="D36" s="189"/>
      <c r="E36" s="23"/>
      <c r="F36" s="213"/>
      <c r="G36" s="23"/>
      <c r="H36" s="23"/>
      <c r="I36" s="23"/>
      <c r="J36" s="23"/>
      <c r="K36" s="23"/>
      <c r="L36" s="23"/>
      <c r="M36" s="23"/>
      <c r="N36" s="23"/>
    </row>
    <row r="37" spans="2:15">
      <c r="B37" s="22" t="s">
        <v>612</v>
      </c>
      <c r="C37" s="23"/>
      <c r="D37" s="23"/>
      <c r="E37" s="23"/>
      <c r="F37" s="213"/>
      <c r="G37" s="23"/>
      <c r="H37" s="23"/>
      <c r="I37" s="23"/>
      <c r="J37" s="23"/>
      <c r="K37" s="23"/>
      <c r="L37" s="23"/>
      <c r="M37" s="23"/>
      <c r="N37" s="23"/>
    </row>
    <row r="38" spans="2:15">
      <c r="B38" s="135" t="s">
        <v>591</v>
      </c>
      <c r="C38" s="23"/>
      <c r="D38" s="135" t="s">
        <v>592</v>
      </c>
      <c r="E38" s="23"/>
      <c r="F38" s="180">
        <f>F19+F28</f>
        <v>1645952580447</v>
      </c>
      <c r="G38" s="23"/>
      <c r="H38" s="23"/>
      <c r="I38" s="23"/>
      <c r="J38" s="23"/>
      <c r="K38" s="23"/>
      <c r="L38" s="23"/>
      <c r="M38" s="23"/>
      <c r="N38" s="23"/>
    </row>
    <row r="39" spans="2:15">
      <c r="B39" s="135" t="s">
        <v>595</v>
      </c>
      <c r="C39" s="23"/>
      <c r="D39" s="135" t="s">
        <v>592</v>
      </c>
      <c r="E39" s="23"/>
      <c r="F39" s="215">
        <f>F24+F33</f>
        <v>8539358544.1739693</v>
      </c>
      <c r="G39" s="188"/>
      <c r="H39" s="23"/>
      <c r="I39" s="23"/>
      <c r="J39" s="23"/>
      <c r="K39" s="23"/>
      <c r="L39" s="23"/>
      <c r="M39" s="23"/>
      <c r="N39" s="23"/>
    </row>
    <row r="40" spans="2:15">
      <c r="B40" s="135" t="s">
        <v>443</v>
      </c>
      <c r="C40" s="23"/>
      <c r="D40" s="135" t="s">
        <v>135</v>
      </c>
      <c r="E40" s="23"/>
      <c r="F40" s="190">
        <f>F39/F38</f>
        <v>5.1880951162365145E-3</v>
      </c>
      <c r="G40" s="135"/>
      <c r="H40" s="23"/>
      <c r="I40" s="23"/>
      <c r="J40" s="23"/>
      <c r="K40" s="23"/>
      <c r="L40" s="23"/>
      <c r="M40" s="23"/>
      <c r="N40" s="23"/>
    </row>
    <row r="41" spans="2:15">
      <c r="B41" s="23"/>
      <c r="C41" s="23"/>
      <c r="D41" s="23"/>
      <c r="E41" s="23"/>
      <c r="F41" s="266"/>
      <c r="G41" s="23"/>
      <c r="H41" s="23"/>
      <c r="I41" s="23"/>
      <c r="J41" s="23"/>
      <c r="K41" s="23"/>
      <c r="L41" s="23"/>
      <c r="M41" s="23"/>
      <c r="N41" s="23"/>
    </row>
    <row r="42" spans="2:15">
      <c r="B42" s="135" t="s">
        <v>604</v>
      </c>
      <c r="C42" s="23"/>
      <c r="D42" s="135" t="s">
        <v>592</v>
      </c>
      <c r="E42" s="23"/>
      <c r="F42" s="180">
        <f>F20+F29</f>
        <v>1087578901877.8262</v>
      </c>
      <c r="G42" s="191"/>
      <c r="H42" s="191"/>
      <c r="I42" s="191"/>
      <c r="J42" s="23"/>
      <c r="K42" s="23"/>
      <c r="L42" s="23"/>
      <c r="M42" s="23"/>
      <c r="N42" s="23"/>
    </row>
    <row r="43" spans="2:15">
      <c r="B43" s="135" t="s">
        <v>605</v>
      </c>
      <c r="C43" s="23"/>
      <c r="D43" s="135" t="s">
        <v>592</v>
      </c>
      <c r="E43" s="23"/>
      <c r="F43" s="180">
        <f>F21+F30</f>
        <v>549834320025</v>
      </c>
      <c r="G43" s="23"/>
      <c r="H43" s="23"/>
      <c r="I43" s="23"/>
      <c r="J43" s="23"/>
      <c r="K43" s="23"/>
      <c r="L43" s="23"/>
      <c r="M43" s="23"/>
      <c r="N43" s="23"/>
    </row>
    <row r="44" spans="2:15">
      <c r="B44" s="135" t="s">
        <v>606</v>
      </c>
      <c r="C44" s="23"/>
      <c r="D44" s="135" t="s">
        <v>592</v>
      </c>
      <c r="E44" s="23"/>
      <c r="F44" s="180">
        <f>F42+F43</f>
        <v>1637413221902.8262</v>
      </c>
      <c r="G44" s="23"/>
      <c r="H44" s="23"/>
      <c r="I44" s="23"/>
      <c r="J44" s="23"/>
      <c r="K44" s="23"/>
      <c r="L44" s="23"/>
      <c r="M44" s="23"/>
      <c r="N44" s="23"/>
    </row>
    <row r="45" spans="2:15">
      <c r="B45" s="23"/>
      <c r="C45" s="23"/>
      <c r="D45" s="23"/>
      <c r="E45" s="23"/>
      <c r="F45" s="262"/>
      <c r="G45" s="23"/>
      <c r="H45" s="23"/>
      <c r="I45" s="23"/>
      <c r="J45" s="23"/>
      <c r="K45" s="23"/>
      <c r="L45" s="23"/>
      <c r="M45" s="23"/>
      <c r="N45" s="23"/>
    </row>
    <row r="46" spans="2:15">
      <c r="B46" s="135" t="s">
        <v>607</v>
      </c>
      <c r="C46" s="23"/>
      <c r="D46" s="135" t="s">
        <v>135</v>
      </c>
      <c r="E46" s="23"/>
      <c r="F46" s="181">
        <f>F42/F44</f>
        <v>0.6642055208360651</v>
      </c>
      <c r="G46" s="182"/>
      <c r="H46" s="23"/>
      <c r="I46" s="23"/>
      <c r="J46" s="23"/>
      <c r="K46" s="23"/>
      <c r="L46" s="23"/>
      <c r="M46" s="23"/>
      <c r="N46" s="23"/>
    </row>
    <row r="47" spans="2:15">
      <c r="B47" s="135" t="s">
        <v>608</v>
      </c>
      <c r="C47" s="23"/>
      <c r="D47" s="135" t="s">
        <v>135</v>
      </c>
      <c r="E47" s="23"/>
      <c r="F47" s="181">
        <f>F43/F44</f>
        <v>0.33579447916393484</v>
      </c>
      <c r="G47" s="23"/>
      <c r="H47" s="23"/>
      <c r="I47" s="23"/>
      <c r="J47" s="23"/>
      <c r="K47" s="23"/>
      <c r="L47" s="23"/>
      <c r="M47" s="23"/>
      <c r="N47" s="23"/>
    </row>
    <row r="48" spans="2:15">
      <c r="B48" s="182"/>
      <c r="C48" s="23"/>
      <c r="D48" s="23"/>
      <c r="E48" s="23"/>
      <c r="F48" s="213"/>
      <c r="G48" s="23"/>
      <c r="H48" s="23"/>
      <c r="I48" s="23"/>
      <c r="J48" s="23"/>
      <c r="K48" s="23"/>
      <c r="L48" s="23"/>
      <c r="M48" s="23"/>
      <c r="N48" s="23"/>
    </row>
    <row r="49" spans="2:16">
      <c r="B49" s="23"/>
      <c r="C49" s="23"/>
      <c r="D49" s="23"/>
      <c r="E49" s="23"/>
      <c r="F49" s="213"/>
      <c r="G49" s="23"/>
      <c r="H49" s="23"/>
      <c r="I49" s="23"/>
      <c r="J49" s="23"/>
      <c r="K49" s="23"/>
      <c r="L49" s="23"/>
      <c r="M49" s="23"/>
      <c r="N49" s="23"/>
      <c r="O49" s="23"/>
    </row>
    <row r="50" spans="2:16" s="2" customFormat="1">
      <c r="B50" s="2" t="s">
        <v>603</v>
      </c>
      <c r="F50" s="65"/>
    </row>
    <row r="51" spans="2:16">
      <c r="F51" s="64"/>
    </row>
    <row r="52" spans="2:16">
      <c r="B52" s="261" t="s">
        <v>709</v>
      </c>
      <c r="F52" s="216"/>
      <c r="G52" s="47"/>
      <c r="H52" s="47"/>
      <c r="I52" s="47"/>
      <c r="J52" s="47"/>
      <c r="K52" s="47"/>
      <c r="L52" s="47"/>
      <c r="M52" s="47"/>
      <c r="N52" s="47"/>
      <c r="O52" s="47"/>
      <c r="P52" s="47"/>
    </row>
    <row r="53" spans="2:16">
      <c r="B53" s="51" t="s">
        <v>598</v>
      </c>
      <c r="D53" s="135" t="s">
        <v>183</v>
      </c>
      <c r="F53" s="39">
        <f>'Data Netverliezen'!F27</f>
        <v>21486506</v>
      </c>
      <c r="G53" s="47"/>
      <c r="I53" s="47"/>
      <c r="J53" s="47"/>
      <c r="K53" s="47"/>
      <c r="L53" s="47"/>
      <c r="M53" s="47"/>
      <c r="N53" s="47"/>
      <c r="O53" s="47"/>
      <c r="P53" s="47"/>
    </row>
    <row r="54" spans="2:16">
      <c r="B54" s="51" t="s">
        <v>599</v>
      </c>
      <c r="D54" s="135" t="s">
        <v>183</v>
      </c>
      <c r="F54" s="39">
        <f>'Data Netverliezen'!F28</f>
        <v>114017</v>
      </c>
      <c r="G54" s="194"/>
      <c r="I54" s="47"/>
      <c r="J54" s="47"/>
      <c r="K54" s="47"/>
      <c r="L54" s="47"/>
      <c r="M54" s="47"/>
      <c r="N54" s="47"/>
      <c r="O54" s="47"/>
      <c r="P54" s="47"/>
    </row>
    <row r="55" spans="2:16">
      <c r="B55" s="51" t="s">
        <v>600</v>
      </c>
      <c r="D55" s="135" t="s">
        <v>183</v>
      </c>
      <c r="F55" s="39">
        <f>'Data Netverliezen'!F29</f>
        <v>1049071</v>
      </c>
      <c r="G55" s="194"/>
      <c r="I55" s="47"/>
      <c r="J55" s="47"/>
      <c r="K55" s="47"/>
      <c r="L55" s="47"/>
      <c r="M55" s="47"/>
      <c r="N55" s="47"/>
      <c r="O55" s="47"/>
      <c r="P55" s="47"/>
    </row>
    <row r="56" spans="2:16">
      <c r="B56" s="51" t="s">
        <v>452</v>
      </c>
      <c r="D56" s="135" t="s">
        <v>183</v>
      </c>
      <c r="F56" s="469">
        <v>0</v>
      </c>
      <c r="G56" s="51"/>
    </row>
    <row r="57" spans="2:16">
      <c r="B57" s="51"/>
      <c r="D57" s="23"/>
      <c r="F57" s="64"/>
      <c r="G57" s="51"/>
    </row>
    <row r="58" spans="2:16">
      <c r="B58" s="261" t="s">
        <v>710</v>
      </c>
      <c r="D58" s="23"/>
      <c r="F58" s="63"/>
      <c r="G58" s="51"/>
    </row>
    <row r="59" spans="2:16">
      <c r="B59" s="51" t="s">
        <v>598</v>
      </c>
      <c r="D59" s="135" t="s">
        <v>184</v>
      </c>
      <c r="F59" s="39">
        <f>'Data Netverliezen'!F33</f>
        <v>22233337</v>
      </c>
      <c r="G59" s="51"/>
    </row>
    <row r="60" spans="2:16">
      <c r="B60" s="51" t="s">
        <v>599</v>
      </c>
      <c r="D60" s="135" t="s">
        <v>184</v>
      </c>
      <c r="F60" s="39">
        <f>'Data Netverliezen'!F34</f>
        <v>106074</v>
      </c>
      <c r="G60" s="51"/>
    </row>
    <row r="61" spans="2:16">
      <c r="B61" s="51" t="s">
        <v>600</v>
      </c>
      <c r="D61" s="135" t="s">
        <v>184</v>
      </c>
      <c r="F61" s="39">
        <f>'Data Netverliezen'!F35</f>
        <v>1052483</v>
      </c>
      <c r="G61" s="51"/>
    </row>
    <row r="62" spans="2:16">
      <c r="B62" s="51" t="s">
        <v>452</v>
      </c>
      <c r="D62" s="135" t="s">
        <v>184</v>
      </c>
      <c r="F62" s="469">
        <v>0</v>
      </c>
      <c r="G62" s="51"/>
    </row>
    <row r="63" spans="2:16">
      <c r="B63" s="51"/>
      <c r="D63" s="23"/>
      <c r="F63" s="64"/>
      <c r="G63" s="51"/>
    </row>
    <row r="64" spans="2:16">
      <c r="B64" s="261" t="s">
        <v>711</v>
      </c>
      <c r="D64" s="23"/>
      <c r="F64" s="63"/>
      <c r="G64" s="51"/>
    </row>
    <row r="65" spans="2:17">
      <c r="B65" s="51" t="s">
        <v>598</v>
      </c>
      <c r="D65" s="135" t="s">
        <v>185</v>
      </c>
      <c r="F65" s="39">
        <f>'Data Netverliezen'!F39</f>
        <v>27471072</v>
      </c>
      <c r="G65" s="51"/>
    </row>
    <row r="66" spans="2:17">
      <c r="B66" s="51" t="s">
        <v>599</v>
      </c>
      <c r="D66" s="135" t="s">
        <v>185</v>
      </c>
      <c r="F66" s="39">
        <f>'Data Netverliezen'!F40</f>
        <v>107699</v>
      </c>
      <c r="G66" s="51"/>
    </row>
    <row r="67" spans="2:17">
      <c r="B67" s="51" t="s">
        <v>600</v>
      </c>
      <c r="D67" s="135" t="s">
        <v>185</v>
      </c>
      <c r="F67" s="39">
        <f>'Data Netverliezen'!F41</f>
        <v>830042</v>
      </c>
      <c r="G67" s="51"/>
    </row>
    <row r="68" spans="2:17">
      <c r="B68" s="51" t="s">
        <v>452</v>
      </c>
      <c r="D68" s="135" t="s">
        <v>185</v>
      </c>
      <c r="F68" s="469">
        <v>0</v>
      </c>
      <c r="G68" s="51"/>
    </row>
    <row r="69" spans="2:17">
      <c r="B69" s="51"/>
      <c r="F69" s="64"/>
      <c r="G69" s="51"/>
    </row>
    <row r="70" spans="2:17" s="258" customFormat="1">
      <c r="B70" s="261" t="s">
        <v>713</v>
      </c>
      <c r="F70" s="64"/>
      <c r="G70" s="51"/>
    </row>
    <row r="71" spans="2:17" s="258" customFormat="1">
      <c r="B71" s="51" t="s">
        <v>720</v>
      </c>
      <c r="D71" s="51" t="s">
        <v>135</v>
      </c>
      <c r="F71" s="264">
        <v>5.1285643335964668E-3</v>
      </c>
      <c r="G71" s="51"/>
      <c r="Q71" s="27" t="s">
        <v>837</v>
      </c>
    </row>
    <row r="72" spans="2:17" s="258" customFormat="1">
      <c r="B72" s="51" t="s">
        <v>714</v>
      </c>
      <c r="D72" s="51" t="s">
        <v>135</v>
      </c>
      <c r="F72" s="181">
        <f>(F40-F71)/F71</f>
        <v>1.1607689553598925E-2</v>
      </c>
      <c r="G72" s="51"/>
    </row>
    <row r="73" spans="2:17" s="258" customFormat="1">
      <c r="B73" s="51" t="s">
        <v>715</v>
      </c>
      <c r="D73" s="51" t="s">
        <v>135</v>
      </c>
      <c r="F73" s="263">
        <f>'Data Netverliezen'!F45</f>
        <v>0.02</v>
      </c>
      <c r="G73" s="51"/>
    </row>
    <row r="74" spans="2:17" s="258" customFormat="1">
      <c r="B74" s="51"/>
      <c r="F74" s="265"/>
      <c r="G74" s="51"/>
    </row>
    <row r="75" spans="2:17" s="258" customFormat="1">
      <c r="B75" s="261" t="s">
        <v>716</v>
      </c>
      <c r="F75" s="265"/>
      <c r="G75" s="51"/>
    </row>
    <row r="76" spans="2:17" s="258" customFormat="1">
      <c r="B76" s="51" t="s">
        <v>717</v>
      </c>
      <c r="D76" s="135" t="s">
        <v>183</v>
      </c>
      <c r="F76" s="203">
        <f>F56*(1+F72)*(1+F73)</f>
        <v>0</v>
      </c>
      <c r="G76" s="51"/>
    </row>
    <row r="77" spans="2:17" s="258" customFormat="1">
      <c r="B77" s="51" t="s">
        <v>718</v>
      </c>
      <c r="D77" s="135" t="s">
        <v>184</v>
      </c>
      <c r="F77" s="203">
        <f>F62*(1+F72)*(1+F73)</f>
        <v>0</v>
      </c>
      <c r="G77" s="51"/>
    </row>
    <row r="78" spans="2:17" s="258" customFormat="1">
      <c r="B78" s="51" t="s">
        <v>719</v>
      </c>
      <c r="D78" s="135" t="s">
        <v>185</v>
      </c>
      <c r="F78" s="203">
        <f>F68*(1+F72)*(1+F73)</f>
        <v>0</v>
      </c>
      <c r="G78" s="51"/>
    </row>
    <row r="79" spans="2:17" s="258" customFormat="1">
      <c r="B79" s="51"/>
      <c r="F79" s="64"/>
      <c r="G79" s="51"/>
    </row>
    <row r="80" spans="2:17" s="258" customFormat="1">
      <c r="B80" s="258" t="s">
        <v>42</v>
      </c>
      <c r="D80" s="258" t="s">
        <v>135</v>
      </c>
      <c r="F80" s="311">
        <f>Productiviteitsverandering!F51</f>
        <v>7.7145491791583698E-3</v>
      </c>
      <c r="G80" s="51"/>
    </row>
    <row r="81" spans="2:16" s="258" customFormat="1">
      <c r="B81" s="27" t="s">
        <v>824</v>
      </c>
      <c r="F81" s="64"/>
      <c r="G81" s="51"/>
    </row>
    <row r="82" spans="2:16" s="258" customFormat="1">
      <c r="B82" s="51"/>
      <c r="F82" s="64"/>
      <c r="G82" s="51"/>
    </row>
    <row r="83" spans="2:16">
      <c r="B83" s="3" t="s">
        <v>464</v>
      </c>
      <c r="F83" s="64"/>
      <c r="G83" s="51"/>
    </row>
    <row r="84" spans="2:16">
      <c r="B84" s="27" t="s">
        <v>836</v>
      </c>
      <c r="F84" s="63"/>
      <c r="G84" s="51"/>
      <c r="H84" s="51"/>
    </row>
    <row r="85" spans="2:16">
      <c r="B85" s="51" t="s">
        <v>465</v>
      </c>
      <c r="D85" s="135" t="s">
        <v>186</v>
      </c>
      <c r="F85" s="98">
        <f>F76*(1+G13)*(1-F80)^3</f>
        <v>0</v>
      </c>
      <c r="G85" s="51"/>
      <c r="H85" s="51"/>
    </row>
    <row r="86" spans="2:16">
      <c r="B86" s="51" t="s">
        <v>466</v>
      </c>
      <c r="D86" s="135" t="s">
        <v>186</v>
      </c>
      <c r="F86" s="98">
        <f>F77*(1+H13)*(1-F80)^2</f>
        <v>0</v>
      </c>
      <c r="G86" s="51"/>
      <c r="H86" s="51"/>
    </row>
    <row r="87" spans="2:16">
      <c r="B87" s="51" t="s">
        <v>467</v>
      </c>
      <c r="D87" s="135" t="s">
        <v>186</v>
      </c>
      <c r="F87" s="98">
        <f>F78*(1+I13)*(1-F80)</f>
        <v>0</v>
      </c>
      <c r="G87" s="51"/>
      <c r="H87" s="51"/>
    </row>
    <row r="88" spans="2:16">
      <c r="B88" s="51" t="s">
        <v>471</v>
      </c>
      <c r="D88" s="135" t="s">
        <v>186</v>
      </c>
      <c r="F88" s="139">
        <f>AVERAGE(F85:F87)</f>
        <v>0</v>
      </c>
      <c r="G88" s="51"/>
      <c r="H88" s="51"/>
    </row>
    <row r="89" spans="2:16">
      <c r="G89" s="51"/>
      <c r="H89" s="51"/>
    </row>
    <row r="90" spans="2:16">
      <c r="G90" s="51"/>
    </row>
    <row r="91" spans="2:16">
      <c r="P91" s="27"/>
    </row>
  </sheetData>
  <pageMargins left="0.75" right="0.75" top="1" bottom="1" header="0.5" footer="0.5"/>
  <pageSetup paperSize="9"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C99"/>
  </sheetPr>
  <dimension ref="B1:Q140"/>
  <sheetViews>
    <sheetView showGridLines="0" zoomScale="85" zoomScaleNormal="85" workbookViewId="0"/>
  </sheetViews>
  <sheetFormatPr defaultRowHeight="12.75"/>
  <cols>
    <col min="1" max="1" width="2.5703125" customWidth="1"/>
    <col min="2" max="2" width="51.5703125" customWidth="1"/>
    <col min="3" max="3" width="2.5703125" customWidth="1"/>
    <col min="4" max="4" width="14.5703125" customWidth="1"/>
    <col min="5" max="5" width="2.5703125" customWidth="1"/>
    <col min="6" max="6" width="21.42578125" customWidth="1"/>
    <col min="7" max="15" width="14.85546875" customWidth="1"/>
    <col min="17" max="17" width="21.85546875" customWidth="1"/>
  </cols>
  <sheetData>
    <row r="1" spans="2:17" ht="12" customHeight="1"/>
    <row r="2" spans="2:17" s="1" customFormat="1" ht="18">
      <c r="B2" s="1" t="s">
        <v>49</v>
      </c>
      <c r="F2" s="5" t="s">
        <v>105</v>
      </c>
      <c r="G2" s="5" t="s">
        <v>96</v>
      </c>
      <c r="H2" s="5" t="s">
        <v>97</v>
      </c>
      <c r="I2" s="5" t="s">
        <v>98</v>
      </c>
      <c r="J2" s="5" t="s">
        <v>99</v>
      </c>
      <c r="K2" s="5" t="s">
        <v>100</v>
      </c>
      <c r="L2" s="5" t="s">
        <v>101</v>
      </c>
      <c r="M2" s="5" t="s">
        <v>102</v>
      </c>
      <c r="N2" s="5" t="s">
        <v>103</v>
      </c>
      <c r="O2" s="5" t="s">
        <v>197</v>
      </c>
      <c r="Q2" s="5" t="s">
        <v>567</v>
      </c>
    </row>
    <row r="4" spans="2:17">
      <c r="B4" s="51" t="s">
        <v>540</v>
      </c>
      <c r="F4" s="47"/>
    </row>
    <row r="5" spans="2:17">
      <c r="B5" s="28"/>
      <c r="F5" s="47"/>
    </row>
    <row r="7" spans="2:17" s="2" customFormat="1">
      <c r="B7" s="2" t="s">
        <v>323</v>
      </c>
    </row>
    <row r="9" spans="2:17">
      <c r="B9" s="3" t="s">
        <v>280</v>
      </c>
    </row>
    <row r="10" spans="2:17">
      <c r="B10" s="13" t="s">
        <v>209</v>
      </c>
      <c r="F10" s="107">
        <f>SUM(G10:O10)</f>
        <v>39701810.137251057</v>
      </c>
      <c r="G10" s="98">
        <f>SUMPRODUCT('PRD Volumes AD (2009-2012)'!G182:G185,'TAR2013 Tarieven AD'!G13:G16)</f>
        <v>816691.61999999988</v>
      </c>
      <c r="H10" s="98">
        <f>SUMPRODUCT('PRD Volumes AD (2009-2012)'!H182:H185,'TAR2013 Tarieven AD'!H13:H16)</f>
        <v>962903.42421052686</v>
      </c>
      <c r="I10" s="98">
        <f>SUMPRODUCT('PRD Volumes AD (2009-2012)'!I182:I185,'TAR2013 Tarieven AD'!I13:I16)</f>
        <v>1888289.5100000005</v>
      </c>
      <c r="J10" s="98">
        <f>SUMPRODUCT('PRD Volumes AD (2009-2012)'!J182:J185,'TAR2013 Tarieven AD'!J13:J16)</f>
        <v>10412838.644238615</v>
      </c>
      <c r="K10" s="98">
        <f>SUMPRODUCT('PRD Volumes AD (2009-2012)'!K182:K185,'TAR2013 Tarieven AD'!K13:K16)</f>
        <v>12263257.600000001</v>
      </c>
      <c r="L10" s="98">
        <f>SUMPRODUCT('PRD Volumes AD (2009-2012)'!L182:L185,'TAR2013 Tarieven AD'!L13:L16)</f>
        <v>546851.5</v>
      </c>
      <c r="M10" s="98">
        <f>SUMPRODUCT('PRD Volumes AD (2009-2012)'!M182:M185,'TAR2013 Tarieven AD'!M13:M16)</f>
        <v>12387835.298801914</v>
      </c>
      <c r="N10" s="98">
        <f>SUMPRODUCT('PRD Volumes AD (2009-2012)'!N182:N185,'TAR2013 Tarieven AD'!N13:N16)</f>
        <v>423142.54000000004</v>
      </c>
      <c r="O10" s="98">
        <f>SUMPRODUCT('PRD Volumes AD (2009-2012)'!O182:O185,'TAR2013 Tarieven AD'!O13:O16)</f>
        <v>0</v>
      </c>
    </row>
    <row r="11" spans="2:17">
      <c r="B11" s="13" t="s">
        <v>210</v>
      </c>
      <c r="F11" s="107">
        <f>SUM(G11:O11)</f>
        <v>0</v>
      </c>
      <c r="G11" s="98">
        <f>SUMPRODUCT('PRD Volumes AD (2009-2012)'!G188:G191,'TAR2013 Tarieven AD'!G19:G22)</f>
        <v>0</v>
      </c>
      <c r="H11" s="98">
        <f>SUMPRODUCT('PRD Volumes AD (2009-2012)'!H188:H191,'TAR2013 Tarieven AD'!H19:H22)</f>
        <v>0</v>
      </c>
      <c r="I11" s="98">
        <f>SUMPRODUCT('PRD Volumes AD (2009-2012)'!I188:I191,'TAR2013 Tarieven AD'!I19:I22)</f>
        <v>0</v>
      </c>
      <c r="J11" s="98">
        <f>SUMPRODUCT('PRD Volumes AD (2009-2012)'!J188:J191,'TAR2013 Tarieven AD'!J19:J22)</f>
        <v>0</v>
      </c>
      <c r="K11" s="98">
        <f>SUMPRODUCT('PRD Volumes AD (2009-2012)'!K188:K191,'TAR2013 Tarieven AD'!K19:K22)</f>
        <v>0</v>
      </c>
      <c r="L11" s="98">
        <f>SUMPRODUCT('PRD Volumes AD (2009-2012)'!L188:L191,'TAR2013 Tarieven AD'!L19:L22)</f>
        <v>0</v>
      </c>
      <c r="M11" s="98">
        <f>SUMPRODUCT('PRD Volumes AD (2009-2012)'!M188:M191,'TAR2013 Tarieven AD'!M19:M22)</f>
        <v>0</v>
      </c>
      <c r="N11" s="98">
        <f>SUMPRODUCT('PRD Volumes AD (2009-2012)'!N188:N191,'TAR2013 Tarieven AD'!N19:N22)</f>
        <v>0</v>
      </c>
      <c r="O11" s="98">
        <f>SUMPRODUCT('PRD Volumes AD (2009-2012)'!O188:O191,'TAR2013 Tarieven AD'!O19:O22)</f>
        <v>0</v>
      </c>
    </row>
    <row r="12" spans="2:17">
      <c r="B12" s="13" t="s">
        <v>282</v>
      </c>
      <c r="F12" s="107">
        <f>SUM(G12:O12)</f>
        <v>0</v>
      </c>
      <c r="G12" s="98">
        <f>'PRD Volumes AD (2009-2012)'!G194*'TAR2013 Tarieven AD'!G25</f>
        <v>0</v>
      </c>
      <c r="H12" s="98">
        <f>'PRD Volumes AD (2009-2012)'!H194*'TAR2013 Tarieven AD'!H25</f>
        <v>0</v>
      </c>
      <c r="I12" s="98">
        <f>'PRD Volumes AD (2009-2012)'!I194*'TAR2013 Tarieven AD'!I25</f>
        <v>0</v>
      </c>
      <c r="J12" s="98">
        <f>'PRD Volumes AD (2009-2012)'!J194*'TAR2013 Tarieven AD'!J25</f>
        <v>0</v>
      </c>
      <c r="K12" s="98">
        <f>'PRD Volumes AD (2009-2012)'!K194*'TAR2013 Tarieven AD'!K25</f>
        <v>0</v>
      </c>
      <c r="L12" s="98">
        <f>'PRD Volumes AD (2009-2012)'!L194*'TAR2013 Tarieven AD'!L25</f>
        <v>0</v>
      </c>
      <c r="M12" s="98">
        <f>'PRD Volumes AD (2009-2012)'!M194*'TAR2013 Tarieven AD'!M25</f>
        <v>0</v>
      </c>
      <c r="N12" s="98">
        <f>'PRD Volumes AD (2009-2012)'!N194*'TAR2013 Tarieven AD'!N25</f>
        <v>0</v>
      </c>
      <c r="O12" s="98">
        <f>'PRD Volumes AD (2009-2012)'!O194*'TAR2013 Tarieven AD'!O25</f>
        <v>0</v>
      </c>
    </row>
    <row r="14" spans="2:17">
      <c r="B14" s="3" t="s">
        <v>223</v>
      </c>
    </row>
    <row r="15" spans="2:17">
      <c r="B15" s="13" t="s">
        <v>209</v>
      </c>
      <c r="F15" s="107">
        <f>SUM(G15:O15)</f>
        <v>2301379.8417781987</v>
      </c>
      <c r="G15" s="98">
        <f>SUMPRODUCT('PRD Volumes AD (2009-2012)'!G200:G203,'TAR2013 Tarieven AD'!G31:G34)</f>
        <v>68700.530000000013</v>
      </c>
      <c r="H15" s="98">
        <f>SUMPRODUCT('PRD Volumes AD (2009-2012)'!H200:H203,'TAR2013 Tarieven AD'!H31:H34)</f>
        <v>18274.925789473684</v>
      </c>
      <c r="I15" s="98">
        <f>SUMPRODUCT('PRD Volumes AD (2009-2012)'!I200:I203,'TAR2013 Tarieven AD'!I31:I34)</f>
        <v>76968.37</v>
      </c>
      <c r="J15" s="98">
        <f>SUMPRODUCT('PRD Volumes AD (2009-2012)'!J200:J203,'TAR2013 Tarieven AD'!J31:J34)</f>
        <v>1011774.24</v>
      </c>
      <c r="K15" s="98">
        <f>SUMPRODUCT('PRD Volumes AD (2009-2012)'!K200:K203,'TAR2013 Tarieven AD'!K31:K34)</f>
        <v>509002.68999999994</v>
      </c>
      <c r="L15" s="98">
        <f>SUMPRODUCT('PRD Volumes AD (2009-2012)'!L200:L203,'TAR2013 Tarieven AD'!L31:L34)</f>
        <v>26078.25</v>
      </c>
      <c r="M15" s="98">
        <f>SUMPRODUCT('PRD Volumes AD (2009-2012)'!M200:M203,'TAR2013 Tarieven AD'!M31:M34)</f>
        <v>538499.66598872514</v>
      </c>
      <c r="N15" s="98">
        <f>SUMPRODUCT('PRD Volumes AD (2009-2012)'!N200:N203,'TAR2013 Tarieven AD'!N31:N34)</f>
        <v>52081.170000000006</v>
      </c>
      <c r="O15" s="98">
        <f>SUMPRODUCT('PRD Volumes AD (2009-2012)'!O200:O203,'TAR2013 Tarieven AD'!O31:O34)</f>
        <v>0</v>
      </c>
    </row>
    <row r="16" spans="2:17">
      <c r="B16" s="13" t="s">
        <v>210</v>
      </c>
      <c r="F16" s="107">
        <f>SUM(G16:O16)</f>
        <v>86347.18</v>
      </c>
      <c r="G16" s="98">
        <f>SUMPRODUCT('PRD Volumes AD (2009-2012)'!G206:G209,'TAR2013 Tarieven AD'!G37:G40)</f>
        <v>46415.39</v>
      </c>
      <c r="H16" s="98">
        <f>SUMPRODUCT('PRD Volumes AD (2009-2012)'!H206:H209,'TAR2013 Tarieven AD'!H37:H40)</f>
        <v>0</v>
      </c>
      <c r="I16" s="98">
        <f>SUMPRODUCT('PRD Volumes AD (2009-2012)'!I206:I209,'TAR2013 Tarieven AD'!I37:I40)</f>
        <v>0</v>
      </c>
      <c r="J16" s="98">
        <f>SUMPRODUCT('PRD Volumes AD (2009-2012)'!J206:J209,'TAR2013 Tarieven AD'!J37:J40)</f>
        <v>0</v>
      </c>
      <c r="K16" s="98">
        <f>SUMPRODUCT('PRD Volumes AD (2009-2012)'!K206:K209,'TAR2013 Tarieven AD'!K37:K40)</f>
        <v>39931.79</v>
      </c>
      <c r="L16" s="98">
        <f>SUMPRODUCT('PRD Volumes AD (2009-2012)'!L206:L209,'TAR2013 Tarieven AD'!L37:L40)</f>
        <v>0</v>
      </c>
      <c r="M16" s="98">
        <f>SUMPRODUCT('PRD Volumes AD (2009-2012)'!M206:M209,'TAR2013 Tarieven AD'!M37:M40)</f>
        <v>0</v>
      </c>
      <c r="N16" s="98">
        <f>SUMPRODUCT('PRD Volumes AD (2009-2012)'!N206:N209,'TAR2013 Tarieven AD'!N37:N40)</f>
        <v>0</v>
      </c>
      <c r="O16" s="98">
        <f>SUMPRODUCT('PRD Volumes AD (2009-2012)'!O206:O209,'TAR2013 Tarieven AD'!O37:O40)</f>
        <v>0</v>
      </c>
    </row>
    <row r="17" spans="2:15">
      <c r="B17" s="13" t="s">
        <v>282</v>
      </c>
      <c r="F17" s="107">
        <f>SUM(G17:O17)</f>
        <v>0</v>
      </c>
      <c r="G17" s="98">
        <f>'PRD Volumes AD (2009-2012)'!G212*'TAR2013 Tarieven AD'!G43</f>
        <v>0</v>
      </c>
      <c r="H17" s="98">
        <f>'PRD Volumes AD (2009-2012)'!H212*'TAR2013 Tarieven AD'!H43</f>
        <v>0</v>
      </c>
      <c r="I17" s="98">
        <f>'PRD Volumes AD (2009-2012)'!I212*'TAR2013 Tarieven AD'!I43</f>
        <v>0</v>
      </c>
      <c r="J17" s="98">
        <f>'PRD Volumes AD (2009-2012)'!J212*'TAR2013 Tarieven AD'!J43</f>
        <v>0</v>
      </c>
      <c r="K17" s="98">
        <f>'PRD Volumes AD (2009-2012)'!K212*'TAR2013 Tarieven AD'!K43</f>
        <v>0</v>
      </c>
      <c r="L17" s="98">
        <f>'PRD Volumes AD (2009-2012)'!L212*'TAR2013 Tarieven AD'!L43</f>
        <v>0</v>
      </c>
      <c r="M17" s="98">
        <f>'PRD Volumes AD (2009-2012)'!M212*'TAR2013 Tarieven AD'!M43</f>
        <v>0</v>
      </c>
      <c r="N17" s="98">
        <f>'PRD Volumes AD (2009-2012)'!N212*'TAR2013 Tarieven AD'!N43</f>
        <v>0</v>
      </c>
      <c r="O17" s="98">
        <f>'PRD Volumes AD (2009-2012)'!O212*'TAR2013 Tarieven AD'!O43</f>
        <v>0</v>
      </c>
    </row>
    <row r="19" spans="2:15">
      <c r="B19" s="3" t="s">
        <v>281</v>
      </c>
    </row>
    <row r="20" spans="2:15">
      <c r="B20" s="13" t="s">
        <v>211</v>
      </c>
      <c r="F20" s="107">
        <f>SUM(G20:O20)</f>
        <v>1352551.6359904418</v>
      </c>
      <c r="G20" s="98">
        <f>SUMPRODUCT('PRD Volumes AD (2009-2012)'!G218:G227,'TAR2013 Tarieven AD'!G49:G58)</f>
        <v>46597.609999999993</v>
      </c>
      <c r="H20" s="98">
        <f>SUMPRODUCT('PRD Volumes AD (2009-2012)'!H218:H227,'TAR2013 Tarieven AD'!H49:H58)</f>
        <v>90593</v>
      </c>
      <c r="I20" s="98">
        <f>SUMPRODUCT('PRD Volumes AD (2009-2012)'!I218:I227,'TAR2013 Tarieven AD'!I49:I58)</f>
        <v>58854.99</v>
      </c>
      <c r="J20" s="98">
        <f>SUMPRODUCT('PRD Volumes AD (2009-2012)'!J218:J227,'TAR2013 Tarieven AD'!J49:J58)</f>
        <v>573803.53</v>
      </c>
      <c r="K20" s="98">
        <f>SUMPRODUCT('PRD Volumes AD (2009-2012)'!K218:K227,'TAR2013 Tarieven AD'!K49:K58)</f>
        <v>10893</v>
      </c>
      <c r="L20" s="98">
        <f>SUMPRODUCT('PRD Volumes AD (2009-2012)'!L218:L227,'TAR2013 Tarieven AD'!L49:L58)</f>
        <v>4250</v>
      </c>
      <c r="M20" s="98">
        <f>SUMPRODUCT('PRD Volumes AD (2009-2012)'!M218:M227,'TAR2013 Tarieven AD'!M49:M58)</f>
        <v>494813.61599044176</v>
      </c>
      <c r="N20" s="98">
        <f>SUMPRODUCT('PRD Volumes AD (2009-2012)'!N218:N227,'TAR2013 Tarieven AD'!N49:N58)</f>
        <v>72745.890000000014</v>
      </c>
      <c r="O20" s="98">
        <f>SUMPRODUCT('PRD Volumes AD (2009-2012)'!O218:O227,'TAR2013 Tarieven AD'!O49:O58)</f>
        <v>0</v>
      </c>
    </row>
    <row r="21" spans="2:15">
      <c r="B21" s="13" t="s">
        <v>212</v>
      </c>
      <c r="F21" s="107">
        <f>SUM(G21:O21)</f>
        <v>529692.61904244113</v>
      </c>
      <c r="G21" s="98">
        <f>SUMPRODUCT('PRD Volumes AD (2009-2012)'!G230:G239,'TAR2013 Tarieven AD'!G61:G70)</f>
        <v>17962.13</v>
      </c>
      <c r="H21" s="98">
        <f>SUMPRODUCT('PRD Volumes AD (2009-2012)'!H230:H239,'TAR2013 Tarieven AD'!H61:H70)</f>
        <v>0</v>
      </c>
      <c r="I21" s="98">
        <f>SUMPRODUCT('PRD Volumes AD (2009-2012)'!I230:I239,'TAR2013 Tarieven AD'!I61:I70)</f>
        <v>8956</v>
      </c>
      <c r="J21" s="98">
        <f>SUMPRODUCT('PRD Volumes AD (2009-2012)'!J230:J239,'TAR2013 Tarieven AD'!J61:J70)</f>
        <v>0</v>
      </c>
      <c r="K21" s="98">
        <f>SUMPRODUCT('PRD Volumes AD (2009-2012)'!K230:K239,'TAR2013 Tarieven AD'!K61:K70)</f>
        <v>365772</v>
      </c>
      <c r="L21" s="98">
        <f>SUMPRODUCT('PRD Volumes AD (2009-2012)'!L230:L239,'TAR2013 Tarieven AD'!L61:L70)</f>
        <v>0</v>
      </c>
      <c r="M21" s="98">
        <f>SUMPRODUCT('PRD Volumes AD (2009-2012)'!M230:M239,'TAR2013 Tarieven AD'!M61:M70)</f>
        <v>137002.48904244113</v>
      </c>
      <c r="N21" s="98">
        <f>SUMPRODUCT('PRD Volumes AD (2009-2012)'!N230:N239,'TAR2013 Tarieven AD'!N61:N70)</f>
        <v>0</v>
      </c>
      <c r="O21" s="98">
        <f>SUMPRODUCT('PRD Volumes AD (2009-2012)'!O230:O239,'TAR2013 Tarieven AD'!O61:O70)</f>
        <v>0</v>
      </c>
    </row>
    <row r="22" spans="2:15">
      <c r="B22" s="13" t="s">
        <v>283</v>
      </c>
      <c r="F22" s="107">
        <f>SUM(G22:O22)</f>
        <v>0</v>
      </c>
      <c r="G22" s="98">
        <f>'PRD Volumes AD (2009-2012)'!G242*'TAR2013 Tarieven AD'!G73</f>
        <v>0</v>
      </c>
      <c r="H22" s="98">
        <f>'PRD Volumes AD (2009-2012)'!H242*'TAR2013 Tarieven AD'!H73</f>
        <v>0</v>
      </c>
      <c r="I22" s="98">
        <f>'PRD Volumes AD (2009-2012)'!I242*'TAR2013 Tarieven AD'!I73</f>
        <v>0</v>
      </c>
      <c r="J22" s="98">
        <f>'PRD Volumes AD (2009-2012)'!J242*'TAR2013 Tarieven AD'!J73</f>
        <v>0</v>
      </c>
      <c r="K22" s="98">
        <f>'PRD Volumes AD (2009-2012)'!K242*'TAR2013 Tarieven AD'!K73</f>
        <v>0</v>
      </c>
      <c r="L22" s="98">
        <f>'PRD Volumes AD (2009-2012)'!L242*'TAR2013 Tarieven AD'!L73</f>
        <v>0</v>
      </c>
      <c r="M22" s="98">
        <f>'PRD Volumes AD (2009-2012)'!M242*'TAR2013 Tarieven AD'!M73</f>
        <v>0</v>
      </c>
      <c r="N22" s="98">
        <f>'PRD Volumes AD (2009-2012)'!N242*'TAR2013 Tarieven AD'!N73</f>
        <v>0</v>
      </c>
      <c r="O22" s="98">
        <f>'PRD Volumes AD (2009-2012)'!O242*'TAR2013 Tarieven AD'!O73</f>
        <v>0</v>
      </c>
    </row>
    <row r="24" spans="2:15">
      <c r="B24" s="3" t="s">
        <v>321</v>
      </c>
      <c r="F24" s="150">
        <f>SUM(G24:O24)</f>
        <v>43971781.414062135</v>
      </c>
      <c r="G24" s="150">
        <f>SUM(G10:G12,G15:G17,G20:G22)</f>
        <v>996367.27999999991</v>
      </c>
      <c r="H24" s="150">
        <f t="shared" ref="H24:O24" si="0">SUM(H10:H12,H15:H17,H20:H22)</f>
        <v>1071771.3500000006</v>
      </c>
      <c r="I24" s="150">
        <f t="shared" si="0"/>
        <v>2033068.8700000003</v>
      </c>
      <c r="J24" s="150">
        <f t="shared" si="0"/>
        <v>11998416.414238615</v>
      </c>
      <c r="K24" s="150">
        <f t="shared" si="0"/>
        <v>13188857.08</v>
      </c>
      <c r="L24" s="150">
        <f t="shared" si="0"/>
        <v>577179.75</v>
      </c>
      <c r="M24" s="150">
        <f t="shared" si="0"/>
        <v>13558151.06982352</v>
      </c>
      <c r="N24" s="150">
        <f t="shared" si="0"/>
        <v>547969.60000000009</v>
      </c>
      <c r="O24" s="150">
        <f t="shared" si="0"/>
        <v>0</v>
      </c>
    </row>
    <row r="25" spans="2:15">
      <c r="B25" s="13" t="s">
        <v>322</v>
      </c>
      <c r="F25" s="107">
        <f>SUM(G25:O25)</f>
        <v>0</v>
      </c>
      <c r="G25" s="107">
        <f>G12+G17+G22</f>
        <v>0</v>
      </c>
      <c r="H25" s="107">
        <f t="shared" ref="H25:O25" si="1">H12+H17+H22</f>
        <v>0</v>
      </c>
      <c r="I25" s="107">
        <f t="shared" si="1"/>
        <v>0</v>
      </c>
      <c r="J25" s="107">
        <f t="shared" si="1"/>
        <v>0</v>
      </c>
      <c r="K25" s="107">
        <f t="shared" si="1"/>
        <v>0</v>
      </c>
      <c r="L25" s="107">
        <f t="shared" si="1"/>
        <v>0</v>
      </c>
      <c r="M25" s="107">
        <f t="shared" si="1"/>
        <v>0</v>
      </c>
      <c r="N25" s="107">
        <f t="shared" si="1"/>
        <v>0</v>
      </c>
      <c r="O25" s="107">
        <f t="shared" si="1"/>
        <v>0</v>
      </c>
    </row>
    <row r="28" spans="2:15" s="2" customFormat="1">
      <c r="B28" s="2" t="s">
        <v>324</v>
      </c>
    </row>
    <row r="30" spans="2:15">
      <c r="B30" s="3" t="s">
        <v>280</v>
      </c>
    </row>
    <row r="31" spans="2:15">
      <c r="B31" s="13" t="s">
        <v>209</v>
      </c>
      <c r="F31" s="107">
        <f>SUM(G31:O31)</f>
        <v>36033938.992579401</v>
      </c>
      <c r="G31" s="98">
        <f>SUMPRODUCT('PRD Volumes AD (2009-2012)'!G300:G303,'TAR2013 Tarieven AD'!G81:G84)</f>
        <v>963774</v>
      </c>
      <c r="H31" s="98">
        <f>SUMPRODUCT('PRD Volumes AD (2009-2012)'!H300:H303,'TAR2013 Tarieven AD'!H81:H84)</f>
        <v>1049203</v>
      </c>
      <c r="I31" s="98">
        <f>SUMPRODUCT('PRD Volumes AD (2009-2012)'!I300:I303,'TAR2013 Tarieven AD'!I81:I84)</f>
        <v>2490696.7400000039</v>
      </c>
      <c r="J31" s="98">
        <f>SUMPRODUCT('PRD Volumes AD (2009-2012)'!J300:J303,'TAR2013 Tarieven AD'!J81:J84)</f>
        <v>10166389.810000002</v>
      </c>
      <c r="K31" s="98">
        <f>SUMPRODUCT('PRD Volumes AD (2009-2012)'!K300:K303,'TAR2013 Tarieven AD'!K81:K84)</f>
        <v>12820260</v>
      </c>
      <c r="L31" s="98">
        <f>SUMPRODUCT('PRD Volumes AD (2009-2012)'!L300:L303,'TAR2013 Tarieven AD'!L81:L84)</f>
        <v>587151.45000000007</v>
      </c>
      <c r="M31" s="98">
        <f>SUMPRODUCT('PRD Volumes AD (2009-2012)'!M300:M303,'TAR2013 Tarieven AD'!M81:M84)</f>
        <v>7527798.2225793963</v>
      </c>
      <c r="N31" s="98">
        <f>SUMPRODUCT('PRD Volumes AD (2009-2012)'!N300:N303,'TAR2013 Tarieven AD'!N81:N84)</f>
        <v>428665.76999999996</v>
      </c>
      <c r="O31" s="98">
        <f>SUMPRODUCT('PRD Volumes AD (2009-2012)'!O300:O303,'TAR2013 Tarieven AD'!O81:O84)</f>
        <v>0</v>
      </c>
    </row>
    <row r="32" spans="2:15">
      <c r="B32" s="13" t="s">
        <v>210</v>
      </c>
      <c r="F32" s="107">
        <f>SUM(G32:O32)</f>
        <v>0</v>
      </c>
      <c r="G32" s="98">
        <f>SUMPRODUCT('PRD Volumes AD (2009-2012)'!G306:G309,'TAR2013 Tarieven AD'!G87:G90)</f>
        <v>0</v>
      </c>
      <c r="H32" s="98">
        <f>SUMPRODUCT('PRD Volumes AD (2009-2012)'!H306:H309,'TAR2013 Tarieven AD'!H87:H90)</f>
        <v>0</v>
      </c>
      <c r="I32" s="98">
        <f>SUMPRODUCT('PRD Volumes AD (2009-2012)'!I306:I309,'TAR2013 Tarieven AD'!I87:I90)</f>
        <v>0</v>
      </c>
      <c r="J32" s="98">
        <f>SUMPRODUCT('PRD Volumes AD (2009-2012)'!J306:J309,'TAR2013 Tarieven AD'!J87:J90)</f>
        <v>0</v>
      </c>
      <c r="K32" s="98">
        <f>SUMPRODUCT('PRD Volumes AD (2009-2012)'!K306:K309,'TAR2013 Tarieven AD'!K87:K90)</f>
        <v>0</v>
      </c>
      <c r="L32" s="98">
        <f>SUMPRODUCT('PRD Volumes AD (2009-2012)'!L306:L309,'TAR2013 Tarieven AD'!L87:L90)</f>
        <v>0</v>
      </c>
      <c r="M32" s="98">
        <f>SUMPRODUCT('PRD Volumes AD (2009-2012)'!M306:M309,'TAR2013 Tarieven AD'!M87:M90)</f>
        <v>0</v>
      </c>
      <c r="N32" s="98">
        <f>SUMPRODUCT('PRD Volumes AD (2009-2012)'!N306:N309,'TAR2013 Tarieven AD'!N87:N90)</f>
        <v>0</v>
      </c>
      <c r="O32" s="98">
        <f>SUMPRODUCT('PRD Volumes AD (2009-2012)'!O306:O309,'TAR2013 Tarieven AD'!O87:O90)</f>
        <v>0</v>
      </c>
    </row>
    <row r="33" spans="2:15">
      <c r="B33" s="13" t="s">
        <v>282</v>
      </c>
      <c r="F33" s="107">
        <f>SUM(G33:O33)</f>
        <v>0</v>
      </c>
      <c r="G33" s="98">
        <f>'PRD Volumes AD (2009-2012)'!G312*'TAR2013 Tarieven AD'!G93</f>
        <v>0</v>
      </c>
      <c r="H33" s="98">
        <f>'PRD Volumes AD (2009-2012)'!H312*'TAR2013 Tarieven AD'!H93</f>
        <v>0</v>
      </c>
      <c r="I33" s="98">
        <f>'PRD Volumes AD (2009-2012)'!I312*'TAR2013 Tarieven AD'!I93</f>
        <v>0</v>
      </c>
      <c r="J33" s="98">
        <f>'PRD Volumes AD (2009-2012)'!J312*'TAR2013 Tarieven AD'!J93</f>
        <v>0</v>
      </c>
      <c r="K33" s="98">
        <f>'PRD Volumes AD (2009-2012)'!K312*'TAR2013 Tarieven AD'!K93</f>
        <v>0</v>
      </c>
      <c r="L33" s="98">
        <f>'PRD Volumes AD (2009-2012)'!L312*'TAR2013 Tarieven AD'!L93</f>
        <v>0</v>
      </c>
      <c r="M33" s="98">
        <f>'PRD Volumes AD (2009-2012)'!M312*'TAR2013 Tarieven AD'!M93</f>
        <v>0</v>
      </c>
      <c r="N33" s="98">
        <f>'PRD Volumes AD (2009-2012)'!N312*'TAR2013 Tarieven AD'!N93</f>
        <v>0</v>
      </c>
      <c r="O33" s="98">
        <f>'PRD Volumes AD (2009-2012)'!O312*'TAR2013 Tarieven AD'!O93</f>
        <v>0</v>
      </c>
    </row>
    <row r="34" spans="2:15">
      <c r="F34" s="258"/>
    </row>
    <row r="35" spans="2:15">
      <c r="B35" s="3" t="s">
        <v>223</v>
      </c>
      <c r="F35" s="258"/>
    </row>
    <row r="36" spans="2:15">
      <c r="B36" s="13" t="s">
        <v>209</v>
      </c>
      <c r="F36" s="107">
        <f>SUM(G36:O36)</f>
        <v>2283480.4487216277</v>
      </c>
      <c r="G36" s="98">
        <f>SUMPRODUCT('PRD Volumes AD (2009-2012)'!G318:G321,'TAR2013 Tarieven AD'!G99:G102)</f>
        <v>43562.32</v>
      </c>
      <c r="H36" s="98">
        <f>SUMPRODUCT('PRD Volumes AD (2009-2012)'!H318:H321,'TAR2013 Tarieven AD'!H99:H102)</f>
        <v>59811.300101155815</v>
      </c>
      <c r="I36" s="98">
        <f>SUMPRODUCT('PRD Volumes AD (2009-2012)'!I318:I321,'TAR2013 Tarieven AD'!I99:I102)</f>
        <v>106921.05</v>
      </c>
      <c r="J36" s="98">
        <f>SUMPRODUCT('PRD Volumes AD (2009-2012)'!J318:J321,'TAR2013 Tarieven AD'!J99:J102)</f>
        <v>778315.96000000008</v>
      </c>
      <c r="K36" s="98">
        <f>SUMPRODUCT('PRD Volumes AD (2009-2012)'!K318:K321,'TAR2013 Tarieven AD'!K99:K102)</f>
        <v>723941.8</v>
      </c>
      <c r="L36" s="98">
        <f>SUMPRODUCT('PRD Volumes AD (2009-2012)'!L318:L321,'TAR2013 Tarieven AD'!L99:L102)</f>
        <v>26409</v>
      </c>
      <c r="M36" s="98">
        <f>SUMPRODUCT('PRD Volumes AD (2009-2012)'!M318:M321,'TAR2013 Tarieven AD'!M99:M102)</f>
        <v>499022.29037950211</v>
      </c>
      <c r="N36" s="98">
        <f>SUMPRODUCT('PRD Volumes AD (2009-2012)'!N318:N321,'TAR2013 Tarieven AD'!N99:N102)</f>
        <v>45496.728240969824</v>
      </c>
      <c r="O36" s="98">
        <f>SUMPRODUCT('PRD Volumes AD (2009-2012)'!O318:O321,'TAR2013 Tarieven AD'!O99:O102)</f>
        <v>0</v>
      </c>
    </row>
    <row r="37" spans="2:15">
      <c r="B37" s="13" t="s">
        <v>210</v>
      </c>
      <c r="F37" s="107">
        <f>SUM(G37:O37)</f>
        <v>0</v>
      </c>
      <c r="G37" s="98">
        <f>SUMPRODUCT('PRD Volumes AD (2009-2012)'!G324:G327,'TAR2013 Tarieven AD'!G105:G108)</f>
        <v>0</v>
      </c>
      <c r="H37" s="98">
        <f>SUMPRODUCT('PRD Volumes AD (2009-2012)'!H324:H327,'TAR2013 Tarieven AD'!H105:H108)</f>
        <v>0</v>
      </c>
      <c r="I37" s="98">
        <f>SUMPRODUCT('PRD Volumes AD (2009-2012)'!I324:I327,'TAR2013 Tarieven AD'!I105:I108)</f>
        <v>0</v>
      </c>
      <c r="J37" s="98">
        <f>SUMPRODUCT('PRD Volumes AD (2009-2012)'!J324:J327,'TAR2013 Tarieven AD'!J105:J108)</f>
        <v>0</v>
      </c>
      <c r="K37" s="98">
        <f>SUMPRODUCT('PRD Volumes AD (2009-2012)'!K324:K327,'TAR2013 Tarieven AD'!K105:K108)</f>
        <v>0</v>
      </c>
      <c r="L37" s="98">
        <f>SUMPRODUCT('PRD Volumes AD (2009-2012)'!L324:L327,'TAR2013 Tarieven AD'!L105:L108)</f>
        <v>0</v>
      </c>
      <c r="M37" s="98">
        <f>SUMPRODUCT('PRD Volumes AD (2009-2012)'!M324:M327,'TAR2013 Tarieven AD'!M105:M108)</f>
        <v>0</v>
      </c>
      <c r="N37" s="98">
        <f>SUMPRODUCT('PRD Volumes AD (2009-2012)'!N324:N327,'TAR2013 Tarieven AD'!N105:N108)</f>
        <v>0</v>
      </c>
      <c r="O37" s="98">
        <f>SUMPRODUCT('PRD Volumes AD (2009-2012)'!O324:O327,'TAR2013 Tarieven AD'!O105:O108)</f>
        <v>0</v>
      </c>
    </row>
    <row r="38" spans="2:15">
      <c r="B38" s="13" t="s">
        <v>282</v>
      </c>
      <c r="F38" s="107">
        <f>SUM(G38:O38)</f>
        <v>0</v>
      </c>
      <c r="G38" s="98">
        <f>'PRD Volumes AD (2009-2012)'!G330*'TAR2013 Tarieven AD'!G111</f>
        <v>0</v>
      </c>
      <c r="H38" s="98">
        <f>'PRD Volumes AD (2009-2012)'!H330*'TAR2013 Tarieven AD'!H111</f>
        <v>0</v>
      </c>
      <c r="I38" s="98">
        <f>'PRD Volumes AD (2009-2012)'!I330*'TAR2013 Tarieven AD'!I111</f>
        <v>0</v>
      </c>
      <c r="J38" s="98">
        <f>'PRD Volumes AD (2009-2012)'!J330*'TAR2013 Tarieven AD'!J111</f>
        <v>0</v>
      </c>
      <c r="K38" s="98">
        <f>'PRD Volumes AD (2009-2012)'!K330*'TAR2013 Tarieven AD'!K111</f>
        <v>0</v>
      </c>
      <c r="L38" s="98">
        <f>'PRD Volumes AD (2009-2012)'!L330*'TAR2013 Tarieven AD'!L111</f>
        <v>0</v>
      </c>
      <c r="M38" s="98">
        <f>'PRD Volumes AD (2009-2012)'!M330*'TAR2013 Tarieven AD'!M111</f>
        <v>0</v>
      </c>
      <c r="N38" s="98">
        <f>'PRD Volumes AD (2009-2012)'!N330*'TAR2013 Tarieven AD'!N111</f>
        <v>0</v>
      </c>
      <c r="O38" s="98">
        <f>'PRD Volumes AD (2009-2012)'!O330*'TAR2013 Tarieven AD'!O111</f>
        <v>0</v>
      </c>
    </row>
    <row r="39" spans="2:15">
      <c r="F39" s="258"/>
    </row>
    <row r="40" spans="2:15">
      <c r="B40" s="3" t="s">
        <v>281</v>
      </c>
      <c r="F40" s="258"/>
    </row>
    <row r="41" spans="2:15">
      <c r="B41" s="13" t="s">
        <v>211</v>
      </c>
      <c r="F41" s="107">
        <f>SUM(G41:O41)</f>
        <v>703405.72935807169</v>
      </c>
      <c r="G41" s="98">
        <f>SUMPRODUCT('PRD Volumes AD (2009-2012)'!G336:G345,'TAR2013 Tarieven AD'!G117:G126)</f>
        <v>12910</v>
      </c>
      <c r="H41" s="98">
        <f>SUMPRODUCT('PRD Volumes AD (2009-2012)'!H336:H345,'TAR2013 Tarieven AD'!H117:H126)</f>
        <v>9600</v>
      </c>
      <c r="I41" s="98">
        <f>SUMPRODUCT('PRD Volumes AD (2009-2012)'!I336:I345,'TAR2013 Tarieven AD'!I117:I126)</f>
        <v>31430</v>
      </c>
      <c r="J41" s="98">
        <f>SUMPRODUCT('PRD Volumes AD (2009-2012)'!J336:J345,'TAR2013 Tarieven AD'!J117:J126)</f>
        <v>279805.06935807166</v>
      </c>
      <c r="K41" s="98">
        <f>SUMPRODUCT('PRD Volumes AD (2009-2012)'!K336:K345,'TAR2013 Tarieven AD'!K117:K126)</f>
        <v>298816</v>
      </c>
      <c r="L41" s="98">
        <f>SUMPRODUCT('PRD Volumes AD (2009-2012)'!L336:L345,'TAR2013 Tarieven AD'!L117:L126)</f>
        <v>4350</v>
      </c>
      <c r="M41" s="98">
        <f>SUMPRODUCT('PRD Volumes AD (2009-2012)'!M336:M345,'TAR2013 Tarieven AD'!M117:M126)</f>
        <v>61750</v>
      </c>
      <c r="N41" s="98">
        <f>SUMPRODUCT('PRD Volumes AD (2009-2012)'!N336:N345,'TAR2013 Tarieven AD'!N117:N126)</f>
        <v>4744.66</v>
      </c>
      <c r="O41" s="98">
        <f>SUMPRODUCT('PRD Volumes AD (2009-2012)'!O336:O345,'TAR2013 Tarieven AD'!O117:O126)</f>
        <v>0</v>
      </c>
    </row>
    <row r="42" spans="2:15">
      <c r="B42" s="13" t="s">
        <v>212</v>
      </c>
      <c r="F42" s="107">
        <f>SUM(G42:O42)</f>
        <v>233841.215</v>
      </c>
      <c r="G42" s="98">
        <f>SUMPRODUCT('PRD Volumes AD (2009-2012)'!G348:G357,'TAR2013 Tarieven AD'!G129:G138)</f>
        <v>0</v>
      </c>
      <c r="H42" s="98">
        <f>SUMPRODUCT('PRD Volumes AD (2009-2012)'!H348:H357,'TAR2013 Tarieven AD'!H129:H138)</f>
        <v>22500</v>
      </c>
      <c r="I42" s="98">
        <f>SUMPRODUCT('PRD Volumes AD (2009-2012)'!I348:I357,'TAR2013 Tarieven AD'!I129:I138)</f>
        <v>0</v>
      </c>
      <c r="J42" s="98">
        <f>SUMPRODUCT('PRD Volumes AD (2009-2012)'!J348:J357,'TAR2013 Tarieven AD'!J129:J138)</f>
        <v>129901.69500000001</v>
      </c>
      <c r="K42" s="98">
        <f>SUMPRODUCT('PRD Volumes AD (2009-2012)'!K348:K357,'TAR2013 Tarieven AD'!K129:K138)</f>
        <v>12979</v>
      </c>
      <c r="L42" s="98">
        <f>SUMPRODUCT('PRD Volumes AD (2009-2012)'!L348:L357,'TAR2013 Tarieven AD'!L129:L138)</f>
        <v>6000</v>
      </c>
      <c r="M42" s="98">
        <f>SUMPRODUCT('PRD Volumes AD (2009-2012)'!M348:M357,'TAR2013 Tarieven AD'!M129:M138)</f>
        <v>51850</v>
      </c>
      <c r="N42" s="98">
        <f>SUMPRODUCT('PRD Volumes AD (2009-2012)'!N348:N357,'TAR2013 Tarieven AD'!N129:N138)</f>
        <v>10610.52</v>
      </c>
      <c r="O42" s="98">
        <f>SUMPRODUCT('PRD Volumes AD (2009-2012)'!O348:O357,'TAR2013 Tarieven AD'!O129:O138)</f>
        <v>0</v>
      </c>
    </row>
    <row r="43" spans="2:15">
      <c r="B43" s="13" t="s">
        <v>283</v>
      </c>
      <c r="F43" s="107">
        <f>SUM(G43:O43)</f>
        <v>0</v>
      </c>
      <c r="G43" s="98">
        <f>'PRD Volumes AD (2009-2012)'!G360*'TAR2013 Tarieven AD'!G141</f>
        <v>0</v>
      </c>
      <c r="H43" s="98">
        <f>'PRD Volumes AD (2009-2012)'!H360*'TAR2013 Tarieven AD'!H141</f>
        <v>0</v>
      </c>
      <c r="I43" s="98">
        <f>'PRD Volumes AD (2009-2012)'!I360*'TAR2013 Tarieven AD'!I141</f>
        <v>0</v>
      </c>
      <c r="J43" s="98">
        <f>'PRD Volumes AD (2009-2012)'!J360*'TAR2013 Tarieven AD'!J141</f>
        <v>0</v>
      </c>
      <c r="K43" s="98">
        <f>'PRD Volumes AD (2009-2012)'!K360*'TAR2013 Tarieven AD'!K141</f>
        <v>0</v>
      </c>
      <c r="L43" s="98">
        <f>'PRD Volumes AD (2009-2012)'!L360*'TAR2013 Tarieven AD'!L141</f>
        <v>0</v>
      </c>
      <c r="M43" s="98">
        <f>'PRD Volumes AD (2009-2012)'!M360*'TAR2013 Tarieven AD'!M141</f>
        <v>0</v>
      </c>
      <c r="N43" s="98">
        <f>'PRD Volumes AD (2009-2012)'!N360*'TAR2013 Tarieven AD'!N141</f>
        <v>0</v>
      </c>
      <c r="O43" s="98">
        <f>'PRD Volumes AD (2009-2012)'!O360*'TAR2013 Tarieven AD'!O141</f>
        <v>0</v>
      </c>
    </row>
    <row r="44" spans="2:15">
      <c r="F44" s="258"/>
    </row>
    <row r="45" spans="2:15">
      <c r="B45" s="3" t="s">
        <v>321</v>
      </c>
      <c r="F45" s="150">
        <f>SUM(G45:O45)</f>
        <v>39254666.385659099</v>
      </c>
      <c r="G45" s="150">
        <f>SUM(G31:G33,G36:G38,G41:G43)</f>
        <v>1020246.32</v>
      </c>
      <c r="H45" s="150">
        <f t="shared" ref="H45:O45" si="2">SUM(H31:H33,H36:H38,H41:H43)</f>
        <v>1141114.3001011559</v>
      </c>
      <c r="I45" s="150">
        <f t="shared" si="2"/>
        <v>2629047.7900000038</v>
      </c>
      <c r="J45" s="150">
        <f t="shared" si="2"/>
        <v>11354412.534358075</v>
      </c>
      <c r="K45" s="150">
        <f t="shared" si="2"/>
        <v>13855996.800000001</v>
      </c>
      <c r="L45" s="150">
        <f t="shared" si="2"/>
        <v>623910.45000000007</v>
      </c>
      <c r="M45" s="150">
        <f t="shared" si="2"/>
        <v>8140420.5129588982</v>
      </c>
      <c r="N45" s="150">
        <f t="shared" si="2"/>
        <v>489517.67824096978</v>
      </c>
      <c r="O45" s="150">
        <f t="shared" si="2"/>
        <v>0</v>
      </c>
    </row>
    <row r="46" spans="2:15">
      <c r="B46" s="13" t="s">
        <v>322</v>
      </c>
      <c r="F46" s="107">
        <f>SUM(G46:O46)</f>
        <v>0</v>
      </c>
      <c r="G46" s="107">
        <f>G33+G38+G43</f>
        <v>0</v>
      </c>
      <c r="H46" s="107">
        <f t="shared" ref="H46:O46" si="3">H33+H38+H43</f>
        <v>0</v>
      </c>
      <c r="I46" s="107">
        <f t="shared" si="3"/>
        <v>0</v>
      </c>
      <c r="J46" s="107">
        <f t="shared" si="3"/>
        <v>0</v>
      </c>
      <c r="K46" s="107">
        <f t="shared" si="3"/>
        <v>0</v>
      </c>
      <c r="L46" s="107">
        <f t="shared" si="3"/>
        <v>0</v>
      </c>
      <c r="M46" s="107">
        <f t="shared" si="3"/>
        <v>0</v>
      </c>
      <c r="N46" s="107">
        <f t="shared" si="3"/>
        <v>0</v>
      </c>
      <c r="O46" s="107">
        <f t="shared" si="3"/>
        <v>0</v>
      </c>
    </row>
    <row r="49" spans="2:15" s="2" customFormat="1">
      <c r="B49" s="2" t="s">
        <v>325</v>
      </c>
    </row>
    <row r="51" spans="2:15">
      <c r="B51" s="3" t="s">
        <v>280</v>
      </c>
    </row>
    <row r="52" spans="2:15">
      <c r="B52" s="13" t="s">
        <v>209</v>
      </c>
      <c r="F52" s="107">
        <f>SUM(G52:O52)</f>
        <v>33564920.567905024</v>
      </c>
      <c r="G52" s="98">
        <f>SUMPRODUCT('PRD Volumes AD (2009-2012)'!G418:G421,'TAR2013 Tarieven AD'!G149:G152)</f>
        <v>574791.18000000005</v>
      </c>
      <c r="H52" s="98">
        <f>SUMPRODUCT('PRD Volumes AD (2009-2012)'!H418:H421,'TAR2013 Tarieven AD'!H149:H152)</f>
        <v>1434609.6999999997</v>
      </c>
      <c r="I52" s="98">
        <f>SUMPRODUCT('PRD Volumes AD (2009-2012)'!I418:I421,'TAR2013 Tarieven AD'!I149:I152)</f>
        <v>2790404</v>
      </c>
      <c r="J52" s="98">
        <f>SUMPRODUCT('PRD Volumes AD (2009-2012)'!J418:J421,'TAR2013 Tarieven AD'!J149:J152)</f>
        <v>8107712</v>
      </c>
      <c r="K52" s="98">
        <f>SUMPRODUCT('PRD Volumes AD (2009-2012)'!K418:K421,'TAR2013 Tarieven AD'!K149:K152)</f>
        <v>11421663</v>
      </c>
      <c r="L52" s="98">
        <f>SUMPRODUCT('PRD Volumes AD (2009-2012)'!L418:L421,'TAR2013 Tarieven AD'!L149:L152)</f>
        <v>348253.80000000005</v>
      </c>
      <c r="M52" s="98">
        <f>SUMPRODUCT('PRD Volumes AD (2009-2012)'!M418:M421,'TAR2013 Tarieven AD'!M149:M152)</f>
        <v>8275059.4979050253</v>
      </c>
      <c r="N52" s="98">
        <f>SUMPRODUCT('PRD Volumes AD (2009-2012)'!N418:N421,'TAR2013 Tarieven AD'!N149:N152)</f>
        <v>612427.3899999999</v>
      </c>
      <c r="O52" s="98">
        <f>SUMPRODUCT('PRD Volumes AD (2009-2012)'!O418:O421,'TAR2013 Tarieven AD'!O149:O152)</f>
        <v>0</v>
      </c>
    </row>
    <row r="53" spans="2:15">
      <c r="B53" s="13" t="s">
        <v>210</v>
      </c>
      <c r="F53" s="107">
        <f>SUM(G53:O53)</f>
        <v>1585</v>
      </c>
      <c r="G53" s="98">
        <f>SUMPRODUCT('PRD Volumes AD (2009-2012)'!G424:G427,'TAR2013 Tarieven AD'!G155:G158)</f>
        <v>0</v>
      </c>
      <c r="H53" s="98">
        <f>SUMPRODUCT('PRD Volumes AD (2009-2012)'!H424:H427,'TAR2013 Tarieven AD'!H155:H158)</f>
        <v>0</v>
      </c>
      <c r="I53" s="98">
        <f>SUMPRODUCT('PRD Volumes AD (2009-2012)'!I424:I427,'TAR2013 Tarieven AD'!I155:I158)</f>
        <v>1585</v>
      </c>
      <c r="J53" s="98">
        <f>SUMPRODUCT('PRD Volumes AD (2009-2012)'!J424:J427,'TAR2013 Tarieven AD'!J155:J158)</f>
        <v>0</v>
      </c>
      <c r="K53" s="98">
        <f>SUMPRODUCT('PRD Volumes AD (2009-2012)'!K424:K427,'TAR2013 Tarieven AD'!K155:K158)</f>
        <v>0</v>
      </c>
      <c r="L53" s="98">
        <f>SUMPRODUCT('PRD Volumes AD (2009-2012)'!L424:L427,'TAR2013 Tarieven AD'!L155:L158)</f>
        <v>0</v>
      </c>
      <c r="M53" s="98">
        <f>SUMPRODUCT('PRD Volumes AD (2009-2012)'!M424:M427,'TAR2013 Tarieven AD'!M155:M158)</f>
        <v>0</v>
      </c>
      <c r="N53" s="98">
        <f>SUMPRODUCT('PRD Volumes AD (2009-2012)'!N424:N427,'TAR2013 Tarieven AD'!N155:N158)</f>
        <v>0</v>
      </c>
      <c r="O53" s="98">
        <f>SUMPRODUCT('PRD Volumes AD (2009-2012)'!O424:O427,'TAR2013 Tarieven AD'!O155:O158)</f>
        <v>0</v>
      </c>
    </row>
    <row r="54" spans="2:15">
      <c r="B54" s="13" t="s">
        <v>282</v>
      </c>
      <c r="F54" s="107">
        <f>SUM(G54:O54)</f>
        <v>0</v>
      </c>
      <c r="G54" s="98">
        <f>'PRD Volumes AD (2009-2012)'!G430*'TAR2013 Tarieven AD'!G161</f>
        <v>0</v>
      </c>
      <c r="H54" s="98">
        <f>'PRD Volumes AD (2009-2012)'!H430*'TAR2013 Tarieven AD'!H161</f>
        <v>0</v>
      </c>
      <c r="I54" s="98">
        <f>'PRD Volumes AD (2009-2012)'!I430*'TAR2013 Tarieven AD'!I161</f>
        <v>0</v>
      </c>
      <c r="J54" s="98">
        <f>'PRD Volumes AD (2009-2012)'!J430*'TAR2013 Tarieven AD'!J161</f>
        <v>0</v>
      </c>
      <c r="K54" s="98">
        <f>'PRD Volumes AD (2009-2012)'!K430*'TAR2013 Tarieven AD'!K161</f>
        <v>0</v>
      </c>
      <c r="L54" s="98">
        <f>'PRD Volumes AD (2009-2012)'!L430*'TAR2013 Tarieven AD'!L161</f>
        <v>0</v>
      </c>
      <c r="M54" s="98">
        <f>'PRD Volumes AD (2009-2012)'!M430*'TAR2013 Tarieven AD'!M161</f>
        <v>0</v>
      </c>
      <c r="N54" s="98">
        <f>'PRD Volumes AD (2009-2012)'!N430*'TAR2013 Tarieven AD'!N161</f>
        <v>0</v>
      </c>
      <c r="O54" s="98">
        <f>'PRD Volumes AD (2009-2012)'!O430*'TAR2013 Tarieven AD'!O161</f>
        <v>0</v>
      </c>
    </row>
    <row r="55" spans="2:15">
      <c r="F55" s="258"/>
    </row>
    <row r="56" spans="2:15">
      <c r="B56" s="3" t="s">
        <v>223</v>
      </c>
      <c r="F56" s="258"/>
    </row>
    <row r="57" spans="2:15">
      <c r="B57" s="13" t="s">
        <v>209</v>
      </c>
      <c r="F57" s="107">
        <f>SUM(G57:O57)</f>
        <v>2135362.1399999997</v>
      </c>
      <c r="G57" s="98">
        <f>SUMPRODUCT('PRD Volumes AD (2009-2012)'!G436:G439,'TAR2013 Tarieven AD'!G167:G170)</f>
        <v>48515.69</v>
      </c>
      <c r="H57" s="98">
        <f>SUMPRODUCT('PRD Volumes AD (2009-2012)'!H436:H439,'TAR2013 Tarieven AD'!H167:H170)</f>
        <v>58240.170000000006</v>
      </c>
      <c r="I57" s="98">
        <f>SUMPRODUCT('PRD Volumes AD (2009-2012)'!I436:I439,'TAR2013 Tarieven AD'!I167:I170)</f>
        <v>112826.4</v>
      </c>
      <c r="J57" s="98">
        <f>SUMPRODUCT('PRD Volumes AD (2009-2012)'!J436:J439,'TAR2013 Tarieven AD'!J167:J170)</f>
        <v>693610.70000000007</v>
      </c>
      <c r="K57" s="98">
        <f>SUMPRODUCT('PRD Volumes AD (2009-2012)'!K436:K439,'TAR2013 Tarieven AD'!K167:K170)</f>
        <v>749725.49999999988</v>
      </c>
      <c r="L57" s="98">
        <f>SUMPRODUCT('PRD Volumes AD (2009-2012)'!L436:L439,'TAR2013 Tarieven AD'!L167:L170)</f>
        <v>38207.699999999997</v>
      </c>
      <c r="M57" s="98">
        <f>SUMPRODUCT('PRD Volumes AD (2009-2012)'!M436:M439,'TAR2013 Tarieven AD'!M167:M170)</f>
        <v>403422.98</v>
      </c>
      <c r="N57" s="98">
        <f>SUMPRODUCT('PRD Volumes AD (2009-2012)'!N436:N439,'TAR2013 Tarieven AD'!N167:N170)</f>
        <v>30813</v>
      </c>
      <c r="O57" s="98">
        <f>SUMPRODUCT('PRD Volumes AD (2009-2012)'!O436:O439,'TAR2013 Tarieven AD'!O167:O170)</f>
        <v>0</v>
      </c>
    </row>
    <row r="58" spans="2:15">
      <c r="B58" s="13" t="s">
        <v>210</v>
      </c>
      <c r="F58" s="107">
        <f>SUM(G58:O58)</f>
        <v>0</v>
      </c>
      <c r="G58" s="98">
        <f>SUMPRODUCT('PRD Volumes AD (2009-2012)'!G442:G445,'TAR2013 Tarieven AD'!G173:G176)</f>
        <v>0</v>
      </c>
      <c r="H58" s="98">
        <f>SUMPRODUCT('PRD Volumes AD (2009-2012)'!H442:H445,'TAR2013 Tarieven AD'!H173:H176)</f>
        <v>0</v>
      </c>
      <c r="I58" s="98">
        <f>SUMPRODUCT('PRD Volumes AD (2009-2012)'!I442:I445,'TAR2013 Tarieven AD'!I173:I176)</f>
        <v>0</v>
      </c>
      <c r="J58" s="98">
        <f>SUMPRODUCT('PRD Volumes AD (2009-2012)'!J442:J445,'TAR2013 Tarieven AD'!J173:J176)</f>
        <v>0</v>
      </c>
      <c r="K58" s="98">
        <f>SUMPRODUCT('PRD Volumes AD (2009-2012)'!K442:K445,'TAR2013 Tarieven AD'!K173:K176)</f>
        <v>0</v>
      </c>
      <c r="L58" s="98">
        <f>SUMPRODUCT('PRD Volumes AD (2009-2012)'!L442:L445,'TAR2013 Tarieven AD'!L173:L176)</f>
        <v>0</v>
      </c>
      <c r="M58" s="98">
        <f>SUMPRODUCT('PRD Volumes AD (2009-2012)'!M442:M445,'TAR2013 Tarieven AD'!M173:M176)</f>
        <v>0</v>
      </c>
      <c r="N58" s="98">
        <f>SUMPRODUCT('PRD Volumes AD (2009-2012)'!N442:N445,'TAR2013 Tarieven AD'!N173:N176)</f>
        <v>0</v>
      </c>
      <c r="O58" s="98">
        <f>SUMPRODUCT('PRD Volumes AD (2009-2012)'!O442:O445,'TAR2013 Tarieven AD'!O173:O176)</f>
        <v>0</v>
      </c>
    </row>
    <row r="59" spans="2:15">
      <c r="B59" s="13" t="s">
        <v>282</v>
      </c>
      <c r="F59" s="107">
        <f>SUM(G59:O59)</f>
        <v>0</v>
      </c>
      <c r="G59" s="98">
        <f>'PRD Volumes AD (2009-2012)'!G448*'TAR2013 Tarieven AD'!G179</f>
        <v>0</v>
      </c>
      <c r="H59" s="98">
        <f>'PRD Volumes AD (2009-2012)'!H448*'TAR2013 Tarieven AD'!H179</f>
        <v>0</v>
      </c>
      <c r="I59" s="98">
        <f>'PRD Volumes AD (2009-2012)'!I448*'TAR2013 Tarieven AD'!I179</f>
        <v>0</v>
      </c>
      <c r="J59" s="98">
        <f>'PRD Volumes AD (2009-2012)'!J448*'TAR2013 Tarieven AD'!J179</f>
        <v>0</v>
      </c>
      <c r="K59" s="98">
        <f>'PRD Volumes AD (2009-2012)'!K448*'TAR2013 Tarieven AD'!K179</f>
        <v>0</v>
      </c>
      <c r="L59" s="98">
        <f>'PRD Volumes AD (2009-2012)'!L448*'TAR2013 Tarieven AD'!L179</f>
        <v>0</v>
      </c>
      <c r="M59" s="98">
        <f>'PRD Volumes AD (2009-2012)'!M448*'TAR2013 Tarieven AD'!M179</f>
        <v>0</v>
      </c>
      <c r="N59" s="98">
        <f>'PRD Volumes AD (2009-2012)'!N448*'TAR2013 Tarieven AD'!N179</f>
        <v>0</v>
      </c>
      <c r="O59" s="98">
        <f>'PRD Volumes AD (2009-2012)'!O448*'TAR2013 Tarieven AD'!O179</f>
        <v>0</v>
      </c>
    </row>
    <row r="60" spans="2:15">
      <c r="F60" s="258"/>
    </row>
    <row r="61" spans="2:15">
      <c r="B61" s="3" t="s">
        <v>281</v>
      </c>
      <c r="F61" s="258"/>
    </row>
    <row r="62" spans="2:15">
      <c r="B62" s="13" t="s">
        <v>211</v>
      </c>
      <c r="F62" s="107">
        <f>SUM(G62:O62)</f>
        <v>627604.69629466289</v>
      </c>
      <c r="G62" s="98">
        <f>SUMPRODUCT('PRD Volumes AD (2009-2012)'!G454:G463,'TAR2013 Tarieven AD'!G185:G194)</f>
        <v>8945.07</v>
      </c>
      <c r="H62" s="98">
        <f>SUMPRODUCT('PRD Volumes AD (2009-2012)'!H454:H463,'TAR2013 Tarieven AD'!H185:H194)</f>
        <v>10183.280000000001</v>
      </c>
      <c r="I62" s="98">
        <f>SUMPRODUCT('PRD Volumes AD (2009-2012)'!I454:I463,'TAR2013 Tarieven AD'!I185:I194)</f>
        <v>42483</v>
      </c>
      <c r="J62" s="98">
        <f>SUMPRODUCT('PRD Volumes AD (2009-2012)'!J454:J463,'TAR2013 Tarieven AD'!J185:J194)</f>
        <v>286400</v>
      </c>
      <c r="K62" s="98">
        <f>SUMPRODUCT('PRD Volumes AD (2009-2012)'!K454:K463,'TAR2013 Tarieven AD'!K185:K194)</f>
        <v>122616</v>
      </c>
      <c r="L62" s="98">
        <f>SUMPRODUCT('PRD Volumes AD (2009-2012)'!L454:L463,'TAR2013 Tarieven AD'!L185:L194)</f>
        <v>6292</v>
      </c>
      <c r="M62" s="98">
        <f>SUMPRODUCT('PRD Volumes AD (2009-2012)'!M454:M463,'TAR2013 Tarieven AD'!M185:M194)</f>
        <v>129011.37629466294</v>
      </c>
      <c r="N62" s="98">
        <f>SUMPRODUCT('PRD Volumes AD (2009-2012)'!N454:N463,'TAR2013 Tarieven AD'!N185:N194)</f>
        <v>21673.97</v>
      </c>
      <c r="O62" s="98">
        <f>SUMPRODUCT('PRD Volumes AD (2009-2012)'!O454:O463,'TAR2013 Tarieven AD'!O185:O194)</f>
        <v>0</v>
      </c>
    </row>
    <row r="63" spans="2:15">
      <c r="B63" s="13" t="s">
        <v>212</v>
      </c>
      <c r="F63" s="107">
        <f>SUM(G63:O63)</f>
        <v>252410.3407680456</v>
      </c>
      <c r="G63" s="98">
        <f>SUMPRODUCT('PRD Volumes AD (2009-2012)'!G466:G475,'TAR2013 Tarieven AD'!G197:G206)</f>
        <v>0</v>
      </c>
      <c r="H63" s="98">
        <f>SUMPRODUCT('PRD Volumes AD (2009-2012)'!H466:H475,'TAR2013 Tarieven AD'!H197:H206)</f>
        <v>0</v>
      </c>
      <c r="I63" s="98">
        <f>SUMPRODUCT('PRD Volumes AD (2009-2012)'!I466:I475,'TAR2013 Tarieven AD'!I197:I206)</f>
        <v>19448</v>
      </c>
      <c r="J63" s="98">
        <f>SUMPRODUCT('PRD Volumes AD (2009-2012)'!J466:J475,'TAR2013 Tarieven AD'!J197:J206)</f>
        <v>67300</v>
      </c>
      <c r="K63" s="98">
        <f>SUMPRODUCT('PRD Volumes AD (2009-2012)'!K466:K475,'TAR2013 Tarieven AD'!K197:K206)</f>
        <v>38213</v>
      </c>
      <c r="L63" s="98">
        <f>SUMPRODUCT('PRD Volumes AD (2009-2012)'!L466:L475,'TAR2013 Tarieven AD'!L197:L206)</f>
        <v>15300</v>
      </c>
      <c r="M63" s="98">
        <f>SUMPRODUCT('PRD Volumes AD (2009-2012)'!M466:M475,'TAR2013 Tarieven AD'!M197:M206)</f>
        <v>106429.0107680456</v>
      </c>
      <c r="N63" s="98">
        <f>SUMPRODUCT('PRD Volumes AD (2009-2012)'!N466:N475,'TAR2013 Tarieven AD'!N197:N206)</f>
        <v>5720.33</v>
      </c>
      <c r="O63" s="98">
        <f>SUMPRODUCT('PRD Volumes AD (2009-2012)'!O466:O475,'TAR2013 Tarieven AD'!O197:O206)</f>
        <v>0</v>
      </c>
    </row>
    <row r="64" spans="2:15">
      <c r="B64" s="13" t="s">
        <v>283</v>
      </c>
      <c r="F64" s="107">
        <f>SUM(G64:O64)</f>
        <v>0</v>
      </c>
      <c r="G64" s="98">
        <f>'PRD Volumes AD (2009-2012)'!G478*'TAR2013 Tarieven AD'!G209</f>
        <v>0</v>
      </c>
      <c r="H64" s="98">
        <f>'PRD Volumes AD (2009-2012)'!H478*'TAR2013 Tarieven AD'!H209</f>
        <v>0</v>
      </c>
      <c r="I64" s="98">
        <f>'PRD Volumes AD (2009-2012)'!I478*'TAR2013 Tarieven AD'!I209</f>
        <v>0</v>
      </c>
      <c r="J64" s="98">
        <f>'PRD Volumes AD (2009-2012)'!J478*'TAR2013 Tarieven AD'!J209</f>
        <v>0</v>
      </c>
      <c r="K64" s="98">
        <f>'PRD Volumes AD (2009-2012)'!K478*'TAR2013 Tarieven AD'!K209</f>
        <v>0</v>
      </c>
      <c r="L64" s="98">
        <f>'PRD Volumes AD (2009-2012)'!L478*'TAR2013 Tarieven AD'!L209</f>
        <v>0</v>
      </c>
      <c r="M64" s="98">
        <f>'PRD Volumes AD (2009-2012)'!M478*'TAR2013 Tarieven AD'!M209</f>
        <v>0</v>
      </c>
      <c r="N64" s="98">
        <f>'PRD Volumes AD (2009-2012)'!N478*'TAR2013 Tarieven AD'!N209</f>
        <v>0</v>
      </c>
      <c r="O64" s="98">
        <f>'PRD Volumes AD (2009-2012)'!O478*'TAR2013 Tarieven AD'!O209</f>
        <v>0</v>
      </c>
    </row>
    <row r="65" spans="2:15">
      <c r="F65" s="258"/>
    </row>
    <row r="66" spans="2:15">
      <c r="B66" s="3" t="s">
        <v>321</v>
      </c>
      <c r="F66" s="150">
        <f>SUM(G66:O66)</f>
        <v>36581882.744967729</v>
      </c>
      <c r="G66" s="150">
        <f>SUM(G52:G54,G57:G59,G62:G64)</f>
        <v>632251.94000000006</v>
      </c>
      <c r="H66" s="150">
        <f t="shared" ref="H66:O66" si="4">SUM(H52:H54,H57:H59,H62:H64)</f>
        <v>1503033.1499999997</v>
      </c>
      <c r="I66" s="150">
        <f t="shared" si="4"/>
        <v>2966746.4</v>
      </c>
      <c r="J66" s="150">
        <f t="shared" si="4"/>
        <v>9155022.6999999993</v>
      </c>
      <c r="K66" s="150">
        <f t="shared" si="4"/>
        <v>12332217.5</v>
      </c>
      <c r="L66" s="150">
        <f t="shared" si="4"/>
        <v>408053.50000000006</v>
      </c>
      <c r="M66" s="150">
        <f t="shared" si="4"/>
        <v>8913922.8649677336</v>
      </c>
      <c r="N66" s="150">
        <f t="shared" si="4"/>
        <v>670634.68999999983</v>
      </c>
      <c r="O66" s="150">
        <f t="shared" si="4"/>
        <v>0</v>
      </c>
    </row>
    <row r="67" spans="2:15">
      <c r="B67" s="13" t="s">
        <v>322</v>
      </c>
      <c r="F67" s="107">
        <f>SUM(G67:O67)</f>
        <v>0</v>
      </c>
      <c r="G67" s="107">
        <f>G54+G59+G64</f>
        <v>0</v>
      </c>
      <c r="H67" s="107">
        <f t="shared" ref="H67:O67" si="5">H54+H59+H64</f>
        <v>0</v>
      </c>
      <c r="I67" s="107">
        <f t="shared" si="5"/>
        <v>0</v>
      </c>
      <c r="J67" s="107">
        <f t="shared" si="5"/>
        <v>0</v>
      </c>
      <c r="K67" s="107">
        <f t="shared" si="5"/>
        <v>0</v>
      </c>
      <c r="L67" s="107">
        <f t="shared" si="5"/>
        <v>0</v>
      </c>
      <c r="M67" s="107">
        <f t="shared" si="5"/>
        <v>0</v>
      </c>
      <c r="N67" s="107">
        <f t="shared" si="5"/>
        <v>0</v>
      </c>
      <c r="O67" s="107">
        <f t="shared" si="5"/>
        <v>0</v>
      </c>
    </row>
    <row r="77" spans="2:15">
      <c r="F77" s="3"/>
    </row>
    <row r="78" spans="2:15">
      <c r="F78" s="3"/>
      <c r="H78" s="51"/>
      <c r="I78" s="51"/>
    </row>
    <row r="79" spans="2:15">
      <c r="F79" s="108"/>
    </row>
    <row r="80" spans="2:15">
      <c r="F80" s="23"/>
    </row>
    <row r="81" spans="6:6">
      <c r="F81" s="23"/>
    </row>
    <row r="82" spans="6:6">
      <c r="F82" s="61"/>
    </row>
    <row r="83" spans="6:6">
      <c r="F83" s="61"/>
    </row>
    <row r="84" spans="6:6">
      <c r="F84" s="23"/>
    </row>
    <row r="85" spans="6:6">
      <c r="F85" s="108"/>
    </row>
    <row r="86" spans="6:6">
      <c r="F86" s="23"/>
    </row>
    <row r="87" spans="6:6">
      <c r="F87" s="23"/>
    </row>
    <row r="88" spans="6:6">
      <c r="F88" s="61"/>
    </row>
    <row r="89" spans="6:6">
      <c r="F89" s="61"/>
    </row>
    <row r="90" spans="6:6">
      <c r="F90" s="23"/>
    </row>
    <row r="91" spans="6:6">
      <c r="F91" s="108"/>
    </row>
    <row r="92" spans="6:6">
      <c r="F92" s="23"/>
    </row>
    <row r="93" spans="6:6">
      <c r="F93" s="3"/>
    </row>
    <row r="94" spans="6:6">
      <c r="F94" s="3"/>
    </row>
    <row r="95" spans="6:6">
      <c r="F95" s="3"/>
    </row>
    <row r="96" spans="6:6">
      <c r="F96" s="3"/>
    </row>
    <row r="97" spans="6:6">
      <c r="F97" s="108"/>
    </row>
    <row r="98" spans="6:6">
      <c r="F98" s="23"/>
    </row>
    <row r="99" spans="6:6">
      <c r="F99" s="23"/>
    </row>
    <row r="100" spans="6:6">
      <c r="F100" s="61"/>
    </row>
    <row r="101" spans="6:6">
      <c r="F101" s="61"/>
    </row>
    <row r="102" spans="6:6">
      <c r="F102" s="23"/>
    </row>
    <row r="103" spans="6:6">
      <c r="F103" s="108"/>
    </row>
    <row r="104" spans="6:6">
      <c r="F104" s="23"/>
    </row>
    <row r="105" spans="6:6">
      <c r="F105" s="23"/>
    </row>
    <row r="106" spans="6:6">
      <c r="F106" s="61"/>
    </row>
    <row r="107" spans="6:6">
      <c r="F107" s="61"/>
    </row>
    <row r="108" spans="6:6">
      <c r="F108" s="23"/>
    </row>
    <row r="109" spans="6:6">
      <c r="F109" s="108"/>
    </row>
    <row r="110" spans="6:6">
      <c r="F110" s="23"/>
    </row>
    <row r="111" spans="6:6">
      <c r="F111" s="3"/>
    </row>
    <row r="112" spans="6:6">
      <c r="F112" s="3"/>
    </row>
    <row r="113" spans="6:6">
      <c r="F113" s="3"/>
    </row>
    <row r="114" spans="6:6">
      <c r="F114" s="3"/>
    </row>
    <row r="115" spans="6:6">
      <c r="F115" s="108"/>
    </row>
    <row r="116" spans="6:6">
      <c r="F116" s="61"/>
    </row>
    <row r="117" spans="6:6">
      <c r="F117" s="61"/>
    </row>
    <row r="118" spans="6:6">
      <c r="F118" s="61"/>
    </row>
    <row r="119" spans="6:6">
      <c r="F119" s="61"/>
    </row>
    <row r="120" spans="6:6">
      <c r="F120" s="26"/>
    </row>
    <row r="121" spans="6:6">
      <c r="F121" s="61"/>
    </row>
    <row r="122" spans="6:6">
      <c r="F122" s="61"/>
    </row>
    <row r="123" spans="6:6">
      <c r="F123" s="61"/>
    </row>
    <row r="124" spans="6:6">
      <c r="F124" s="23"/>
    </row>
    <row r="125" spans="6:6">
      <c r="F125" s="23"/>
    </row>
    <row r="126" spans="6:6">
      <c r="F126" s="23"/>
    </row>
    <row r="127" spans="6:6">
      <c r="F127" s="108"/>
    </row>
    <row r="128" spans="6:6">
      <c r="F128" s="61"/>
    </row>
    <row r="129" spans="6:6">
      <c r="F129" s="61"/>
    </row>
    <row r="130" spans="6:6">
      <c r="F130" s="61"/>
    </row>
    <row r="131" spans="6:6">
      <c r="F131" s="61"/>
    </row>
    <row r="132" spans="6:6">
      <c r="F132" s="26"/>
    </row>
    <row r="133" spans="6:6">
      <c r="F133" s="61"/>
    </row>
    <row r="134" spans="6:6">
      <c r="F134" s="61"/>
    </row>
    <row r="135" spans="6:6">
      <c r="F135" s="61"/>
    </row>
    <row r="136" spans="6:6">
      <c r="F136" s="23"/>
    </row>
    <row r="137" spans="6:6">
      <c r="F137" s="23"/>
    </row>
    <row r="138" spans="6:6">
      <c r="F138" s="23"/>
    </row>
    <row r="139" spans="6:6">
      <c r="F139" s="108"/>
    </row>
    <row r="140" spans="6:6">
      <c r="F140" s="23"/>
    </row>
  </sheetData>
  <phoneticPr fontId="4"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CC99"/>
  </sheetPr>
  <dimension ref="B1:Q471"/>
  <sheetViews>
    <sheetView showGridLines="0" zoomScale="85" zoomScaleNormal="85" workbookViewId="0"/>
  </sheetViews>
  <sheetFormatPr defaultRowHeight="12.75"/>
  <cols>
    <col min="1" max="1" width="2.5703125" customWidth="1"/>
    <col min="2" max="2" width="62" customWidth="1"/>
    <col min="3" max="3" width="2.5703125" customWidth="1"/>
    <col min="4" max="4" width="14.5703125" customWidth="1"/>
    <col min="5" max="5" width="2.5703125" customWidth="1"/>
    <col min="6" max="6" width="21.42578125" customWidth="1"/>
    <col min="7" max="15" width="14.85546875" customWidth="1"/>
    <col min="17" max="17" width="22.85546875" customWidth="1"/>
  </cols>
  <sheetData>
    <row r="1" spans="2:17" ht="12" customHeight="1"/>
    <row r="2" spans="2:17" s="1" customFormat="1" ht="18">
      <c r="B2" s="1" t="s">
        <v>406</v>
      </c>
      <c r="F2" s="5" t="s">
        <v>105</v>
      </c>
      <c r="G2" s="5" t="s">
        <v>96</v>
      </c>
      <c r="H2" s="5" t="s">
        <v>97</v>
      </c>
      <c r="I2" s="5" t="s">
        <v>98</v>
      </c>
      <c r="J2" s="5" t="s">
        <v>99</v>
      </c>
      <c r="K2" s="5" t="s">
        <v>100</v>
      </c>
      <c r="L2" s="5" t="s">
        <v>101</v>
      </c>
      <c r="M2" s="5" t="s">
        <v>102</v>
      </c>
      <c r="N2" s="5" t="s">
        <v>103</v>
      </c>
      <c r="O2" s="5" t="s">
        <v>197</v>
      </c>
      <c r="P2" s="5"/>
      <c r="Q2" s="5" t="s">
        <v>567</v>
      </c>
    </row>
    <row r="4" spans="2:17">
      <c r="B4" s="51" t="s">
        <v>551</v>
      </c>
    </row>
    <row r="5" spans="2:17">
      <c r="B5" s="51" t="s">
        <v>566</v>
      </c>
    </row>
    <row r="6" spans="2:17">
      <c r="B6" s="51" t="s">
        <v>552</v>
      </c>
    </row>
    <row r="7" spans="2:17">
      <c r="B7" s="259" t="s">
        <v>1024</v>
      </c>
    </row>
    <row r="8" spans="2:17">
      <c r="F8" s="47"/>
    </row>
    <row r="9" spans="2:17" s="2" customFormat="1">
      <c r="B9" s="2" t="s">
        <v>378</v>
      </c>
      <c r="F9" s="49"/>
    </row>
    <row r="10" spans="2:17">
      <c r="F10" s="47"/>
    </row>
    <row r="11" spans="2:17">
      <c r="B11" s="3" t="s">
        <v>29</v>
      </c>
      <c r="F11" s="47"/>
    </row>
    <row r="12" spans="2:17">
      <c r="F12" s="47"/>
    </row>
    <row r="13" spans="2:17">
      <c r="B13" s="22" t="s">
        <v>121</v>
      </c>
      <c r="D13" s="28"/>
      <c r="E13" s="28"/>
      <c r="F13" s="67"/>
      <c r="G13" s="38"/>
      <c r="H13" s="38"/>
      <c r="I13" s="38"/>
      <c r="J13" s="38"/>
      <c r="K13" s="38"/>
      <c r="L13" s="38"/>
      <c r="M13" s="38"/>
      <c r="N13" s="38"/>
    </row>
    <row r="14" spans="2:17">
      <c r="B14" s="23" t="s">
        <v>216</v>
      </c>
      <c r="D14" t="s">
        <v>107</v>
      </c>
      <c r="F14" s="80">
        <f>SUM(G14:O14)</f>
        <v>0</v>
      </c>
      <c r="G14" s="43">
        <f>'PRD OPEX TD (2009-2012)'!G51</f>
        <v>0</v>
      </c>
      <c r="H14" s="43">
        <f>'PRD OPEX TD (2009-2012)'!H51</f>
        <v>0</v>
      </c>
      <c r="I14" s="43">
        <f>'PRD OPEX TD (2009-2012)'!I51</f>
        <v>0</v>
      </c>
      <c r="J14" s="43">
        <f>'PRD OPEX TD (2009-2012)'!J51</f>
        <v>0</v>
      </c>
      <c r="K14" s="43">
        <f>'PRD OPEX TD (2009-2012)'!K51</f>
        <v>0</v>
      </c>
      <c r="L14" s="43">
        <f>'PRD OPEX TD (2009-2012)'!L51</f>
        <v>0</v>
      </c>
      <c r="M14" s="43">
        <f>'PRD OPEX TD (2009-2012)'!M51</f>
        <v>0</v>
      </c>
      <c r="N14" s="43">
        <f>'PRD OPEX TD (2009-2012)'!N51</f>
        <v>0</v>
      </c>
      <c r="O14" s="43">
        <f>'PRD OPEX TD (2009-2012)'!O51</f>
        <v>0</v>
      </c>
    </row>
    <row r="15" spans="2:17">
      <c r="B15" s="23" t="s">
        <v>217</v>
      </c>
      <c r="D15" t="s">
        <v>107</v>
      </c>
      <c r="F15" s="80">
        <f>SUM(G15:O15)</f>
        <v>0</v>
      </c>
      <c r="G15" s="43">
        <f>'PRD OPEX TD (2009-2012)'!G52</f>
        <v>0</v>
      </c>
      <c r="H15" s="43">
        <f>'PRD OPEX TD (2009-2012)'!H52</f>
        <v>0</v>
      </c>
      <c r="I15" s="43">
        <f>'PRD OPEX TD (2009-2012)'!I52</f>
        <v>0</v>
      </c>
      <c r="J15" s="43">
        <f>'PRD OPEX TD (2009-2012)'!J52</f>
        <v>0</v>
      </c>
      <c r="K15" s="43">
        <f>'PRD OPEX TD (2009-2012)'!K52</f>
        <v>0</v>
      </c>
      <c r="L15" s="43">
        <f>'PRD OPEX TD (2009-2012)'!L52</f>
        <v>0</v>
      </c>
      <c r="M15" s="43">
        <f>'PRD OPEX TD (2009-2012)'!M52</f>
        <v>0</v>
      </c>
      <c r="N15" s="43">
        <f>'PRD OPEX TD (2009-2012)'!N52</f>
        <v>0</v>
      </c>
      <c r="O15" s="43">
        <f>'PRD OPEX TD (2009-2012)'!O52</f>
        <v>0</v>
      </c>
    </row>
    <row r="16" spans="2:17">
      <c r="B16" s="23"/>
      <c r="F16" s="62"/>
      <c r="G16" s="42"/>
      <c r="H16" s="42"/>
      <c r="I16" s="42"/>
      <c r="J16" s="42"/>
      <c r="K16" s="42"/>
      <c r="L16" s="42"/>
      <c r="M16" s="42"/>
      <c r="N16" s="42"/>
      <c r="O16" s="42"/>
    </row>
    <row r="17" spans="2:16">
      <c r="B17" s="22" t="s">
        <v>122</v>
      </c>
      <c r="F17" s="62"/>
      <c r="G17" s="42"/>
      <c r="H17" s="42"/>
      <c r="I17" s="42"/>
      <c r="J17" s="42"/>
      <c r="K17" s="42"/>
      <c r="L17" s="42"/>
      <c r="M17" s="42"/>
      <c r="N17" s="42"/>
      <c r="O17" s="42"/>
    </row>
    <row r="18" spans="2:16">
      <c r="B18" s="23" t="s">
        <v>123</v>
      </c>
      <c r="D18" t="s">
        <v>107</v>
      </c>
      <c r="F18" s="80">
        <f>SUM(G18:O18)</f>
        <v>294731371.20642567</v>
      </c>
      <c r="G18" s="43">
        <f>'PRD OPEX TD (2009-2012)'!G55</f>
        <v>8724000</v>
      </c>
      <c r="H18" s="43">
        <f>'PRD OPEX TD (2009-2012)'!H55</f>
        <v>10009496.471123759</v>
      </c>
      <c r="I18" s="43">
        <f>'PRD OPEX TD (2009-2012)'!I55</f>
        <v>8944503.8732926641</v>
      </c>
      <c r="J18" s="43">
        <f>'PRD OPEX TD (2009-2012)'!J55</f>
        <v>99505044.304304034</v>
      </c>
      <c r="K18" s="43">
        <f>'PRD OPEX TD (2009-2012)'!K55</f>
        <v>93154142.251343012</v>
      </c>
      <c r="L18" s="43">
        <f>'PRD OPEX TD (2009-2012)'!L55</f>
        <v>3049986.2</v>
      </c>
      <c r="M18" s="43">
        <f>'PRD OPEX TD (2009-2012)'!M55</f>
        <v>64936634.457773954</v>
      </c>
      <c r="N18" s="43">
        <f>'PRD OPEX TD (2009-2012)'!N55</f>
        <v>6407563.6485883016</v>
      </c>
      <c r="O18" s="43">
        <f>'PRD OPEX TD (2009-2012)'!O55</f>
        <v>0</v>
      </c>
    </row>
    <row r="19" spans="2:16">
      <c r="B19" s="23" t="s">
        <v>124</v>
      </c>
      <c r="D19" t="s">
        <v>107</v>
      </c>
      <c r="F19" s="80">
        <f>SUM(G19:O19)</f>
        <v>24779203.338767491</v>
      </c>
      <c r="G19" s="43">
        <f>'PRD OPEX TD (2009-2012)'!G56</f>
        <v>0</v>
      </c>
      <c r="H19" s="43">
        <f>'PRD OPEX TD (2009-2012)'!H56</f>
        <v>0</v>
      </c>
      <c r="I19" s="43">
        <f>'PRD OPEX TD (2009-2012)'!I56</f>
        <v>0</v>
      </c>
      <c r="J19" s="43">
        <f>'PRD OPEX TD (2009-2012)'!J56</f>
        <v>0</v>
      </c>
      <c r="K19" s="43">
        <f>'PRD OPEX TD (2009-2012)'!K56</f>
        <v>0</v>
      </c>
      <c r="L19" s="43">
        <f>'PRD OPEX TD (2009-2012)'!L56</f>
        <v>1015359.93</v>
      </c>
      <c r="M19" s="43">
        <f>'PRD OPEX TD (2009-2012)'!M56</f>
        <v>23763843.408767492</v>
      </c>
      <c r="N19" s="43">
        <f>'PRD OPEX TD (2009-2012)'!N56</f>
        <v>0</v>
      </c>
      <c r="O19" s="43">
        <f>'PRD OPEX TD (2009-2012)'!O56</f>
        <v>0</v>
      </c>
    </row>
    <row r="20" spans="2:16">
      <c r="B20" s="23"/>
      <c r="F20" s="62"/>
      <c r="G20" s="42"/>
      <c r="H20" s="42"/>
      <c r="I20" s="42"/>
      <c r="J20" s="42"/>
      <c r="K20" s="42"/>
      <c r="L20" s="42"/>
      <c r="M20" s="42"/>
      <c r="N20" s="42"/>
      <c r="O20" s="42"/>
    </row>
    <row r="21" spans="2:16">
      <c r="B21" s="22" t="s">
        <v>125</v>
      </c>
      <c r="F21" s="62"/>
      <c r="G21" s="42"/>
      <c r="H21" s="42"/>
      <c r="I21" s="42"/>
      <c r="J21" s="42"/>
      <c r="K21" s="42"/>
      <c r="L21" s="42"/>
      <c r="M21" s="42"/>
      <c r="N21" s="42"/>
      <c r="O21" s="42"/>
    </row>
    <row r="22" spans="2:16">
      <c r="B22" s="23" t="s">
        <v>126</v>
      </c>
      <c r="D22" t="s">
        <v>107</v>
      </c>
      <c r="F22" s="80">
        <f>SUM(G22:O22)</f>
        <v>20921637.971314959</v>
      </c>
      <c r="G22" s="43">
        <f>'PRD OPEX TD (2009-2012)'!G59</f>
        <v>0</v>
      </c>
      <c r="H22" s="43">
        <f>'PRD OPEX TD (2009-2012)'!H59</f>
        <v>272917.09999999998</v>
      </c>
      <c r="I22" s="43">
        <f>'PRD OPEX TD (2009-2012)'!I59</f>
        <v>0</v>
      </c>
      <c r="J22" s="43">
        <f>'PRD OPEX TD (2009-2012)'!J59</f>
        <v>611000</v>
      </c>
      <c r="K22" s="43">
        <f>'PRD OPEX TD (2009-2012)'!K59</f>
        <v>7004694.0313149588</v>
      </c>
      <c r="L22" s="43">
        <f>'PRD OPEX TD (2009-2012)'!L59</f>
        <v>90128.84</v>
      </c>
      <c r="M22" s="43">
        <f>'PRD OPEX TD (2009-2012)'!M59</f>
        <v>12940404</v>
      </c>
      <c r="N22" s="43">
        <f>'PRD OPEX TD (2009-2012)'!N59</f>
        <v>2494</v>
      </c>
      <c r="O22" s="43">
        <f>'PRD OPEX TD (2009-2012)'!O59</f>
        <v>0</v>
      </c>
    </row>
    <row r="23" spans="2:16">
      <c r="B23" s="23" t="s">
        <v>127</v>
      </c>
      <c r="D23" t="s">
        <v>107</v>
      </c>
      <c r="F23" s="80">
        <f>SUM(G23:O23)</f>
        <v>0</v>
      </c>
      <c r="G23" s="43">
        <f>'PRD OPEX TD (2009-2012)'!G60</f>
        <v>0</v>
      </c>
      <c r="H23" s="43">
        <f>'PRD OPEX TD (2009-2012)'!H60</f>
        <v>0</v>
      </c>
      <c r="I23" s="43">
        <f>'PRD OPEX TD (2009-2012)'!I60</f>
        <v>0</v>
      </c>
      <c r="J23" s="43">
        <f>'PRD OPEX TD (2009-2012)'!J60</f>
        <v>0</v>
      </c>
      <c r="K23" s="43">
        <f>'PRD OPEX TD (2009-2012)'!K60</f>
        <v>0</v>
      </c>
      <c r="L23" s="43">
        <f>'PRD OPEX TD (2009-2012)'!L60</f>
        <v>0</v>
      </c>
      <c r="M23" s="43">
        <f>'PRD OPEX TD (2009-2012)'!M60</f>
        <v>0</v>
      </c>
      <c r="N23" s="43">
        <f>'PRD OPEX TD (2009-2012)'!N60</f>
        <v>0</v>
      </c>
      <c r="O23" s="43">
        <f>'PRD OPEX TD (2009-2012)'!O60</f>
        <v>0</v>
      </c>
    </row>
    <row r="24" spans="2:16">
      <c r="B24" s="23"/>
      <c r="F24" s="62"/>
      <c r="G24" s="42"/>
      <c r="H24" s="42"/>
      <c r="I24" s="42"/>
      <c r="J24" s="42"/>
      <c r="K24" s="42"/>
      <c r="L24" s="42"/>
      <c r="M24" s="42"/>
      <c r="N24" s="42"/>
      <c r="O24" s="42"/>
    </row>
    <row r="25" spans="2:16">
      <c r="B25" s="22" t="s">
        <v>128</v>
      </c>
      <c r="F25" s="62"/>
      <c r="G25" s="42"/>
      <c r="H25" s="42"/>
      <c r="I25" s="42"/>
      <c r="J25" s="42"/>
      <c r="K25" s="42"/>
      <c r="L25" s="42"/>
      <c r="M25" s="42"/>
      <c r="N25" s="42"/>
      <c r="O25" s="42"/>
    </row>
    <row r="26" spans="2:16">
      <c r="B26" s="93" t="s">
        <v>180</v>
      </c>
      <c r="D26" t="s">
        <v>107</v>
      </c>
      <c r="F26" s="80">
        <f>SUM(G26:O26)</f>
        <v>3772160.567865795</v>
      </c>
      <c r="G26" s="43">
        <f>'PRD OPEX TD (2009-2012)'!G63</f>
        <v>111000</v>
      </c>
      <c r="H26" s="43">
        <f>'PRD OPEX TD (2009-2012)'!H63</f>
        <v>92687.856749999992</v>
      </c>
      <c r="I26" s="43">
        <f>'PRD OPEX TD (2009-2012)'!I63</f>
        <v>183986.81758887111</v>
      </c>
      <c r="J26" s="43">
        <f>'PRD OPEX TD (2009-2012)'!J63</f>
        <v>944347.31593749998</v>
      </c>
      <c r="K26" s="43">
        <f>'PRD OPEX TD (2009-2012)'!K63</f>
        <v>1064924.5604356914</v>
      </c>
      <c r="L26" s="43">
        <f>'PRD OPEX TD (2009-2012)'!L63</f>
        <v>56468.11</v>
      </c>
      <c r="M26" s="43">
        <f>'PRD OPEX TD (2009-2012)'!M63</f>
        <v>1315317.5112870373</v>
      </c>
      <c r="N26" s="43">
        <f>'PRD OPEX TD (2009-2012)'!N63</f>
        <v>3428.3958666955414</v>
      </c>
      <c r="O26" s="43">
        <f>'PRD OPEX TD (2009-2012)'!O63</f>
        <v>0</v>
      </c>
    </row>
    <row r="27" spans="2:16">
      <c r="B27" s="93" t="s">
        <v>181</v>
      </c>
      <c r="D27" t="s">
        <v>107</v>
      </c>
      <c r="F27" s="80">
        <f>SUM(G27:O27)</f>
        <v>706685.49768770766</v>
      </c>
      <c r="G27" s="43">
        <f>'PRD OPEX TD (2009-2012)'!G64</f>
        <v>8000</v>
      </c>
      <c r="H27" s="43">
        <f>'PRD OPEX TD (2009-2012)'!H64</f>
        <v>11007.064200000001</v>
      </c>
      <c r="I27" s="43">
        <f>'PRD OPEX TD (2009-2012)'!I64</f>
        <v>30015.244644390703</v>
      </c>
      <c r="J27" s="43">
        <f>'PRD OPEX TD (2009-2012)'!J64</f>
        <v>174598.21177229812</v>
      </c>
      <c r="K27" s="43">
        <f>'PRD OPEX TD (2009-2012)'!K64</f>
        <v>150345.3853645178</v>
      </c>
      <c r="L27" s="43">
        <f>'PRD OPEX TD (2009-2012)'!L64</f>
        <v>7388</v>
      </c>
      <c r="M27" s="43">
        <f>'PRD OPEX TD (2009-2012)'!M64</f>
        <v>259798.17566861041</v>
      </c>
      <c r="N27" s="43">
        <f>'PRD OPEX TD (2009-2012)'!N64</f>
        <v>65533.41603789058</v>
      </c>
      <c r="O27" s="43">
        <f>'PRD OPEX TD (2009-2012)'!O64</f>
        <v>0</v>
      </c>
    </row>
    <row r="28" spans="2:16">
      <c r="B28" s="94" t="s">
        <v>182</v>
      </c>
      <c r="D28" t="s">
        <v>107</v>
      </c>
      <c r="F28" s="80">
        <f>SUM(G28:O28)</f>
        <v>4493013.8167390767</v>
      </c>
      <c r="G28" s="43">
        <f>'PRD OPEX TD (2009-2012)'!G65</f>
        <v>0</v>
      </c>
      <c r="H28" s="43">
        <f>'PRD OPEX TD (2009-2012)'!H65</f>
        <v>0</v>
      </c>
      <c r="I28" s="43">
        <f>'PRD OPEX TD (2009-2012)'!I65</f>
        <v>14029.331699914444</v>
      </c>
      <c r="J28" s="43">
        <f>'PRD OPEX TD (2009-2012)'!J65</f>
        <v>808600</v>
      </c>
      <c r="K28" s="43">
        <f>'PRD OPEX TD (2009-2012)'!K65</f>
        <v>3295920.4570486182</v>
      </c>
      <c r="L28" s="43">
        <f>'PRD OPEX TD (2009-2012)'!L65</f>
        <v>95604.42</v>
      </c>
      <c r="M28" s="43">
        <f>'PRD OPEX TD (2009-2012)'!M65</f>
        <v>76637.909708563864</v>
      </c>
      <c r="N28" s="43">
        <f>'PRD OPEX TD (2009-2012)'!N65</f>
        <v>202221.69828198027</v>
      </c>
      <c r="O28" s="43">
        <f>'PRD OPEX TD (2009-2012)'!O65</f>
        <v>0</v>
      </c>
    </row>
    <row r="29" spans="2:16">
      <c r="C29" s="45"/>
      <c r="D29" s="28"/>
      <c r="E29" s="46">
        <v>17</v>
      </c>
      <c r="F29" s="62"/>
      <c r="G29" s="42"/>
      <c r="H29" s="42"/>
      <c r="I29" s="42"/>
      <c r="J29" s="42"/>
      <c r="K29" s="42"/>
      <c r="L29" s="42"/>
      <c r="M29" s="42"/>
      <c r="N29" s="42"/>
      <c r="O29" s="42"/>
      <c r="P29" s="28"/>
    </row>
    <row r="30" spans="2:16">
      <c r="B30" s="79" t="s">
        <v>268</v>
      </c>
      <c r="D30" t="s">
        <v>107</v>
      </c>
      <c r="F30" s="80">
        <f>SUM(G30:O30)</f>
        <v>349404072.39880073</v>
      </c>
      <c r="G30" s="69">
        <f>SUM(G14:G15,G18:G19,G22:G23,G26:G28)</f>
        <v>8843000</v>
      </c>
      <c r="H30" s="69">
        <f t="shared" ref="H30:O30" si="0">SUM(H14:H15,H18:H19,H22:H23,H26:H28)</f>
        <v>10386108.492073759</v>
      </c>
      <c r="I30" s="69">
        <f t="shared" si="0"/>
        <v>9172535.2672258411</v>
      </c>
      <c r="J30" s="69">
        <f t="shared" si="0"/>
        <v>102043589.83201383</v>
      </c>
      <c r="K30" s="69">
        <f t="shared" si="0"/>
        <v>104670026.68550681</v>
      </c>
      <c r="L30" s="69">
        <f t="shared" si="0"/>
        <v>4314935.5</v>
      </c>
      <c r="M30" s="69">
        <f t="shared" si="0"/>
        <v>103292635.46320565</v>
      </c>
      <c r="N30" s="69">
        <f t="shared" si="0"/>
        <v>6681241.1587748677</v>
      </c>
      <c r="O30" s="69">
        <f t="shared" si="0"/>
        <v>0</v>
      </c>
    </row>
    <row r="31" spans="2:16">
      <c r="F31" s="62"/>
      <c r="G31" s="42"/>
      <c r="H31" s="42"/>
      <c r="I31" s="42"/>
      <c r="J31" s="42"/>
      <c r="K31" s="42"/>
      <c r="L31" s="42"/>
      <c r="M31" s="42"/>
      <c r="N31" s="42"/>
    </row>
    <row r="32" spans="2:16">
      <c r="F32" s="62"/>
      <c r="G32" s="42"/>
      <c r="H32" s="42"/>
      <c r="I32" s="42"/>
      <c r="J32" s="42"/>
      <c r="K32" s="42"/>
      <c r="L32" s="42"/>
      <c r="M32" s="42"/>
      <c r="N32" s="42"/>
    </row>
    <row r="33" spans="2:15">
      <c r="B33" s="261" t="s">
        <v>832</v>
      </c>
      <c r="F33" s="62"/>
      <c r="G33" s="42"/>
      <c r="H33" s="42"/>
      <c r="I33" s="42"/>
      <c r="J33" s="42"/>
      <c r="K33" s="42"/>
      <c r="L33" s="42"/>
      <c r="M33" s="42"/>
      <c r="N33" s="42"/>
    </row>
    <row r="34" spans="2:15">
      <c r="F34" s="62"/>
      <c r="G34" s="133"/>
      <c r="H34" s="42"/>
      <c r="I34" s="42"/>
      <c r="J34" s="42"/>
      <c r="K34" s="42"/>
      <c r="L34" s="42"/>
      <c r="M34" s="42"/>
      <c r="N34" s="42"/>
    </row>
    <row r="35" spans="2:15">
      <c r="B35" s="22" t="s">
        <v>121</v>
      </c>
      <c r="D35" s="28"/>
      <c r="E35" s="28"/>
      <c r="F35" s="67"/>
      <c r="G35" s="38"/>
      <c r="H35" s="38"/>
      <c r="I35" s="38"/>
      <c r="J35" s="38"/>
      <c r="K35" s="38"/>
      <c r="L35" s="38"/>
      <c r="M35" s="38"/>
      <c r="N35" s="38"/>
    </row>
    <row r="36" spans="2:15">
      <c r="B36" s="23" t="s">
        <v>216</v>
      </c>
      <c r="D36" t="s">
        <v>107</v>
      </c>
      <c r="F36" s="80">
        <f>SUM(G36:O36)</f>
        <v>0</v>
      </c>
      <c r="G36" s="131"/>
      <c r="H36" s="131"/>
      <c r="I36" s="131"/>
      <c r="J36" s="131"/>
      <c r="K36" s="131"/>
      <c r="L36" s="131"/>
      <c r="M36" s="131"/>
      <c r="N36" s="131"/>
      <c r="O36" s="131"/>
    </row>
    <row r="37" spans="2:15">
      <c r="B37" s="23" t="s">
        <v>217</v>
      </c>
      <c r="D37" t="s">
        <v>107</v>
      </c>
      <c r="F37" s="80">
        <f>SUM(G37:O37)</f>
        <v>0</v>
      </c>
      <c r="G37" s="131"/>
      <c r="H37" s="131"/>
      <c r="I37" s="131"/>
      <c r="J37" s="131"/>
      <c r="K37" s="131"/>
      <c r="L37" s="131"/>
      <c r="M37" s="131"/>
      <c r="N37" s="131"/>
      <c r="O37" s="131"/>
    </row>
    <row r="38" spans="2:15">
      <c r="B38" s="23"/>
      <c r="F38" s="62"/>
      <c r="G38" s="42"/>
      <c r="H38" s="42"/>
      <c r="I38" s="42"/>
      <c r="J38" s="42"/>
      <c r="K38" s="42"/>
      <c r="L38" s="42"/>
      <c r="M38" s="42"/>
      <c r="N38" s="42"/>
    </row>
    <row r="39" spans="2:15">
      <c r="B39" s="22" t="s">
        <v>122</v>
      </c>
      <c r="F39" s="62"/>
      <c r="G39" s="42"/>
      <c r="H39" s="42"/>
      <c r="I39" s="42"/>
      <c r="J39" s="42"/>
      <c r="K39" s="42"/>
      <c r="L39" s="42"/>
      <c r="M39" s="42"/>
      <c r="N39" s="42"/>
    </row>
    <row r="40" spans="2:15">
      <c r="B40" s="23" t="s">
        <v>123</v>
      </c>
      <c r="D40" t="s">
        <v>107</v>
      </c>
      <c r="F40" s="80">
        <f>SUM(G40:O40)</f>
        <v>0</v>
      </c>
      <c r="G40" s="131"/>
      <c r="H40" s="131"/>
      <c r="I40" s="131"/>
      <c r="J40" s="131"/>
      <c r="K40" s="131"/>
      <c r="L40" s="131"/>
      <c r="M40" s="131"/>
      <c r="N40" s="131"/>
      <c r="O40" s="131"/>
    </row>
    <row r="41" spans="2:15">
      <c r="B41" s="23" t="s">
        <v>124</v>
      </c>
      <c r="D41" t="s">
        <v>107</v>
      </c>
      <c r="F41" s="80">
        <f>SUM(G41:O41)</f>
        <v>0</v>
      </c>
      <c r="G41" s="131"/>
      <c r="H41" s="131"/>
      <c r="I41" s="131"/>
      <c r="J41" s="131"/>
      <c r="K41" s="131"/>
      <c r="L41" s="131"/>
      <c r="M41" s="131"/>
      <c r="N41" s="131"/>
      <c r="O41" s="131"/>
    </row>
    <row r="42" spans="2:15">
      <c r="B42" s="23"/>
      <c r="F42" s="62"/>
      <c r="G42" s="42"/>
      <c r="H42" s="42"/>
      <c r="I42" s="42"/>
      <c r="J42" s="42"/>
      <c r="K42" s="42"/>
      <c r="L42" s="42"/>
      <c r="M42" s="42"/>
      <c r="N42" s="42"/>
    </row>
    <row r="43" spans="2:15">
      <c r="B43" s="22" t="s">
        <v>125</v>
      </c>
      <c r="F43" s="62"/>
      <c r="G43" s="42"/>
      <c r="H43" s="42"/>
      <c r="I43" s="42"/>
      <c r="J43" s="42"/>
      <c r="K43" s="42"/>
      <c r="L43" s="42"/>
      <c r="M43" s="42"/>
      <c r="N43" s="42"/>
    </row>
    <row r="44" spans="2:15">
      <c r="B44" s="23" t="s">
        <v>126</v>
      </c>
      <c r="D44" t="s">
        <v>107</v>
      </c>
      <c r="F44" s="80">
        <f>SUM(G44:O44)</f>
        <v>0</v>
      </c>
      <c r="G44" s="131"/>
      <c r="H44" s="131"/>
      <c r="I44" s="131"/>
      <c r="J44" s="131"/>
      <c r="K44" s="131"/>
      <c r="L44" s="131"/>
      <c r="M44" s="131"/>
      <c r="N44" s="131"/>
      <c r="O44" s="131"/>
    </row>
    <row r="45" spans="2:15">
      <c r="B45" s="23" t="s">
        <v>127</v>
      </c>
      <c r="D45" t="s">
        <v>107</v>
      </c>
      <c r="F45" s="80">
        <f>SUM(G45:O45)</f>
        <v>0</v>
      </c>
      <c r="G45" s="131"/>
      <c r="H45" s="131"/>
      <c r="I45" s="131"/>
      <c r="J45" s="131"/>
      <c r="K45" s="131"/>
      <c r="L45" s="131"/>
      <c r="M45" s="131"/>
      <c r="N45" s="131"/>
      <c r="O45" s="131"/>
    </row>
    <row r="46" spans="2:15">
      <c r="B46" s="23"/>
      <c r="F46" s="62"/>
      <c r="G46" s="42"/>
      <c r="H46" s="42"/>
      <c r="I46" s="42"/>
      <c r="J46" s="42"/>
      <c r="K46" s="42"/>
      <c r="L46" s="42"/>
      <c r="M46" s="42"/>
      <c r="N46" s="42"/>
    </row>
    <row r="47" spans="2:15">
      <c r="B47" s="22" t="s">
        <v>128</v>
      </c>
      <c r="F47" s="62"/>
      <c r="G47" s="42"/>
      <c r="H47" s="42"/>
      <c r="I47" s="42"/>
      <c r="J47" s="42"/>
      <c r="K47" s="42"/>
      <c r="L47" s="42"/>
      <c r="M47" s="42"/>
      <c r="N47" s="42"/>
    </row>
    <row r="48" spans="2:15">
      <c r="B48" s="93" t="s">
        <v>180</v>
      </c>
      <c r="D48" t="s">
        <v>107</v>
      </c>
      <c r="F48" s="80">
        <f>SUM(G48:O48)</f>
        <v>0</v>
      </c>
      <c r="G48" s="131"/>
      <c r="H48" s="131"/>
      <c r="I48" s="131"/>
      <c r="J48" s="131"/>
      <c r="K48" s="131"/>
      <c r="L48" s="131"/>
      <c r="M48" s="131"/>
      <c r="N48" s="131"/>
      <c r="O48" s="131"/>
    </row>
    <row r="49" spans="2:15">
      <c r="B49" s="93" t="s">
        <v>181</v>
      </c>
      <c r="D49" t="s">
        <v>107</v>
      </c>
      <c r="F49" s="80">
        <f>SUM(G49:O49)</f>
        <v>0</v>
      </c>
      <c r="G49" s="131"/>
      <c r="H49" s="131"/>
      <c r="I49" s="131"/>
      <c r="J49" s="131"/>
      <c r="K49" s="131"/>
      <c r="L49" s="131"/>
      <c r="M49" s="131"/>
      <c r="N49" s="131"/>
      <c r="O49" s="131"/>
    </row>
    <row r="50" spans="2:15">
      <c r="B50" s="94" t="s">
        <v>182</v>
      </c>
      <c r="D50" t="s">
        <v>107</v>
      </c>
      <c r="F50" s="80">
        <f>SUM(G50:O50)</f>
        <v>0</v>
      </c>
      <c r="G50" s="131"/>
      <c r="H50" s="131"/>
      <c r="I50" s="131"/>
      <c r="J50" s="131"/>
      <c r="K50" s="131"/>
      <c r="L50" s="131"/>
      <c r="M50" s="131"/>
      <c r="N50" s="131"/>
      <c r="O50" s="131"/>
    </row>
    <row r="51" spans="2:15">
      <c r="F51" s="62"/>
      <c r="G51" s="42"/>
      <c r="H51" s="42"/>
      <c r="I51" s="42"/>
      <c r="J51" s="42"/>
      <c r="K51" s="42"/>
      <c r="L51" s="42"/>
      <c r="M51" s="42"/>
      <c r="N51" s="42"/>
    </row>
    <row r="52" spans="2:15">
      <c r="F52" s="62"/>
      <c r="G52" s="42"/>
      <c r="H52" s="42"/>
      <c r="I52" s="42"/>
      <c r="J52" s="42"/>
      <c r="K52" s="42"/>
      <c r="L52" s="42"/>
      <c r="M52" s="42"/>
      <c r="N52" s="42"/>
    </row>
    <row r="53" spans="2:15">
      <c r="B53" s="261" t="s">
        <v>831</v>
      </c>
      <c r="F53" s="62"/>
      <c r="G53" s="42"/>
      <c r="H53" s="42"/>
      <c r="I53" s="42"/>
      <c r="J53" s="42"/>
      <c r="K53" s="42"/>
      <c r="L53" s="42"/>
      <c r="M53" s="42"/>
      <c r="N53" s="42"/>
    </row>
    <row r="54" spans="2:15">
      <c r="F54" s="62"/>
      <c r="G54" s="42"/>
      <c r="H54" s="42"/>
      <c r="I54" s="42"/>
      <c r="J54" s="42"/>
      <c r="K54" s="42"/>
      <c r="L54" s="42"/>
      <c r="M54" s="42"/>
      <c r="N54" s="42"/>
    </row>
    <row r="55" spans="2:15">
      <c r="B55" s="22" t="s">
        <v>121</v>
      </c>
      <c r="D55" s="28"/>
      <c r="E55" s="28"/>
      <c r="F55" s="67"/>
      <c r="G55" s="38"/>
      <c r="H55" s="38"/>
      <c r="I55" s="38"/>
      <c r="J55" s="38"/>
      <c r="K55" s="38"/>
      <c r="L55" s="38"/>
      <c r="M55" s="38"/>
      <c r="N55" s="38"/>
    </row>
    <row r="56" spans="2:15">
      <c r="B56" s="23" t="s">
        <v>216</v>
      </c>
      <c r="D56" t="s">
        <v>107</v>
      </c>
      <c r="F56" s="80">
        <f>SUM(G56:O56)</f>
        <v>0</v>
      </c>
      <c r="G56" s="131"/>
      <c r="H56" s="131"/>
      <c r="I56" s="131"/>
      <c r="J56" s="131"/>
      <c r="K56" s="131"/>
      <c r="L56" s="131"/>
      <c r="M56" s="131"/>
      <c r="N56" s="131"/>
      <c r="O56" s="131"/>
    </row>
    <row r="57" spans="2:15">
      <c r="B57" s="23" t="s">
        <v>217</v>
      </c>
      <c r="D57" t="s">
        <v>107</v>
      </c>
      <c r="F57" s="80">
        <f>SUM(G57:O57)</f>
        <v>0</v>
      </c>
      <c r="G57" s="131"/>
      <c r="H57" s="131"/>
      <c r="I57" s="131"/>
      <c r="J57" s="131"/>
      <c r="K57" s="131"/>
      <c r="L57" s="131"/>
      <c r="M57" s="131"/>
      <c r="N57" s="131"/>
      <c r="O57" s="131"/>
    </row>
    <row r="58" spans="2:15">
      <c r="B58" s="23"/>
      <c r="F58" s="62"/>
      <c r="G58" s="42"/>
      <c r="H58" s="42"/>
      <c r="I58" s="42"/>
      <c r="J58" s="42"/>
      <c r="K58" s="42"/>
      <c r="L58" s="42"/>
      <c r="M58" s="42"/>
      <c r="N58" s="42"/>
      <c r="O58" s="42"/>
    </row>
    <row r="59" spans="2:15">
      <c r="B59" s="22" t="s">
        <v>122</v>
      </c>
      <c r="F59" s="62"/>
      <c r="G59" s="42"/>
      <c r="H59" s="42"/>
      <c r="I59" s="42"/>
      <c r="J59" s="42"/>
      <c r="K59" s="42"/>
      <c r="L59" s="42"/>
      <c r="M59" s="42"/>
      <c r="N59" s="42"/>
      <c r="O59" s="42"/>
    </row>
    <row r="60" spans="2:15">
      <c r="B60" s="23" t="s">
        <v>123</v>
      </c>
      <c r="D60" t="s">
        <v>107</v>
      </c>
      <c r="F60" s="80">
        <f>SUM(G60:O60)</f>
        <v>22441843.843973942</v>
      </c>
      <c r="G60" s="195">
        <f>'PRD Ov.Opbrengst TD (2009-2012)'!G34+'PRD Ov.Opbrengst TD (2009-2012)'!G49-'PRD Ov.Opbrengst TD (2009-2012)'!G53</f>
        <v>78465.79416475106</v>
      </c>
      <c r="H60" s="195">
        <f>'PRD Ov.Opbrengst TD (2009-2012)'!H34+'PRD Ov.Opbrengst TD (2009-2012)'!H49-'PRD Ov.Opbrengst TD (2009-2012)'!H53</f>
        <v>3981</v>
      </c>
      <c r="I60" s="195">
        <f>'PRD Ov.Opbrengst TD (2009-2012)'!I34+'PRD Ov.Opbrengst TD (2009-2012)'!I49-'PRD Ov.Opbrengst TD (2009-2012)'!I53</f>
        <v>38433.886652360496</v>
      </c>
      <c r="J60" s="195">
        <f>'PRD Ov.Opbrengst TD (2009-2012)'!J34+'PRD Ov.Opbrengst TD (2009-2012)'!J49-'PRD Ov.Opbrengst TD (2009-2012)'!J53</f>
        <v>14072973.751328263</v>
      </c>
      <c r="K60" s="195">
        <f>'PRD Ov.Opbrengst TD (2009-2012)'!K34+'PRD Ov.Opbrengst TD (2009-2012)'!K49-'PRD Ov.Opbrengst TD (2009-2012)'!K53</f>
        <v>5438132.8187394375</v>
      </c>
      <c r="L60" s="195">
        <f>'PRD Ov.Opbrengst TD (2009-2012)'!L34+'PRD Ov.Opbrengst TD (2009-2012)'!L49-'PRD Ov.Opbrengst TD (2009-2012)'!L53</f>
        <v>79373.350000000006</v>
      </c>
      <c r="M60" s="195">
        <f>'PRD Ov.Opbrengst TD (2009-2012)'!M34+'PRD Ov.Opbrengst TD (2009-2012)'!M49-'PRD Ov.Opbrengst TD (2009-2012)'!M53</f>
        <v>2717265.6110210242</v>
      </c>
      <c r="N60" s="195">
        <f>'PRD Ov.Opbrengst TD (2009-2012)'!N34+'PRD Ov.Opbrengst TD (2009-2012)'!N49-'PRD Ov.Opbrengst TD (2009-2012)'!N53</f>
        <v>13217.632068105742</v>
      </c>
      <c r="O60" s="195">
        <f>'PRD Ov.Opbrengst TD (2009-2012)'!O34+'PRD Ov.Opbrengst TD (2009-2012)'!O49-'PRD Ov.Opbrengst TD (2009-2012)'!O53</f>
        <v>0</v>
      </c>
    </row>
    <row r="61" spans="2:15">
      <c r="B61" s="23" t="s">
        <v>124</v>
      </c>
      <c r="D61" t="s">
        <v>107</v>
      </c>
      <c r="F61" s="80">
        <f>SUM(G61:O61)</f>
        <v>0</v>
      </c>
      <c r="G61" s="131"/>
      <c r="H61" s="131"/>
      <c r="I61" s="131"/>
      <c r="J61" s="131"/>
      <c r="K61" s="131"/>
      <c r="L61" s="131"/>
      <c r="M61" s="131"/>
      <c r="N61" s="131"/>
      <c r="O61" s="131"/>
    </row>
    <row r="62" spans="2:15">
      <c r="B62" s="23"/>
      <c r="F62" s="62"/>
      <c r="G62" s="42"/>
      <c r="H62" s="42"/>
      <c r="I62" s="42"/>
      <c r="J62" s="42"/>
      <c r="K62" s="42"/>
      <c r="L62" s="42"/>
      <c r="M62" s="42"/>
      <c r="N62" s="42"/>
      <c r="O62" s="42"/>
    </row>
    <row r="63" spans="2:15">
      <c r="B63" s="22" t="s">
        <v>125</v>
      </c>
      <c r="F63" s="62"/>
      <c r="G63" s="42"/>
      <c r="H63" s="42"/>
      <c r="I63" s="42"/>
      <c r="J63" s="42"/>
      <c r="K63" s="42"/>
      <c r="L63" s="42"/>
      <c r="M63" s="42"/>
      <c r="N63" s="42"/>
      <c r="O63" s="42"/>
    </row>
    <row r="64" spans="2:15">
      <c r="B64" s="23" t="s">
        <v>126</v>
      </c>
      <c r="D64" t="s">
        <v>107</v>
      </c>
      <c r="F64" s="80">
        <f>SUM(G64:O64)</f>
        <v>0</v>
      </c>
      <c r="G64" s="131"/>
      <c r="H64" s="131"/>
      <c r="I64" s="131"/>
      <c r="J64" s="131"/>
      <c r="K64" s="131"/>
      <c r="L64" s="131"/>
      <c r="M64" s="131"/>
      <c r="N64" s="131"/>
      <c r="O64" s="131"/>
    </row>
    <row r="65" spans="2:17">
      <c r="B65" s="23" t="s">
        <v>127</v>
      </c>
      <c r="D65" t="s">
        <v>107</v>
      </c>
      <c r="F65" s="80">
        <f>SUM(G65:O65)</f>
        <v>0</v>
      </c>
      <c r="G65" s="131"/>
      <c r="H65" s="131"/>
      <c r="I65" s="131"/>
      <c r="J65" s="131"/>
      <c r="K65" s="131"/>
      <c r="L65" s="131"/>
      <c r="M65" s="131"/>
      <c r="N65" s="131"/>
      <c r="O65" s="131"/>
    </row>
    <row r="66" spans="2:17">
      <c r="B66" s="23"/>
      <c r="F66" s="62"/>
      <c r="G66" s="42"/>
      <c r="H66" s="42"/>
      <c r="I66" s="42"/>
      <c r="J66" s="42"/>
      <c r="K66" s="42"/>
      <c r="L66" s="42"/>
      <c r="M66" s="42"/>
      <c r="N66" s="42"/>
      <c r="O66" s="42"/>
    </row>
    <row r="67" spans="2:17">
      <c r="B67" s="22" t="s">
        <v>128</v>
      </c>
      <c r="F67" s="62"/>
      <c r="G67" s="42"/>
      <c r="H67" s="42"/>
      <c r="I67" s="42"/>
      <c r="J67" s="42"/>
      <c r="K67" s="42"/>
      <c r="L67" s="42"/>
      <c r="M67" s="42"/>
      <c r="N67" s="42"/>
      <c r="O67" s="42"/>
    </row>
    <row r="68" spans="2:17">
      <c r="B68" s="93" t="s">
        <v>180</v>
      </c>
      <c r="D68" t="s">
        <v>107</v>
      </c>
      <c r="F68" s="80">
        <f>SUM(G68:O68)</f>
        <v>0</v>
      </c>
      <c r="G68" s="131"/>
      <c r="H68" s="131"/>
      <c r="I68" s="131"/>
      <c r="J68" s="131"/>
      <c r="K68" s="131"/>
      <c r="L68" s="131"/>
      <c r="M68" s="131"/>
      <c r="N68" s="131"/>
      <c r="O68" s="131"/>
    </row>
    <row r="69" spans="2:17">
      <c r="B69" s="93" t="s">
        <v>181</v>
      </c>
      <c r="D69" t="s">
        <v>107</v>
      </c>
      <c r="F69" s="80">
        <f>SUM(G69:O69)</f>
        <v>0</v>
      </c>
      <c r="G69" s="131"/>
      <c r="H69" s="131"/>
      <c r="I69" s="131"/>
      <c r="J69" s="131"/>
      <c r="K69" s="131"/>
      <c r="L69" s="131"/>
      <c r="M69" s="131"/>
      <c r="N69" s="131"/>
      <c r="O69" s="131"/>
    </row>
    <row r="70" spans="2:17">
      <c r="B70" s="94" t="s">
        <v>182</v>
      </c>
      <c r="D70" t="s">
        <v>107</v>
      </c>
      <c r="F70" s="80">
        <f>SUM(G70:O70)</f>
        <v>0</v>
      </c>
      <c r="G70" s="131"/>
      <c r="H70" s="131"/>
      <c r="I70" s="131"/>
      <c r="J70" s="131"/>
      <c r="K70" s="131"/>
      <c r="L70" s="131"/>
      <c r="M70" s="131"/>
      <c r="N70" s="131"/>
      <c r="O70" s="131"/>
    </row>
    <row r="71" spans="2:17">
      <c r="F71" s="62"/>
      <c r="G71" s="42"/>
      <c r="H71" s="42"/>
      <c r="I71" s="42"/>
      <c r="J71" s="42"/>
      <c r="K71" s="42"/>
      <c r="L71" s="42"/>
      <c r="M71" s="42"/>
      <c r="N71" s="42"/>
    </row>
    <row r="72" spans="2:17">
      <c r="F72" s="62"/>
      <c r="G72" s="42"/>
      <c r="H72" s="42"/>
      <c r="I72" s="42"/>
      <c r="J72" s="42"/>
      <c r="K72" s="42"/>
      <c r="L72" s="42"/>
      <c r="M72" s="42"/>
      <c r="N72" s="42"/>
    </row>
    <row r="73" spans="2:17">
      <c r="B73" s="3" t="s">
        <v>30</v>
      </c>
      <c r="F73" s="62"/>
      <c r="G73" s="42"/>
      <c r="H73" s="42"/>
      <c r="I73" s="42"/>
      <c r="J73" s="42"/>
      <c r="K73" s="42"/>
      <c r="L73" s="42"/>
      <c r="M73" s="42"/>
      <c r="N73" s="42"/>
    </row>
    <row r="74" spans="2:17">
      <c r="F74" s="62"/>
      <c r="G74" s="42"/>
      <c r="H74" s="42"/>
      <c r="I74" s="42"/>
      <c r="J74" s="42"/>
      <c r="K74" s="42"/>
      <c r="L74" s="42"/>
      <c r="M74" s="42"/>
      <c r="N74" s="42"/>
    </row>
    <row r="75" spans="2:17">
      <c r="B75" s="22" t="s">
        <v>121</v>
      </c>
      <c r="D75" s="28"/>
      <c r="E75" s="28"/>
      <c r="F75" s="67"/>
      <c r="G75" s="38"/>
      <c r="H75" s="38"/>
      <c r="I75" s="38"/>
      <c r="J75" s="38"/>
      <c r="K75" s="38"/>
      <c r="L75" s="38"/>
      <c r="M75" s="38"/>
      <c r="N75" s="38"/>
    </row>
    <row r="76" spans="2:17">
      <c r="B76" s="23" t="s">
        <v>216</v>
      </c>
      <c r="D76" t="s">
        <v>107</v>
      </c>
      <c r="F76" s="80">
        <f>SUM(G76:O76)</f>
        <v>0</v>
      </c>
      <c r="G76" s="30">
        <f>G14+G36-G56</f>
        <v>0</v>
      </c>
      <c r="H76" s="30">
        <f t="shared" ref="H76:O77" si="1">H14+H36-H56</f>
        <v>0</v>
      </c>
      <c r="I76" s="30">
        <f t="shared" si="1"/>
        <v>0</v>
      </c>
      <c r="J76" s="30">
        <f t="shared" si="1"/>
        <v>0</v>
      </c>
      <c r="K76" s="30">
        <f t="shared" si="1"/>
        <v>0</v>
      </c>
      <c r="L76" s="30">
        <f t="shared" si="1"/>
        <v>0</v>
      </c>
      <c r="M76" s="30">
        <f t="shared" si="1"/>
        <v>0</v>
      </c>
      <c r="N76" s="30">
        <f t="shared" si="1"/>
        <v>0</v>
      </c>
      <c r="O76" s="30">
        <f t="shared" si="1"/>
        <v>0</v>
      </c>
      <c r="Q76" s="51" t="s">
        <v>569</v>
      </c>
    </row>
    <row r="77" spans="2:17">
      <c r="B77" s="23" t="s">
        <v>217</v>
      </c>
      <c r="D77" t="s">
        <v>107</v>
      </c>
      <c r="F77" s="80">
        <f>SUM(G77:O77)</f>
        <v>0</v>
      </c>
      <c r="G77" s="30">
        <f>G15+G37-G57</f>
        <v>0</v>
      </c>
      <c r="H77" s="30">
        <f t="shared" si="1"/>
        <v>0</v>
      </c>
      <c r="I77" s="30">
        <f t="shared" si="1"/>
        <v>0</v>
      </c>
      <c r="J77" s="30">
        <f t="shared" si="1"/>
        <v>0</v>
      </c>
      <c r="K77" s="30">
        <f t="shared" si="1"/>
        <v>0</v>
      </c>
      <c r="L77" s="30">
        <f t="shared" si="1"/>
        <v>0</v>
      </c>
      <c r="M77" s="30">
        <f t="shared" si="1"/>
        <v>0</v>
      </c>
      <c r="N77" s="30">
        <f t="shared" si="1"/>
        <v>0</v>
      </c>
      <c r="O77" s="30">
        <f t="shared" si="1"/>
        <v>0</v>
      </c>
    </row>
    <row r="78" spans="2:17">
      <c r="B78" s="23"/>
      <c r="F78" s="62"/>
      <c r="G78" s="38"/>
      <c r="H78" s="38"/>
      <c r="I78" s="38"/>
      <c r="J78" s="38"/>
      <c r="K78" s="38"/>
      <c r="L78" s="38"/>
      <c r="M78" s="38"/>
      <c r="N78" s="38"/>
    </row>
    <row r="79" spans="2:17">
      <c r="B79" s="22" t="s">
        <v>122</v>
      </c>
      <c r="F79" s="62"/>
      <c r="G79" s="38"/>
      <c r="H79" s="38"/>
      <c r="I79" s="38"/>
      <c r="J79" s="38"/>
      <c r="K79" s="38"/>
      <c r="L79" s="38"/>
      <c r="M79" s="38"/>
      <c r="N79" s="38"/>
    </row>
    <row r="80" spans="2:17">
      <c r="B80" s="23" t="s">
        <v>123</v>
      </c>
      <c r="D80" t="s">
        <v>107</v>
      </c>
      <c r="F80" s="80">
        <f>SUM(G80:O80)</f>
        <v>272289527.36245179</v>
      </c>
      <c r="G80" s="30">
        <f>G18+G40-G60</f>
        <v>8645534.2058352493</v>
      </c>
      <c r="H80" s="30">
        <f t="shared" ref="H80:O80" si="2">H18+H40-H60</f>
        <v>10005515.471123759</v>
      </c>
      <c r="I80" s="30">
        <f t="shared" si="2"/>
        <v>8906069.9866403043</v>
      </c>
      <c r="J80" s="30">
        <f t="shared" si="2"/>
        <v>85432070.552975774</v>
      </c>
      <c r="K80" s="30">
        <f t="shared" si="2"/>
        <v>87716009.432603568</v>
      </c>
      <c r="L80" s="30">
        <f t="shared" si="2"/>
        <v>2970612.85</v>
      </c>
      <c r="M80" s="30">
        <f t="shared" si="2"/>
        <v>62219368.846752927</v>
      </c>
      <c r="N80" s="30">
        <f t="shared" si="2"/>
        <v>6394346.0165201956</v>
      </c>
      <c r="O80" s="30">
        <f t="shared" si="2"/>
        <v>0</v>
      </c>
    </row>
    <row r="81" spans="2:15">
      <c r="B81" s="23" t="s">
        <v>124</v>
      </c>
      <c r="D81" t="s">
        <v>107</v>
      </c>
      <c r="F81" s="80">
        <f>SUM(G81:O81)</f>
        <v>24779203.338767491</v>
      </c>
      <c r="G81" s="30">
        <f>G19+G41-G61</f>
        <v>0</v>
      </c>
      <c r="H81" s="30">
        <f t="shared" ref="H81:O81" si="3">H19+H41-H61</f>
        <v>0</v>
      </c>
      <c r="I81" s="30">
        <f t="shared" si="3"/>
        <v>0</v>
      </c>
      <c r="J81" s="30">
        <f t="shared" si="3"/>
        <v>0</v>
      </c>
      <c r="K81" s="30">
        <f t="shared" si="3"/>
        <v>0</v>
      </c>
      <c r="L81" s="30">
        <f t="shared" si="3"/>
        <v>1015359.93</v>
      </c>
      <c r="M81" s="30">
        <f t="shared" si="3"/>
        <v>23763843.408767492</v>
      </c>
      <c r="N81" s="30">
        <f t="shared" si="3"/>
        <v>0</v>
      </c>
      <c r="O81" s="30">
        <f t="shared" si="3"/>
        <v>0</v>
      </c>
    </row>
    <row r="82" spans="2:15">
      <c r="B82" s="23"/>
      <c r="F82" s="62"/>
      <c r="G82" s="38"/>
      <c r="H82" s="38"/>
      <c r="I82" s="38"/>
      <c r="J82" s="38"/>
      <c r="K82" s="38"/>
      <c r="L82" s="38"/>
      <c r="M82" s="38"/>
      <c r="N82" s="38"/>
    </row>
    <row r="83" spans="2:15">
      <c r="B83" s="22" t="s">
        <v>125</v>
      </c>
      <c r="F83" s="62"/>
      <c r="G83" s="38"/>
      <c r="H83" s="38"/>
      <c r="I83" s="38"/>
      <c r="J83" s="38"/>
      <c r="K83" s="38"/>
      <c r="L83" s="38"/>
      <c r="M83" s="38"/>
      <c r="N83" s="38"/>
    </row>
    <row r="84" spans="2:15">
      <c r="B84" s="23" t="s">
        <v>126</v>
      </c>
      <c r="D84" t="s">
        <v>107</v>
      </c>
      <c r="F84" s="80">
        <f>SUM(G84:O84)</f>
        <v>20921637.971314959</v>
      </c>
      <c r="G84" s="30">
        <f>G22+G44-G64</f>
        <v>0</v>
      </c>
      <c r="H84" s="30">
        <f t="shared" ref="H84:O84" si="4">H22+H44-H64</f>
        <v>272917.09999999998</v>
      </c>
      <c r="I84" s="30">
        <f t="shared" si="4"/>
        <v>0</v>
      </c>
      <c r="J84" s="30">
        <f t="shared" si="4"/>
        <v>611000</v>
      </c>
      <c r="K84" s="30">
        <f t="shared" si="4"/>
        <v>7004694.0313149588</v>
      </c>
      <c r="L84" s="30">
        <f t="shared" si="4"/>
        <v>90128.84</v>
      </c>
      <c r="M84" s="30">
        <f t="shared" si="4"/>
        <v>12940404</v>
      </c>
      <c r="N84" s="30">
        <f t="shared" si="4"/>
        <v>2494</v>
      </c>
      <c r="O84" s="30">
        <f t="shared" si="4"/>
        <v>0</v>
      </c>
    </row>
    <row r="85" spans="2:15">
      <c r="B85" s="23" t="s">
        <v>127</v>
      </c>
      <c r="D85" t="s">
        <v>107</v>
      </c>
      <c r="F85" s="80">
        <f>SUM(G85:O85)</f>
        <v>0</v>
      </c>
      <c r="G85" s="30">
        <f>G23+G45-G65</f>
        <v>0</v>
      </c>
      <c r="H85" s="30">
        <f t="shared" ref="H85:O85" si="5">H23+H45-H65</f>
        <v>0</v>
      </c>
      <c r="I85" s="30">
        <f t="shared" si="5"/>
        <v>0</v>
      </c>
      <c r="J85" s="30">
        <f t="shared" si="5"/>
        <v>0</v>
      </c>
      <c r="K85" s="30">
        <f t="shared" si="5"/>
        <v>0</v>
      </c>
      <c r="L85" s="30">
        <f t="shared" si="5"/>
        <v>0</v>
      </c>
      <c r="M85" s="30">
        <f t="shared" si="5"/>
        <v>0</v>
      </c>
      <c r="N85" s="30">
        <f t="shared" si="5"/>
        <v>0</v>
      </c>
      <c r="O85" s="30">
        <f t="shared" si="5"/>
        <v>0</v>
      </c>
    </row>
    <row r="86" spans="2:15">
      <c r="B86" s="23"/>
      <c r="F86" s="62"/>
      <c r="G86" s="38"/>
      <c r="H86" s="38"/>
      <c r="I86" s="38"/>
      <c r="J86" s="38"/>
      <c r="K86" s="38"/>
      <c r="L86" s="38"/>
      <c r="M86" s="38"/>
      <c r="N86" s="38"/>
    </row>
    <row r="87" spans="2:15">
      <c r="B87" s="22" t="s">
        <v>128</v>
      </c>
      <c r="F87" s="62"/>
      <c r="G87" s="38"/>
      <c r="H87" s="38"/>
      <c r="I87" s="38"/>
      <c r="J87" s="38"/>
      <c r="K87" s="38"/>
      <c r="L87" s="38"/>
      <c r="M87" s="38"/>
      <c r="N87" s="38"/>
    </row>
    <row r="88" spans="2:15">
      <c r="B88" s="93" t="s">
        <v>180</v>
      </c>
      <c r="D88" t="s">
        <v>107</v>
      </c>
      <c r="F88" s="80">
        <f>SUM(G88:O88)</f>
        <v>3772160.567865795</v>
      </c>
      <c r="G88" s="30">
        <f>G26+G48-G68</f>
        <v>111000</v>
      </c>
      <c r="H88" s="30">
        <f t="shared" ref="H88:O88" si="6">H26+H48-H68</f>
        <v>92687.856749999992</v>
      </c>
      <c r="I88" s="30">
        <f t="shared" si="6"/>
        <v>183986.81758887111</v>
      </c>
      <c r="J88" s="30">
        <f t="shared" si="6"/>
        <v>944347.31593749998</v>
      </c>
      <c r="K88" s="30">
        <f t="shared" si="6"/>
        <v>1064924.5604356914</v>
      </c>
      <c r="L88" s="30">
        <f t="shared" si="6"/>
        <v>56468.11</v>
      </c>
      <c r="M88" s="30">
        <f t="shared" si="6"/>
        <v>1315317.5112870373</v>
      </c>
      <c r="N88" s="30">
        <f t="shared" si="6"/>
        <v>3428.3958666955414</v>
      </c>
      <c r="O88" s="30">
        <f t="shared" si="6"/>
        <v>0</v>
      </c>
    </row>
    <row r="89" spans="2:15">
      <c r="B89" s="93" t="s">
        <v>181</v>
      </c>
      <c r="D89" t="s">
        <v>107</v>
      </c>
      <c r="F89" s="80">
        <f>SUM(G89:O89)</f>
        <v>706685.49768770766</v>
      </c>
      <c r="G89" s="30">
        <f>G27+G49-G69</f>
        <v>8000</v>
      </c>
      <c r="H89" s="30">
        <f t="shared" ref="H89:O89" si="7">H27+H49-H69</f>
        <v>11007.064200000001</v>
      </c>
      <c r="I89" s="30">
        <f t="shared" si="7"/>
        <v>30015.244644390703</v>
      </c>
      <c r="J89" s="30">
        <f t="shared" si="7"/>
        <v>174598.21177229812</v>
      </c>
      <c r="K89" s="30">
        <f t="shared" si="7"/>
        <v>150345.3853645178</v>
      </c>
      <c r="L89" s="30">
        <f t="shared" si="7"/>
        <v>7388</v>
      </c>
      <c r="M89" s="30">
        <f t="shared" si="7"/>
        <v>259798.17566861041</v>
      </c>
      <c r="N89" s="30">
        <f t="shared" si="7"/>
        <v>65533.41603789058</v>
      </c>
      <c r="O89" s="30">
        <f t="shared" si="7"/>
        <v>0</v>
      </c>
    </row>
    <row r="90" spans="2:15">
      <c r="B90" s="94" t="s">
        <v>182</v>
      </c>
      <c r="D90" t="s">
        <v>107</v>
      </c>
      <c r="F90" s="80">
        <f>SUM(G90:O90)</f>
        <v>4493013.8167390767</v>
      </c>
      <c r="G90" s="30">
        <f>G28+G50-G70</f>
        <v>0</v>
      </c>
      <c r="H90" s="30">
        <f t="shared" ref="H90:O90" si="8">H28+H50-H70</f>
        <v>0</v>
      </c>
      <c r="I90" s="30">
        <f t="shared" si="8"/>
        <v>14029.331699914444</v>
      </c>
      <c r="J90" s="30">
        <f t="shared" si="8"/>
        <v>808600</v>
      </c>
      <c r="K90" s="30">
        <f t="shared" si="8"/>
        <v>3295920.4570486182</v>
      </c>
      <c r="L90" s="30">
        <f t="shared" si="8"/>
        <v>95604.42</v>
      </c>
      <c r="M90" s="30">
        <f t="shared" si="8"/>
        <v>76637.909708563864</v>
      </c>
      <c r="N90" s="30">
        <f t="shared" si="8"/>
        <v>202221.69828198027</v>
      </c>
      <c r="O90" s="30">
        <f t="shared" si="8"/>
        <v>0</v>
      </c>
    </row>
    <row r="91" spans="2:15">
      <c r="F91" s="62"/>
      <c r="G91" s="42"/>
      <c r="H91" s="42"/>
      <c r="I91" s="42"/>
      <c r="J91" s="42"/>
      <c r="K91" s="42"/>
      <c r="L91" s="42"/>
      <c r="M91" s="42"/>
      <c r="N91" s="42"/>
    </row>
    <row r="92" spans="2:15">
      <c r="B92" s="25" t="s">
        <v>404</v>
      </c>
      <c r="D92" t="s">
        <v>107</v>
      </c>
      <c r="F92" s="132">
        <f>SUM(G92:O92)</f>
        <v>326962228.5548268</v>
      </c>
      <c r="G92" s="69">
        <f>SUM(G76:G77,G80:G81,G84:G85,G88:G90)</f>
        <v>8764534.2058352493</v>
      </c>
      <c r="H92" s="69">
        <f t="shared" ref="H92:O92" si="9">SUM(H76:H77,H80:H81,H84:H85,H88:H90)</f>
        <v>10382127.492073759</v>
      </c>
      <c r="I92" s="69">
        <f t="shared" si="9"/>
        <v>9134101.3805734813</v>
      </c>
      <c r="J92" s="69">
        <f t="shared" si="9"/>
        <v>87970616.080685571</v>
      </c>
      <c r="K92" s="69">
        <f t="shared" si="9"/>
        <v>99231893.866767362</v>
      </c>
      <c r="L92" s="69">
        <f t="shared" si="9"/>
        <v>4235562.1500000004</v>
      </c>
      <c r="M92" s="69">
        <f t="shared" si="9"/>
        <v>100575369.85218462</v>
      </c>
      <c r="N92" s="69">
        <f t="shared" si="9"/>
        <v>6668023.5267067617</v>
      </c>
      <c r="O92" s="69">
        <f t="shared" si="9"/>
        <v>0</v>
      </c>
    </row>
    <row r="93" spans="2:15">
      <c r="F93" s="85"/>
      <c r="G93" s="42"/>
      <c r="H93" s="42"/>
      <c r="I93" s="42"/>
      <c r="J93" s="42"/>
      <c r="K93" s="42"/>
      <c r="L93" s="42"/>
      <c r="M93" s="42"/>
      <c r="N93" s="42"/>
    </row>
    <row r="94" spans="2:15">
      <c r="B94" s="51" t="s">
        <v>618</v>
      </c>
      <c r="F94" s="132">
        <f>SUM(G94:O94)</f>
        <v>302268430.01564598</v>
      </c>
      <c r="G94" s="195">
        <f>G92-G84-G85-G88</f>
        <v>8653534.2058352493</v>
      </c>
      <c r="H94" s="195">
        <f t="shared" ref="H94:O94" si="10">H92-H84-H85-H88</f>
        <v>10016522.53532376</v>
      </c>
      <c r="I94" s="195">
        <f t="shared" si="10"/>
        <v>8950114.56298461</v>
      </c>
      <c r="J94" s="195">
        <f t="shared" si="10"/>
        <v>86415268.764748067</v>
      </c>
      <c r="K94" s="195">
        <f t="shared" si="10"/>
        <v>91162275.27501671</v>
      </c>
      <c r="L94" s="195">
        <f t="shared" si="10"/>
        <v>4088965.2000000007</v>
      </c>
      <c r="M94" s="195">
        <f t="shared" si="10"/>
        <v>86319648.34089759</v>
      </c>
      <c r="N94" s="195">
        <f t="shared" si="10"/>
        <v>6662101.1308400659</v>
      </c>
      <c r="O94" s="195">
        <f t="shared" si="10"/>
        <v>0</v>
      </c>
    </row>
    <row r="95" spans="2:15">
      <c r="F95" s="85"/>
      <c r="G95" s="42"/>
      <c r="H95" s="42"/>
      <c r="I95" s="42"/>
      <c r="J95" s="42"/>
      <c r="K95" s="42"/>
      <c r="L95" s="42"/>
      <c r="M95" s="42"/>
      <c r="N95" s="42"/>
    </row>
    <row r="96" spans="2:15">
      <c r="F96" s="62"/>
      <c r="G96" s="42"/>
      <c r="H96" s="42"/>
      <c r="I96" s="42"/>
      <c r="J96" s="42"/>
      <c r="K96" s="42"/>
      <c r="L96" s="42"/>
      <c r="M96" s="42"/>
      <c r="N96" s="42"/>
    </row>
    <row r="97" spans="2:15" s="2" customFormat="1">
      <c r="B97" s="2" t="s">
        <v>379</v>
      </c>
      <c r="F97" s="49"/>
    </row>
    <row r="98" spans="2:15">
      <c r="F98" s="47"/>
    </row>
    <row r="99" spans="2:15">
      <c r="B99" s="3" t="s">
        <v>29</v>
      </c>
      <c r="F99" s="47"/>
    </row>
    <row r="100" spans="2:15">
      <c r="F100" s="47"/>
    </row>
    <row r="101" spans="2:15">
      <c r="B101" s="22" t="s">
        <v>121</v>
      </c>
      <c r="D101" s="28"/>
      <c r="E101" s="28"/>
      <c r="F101" s="67"/>
      <c r="G101" s="38"/>
      <c r="H101" s="38"/>
      <c r="I101" s="38"/>
      <c r="J101" s="38"/>
      <c r="K101" s="38"/>
      <c r="L101" s="38"/>
      <c r="M101" s="38"/>
      <c r="N101" s="38"/>
    </row>
    <row r="102" spans="2:15">
      <c r="B102" s="23" t="s">
        <v>216</v>
      </c>
      <c r="D102" t="s">
        <v>108</v>
      </c>
      <c r="F102" s="80">
        <f>SUM(G102:O102)</f>
        <v>0</v>
      </c>
      <c r="G102" s="43">
        <f>'PRD OPEX TD (2009-2012)'!G111</f>
        <v>0</v>
      </c>
      <c r="H102" s="43">
        <f>'PRD OPEX TD (2009-2012)'!H111</f>
        <v>0</v>
      </c>
      <c r="I102" s="43">
        <f>'PRD OPEX TD (2009-2012)'!I111</f>
        <v>0</v>
      </c>
      <c r="J102" s="43">
        <f>'PRD OPEX TD (2009-2012)'!J111</f>
        <v>0</v>
      </c>
      <c r="K102" s="43">
        <f>'PRD OPEX TD (2009-2012)'!K111</f>
        <v>0</v>
      </c>
      <c r="L102" s="43">
        <f>'PRD OPEX TD (2009-2012)'!L111</f>
        <v>0</v>
      </c>
      <c r="M102" s="43">
        <f>'PRD OPEX TD (2009-2012)'!M111</f>
        <v>0</v>
      </c>
      <c r="N102" s="43">
        <f>'PRD OPEX TD (2009-2012)'!N111</f>
        <v>0</v>
      </c>
      <c r="O102" s="43">
        <f>'PRD OPEX TD (2009-2012)'!O111</f>
        <v>0</v>
      </c>
    </row>
    <row r="103" spans="2:15">
      <c r="B103" s="23" t="s">
        <v>217</v>
      </c>
      <c r="D103" t="s">
        <v>108</v>
      </c>
      <c r="F103" s="80">
        <f>SUM(G103:O103)</f>
        <v>0</v>
      </c>
      <c r="G103" s="43">
        <f>'PRD OPEX TD (2009-2012)'!G112</f>
        <v>0</v>
      </c>
      <c r="H103" s="43">
        <f>'PRD OPEX TD (2009-2012)'!H112</f>
        <v>0</v>
      </c>
      <c r="I103" s="43">
        <f>'PRD OPEX TD (2009-2012)'!I112</f>
        <v>0</v>
      </c>
      <c r="J103" s="43">
        <f>'PRD OPEX TD (2009-2012)'!J112</f>
        <v>0</v>
      </c>
      <c r="K103" s="43">
        <f>'PRD OPEX TD (2009-2012)'!K112</f>
        <v>0</v>
      </c>
      <c r="L103" s="43">
        <f>'PRD OPEX TD (2009-2012)'!L112</f>
        <v>0</v>
      </c>
      <c r="M103" s="43">
        <f>'PRD OPEX TD (2009-2012)'!M112</f>
        <v>0</v>
      </c>
      <c r="N103" s="43">
        <f>'PRD OPEX TD (2009-2012)'!N112</f>
        <v>0</v>
      </c>
      <c r="O103" s="43">
        <f>'PRD OPEX TD (2009-2012)'!O112</f>
        <v>0</v>
      </c>
    </row>
    <row r="104" spans="2:15">
      <c r="B104" s="23"/>
      <c r="F104" s="62"/>
      <c r="G104" s="42"/>
      <c r="H104" s="42"/>
      <c r="I104" s="42"/>
      <c r="J104" s="42"/>
      <c r="K104" s="42"/>
      <c r="L104" s="42"/>
      <c r="M104" s="42"/>
      <c r="N104" s="42"/>
      <c r="O104" s="42"/>
    </row>
    <row r="105" spans="2:15">
      <c r="B105" s="22" t="s">
        <v>122</v>
      </c>
      <c r="F105" s="62"/>
      <c r="G105" s="42"/>
      <c r="H105" s="42"/>
      <c r="I105" s="42"/>
      <c r="J105" s="42"/>
      <c r="K105" s="42"/>
      <c r="L105" s="42"/>
      <c r="M105" s="42"/>
      <c r="N105" s="42"/>
      <c r="O105" s="42"/>
    </row>
    <row r="106" spans="2:15">
      <c r="B106" s="23" t="s">
        <v>123</v>
      </c>
      <c r="D106" t="s">
        <v>108</v>
      </c>
      <c r="F106" s="80">
        <f>SUM(G106:O106)</f>
        <v>262922125.80768156</v>
      </c>
      <c r="G106" s="43">
        <f>'PRD OPEX TD (2009-2012)'!G115</f>
        <v>9107000</v>
      </c>
      <c r="H106" s="43">
        <f>'PRD OPEX TD (2009-2012)'!H115</f>
        <v>8916184.9327608477</v>
      </c>
      <c r="I106" s="43">
        <f>'PRD OPEX TD (2009-2012)'!I115</f>
        <v>10148014.777562119</v>
      </c>
      <c r="J106" s="43">
        <f>'PRD OPEX TD (2009-2012)'!J115</f>
        <v>86737046.069180697</v>
      </c>
      <c r="K106" s="43">
        <f>'PRD OPEX TD (2009-2012)'!K115</f>
        <v>81334736.039025337</v>
      </c>
      <c r="L106" s="43">
        <f>'PRD OPEX TD (2009-2012)'!L115</f>
        <v>2095665.3699999999</v>
      </c>
      <c r="M106" s="43">
        <f>'PRD OPEX TD (2009-2012)'!M115</f>
        <v>58654742.936930329</v>
      </c>
      <c r="N106" s="43">
        <f>'PRD OPEX TD (2009-2012)'!N115</f>
        <v>5928735.6822222183</v>
      </c>
      <c r="O106" s="43">
        <f>'PRD OPEX TD (2009-2012)'!O115</f>
        <v>0</v>
      </c>
    </row>
    <row r="107" spans="2:15">
      <c r="B107" s="23" t="s">
        <v>124</v>
      </c>
      <c r="D107" t="s">
        <v>108</v>
      </c>
      <c r="F107" s="80">
        <f>SUM(G107:O107)</f>
        <v>18401304.463298731</v>
      </c>
      <c r="G107" s="43">
        <f>'PRD OPEX TD (2009-2012)'!G116</f>
        <v>0</v>
      </c>
      <c r="H107" s="43">
        <f>'PRD OPEX TD (2009-2012)'!H116</f>
        <v>0</v>
      </c>
      <c r="I107" s="43">
        <f>'PRD OPEX TD (2009-2012)'!I116</f>
        <v>0</v>
      </c>
      <c r="J107" s="43">
        <f>'PRD OPEX TD (2009-2012)'!J116</f>
        <v>0</v>
      </c>
      <c r="K107" s="43">
        <f>'PRD OPEX TD (2009-2012)'!K116</f>
        <v>0</v>
      </c>
      <c r="L107" s="43">
        <f>'PRD OPEX TD (2009-2012)'!L116</f>
        <v>501142.21</v>
      </c>
      <c r="M107" s="43">
        <f>'PRD OPEX TD (2009-2012)'!M116</f>
        <v>17900162.25329873</v>
      </c>
      <c r="N107" s="43">
        <f>'PRD OPEX TD (2009-2012)'!N116</f>
        <v>0</v>
      </c>
      <c r="O107" s="43">
        <f>'PRD OPEX TD (2009-2012)'!O116</f>
        <v>0</v>
      </c>
    </row>
    <row r="108" spans="2:15">
      <c r="B108" s="23"/>
      <c r="F108" s="62"/>
      <c r="G108" s="42"/>
      <c r="H108" s="42"/>
      <c r="I108" s="42"/>
      <c r="J108" s="42"/>
      <c r="K108" s="42"/>
      <c r="L108" s="42"/>
      <c r="M108" s="42"/>
      <c r="N108" s="42"/>
      <c r="O108" s="42"/>
    </row>
    <row r="109" spans="2:15">
      <c r="B109" s="22" t="s">
        <v>125</v>
      </c>
      <c r="F109" s="62"/>
      <c r="G109" s="42"/>
      <c r="H109" s="42"/>
      <c r="I109" s="42"/>
      <c r="J109" s="42"/>
      <c r="K109" s="42"/>
      <c r="L109" s="42"/>
      <c r="M109" s="42"/>
      <c r="N109" s="42"/>
      <c r="O109" s="42"/>
    </row>
    <row r="110" spans="2:15">
      <c r="B110" s="23" t="s">
        <v>126</v>
      </c>
      <c r="D110" t="s">
        <v>108</v>
      </c>
      <c r="F110" s="80">
        <f>SUM(G110:O110)</f>
        <v>21226316.034617551</v>
      </c>
      <c r="G110" s="43">
        <f>'PRD OPEX TD (2009-2012)'!G119</f>
        <v>0</v>
      </c>
      <c r="H110" s="43">
        <f>'PRD OPEX TD (2009-2012)'!H119</f>
        <v>271771.83</v>
      </c>
      <c r="I110" s="43">
        <f>'PRD OPEX TD (2009-2012)'!I119</f>
        <v>0</v>
      </c>
      <c r="J110" s="43">
        <f>'PRD OPEX TD (2009-2012)'!J119</f>
        <v>608000</v>
      </c>
      <c r="K110" s="43">
        <f>'PRD OPEX TD (2009-2012)'!K119</f>
        <v>7686459.2046175497</v>
      </c>
      <c r="L110" s="43">
        <f>'PRD OPEX TD (2009-2012)'!L119</f>
        <v>88642</v>
      </c>
      <c r="M110" s="43">
        <f>'PRD OPEX TD (2009-2012)'!M119</f>
        <v>12568949</v>
      </c>
      <c r="N110" s="43">
        <f>'PRD OPEX TD (2009-2012)'!N119</f>
        <v>2494</v>
      </c>
      <c r="O110" s="43">
        <f>'PRD OPEX TD (2009-2012)'!O119</f>
        <v>0</v>
      </c>
    </row>
    <row r="111" spans="2:15">
      <c r="B111" s="23" t="s">
        <v>127</v>
      </c>
      <c r="D111" t="s">
        <v>108</v>
      </c>
      <c r="F111" s="80">
        <f>SUM(G111:O111)</f>
        <v>4000</v>
      </c>
      <c r="G111" s="43">
        <f>'PRD OPEX TD (2009-2012)'!G120</f>
        <v>4000</v>
      </c>
      <c r="H111" s="43">
        <f>'PRD OPEX TD (2009-2012)'!H120</f>
        <v>0</v>
      </c>
      <c r="I111" s="43">
        <f>'PRD OPEX TD (2009-2012)'!I120</f>
        <v>0</v>
      </c>
      <c r="J111" s="43">
        <f>'PRD OPEX TD (2009-2012)'!J120</f>
        <v>0</v>
      </c>
      <c r="K111" s="43">
        <f>'PRD OPEX TD (2009-2012)'!K120</f>
        <v>0</v>
      </c>
      <c r="L111" s="43">
        <f>'PRD OPEX TD (2009-2012)'!L120</f>
        <v>0</v>
      </c>
      <c r="M111" s="43">
        <f>'PRD OPEX TD (2009-2012)'!M120</f>
        <v>0</v>
      </c>
      <c r="N111" s="43">
        <f>'PRD OPEX TD (2009-2012)'!N120</f>
        <v>0</v>
      </c>
      <c r="O111" s="43">
        <f>'PRD OPEX TD (2009-2012)'!O120</f>
        <v>0</v>
      </c>
    </row>
    <row r="112" spans="2:15">
      <c r="B112" s="23"/>
      <c r="F112" s="62"/>
      <c r="G112" s="42"/>
      <c r="H112" s="42"/>
      <c r="I112" s="42"/>
      <c r="J112" s="42"/>
      <c r="K112" s="42"/>
      <c r="L112" s="42"/>
      <c r="M112" s="42"/>
      <c r="N112" s="42"/>
      <c r="O112" s="42"/>
    </row>
    <row r="113" spans="2:16">
      <c r="B113" s="22" t="s">
        <v>128</v>
      </c>
      <c r="F113" s="62"/>
      <c r="G113" s="42"/>
      <c r="H113" s="42"/>
      <c r="I113" s="42"/>
      <c r="J113" s="42"/>
      <c r="K113" s="42"/>
      <c r="L113" s="42"/>
      <c r="M113" s="42"/>
      <c r="N113" s="42"/>
      <c r="O113" s="42"/>
    </row>
    <row r="114" spans="2:16">
      <c r="B114" s="93" t="s">
        <v>180</v>
      </c>
      <c r="D114" t="s">
        <v>108</v>
      </c>
      <c r="F114" s="80">
        <f>SUM(G114:O114)</f>
        <v>3274053.4386383905</v>
      </c>
      <c r="G114" s="43">
        <f>'PRD OPEX TD (2009-2012)'!G123</f>
        <v>72000</v>
      </c>
      <c r="H114" s="43">
        <f>'PRD OPEX TD (2009-2012)'!H123</f>
        <v>93092.709000000003</v>
      </c>
      <c r="I114" s="43">
        <f>'PRD OPEX TD (2009-2012)'!I123</f>
        <v>181330.25258374997</v>
      </c>
      <c r="J114" s="43">
        <f>'PRD OPEX TD (2009-2012)'!J123</f>
        <v>923582.58078521874</v>
      </c>
      <c r="K114" s="43">
        <f>'PRD OPEX TD (2009-2012)'!K123</f>
        <v>1066413.7768667419</v>
      </c>
      <c r="L114" s="43">
        <f>'PRD OPEX TD (2009-2012)'!L123</f>
        <v>57643.82</v>
      </c>
      <c r="M114" s="43">
        <f>'PRD OPEX TD (2009-2012)'!M123</f>
        <v>873329.56455926411</v>
      </c>
      <c r="N114" s="43">
        <f>'PRD OPEX TD (2009-2012)'!N123</f>
        <v>6660.734843416185</v>
      </c>
      <c r="O114" s="43">
        <f>'PRD OPEX TD (2009-2012)'!O123</f>
        <v>0</v>
      </c>
    </row>
    <row r="115" spans="2:16">
      <c r="B115" s="93" t="s">
        <v>181</v>
      </c>
      <c r="D115" t="s">
        <v>108</v>
      </c>
      <c r="F115" s="80">
        <f>SUM(G115:O115)</f>
        <v>618361.98538827489</v>
      </c>
      <c r="G115" s="43">
        <f>'PRD OPEX TD (2009-2012)'!G124</f>
        <v>8000</v>
      </c>
      <c r="H115" s="43">
        <f>'PRD OPEX TD (2009-2012)'!H124</f>
        <v>12128.929070685243</v>
      </c>
      <c r="I115" s="43">
        <f>'PRD OPEX TD (2009-2012)'!I124</f>
        <v>31746.786192698186</v>
      </c>
      <c r="J115" s="43">
        <f>'PRD OPEX TD (2009-2012)'!J124</f>
        <v>167769.91590646797</v>
      </c>
      <c r="K115" s="43">
        <f>'PRD OPEX TD (2009-2012)'!K124</f>
        <v>145760.92192394807</v>
      </c>
      <c r="L115" s="43">
        <f>'PRD OPEX TD (2009-2012)'!L124</f>
        <v>7494.59</v>
      </c>
      <c r="M115" s="43">
        <f>'PRD OPEX TD (2009-2012)'!M124</f>
        <v>183422.66258400289</v>
      </c>
      <c r="N115" s="43">
        <f>'PRD OPEX TD (2009-2012)'!N124</f>
        <v>62038.179710472454</v>
      </c>
      <c r="O115" s="43">
        <f>'PRD OPEX TD (2009-2012)'!O124</f>
        <v>0</v>
      </c>
    </row>
    <row r="116" spans="2:16">
      <c r="B116" s="94" t="s">
        <v>182</v>
      </c>
      <c r="D116" t="s">
        <v>108</v>
      </c>
      <c r="F116" s="80">
        <f>SUM(G116:O116)</f>
        <v>3719579.1116029317</v>
      </c>
      <c r="G116" s="43">
        <f>'PRD OPEX TD (2009-2012)'!G125</f>
        <v>0</v>
      </c>
      <c r="H116" s="43">
        <f>'PRD OPEX TD (2009-2012)'!H125</f>
        <v>0</v>
      </c>
      <c r="I116" s="43">
        <f>'PRD OPEX TD (2009-2012)'!I125</f>
        <v>166814.40571456257</v>
      </c>
      <c r="J116" s="43">
        <f>'PRD OPEX TD (2009-2012)'!J125</f>
        <v>1026831.7672</v>
      </c>
      <c r="K116" s="43">
        <f>'PRD OPEX TD (2009-2012)'!K125</f>
        <v>2327643.8212149218</v>
      </c>
      <c r="L116" s="43">
        <f>'PRD OPEX TD (2009-2012)'!L125</f>
        <v>27032.62</v>
      </c>
      <c r="M116" s="43">
        <f>'PRD OPEX TD (2009-2012)'!M125</f>
        <v>94656.679723226756</v>
      </c>
      <c r="N116" s="43">
        <f>'PRD OPEX TD (2009-2012)'!N125</f>
        <v>76599.817750220303</v>
      </c>
      <c r="O116" s="43">
        <f>'PRD OPEX TD (2009-2012)'!O125</f>
        <v>0</v>
      </c>
    </row>
    <row r="117" spans="2:16">
      <c r="C117" s="45"/>
      <c r="D117" s="28"/>
      <c r="E117" s="46">
        <v>17</v>
      </c>
      <c r="F117" s="62"/>
      <c r="G117" s="42"/>
      <c r="H117" s="42"/>
      <c r="I117" s="42"/>
      <c r="J117" s="42"/>
      <c r="K117" s="42"/>
      <c r="L117" s="42"/>
      <c r="M117" s="42"/>
      <c r="N117" s="42"/>
      <c r="O117" s="42"/>
      <c r="P117" s="28"/>
    </row>
    <row r="118" spans="2:16">
      <c r="B118" s="79" t="s">
        <v>268</v>
      </c>
      <c r="D118" t="s">
        <v>108</v>
      </c>
      <c r="F118" s="80">
        <f>SUM(G118:O118)</f>
        <v>310165740.84122747</v>
      </c>
      <c r="G118" s="69">
        <f>SUM(G102:G103,G106:G107,G110:G111,G114:G116)</f>
        <v>9191000</v>
      </c>
      <c r="H118" s="69">
        <f t="shared" ref="H118:O118" si="11">SUM(H102:H103,H106:H107,H110:H111,H114:H116)</f>
        <v>9293178.4008315336</v>
      </c>
      <c r="I118" s="69">
        <f t="shared" si="11"/>
        <v>10527906.222053129</v>
      </c>
      <c r="J118" s="69">
        <f t="shared" si="11"/>
        <v>89463230.333072379</v>
      </c>
      <c r="K118" s="69">
        <f t="shared" si="11"/>
        <v>92561013.76364851</v>
      </c>
      <c r="L118" s="69">
        <f t="shared" si="11"/>
        <v>2777620.61</v>
      </c>
      <c r="M118" s="69">
        <f t="shared" si="11"/>
        <v>90275263.097095564</v>
      </c>
      <c r="N118" s="69">
        <f t="shared" si="11"/>
        <v>6076528.4145263266</v>
      </c>
      <c r="O118" s="69">
        <f t="shared" si="11"/>
        <v>0</v>
      </c>
    </row>
    <row r="119" spans="2:16">
      <c r="F119" s="62"/>
      <c r="G119" s="42"/>
      <c r="H119" s="42"/>
      <c r="I119" s="42"/>
      <c r="J119" s="42"/>
      <c r="K119" s="42"/>
      <c r="L119" s="42"/>
      <c r="M119" s="42"/>
      <c r="N119" s="42"/>
    </row>
    <row r="120" spans="2:16">
      <c r="F120" s="62"/>
      <c r="G120" s="42"/>
      <c r="H120" s="42"/>
      <c r="I120" s="42"/>
      <c r="J120" s="42"/>
      <c r="K120" s="42"/>
      <c r="L120" s="42"/>
      <c r="M120" s="42"/>
      <c r="N120" s="42"/>
    </row>
    <row r="121" spans="2:16">
      <c r="B121" s="261" t="s">
        <v>832</v>
      </c>
      <c r="F121" s="62"/>
      <c r="G121" s="42"/>
      <c r="H121" s="42"/>
      <c r="I121" s="42"/>
      <c r="J121" s="42"/>
      <c r="K121" s="42"/>
      <c r="L121" s="42"/>
      <c r="M121" s="42"/>
      <c r="N121" s="42"/>
    </row>
    <row r="122" spans="2:16">
      <c r="F122" s="62"/>
      <c r="G122" s="133"/>
      <c r="H122" s="42"/>
      <c r="I122" s="42"/>
      <c r="J122" s="42"/>
      <c r="K122" s="42"/>
      <c r="L122" s="42"/>
      <c r="M122" s="42"/>
      <c r="N122" s="42"/>
    </row>
    <row r="123" spans="2:16">
      <c r="B123" s="22" t="s">
        <v>121</v>
      </c>
      <c r="D123" s="28"/>
      <c r="E123" s="28"/>
      <c r="F123" s="67"/>
      <c r="G123" s="38"/>
      <c r="H123" s="38"/>
      <c r="I123" s="38"/>
      <c r="J123" s="38"/>
      <c r="K123" s="38"/>
      <c r="L123" s="38"/>
      <c r="M123" s="38"/>
      <c r="N123" s="38"/>
    </row>
    <row r="124" spans="2:16">
      <c r="B124" s="23" t="s">
        <v>216</v>
      </c>
      <c r="D124" t="s">
        <v>108</v>
      </c>
      <c r="F124" s="80">
        <f>SUM(G124:O124)</f>
        <v>0</v>
      </c>
      <c r="G124" s="131"/>
      <c r="H124" s="131"/>
      <c r="I124" s="131"/>
      <c r="J124" s="131"/>
      <c r="K124" s="131"/>
      <c r="L124" s="131"/>
      <c r="M124" s="131"/>
      <c r="N124" s="131"/>
      <c r="O124" s="131"/>
    </row>
    <row r="125" spans="2:16">
      <c r="B125" s="23" t="s">
        <v>217</v>
      </c>
      <c r="D125" t="s">
        <v>108</v>
      </c>
      <c r="F125" s="80">
        <f>SUM(G125:O125)</f>
        <v>0</v>
      </c>
      <c r="G125" s="131"/>
      <c r="H125" s="131"/>
      <c r="I125" s="131"/>
      <c r="J125" s="131"/>
      <c r="K125" s="131"/>
      <c r="L125" s="131"/>
      <c r="M125" s="131"/>
      <c r="N125" s="131"/>
      <c r="O125" s="131"/>
    </row>
    <row r="126" spans="2:16">
      <c r="B126" s="23"/>
      <c r="F126" s="62"/>
      <c r="G126" s="42"/>
      <c r="H126" s="42"/>
      <c r="I126" s="42"/>
      <c r="J126" s="42"/>
      <c r="K126" s="42"/>
      <c r="L126" s="42"/>
      <c r="M126" s="42"/>
      <c r="N126" s="42"/>
    </row>
    <row r="127" spans="2:16">
      <c r="B127" s="22" t="s">
        <v>122</v>
      </c>
      <c r="F127" s="62"/>
      <c r="G127" s="42"/>
      <c r="H127" s="42"/>
      <c r="I127" s="42"/>
      <c r="J127" s="42"/>
      <c r="K127" s="42"/>
      <c r="L127" s="42"/>
      <c r="M127" s="42"/>
      <c r="N127" s="42"/>
    </row>
    <row r="128" spans="2:16">
      <c r="B128" s="23" t="s">
        <v>123</v>
      </c>
      <c r="D128" t="s">
        <v>108</v>
      </c>
      <c r="F128" s="80">
        <f>SUM(G128:O128)</f>
        <v>0</v>
      </c>
      <c r="G128" s="131"/>
      <c r="H128" s="131"/>
      <c r="I128" s="131"/>
      <c r="J128" s="131"/>
      <c r="K128" s="131"/>
      <c r="L128" s="131"/>
      <c r="M128" s="131"/>
      <c r="N128" s="131"/>
      <c r="O128" s="131"/>
    </row>
    <row r="129" spans="2:15">
      <c r="B129" s="23" t="s">
        <v>124</v>
      </c>
      <c r="D129" t="s">
        <v>108</v>
      </c>
      <c r="F129" s="80">
        <f>SUM(G129:O129)</f>
        <v>0</v>
      </c>
      <c r="G129" s="131"/>
      <c r="H129" s="131"/>
      <c r="I129" s="131"/>
      <c r="J129" s="131"/>
      <c r="K129" s="131"/>
      <c r="L129" s="131"/>
      <c r="M129" s="131"/>
      <c r="N129" s="131"/>
      <c r="O129" s="131"/>
    </row>
    <row r="130" spans="2:15">
      <c r="B130" s="23"/>
      <c r="F130" s="62"/>
      <c r="G130" s="42"/>
      <c r="H130" s="42"/>
      <c r="I130" s="42"/>
      <c r="J130" s="42"/>
      <c r="K130" s="42"/>
      <c r="L130" s="42"/>
      <c r="M130" s="42"/>
      <c r="N130" s="42"/>
    </row>
    <row r="131" spans="2:15">
      <c r="B131" s="22" t="s">
        <v>125</v>
      </c>
      <c r="F131" s="62"/>
      <c r="G131" s="42"/>
      <c r="H131" s="42"/>
      <c r="I131" s="42"/>
      <c r="J131" s="42"/>
      <c r="K131" s="42"/>
      <c r="L131" s="42"/>
      <c r="M131" s="42"/>
      <c r="N131" s="42"/>
    </row>
    <row r="132" spans="2:15">
      <c r="B132" s="23" t="s">
        <v>126</v>
      </c>
      <c r="D132" t="s">
        <v>108</v>
      </c>
      <c r="F132" s="80">
        <f>SUM(G132:O132)</f>
        <v>0</v>
      </c>
      <c r="G132" s="131"/>
      <c r="H132" s="131"/>
      <c r="I132" s="131"/>
      <c r="J132" s="131"/>
      <c r="K132" s="131"/>
      <c r="L132" s="131"/>
      <c r="M132" s="131"/>
      <c r="N132" s="131"/>
      <c r="O132" s="131"/>
    </row>
    <row r="133" spans="2:15">
      <c r="B133" s="23" t="s">
        <v>127</v>
      </c>
      <c r="D133" t="s">
        <v>108</v>
      </c>
      <c r="F133" s="80">
        <f>SUM(G133:O133)</f>
        <v>0</v>
      </c>
      <c r="G133" s="131"/>
      <c r="H133" s="131"/>
      <c r="I133" s="131"/>
      <c r="J133" s="131"/>
      <c r="K133" s="131"/>
      <c r="L133" s="131"/>
      <c r="M133" s="131"/>
      <c r="N133" s="131"/>
      <c r="O133" s="131"/>
    </row>
    <row r="134" spans="2:15">
      <c r="B134" s="23"/>
      <c r="F134" s="62"/>
      <c r="G134" s="42"/>
      <c r="H134" s="42"/>
      <c r="I134" s="42"/>
      <c r="J134" s="42"/>
      <c r="K134" s="42"/>
      <c r="L134" s="42"/>
      <c r="M134" s="42"/>
      <c r="N134" s="42"/>
    </row>
    <row r="135" spans="2:15">
      <c r="B135" s="22" t="s">
        <v>128</v>
      </c>
      <c r="F135" s="62"/>
      <c r="G135" s="42"/>
      <c r="H135" s="42"/>
      <c r="I135" s="42"/>
      <c r="J135" s="42"/>
      <c r="K135" s="42"/>
      <c r="L135" s="42"/>
      <c r="M135" s="42"/>
      <c r="N135" s="42"/>
    </row>
    <row r="136" spans="2:15">
      <c r="B136" s="93" t="s">
        <v>180</v>
      </c>
      <c r="D136" t="s">
        <v>108</v>
      </c>
      <c r="F136" s="80">
        <f>SUM(G136:O136)</f>
        <v>0</v>
      </c>
      <c r="G136" s="131"/>
      <c r="H136" s="131"/>
      <c r="I136" s="131"/>
      <c r="J136" s="131"/>
      <c r="K136" s="131"/>
      <c r="L136" s="131"/>
      <c r="M136" s="131"/>
      <c r="N136" s="131"/>
      <c r="O136" s="131"/>
    </row>
    <row r="137" spans="2:15">
      <c r="B137" s="93" t="s">
        <v>181</v>
      </c>
      <c r="D137" t="s">
        <v>108</v>
      </c>
      <c r="F137" s="80">
        <f>SUM(G137:O137)</f>
        <v>0</v>
      </c>
      <c r="G137" s="131"/>
      <c r="H137" s="131"/>
      <c r="I137" s="131"/>
      <c r="J137" s="131"/>
      <c r="K137" s="131"/>
      <c r="L137" s="131"/>
      <c r="M137" s="131"/>
      <c r="N137" s="131"/>
      <c r="O137" s="131"/>
    </row>
    <row r="138" spans="2:15">
      <c r="B138" s="94" t="s">
        <v>182</v>
      </c>
      <c r="D138" t="s">
        <v>108</v>
      </c>
      <c r="F138" s="80">
        <f>SUM(G138:O138)</f>
        <v>0</v>
      </c>
      <c r="G138" s="131"/>
      <c r="H138" s="131"/>
      <c r="I138" s="131"/>
      <c r="J138" s="131"/>
      <c r="K138" s="131"/>
      <c r="L138" s="131"/>
      <c r="M138" s="131"/>
      <c r="N138" s="131"/>
      <c r="O138" s="131"/>
    </row>
    <row r="139" spans="2:15">
      <c r="F139" s="62"/>
      <c r="G139" s="42"/>
      <c r="H139" s="42"/>
      <c r="I139" s="42"/>
      <c r="J139" s="42"/>
      <c r="K139" s="42"/>
      <c r="L139" s="42"/>
      <c r="M139" s="42"/>
      <c r="N139" s="42"/>
    </row>
    <row r="140" spans="2:15">
      <c r="F140" s="62"/>
      <c r="G140" s="42"/>
      <c r="H140" s="42"/>
      <c r="I140" s="42"/>
      <c r="J140" s="42"/>
      <c r="K140" s="42"/>
      <c r="L140" s="42"/>
      <c r="M140" s="42"/>
      <c r="N140" s="42"/>
    </row>
    <row r="141" spans="2:15">
      <c r="B141" s="261" t="s">
        <v>831</v>
      </c>
      <c r="F141" s="62"/>
      <c r="G141" s="42"/>
      <c r="H141" s="42"/>
      <c r="I141" s="42"/>
      <c r="J141" s="42"/>
      <c r="K141" s="42"/>
      <c r="L141" s="42"/>
      <c r="M141" s="42"/>
      <c r="N141" s="42"/>
    </row>
    <row r="142" spans="2:15">
      <c r="F142" s="62"/>
      <c r="G142" s="42"/>
      <c r="H142" s="42"/>
      <c r="I142" s="42"/>
      <c r="J142" s="42"/>
      <c r="K142" s="42"/>
      <c r="L142" s="42"/>
      <c r="M142" s="42"/>
      <c r="N142" s="42"/>
    </row>
    <row r="143" spans="2:15">
      <c r="B143" s="22" t="s">
        <v>121</v>
      </c>
      <c r="D143" s="28"/>
      <c r="E143" s="28"/>
      <c r="F143" s="67"/>
      <c r="G143" s="38"/>
      <c r="H143" s="38"/>
      <c r="I143" s="38"/>
      <c r="J143" s="38"/>
      <c r="K143" s="38"/>
      <c r="L143" s="38"/>
      <c r="M143" s="38"/>
      <c r="N143" s="38"/>
    </row>
    <row r="144" spans="2:15">
      <c r="B144" s="23" t="s">
        <v>216</v>
      </c>
      <c r="D144" t="s">
        <v>108</v>
      </c>
      <c r="F144" s="80">
        <f>SUM(G144:O144)</f>
        <v>0</v>
      </c>
      <c r="G144" s="131"/>
      <c r="H144" s="131"/>
      <c r="I144" s="131"/>
      <c r="J144" s="131"/>
      <c r="K144" s="131"/>
      <c r="L144" s="131"/>
      <c r="M144" s="131"/>
      <c r="N144" s="131"/>
      <c r="O144" s="131"/>
    </row>
    <row r="145" spans="2:15">
      <c r="B145" s="23" t="s">
        <v>217</v>
      </c>
      <c r="D145" t="s">
        <v>108</v>
      </c>
      <c r="F145" s="80">
        <f>SUM(G145:O145)</f>
        <v>0</v>
      </c>
      <c r="G145" s="131"/>
      <c r="H145" s="131"/>
      <c r="I145" s="131"/>
      <c r="J145" s="131"/>
      <c r="K145" s="131"/>
      <c r="L145" s="131"/>
      <c r="M145" s="131"/>
      <c r="N145" s="131"/>
      <c r="O145" s="131"/>
    </row>
    <row r="146" spans="2:15">
      <c r="B146" s="23"/>
      <c r="F146" s="62"/>
      <c r="G146" s="42"/>
      <c r="H146" s="42"/>
      <c r="I146" s="42"/>
      <c r="J146" s="42"/>
      <c r="K146" s="42"/>
      <c r="L146" s="42"/>
      <c r="M146" s="42"/>
      <c r="N146" s="42"/>
      <c r="O146" s="42"/>
    </row>
    <row r="147" spans="2:15">
      <c r="B147" s="22" t="s">
        <v>122</v>
      </c>
      <c r="F147" s="62"/>
      <c r="G147" s="42"/>
      <c r="H147" s="42"/>
      <c r="I147" s="42"/>
      <c r="J147" s="42"/>
      <c r="K147" s="42"/>
      <c r="L147" s="42"/>
      <c r="M147" s="42"/>
      <c r="N147" s="42"/>
      <c r="O147" s="42"/>
    </row>
    <row r="148" spans="2:15">
      <c r="B148" s="23" t="s">
        <v>123</v>
      </c>
      <c r="D148" t="s">
        <v>108</v>
      </c>
      <c r="F148" s="80">
        <f>SUM(G148:O148)</f>
        <v>18133968.125762843</v>
      </c>
      <c r="G148" s="195">
        <f>'PRD Ov.Opbrengst TD (2009-2012)'!G83+'PRD Ov.Opbrengst TD (2009-2012)'!G98-'PRD Ov.Opbrengst TD (2009-2012)'!G102</f>
        <v>69593.889947687436</v>
      </c>
      <c r="H148" s="195">
        <f>'PRD Ov.Opbrengst TD (2009-2012)'!H83+'PRD Ov.Opbrengst TD (2009-2012)'!H98-'PRD Ov.Opbrengst TD (2009-2012)'!H102</f>
        <v>-362.09999999999997</v>
      </c>
      <c r="I148" s="195">
        <f>'PRD Ov.Opbrengst TD (2009-2012)'!I83+'PRD Ov.Opbrengst TD (2009-2012)'!I98-'PRD Ov.Opbrengst TD (2009-2012)'!I102</f>
        <v>78710.995289638522</v>
      </c>
      <c r="J148" s="195">
        <f>'PRD Ov.Opbrengst TD (2009-2012)'!J83+'PRD Ov.Opbrengst TD (2009-2012)'!J98-'PRD Ov.Opbrengst TD (2009-2012)'!J102</f>
        <v>8691097.6669318434</v>
      </c>
      <c r="K148" s="195">
        <f>'PRD Ov.Opbrengst TD (2009-2012)'!K83+'PRD Ov.Opbrengst TD (2009-2012)'!K98-'PRD Ov.Opbrengst TD (2009-2012)'!K102</f>
        <v>6565807.500984896</v>
      </c>
      <c r="L148" s="195">
        <f>'PRD Ov.Opbrengst TD (2009-2012)'!L83+'PRD Ov.Opbrengst TD (2009-2012)'!L98-'PRD Ov.Opbrengst TD (2009-2012)'!L102</f>
        <v>103729</v>
      </c>
      <c r="M148" s="195">
        <f>'PRD Ov.Opbrengst TD (2009-2012)'!M83+'PRD Ov.Opbrengst TD (2009-2012)'!M98-'PRD Ov.Opbrengst TD (2009-2012)'!M102</f>
        <v>2606089.9288943759</v>
      </c>
      <c r="N148" s="195">
        <f>'PRD Ov.Opbrengst TD (2009-2012)'!N83+'PRD Ov.Opbrengst TD (2009-2012)'!N98-'PRD Ov.Opbrengst TD (2009-2012)'!N102</f>
        <v>19301.243714404605</v>
      </c>
      <c r="O148" s="195">
        <f>'PRD Ov.Opbrengst TD (2009-2012)'!O83+'PRD Ov.Opbrengst TD (2009-2012)'!O98-'PRD Ov.Opbrengst TD (2009-2012)'!O102</f>
        <v>0</v>
      </c>
    </row>
    <row r="149" spans="2:15">
      <c r="B149" s="23" t="s">
        <v>124</v>
      </c>
      <c r="D149" t="s">
        <v>108</v>
      </c>
      <c r="F149" s="80">
        <f>SUM(G149:O149)</f>
        <v>0</v>
      </c>
      <c r="G149" s="131"/>
      <c r="H149" s="131"/>
      <c r="I149" s="131"/>
      <c r="J149" s="131"/>
      <c r="K149" s="131"/>
      <c r="L149" s="131"/>
      <c r="M149" s="131"/>
      <c r="N149" s="131"/>
      <c r="O149" s="131"/>
    </row>
    <row r="150" spans="2:15">
      <c r="B150" s="23"/>
      <c r="F150" s="62"/>
      <c r="G150" s="42"/>
      <c r="H150" s="42"/>
      <c r="I150" s="42"/>
      <c r="J150" s="42"/>
      <c r="K150" s="42"/>
      <c r="L150" s="42"/>
      <c r="M150" s="42"/>
      <c r="N150" s="42"/>
      <c r="O150" s="42"/>
    </row>
    <row r="151" spans="2:15">
      <c r="B151" s="22" t="s">
        <v>125</v>
      </c>
      <c r="F151" s="62"/>
      <c r="G151" s="42"/>
      <c r="H151" s="42"/>
      <c r="I151" s="42"/>
      <c r="J151" s="42"/>
      <c r="K151" s="42"/>
      <c r="L151" s="42"/>
      <c r="M151" s="42"/>
      <c r="N151" s="42"/>
      <c r="O151" s="42"/>
    </row>
    <row r="152" spans="2:15">
      <c r="B152" s="23" t="s">
        <v>126</v>
      </c>
      <c r="D152" t="s">
        <v>108</v>
      </c>
      <c r="F152" s="80">
        <f>SUM(G152:O152)</f>
        <v>0</v>
      </c>
      <c r="G152" s="131"/>
      <c r="H152" s="131"/>
      <c r="I152" s="131"/>
      <c r="J152" s="131"/>
      <c r="K152" s="131"/>
      <c r="L152" s="131"/>
      <c r="M152" s="131"/>
      <c r="N152" s="131"/>
      <c r="O152" s="131"/>
    </row>
    <row r="153" spans="2:15">
      <c r="B153" s="23" t="s">
        <v>127</v>
      </c>
      <c r="D153" t="s">
        <v>108</v>
      </c>
      <c r="F153" s="80">
        <f>SUM(G153:O153)</f>
        <v>0</v>
      </c>
      <c r="G153" s="131"/>
      <c r="H153" s="131"/>
      <c r="I153" s="131"/>
      <c r="J153" s="131"/>
      <c r="K153" s="131"/>
      <c r="L153" s="131"/>
      <c r="M153" s="131"/>
      <c r="N153" s="131"/>
      <c r="O153" s="131"/>
    </row>
    <row r="154" spans="2:15">
      <c r="B154" s="23"/>
      <c r="F154" s="62"/>
      <c r="G154" s="42"/>
      <c r="H154" s="42"/>
      <c r="I154" s="42"/>
      <c r="J154" s="42"/>
      <c r="K154" s="42"/>
      <c r="L154" s="42"/>
      <c r="M154" s="42"/>
      <c r="N154" s="42"/>
      <c r="O154" s="42"/>
    </row>
    <row r="155" spans="2:15">
      <c r="B155" s="22" t="s">
        <v>128</v>
      </c>
      <c r="F155" s="62"/>
      <c r="G155" s="42"/>
      <c r="H155" s="42"/>
      <c r="I155" s="42"/>
      <c r="J155" s="42"/>
      <c r="K155" s="42"/>
      <c r="L155" s="42"/>
      <c r="M155" s="42"/>
      <c r="N155" s="42"/>
      <c r="O155" s="42"/>
    </row>
    <row r="156" spans="2:15">
      <c r="B156" s="93" t="s">
        <v>180</v>
      </c>
      <c r="D156" t="s">
        <v>108</v>
      </c>
      <c r="F156" s="80">
        <f>SUM(G156:O156)</f>
        <v>0</v>
      </c>
      <c r="G156" s="131"/>
      <c r="H156" s="131"/>
      <c r="I156" s="131"/>
      <c r="J156" s="131"/>
      <c r="K156" s="131"/>
      <c r="L156" s="131"/>
      <c r="M156" s="131"/>
      <c r="N156" s="131"/>
      <c r="O156" s="131"/>
    </row>
    <row r="157" spans="2:15">
      <c r="B157" s="93" t="s">
        <v>181</v>
      </c>
      <c r="D157" t="s">
        <v>108</v>
      </c>
      <c r="F157" s="80">
        <f>SUM(G157:O157)</f>
        <v>0</v>
      </c>
      <c r="G157" s="131"/>
      <c r="H157" s="131"/>
      <c r="I157" s="131"/>
      <c r="J157" s="131"/>
      <c r="K157" s="131"/>
      <c r="L157" s="131"/>
      <c r="M157" s="131"/>
      <c r="N157" s="131"/>
      <c r="O157" s="131"/>
    </row>
    <row r="158" spans="2:15">
      <c r="B158" s="94" t="s">
        <v>182</v>
      </c>
      <c r="D158" t="s">
        <v>108</v>
      </c>
      <c r="F158" s="80">
        <f>SUM(G158:O158)</f>
        <v>0</v>
      </c>
      <c r="G158" s="131"/>
      <c r="H158" s="131"/>
      <c r="I158" s="131"/>
      <c r="J158" s="131"/>
      <c r="K158" s="131"/>
      <c r="L158" s="131"/>
      <c r="M158" s="131"/>
      <c r="N158" s="131"/>
      <c r="O158" s="131"/>
    </row>
    <row r="159" spans="2:15">
      <c r="F159" s="62"/>
      <c r="G159" s="42"/>
      <c r="H159" s="42"/>
      <c r="I159" s="42"/>
      <c r="J159" s="42"/>
      <c r="K159" s="42"/>
      <c r="L159" s="42"/>
      <c r="M159" s="42"/>
      <c r="N159" s="42"/>
    </row>
    <row r="160" spans="2:15">
      <c r="F160" s="62"/>
      <c r="G160" s="42"/>
      <c r="H160" s="42"/>
      <c r="I160" s="42"/>
      <c r="J160" s="42"/>
      <c r="K160" s="42"/>
      <c r="L160" s="42"/>
      <c r="M160" s="42"/>
      <c r="N160" s="42"/>
    </row>
    <row r="161" spans="2:17">
      <c r="B161" s="3" t="s">
        <v>30</v>
      </c>
      <c r="F161" s="62"/>
      <c r="G161" s="42"/>
      <c r="H161" s="42"/>
      <c r="I161" s="42"/>
      <c r="J161" s="42"/>
      <c r="K161" s="42"/>
      <c r="L161" s="42"/>
      <c r="M161" s="42"/>
      <c r="N161" s="42"/>
    </row>
    <row r="162" spans="2:17">
      <c r="F162" s="62"/>
      <c r="G162" s="42"/>
      <c r="H162" s="42"/>
      <c r="I162" s="42"/>
      <c r="J162" s="42"/>
      <c r="K162" s="42"/>
      <c r="L162" s="42"/>
      <c r="M162" s="42"/>
      <c r="N162" s="42"/>
    </row>
    <row r="163" spans="2:17">
      <c r="B163" s="22" t="s">
        <v>121</v>
      </c>
      <c r="D163" s="28"/>
      <c r="E163" s="28"/>
      <c r="F163" s="67"/>
      <c r="G163" s="38"/>
      <c r="H163" s="38"/>
      <c r="I163" s="38"/>
      <c r="J163" s="38"/>
      <c r="K163" s="38"/>
      <c r="L163" s="38"/>
      <c r="M163" s="38"/>
      <c r="N163" s="38"/>
    </row>
    <row r="164" spans="2:17">
      <c r="B164" s="23" t="s">
        <v>216</v>
      </c>
      <c r="D164" t="s">
        <v>108</v>
      </c>
      <c r="F164" s="80">
        <f>SUM(G164:O164)</f>
        <v>0</v>
      </c>
      <c r="G164" s="30">
        <f>G102+G124-G144</f>
        <v>0</v>
      </c>
      <c r="H164" s="30">
        <f t="shared" ref="H164:O164" si="12">H102+H124-H144</f>
        <v>0</v>
      </c>
      <c r="I164" s="30">
        <f t="shared" si="12"/>
        <v>0</v>
      </c>
      <c r="J164" s="30">
        <f t="shared" si="12"/>
        <v>0</v>
      </c>
      <c r="K164" s="30">
        <f t="shared" si="12"/>
        <v>0</v>
      </c>
      <c r="L164" s="30">
        <f t="shared" si="12"/>
        <v>0</v>
      </c>
      <c r="M164" s="30">
        <f t="shared" si="12"/>
        <v>0</v>
      </c>
      <c r="N164" s="30">
        <f t="shared" si="12"/>
        <v>0</v>
      </c>
      <c r="O164" s="30">
        <f t="shared" si="12"/>
        <v>0</v>
      </c>
      <c r="Q164" s="51" t="s">
        <v>569</v>
      </c>
    </row>
    <row r="165" spans="2:17">
      <c r="B165" s="23" t="s">
        <v>217</v>
      </c>
      <c r="D165" t="s">
        <v>108</v>
      </c>
      <c r="F165" s="80">
        <f>SUM(G165:O165)</f>
        <v>0</v>
      </c>
      <c r="G165" s="30">
        <f>G103+G125-G145</f>
        <v>0</v>
      </c>
      <c r="H165" s="30">
        <f t="shared" ref="H165:O165" si="13">H103+H125-H145</f>
        <v>0</v>
      </c>
      <c r="I165" s="30">
        <f t="shared" si="13"/>
        <v>0</v>
      </c>
      <c r="J165" s="30">
        <f t="shared" si="13"/>
        <v>0</v>
      </c>
      <c r="K165" s="30">
        <f t="shared" si="13"/>
        <v>0</v>
      </c>
      <c r="L165" s="30">
        <f t="shared" si="13"/>
        <v>0</v>
      </c>
      <c r="M165" s="30">
        <f t="shared" si="13"/>
        <v>0</v>
      </c>
      <c r="N165" s="30">
        <f t="shared" si="13"/>
        <v>0</v>
      </c>
      <c r="O165" s="30">
        <f t="shared" si="13"/>
        <v>0</v>
      </c>
    </row>
    <row r="166" spans="2:17">
      <c r="B166" s="23"/>
      <c r="F166" s="62"/>
      <c r="G166" s="38"/>
      <c r="H166" s="38"/>
      <c r="I166" s="38"/>
      <c r="J166" s="38"/>
      <c r="K166" s="38"/>
      <c r="L166" s="38"/>
      <c r="M166" s="38"/>
      <c r="N166" s="38"/>
    </row>
    <row r="167" spans="2:17">
      <c r="B167" s="22" t="s">
        <v>122</v>
      </c>
      <c r="F167" s="62"/>
      <c r="G167" s="38"/>
      <c r="H167" s="38"/>
      <c r="I167" s="38"/>
      <c r="J167" s="38"/>
      <c r="K167" s="38"/>
      <c r="L167" s="38"/>
      <c r="M167" s="38"/>
      <c r="N167" s="38"/>
    </row>
    <row r="168" spans="2:17">
      <c r="B168" s="23" t="s">
        <v>123</v>
      </c>
      <c r="D168" t="s">
        <v>108</v>
      </c>
      <c r="F168" s="80">
        <f>SUM(G168:O168)</f>
        <v>244788157.68191871</v>
      </c>
      <c r="G168" s="30">
        <f>G106+G128-G148</f>
        <v>9037406.1100523118</v>
      </c>
      <c r="H168" s="30">
        <f t="shared" ref="H168:O168" si="14">H106+H128-H148</f>
        <v>8916547.0327608474</v>
      </c>
      <c r="I168" s="30">
        <f t="shared" si="14"/>
        <v>10069303.78227248</v>
      </c>
      <c r="J168" s="30">
        <f t="shared" si="14"/>
        <v>78045948.402248859</v>
      </c>
      <c r="K168" s="30">
        <f t="shared" si="14"/>
        <v>74768928.538040444</v>
      </c>
      <c r="L168" s="30">
        <f t="shared" si="14"/>
        <v>1991936.3699999999</v>
      </c>
      <c r="M168" s="30">
        <f t="shared" si="14"/>
        <v>56048653.00803595</v>
      </c>
      <c r="N168" s="30">
        <f t="shared" si="14"/>
        <v>5909434.438507814</v>
      </c>
      <c r="O168" s="30">
        <f t="shared" si="14"/>
        <v>0</v>
      </c>
    </row>
    <row r="169" spans="2:17">
      <c r="B169" s="23" t="s">
        <v>124</v>
      </c>
      <c r="D169" t="s">
        <v>108</v>
      </c>
      <c r="F169" s="80">
        <f>SUM(G169:O169)</f>
        <v>18401304.463298731</v>
      </c>
      <c r="G169" s="30">
        <f>G107+G129-G149</f>
        <v>0</v>
      </c>
      <c r="H169" s="30">
        <f t="shared" ref="H169:O169" si="15">H107+H129-H149</f>
        <v>0</v>
      </c>
      <c r="I169" s="30">
        <f t="shared" si="15"/>
        <v>0</v>
      </c>
      <c r="J169" s="30">
        <f t="shared" si="15"/>
        <v>0</v>
      </c>
      <c r="K169" s="30">
        <f t="shared" si="15"/>
        <v>0</v>
      </c>
      <c r="L169" s="30">
        <f t="shared" si="15"/>
        <v>501142.21</v>
      </c>
      <c r="M169" s="30">
        <f t="shared" si="15"/>
        <v>17900162.25329873</v>
      </c>
      <c r="N169" s="30">
        <f t="shared" si="15"/>
        <v>0</v>
      </c>
      <c r="O169" s="30">
        <f t="shared" si="15"/>
        <v>0</v>
      </c>
    </row>
    <row r="170" spans="2:17">
      <c r="B170" s="23"/>
      <c r="F170" s="62"/>
      <c r="G170" s="38"/>
      <c r="H170" s="38"/>
      <c r="I170" s="38"/>
      <c r="J170" s="38"/>
      <c r="K170" s="38"/>
      <c r="L170" s="38"/>
      <c r="M170" s="38"/>
      <c r="N170" s="38"/>
    </row>
    <row r="171" spans="2:17">
      <c r="B171" s="22" t="s">
        <v>125</v>
      </c>
      <c r="F171" s="62"/>
      <c r="G171" s="38"/>
      <c r="H171" s="38"/>
      <c r="I171" s="38"/>
      <c r="J171" s="38"/>
      <c r="K171" s="38"/>
      <c r="L171" s="38"/>
      <c r="M171" s="38"/>
      <c r="N171" s="38"/>
    </row>
    <row r="172" spans="2:17">
      <c r="B172" s="23" t="s">
        <v>126</v>
      </c>
      <c r="D172" t="s">
        <v>108</v>
      </c>
      <c r="F172" s="80">
        <f>SUM(G172:O172)</f>
        <v>21226316.034617551</v>
      </c>
      <c r="G172" s="30">
        <f>G110+G132-G152</f>
        <v>0</v>
      </c>
      <c r="H172" s="30">
        <f t="shared" ref="H172:O172" si="16">H110+H132-H152</f>
        <v>271771.83</v>
      </c>
      <c r="I172" s="30">
        <f t="shared" si="16"/>
        <v>0</v>
      </c>
      <c r="J172" s="30">
        <f t="shared" si="16"/>
        <v>608000</v>
      </c>
      <c r="K172" s="30">
        <f t="shared" si="16"/>
        <v>7686459.2046175497</v>
      </c>
      <c r="L172" s="30">
        <f t="shared" si="16"/>
        <v>88642</v>
      </c>
      <c r="M172" s="30">
        <f t="shared" si="16"/>
        <v>12568949</v>
      </c>
      <c r="N172" s="30">
        <f t="shared" si="16"/>
        <v>2494</v>
      </c>
      <c r="O172" s="30">
        <f t="shared" si="16"/>
        <v>0</v>
      </c>
    </row>
    <row r="173" spans="2:17">
      <c r="B173" s="23" t="s">
        <v>127</v>
      </c>
      <c r="D173" t="s">
        <v>108</v>
      </c>
      <c r="F173" s="80">
        <f>SUM(G173:O173)</f>
        <v>4000</v>
      </c>
      <c r="G173" s="30">
        <f>G111+G133-G153</f>
        <v>4000</v>
      </c>
      <c r="H173" s="30">
        <f t="shared" ref="H173:O173" si="17">H111+H133-H153</f>
        <v>0</v>
      </c>
      <c r="I173" s="30">
        <f t="shared" si="17"/>
        <v>0</v>
      </c>
      <c r="J173" s="30">
        <f t="shared" si="17"/>
        <v>0</v>
      </c>
      <c r="K173" s="30">
        <f t="shared" si="17"/>
        <v>0</v>
      </c>
      <c r="L173" s="30">
        <f t="shared" si="17"/>
        <v>0</v>
      </c>
      <c r="M173" s="30">
        <f t="shared" si="17"/>
        <v>0</v>
      </c>
      <c r="N173" s="30">
        <f t="shared" si="17"/>
        <v>0</v>
      </c>
      <c r="O173" s="30">
        <f t="shared" si="17"/>
        <v>0</v>
      </c>
    </row>
    <row r="174" spans="2:17">
      <c r="B174" s="23"/>
      <c r="F174" s="62"/>
      <c r="G174" s="38"/>
      <c r="H174" s="38"/>
      <c r="I174" s="38"/>
      <c r="J174" s="38"/>
      <c r="K174" s="38"/>
      <c r="L174" s="38"/>
      <c r="M174" s="38"/>
      <c r="N174" s="38"/>
    </row>
    <row r="175" spans="2:17">
      <c r="B175" s="22" t="s">
        <v>128</v>
      </c>
      <c r="F175" s="62"/>
      <c r="G175" s="38"/>
      <c r="H175" s="38"/>
      <c r="I175" s="38"/>
      <c r="J175" s="38"/>
      <c r="K175" s="38"/>
      <c r="L175" s="38"/>
      <c r="M175" s="38"/>
      <c r="N175" s="38"/>
    </row>
    <row r="176" spans="2:17">
      <c r="B176" s="93" t="s">
        <v>180</v>
      </c>
      <c r="D176" t="s">
        <v>108</v>
      </c>
      <c r="F176" s="80">
        <f>SUM(G176:O176)</f>
        <v>3274053.4386383905</v>
      </c>
      <c r="G176" s="30">
        <f>G114+G136-G156</f>
        <v>72000</v>
      </c>
      <c r="H176" s="30">
        <f t="shared" ref="H176:O176" si="18">H114+H136-H156</f>
        <v>93092.709000000003</v>
      </c>
      <c r="I176" s="30">
        <f t="shared" si="18"/>
        <v>181330.25258374997</v>
      </c>
      <c r="J176" s="30">
        <f t="shared" si="18"/>
        <v>923582.58078521874</v>
      </c>
      <c r="K176" s="30">
        <f t="shared" si="18"/>
        <v>1066413.7768667419</v>
      </c>
      <c r="L176" s="30">
        <f t="shared" si="18"/>
        <v>57643.82</v>
      </c>
      <c r="M176" s="30">
        <f t="shared" si="18"/>
        <v>873329.56455926411</v>
      </c>
      <c r="N176" s="30">
        <f t="shared" si="18"/>
        <v>6660.734843416185</v>
      </c>
      <c r="O176" s="30">
        <f t="shared" si="18"/>
        <v>0</v>
      </c>
    </row>
    <row r="177" spans="2:15">
      <c r="B177" s="93" t="s">
        <v>181</v>
      </c>
      <c r="D177" t="s">
        <v>108</v>
      </c>
      <c r="F177" s="80">
        <f>SUM(G177:O177)</f>
        <v>618361.98538827489</v>
      </c>
      <c r="G177" s="30">
        <f>G115+G137-G157</f>
        <v>8000</v>
      </c>
      <c r="H177" s="30">
        <f t="shared" ref="H177:O177" si="19">H115+H137-H157</f>
        <v>12128.929070685243</v>
      </c>
      <c r="I177" s="30">
        <f t="shared" si="19"/>
        <v>31746.786192698186</v>
      </c>
      <c r="J177" s="30">
        <f t="shared" si="19"/>
        <v>167769.91590646797</v>
      </c>
      <c r="K177" s="30">
        <f t="shared" si="19"/>
        <v>145760.92192394807</v>
      </c>
      <c r="L177" s="30">
        <f t="shared" si="19"/>
        <v>7494.59</v>
      </c>
      <c r="M177" s="30">
        <f t="shared" si="19"/>
        <v>183422.66258400289</v>
      </c>
      <c r="N177" s="30">
        <f t="shared" si="19"/>
        <v>62038.179710472454</v>
      </c>
      <c r="O177" s="30">
        <f t="shared" si="19"/>
        <v>0</v>
      </c>
    </row>
    <row r="178" spans="2:15">
      <c r="B178" s="94" t="s">
        <v>182</v>
      </c>
      <c r="D178" t="s">
        <v>108</v>
      </c>
      <c r="F178" s="80">
        <f>SUM(G178:O178)</f>
        <v>3719579.1116029317</v>
      </c>
      <c r="G178" s="30">
        <f>G116+G138-G158</f>
        <v>0</v>
      </c>
      <c r="H178" s="30">
        <f t="shared" ref="H178:O178" si="20">H116+H138-H158</f>
        <v>0</v>
      </c>
      <c r="I178" s="30">
        <f t="shared" si="20"/>
        <v>166814.40571456257</v>
      </c>
      <c r="J178" s="30">
        <f t="shared" si="20"/>
        <v>1026831.7672</v>
      </c>
      <c r="K178" s="30">
        <f t="shared" si="20"/>
        <v>2327643.8212149218</v>
      </c>
      <c r="L178" s="30">
        <f t="shared" si="20"/>
        <v>27032.62</v>
      </c>
      <c r="M178" s="30">
        <f t="shared" si="20"/>
        <v>94656.679723226756</v>
      </c>
      <c r="N178" s="30">
        <f t="shared" si="20"/>
        <v>76599.817750220303</v>
      </c>
      <c r="O178" s="30">
        <f t="shared" si="20"/>
        <v>0</v>
      </c>
    </row>
    <row r="179" spans="2:15">
      <c r="F179" s="62"/>
      <c r="G179" s="42"/>
      <c r="H179" s="42"/>
      <c r="I179" s="42"/>
      <c r="J179" s="42"/>
      <c r="K179" s="42"/>
      <c r="L179" s="42"/>
      <c r="M179" s="42"/>
      <c r="N179" s="42"/>
    </row>
    <row r="180" spans="2:15">
      <c r="B180" s="25" t="s">
        <v>404</v>
      </c>
      <c r="D180" t="s">
        <v>108</v>
      </c>
      <c r="F180" s="132">
        <f>SUM(G180:O180)</f>
        <v>292031772.71546465</v>
      </c>
      <c r="G180" s="69">
        <f>SUM(G164:G165,G168:G169,G172:G173,G176:G178)</f>
        <v>9121406.1100523118</v>
      </c>
      <c r="H180" s="69">
        <f t="shared" ref="H180:O180" si="21">SUM(H164:H165,H168:H169,H172:H173,H176:H178)</f>
        <v>9293540.5008315332</v>
      </c>
      <c r="I180" s="69">
        <f t="shared" si="21"/>
        <v>10449195.226763491</v>
      </c>
      <c r="J180" s="69">
        <f t="shared" si="21"/>
        <v>80772132.666140541</v>
      </c>
      <c r="K180" s="69">
        <f t="shared" si="21"/>
        <v>85995206.262663603</v>
      </c>
      <c r="L180" s="69">
        <f t="shared" si="21"/>
        <v>2673891.61</v>
      </c>
      <c r="M180" s="69">
        <f t="shared" si="21"/>
        <v>87669173.168201193</v>
      </c>
      <c r="N180" s="69">
        <f t="shared" si="21"/>
        <v>6057227.1708119223</v>
      </c>
      <c r="O180" s="69">
        <f t="shared" si="21"/>
        <v>0</v>
      </c>
    </row>
    <row r="181" spans="2:15">
      <c r="F181" s="85"/>
      <c r="G181" s="42"/>
      <c r="H181" s="42"/>
      <c r="I181" s="42"/>
      <c r="J181" s="42"/>
      <c r="K181" s="42"/>
      <c r="L181" s="42"/>
      <c r="M181" s="42"/>
      <c r="N181" s="42"/>
    </row>
    <row r="182" spans="2:15">
      <c r="B182" s="51" t="s">
        <v>618</v>
      </c>
      <c r="F182" s="132">
        <f>SUM(G182:O182)</f>
        <v>267527403.24220866</v>
      </c>
      <c r="G182" s="195">
        <f>G180-G172-G173-G176</f>
        <v>9045406.1100523118</v>
      </c>
      <c r="H182" s="195">
        <f t="shared" ref="H182:O182" si="22">H180-H172-H173-H176</f>
        <v>8928675.9618315324</v>
      </c>
      <c r="I182" s="195">
        <f t="shared" si="22"/>
        <v>10267864.974179741</v>
      </c>
      <c r="J182" s="195">
        <f t="shared" si="22"/>
        <v>79240550.085355327</v>
      </c>
      <c r="K182" s="195">
        <f t="shared" si="22"/>
        <v>77242333.281179309</v>
      </c>
      <c r="L182" s="195">
        <f t="shared" si="22"/>
        <v>2527605.79</v>
      </c>
      <c r="M182" s="195">
        <f t="shared" si="22"/>
        <v>74226894.603641927</v>
      </c>
      <c r="N182" s="195">
        <f t="shared" si="22"/>
        <v>6048072.4359685061</v>
      </c>
      <c r="O182" s="195">
        <f t="shared" si="22"/>
        <v>0</v>
      </c>
    </row>
    <row r="183" spans="2:15">
      <c r="F183" s="85"/>
      <c r="G183" s="42"/>
      <c r="H183" s="42"/>
      <c r="I183" s="42"/>
      <c r="J183" s="42"/>
      <c r="K183" s="42"/>
      <c r="L183" s="42"/>
      <c r="M183" s="42"/>
      <c r="N183" s="42"/>
    </row>
    <row r="184" spans="2:15">
      <c r="F184" s="62"/>
      <c r="G184" s="42"/>
      <c r="H184" s="42"/>
      <c r="I184" s="42"/>
      <c r="J184" s="42"/>
      <c r="K184" s="42"/>
      <c r="L184" s="42"/>
      <c r="M184" s="42"/>
      <c r="N184" s="42"/>
    </row>
    <row r="185" spans="2:15" s="2" customFormat="1">
      <c r="B185" s="2" t="s">
        <v>380</v>
      </c>
      <c r="F185" s="49"/>
    </row>
    <row r="186" spans="2:15">
      <c r="F186" s="47"/>
    </row>
    <row r="187" spans="2:15">
      <c r="B187" s="3" t="s">
        <v>29</v>
      </c>
      <c r="F187" s="47"/>
    </row>
    <row r="188" spans="2:15">
      <c r="F188" s="47"/>
    </row>
    <row r="189" spans="2:15">
      <c r="B189" s="22" t="s">
        <v>121</v>
      </c>
      <c r="D189" s="28"/>
      <c r="E189" s="28"/>
      <c r="F189" s="67"/>
      <c r="G189" s="38"/>
      <c r="H189" s="38"/>
      <c r="I189" s="38"/>
      <c r="J189" s="38"/>
      <c r="K189" s="38"/>
      <c r="L189" s="38"/>
      <c r="M189" s="38"/>
      <c r="N189" s="38"/>
    </row>
    <row r="190" spans="2:15">
      <c r="B190" s="23" t="s">
        <v>216</v>
      </c>
      <c r="D190" t="s">
        <v>109</v>
      </c>
      <c r="F190" s="80">
        <f>SUM(G190:O190)</f>
        <v>0</v>
      </c>
      <c r="G190" s="43">
        <f>'PRD OPEX TD (2009-2012)'!G171</f>
        <v>0</v>
      </c>
      <c r="H190" s="43">
        <f>'PRD OPEX TD (2009-2012)'!H171</f>
        <v>0</v>
      </c>
      <c r="I190" s="43">
        <f>'PRD OPEX TD (2009-2012)'!I171</f>
        <v>0</v>
      </c>
      <c r="J190" s="43">
        <f>'PRD OPEX TD (2009-2012)'!J171</f>
        <v>0</v>
      </c>
      <c r="K190" s="43">
        <f>'PRD OPEX TD (2009-2012)'!K171</f>
        <v>0</v>
      </c>
      <c r="L190" s="43">
        <f>'PRD OPEX TD (2009-2012)'!L171</f>
        <v>0</v>
      </c>
      <c r="M190" s="43">
        <f>'PRD OPEX TD (2009-2012)'!M171</f>
        <v>0</v>
      </c>
      <c r="N190" s="43">
        <f>'PRD OPEX TD (2009-2012)'!N171</f>
        <v>0</v>
      </c>
      <c r="O190" s="43">
        <f>'PRD OPEX TD (2009-2012)'!O171</f>
        <v>0</v>
      </c>
    </row>
    <row r="191" spans="2:15">
      <c r="B191" s="23" t="s">
        <v>217</v>
      </c>
      <c r="D191" t="s">
        <v>109</v>
      </c>
      <c r="F191" s="80">
        <f>SUM(G191:O191)</f>
        <v>0</v>
      </c>
      <c r="G191" s="43">
        <f>'PRD OPEX TD (2009-2012)'!G172</f>
        <v>0</v>
      </c>
      <c r="H191" s="43">
        <f>'PRD OPEX TD (2009-2012)'!H172</f>
        <v>0</v>
      </c>
      <c r="I191" s="43">
        <f>'PRD OPEX TD (2009-2012)'!I172</f>
        <v>0</v>
      </c>
      <c r="J191" s="43">
        <f>'PRD OPEX TD (2009-2012)'!J172</f>
        <v>0</v>
      </c>
      <c r="K191" s="43">
        <f>'PRD OPEX TD (2009-2012)'!K172</f>
        <v>0</v>
      </c>
      <c r="L191" s="43">
        <f>'PRD OPEX TD (2009-2012)'!L172</f>
        <v>0</v>
      </c>
      <c r="M191" s="43">
        <f>'PRD OPEX TD (2009-2012)'!M172</f>
        <v>0</v>
      </c>
      <c r="N191" s="43">
        <f>'PRD OPEX TD (2009-2012)'!N172</f>
        <v>0</v>
      </c>
      <c r="O191" s="43">
        <f>'PRD OPEX TD (2009-2012)'!O172</f>
        <v>0</v>
      </c>
    </row>
    <row r="192" spans="2:15">
      <c r="B192" s="23"/>
      <c r="F192" s="62"/>
      <c r="G192" s="42"/>
      <c r="H192" s="42"/>
      <c r="I192" s="42"/>
      <c r="J192" s="42"/>
      <c r="K192" s="42"/>
      <c r="L192" s="42"/>
      <c r="M192" s="42"/>
      <c r="N192" s="42"/>
      <c r="O192" s="42"/>
    </row>
    <row r="193" spans="2:16">
      <c r="B193" s="22" t="s">
        <v>122</v>
      </c>
      <c r="F193" s="62"/>
      <c r="G193" s="42"/>
      <c r="H193" s="42"/>
      <c r="I193" s="42"/>
      <c r="J193" s="42"/>
      <c r="K193" s="42"/>
      <c r="L193" s="42"/>
      <c r="M193" s="42"/>
      <c r="N193" s="42"/>
      <c r="O193" s="42"/>
    </row>
    <row r="194" spans="2:16">
      <c r="B194" s="23" t="s">
        <v>123</v>
      </c>
      <c r="D194" t="s">
        <v>109</v>
      </c>
      <c r="F194" s="80">
        <f>SUM(G194:O194)</f>
        <v>275911043.86079365</v>
      </c>
      <c r="G194" s="43">
        <f>'PRD OPEX TD (2009-2012)'!G175</f>
        <v>8218491</v>
      </c>
      <c r="H194" s="43">
        <f>'PRD OPEX TD (2009-2012)'!H175</f>
        <v>7999972.9154080693</v>
      </c>
      <c r="I194" s="43">
        <f>'PRD OPEX TD (2009-2012)'!I175</f>
        <v>11878305.187246354</v>
      </c>
      <c r="J194" s="43">
        <f>'PRD OPEX TD (2009-2012)'!J175</f>
        <v>84137039.608518988</v>
      </c>
      <c r="K194" s="43">
        <f>'PRD OPEX TD (2009-2012)'!K175</f>
        <v>92839656.328105271</v>
      </c>
      <c r="L194" s="43">
        <f>'PRD OPEX TD (2009-2012)'!L175</f>
        <v>2548952.4900000002</v>
      </c>
      <c r="M194" s="43">
        <f>'PRD OPEX TD (2009-2012)'!M175</f>
        <v>62394061.239295453</v>
      </c>
      <c r="N194" s="43">
        <f>'PRD OPEX TD (2009-2012)'!N175</f>
        <v>5894565.0922195297</v>
      </c>
      <c r="O194" s="43">
        <f>'PRD OPEX TD (2009-2012)'!O175</f>
        <v>0</v>
      </c>
    </row>
    <row r="195" spans="2:16">
      <c r="B195" s="23" t="s">
        <v>124</v>
      </c>
      <c r="D195" t="s">
        <v>109</v>
      </c>
      <c r="F195" s="80">
        <f>SUM(G195:O195)</f>
        <v>6550671.8337420756</v>
      </c>
      <c r="G195" s="43">
        <f>'PRD OPEX TD (2009-2012)'!G176</f>
        <v>0</v>
      </c>
      <c r="H195" s="43">
        <f>'PRD OPEX TD (2009-2012)'!H176</f>
        <v>0</v>
      </c>
      <c r="I195" s="43">
        <f>'PRD OPEX TD (2009-2012)'!I176</f>
        <v>0</v>
      </c>
      <c r="J195" s="43">
        <f>'PRD OPEX TD (2009-2012)'!J176</f>
        <v>0</v>
      </c>
      <c r="K195" s="43">
        <f>'PRD OPEX TD (2009-2012)'!K176</f>
        <v>0</v>
      </c>
      <c r="L195" s="43">
        <f>'PRD OPEX TD (2009-2012)'!L176</f>
        <v>329726.96000000002</v>
      </c>
      <c r="M195" s="43">
        <f>'PRD OPEX TD (2009-2012)'!M176</f>
        <v>6220944.8737420756</v>
      </c>
      <c r="N195" s="43">
        <f>'PRD OPEX TD (2009-2012)'!N176</f>
        <v>0</v>
      </c>
      <c r="O195" s="43">
        <f>'PRD OPEX TD (2009-2012)'!O176</f>
        <v>0</v>
      </c>
    </row>
    <row r="196" spans="2:16">
      <c r="B196" s="23"/>
      <c r="F196" s="62"/>
      <c r="G196" s="42"/>
      <c r="H196" s="42"/>
      <c r="I196" s="42"/>
      <c r="J196" s="42"/>
      <c r="K196" s="42"/>
      <c r="L196" s="42"/>
      <c r="M196" s="42"/>
      <c r="N196" s="42"/>
      <c r="O196" s="42"/>
    </row>
    <row r="197" spans="2:16">
      <c r="B197" s="22" t="s">
        <v>125</v>
      </c>
      <c r="F197" s="62"/>
      <c r="G197" s="42"/>
      <c r="H197" s="42"/>
      <c r="I197" s="42"/>
      <c r="J197" s="42"/>
      <c r="K197" s="42"/>
      <c r="L197" s="42"/>
      <c r="M197" s="42"/>
      <c r="N197" s="42"/>
      <c r="O197" s="42"/>
    </row>
    <row r="198" spans="2:16">
      <c r="B198" s="23" t="s">
        <v>126</v>
      </c>
      <c r="D198" t="s">
        <v>109</v>
      </c>
      <c r="F198" s="80">
        <f>SUM(G198:O198)</f>
        <v>25252604.713036753</v>
      </c>
      <c r="G198" s="43">
        <f>'PRD OPEX TD (2009-2012)'!G179</f>
        <v>0</v>
      </c>
      <c r="H198" s="43">
        <f>'PRD OPEX TD (2009-2012)'!H179</f>
        <v>368104</v>
      </c>
      <c r="I198" s="43">
        <f>'PRD OPEX TD (2009-2012)'!I179</f>
        <v>0</v>
      </c>
      <c r="J198" s="43">
        <f>'PRD OPEX TD (2009-2012)'!J179</f>
        <v>680680</v>
      </c>
      <c r="K198" s="43">
        <f>'PRD OPEX TD (2009-2012)'!K179</f>
        <v>11315354.953036755</v>
      </c>
      <c r="L198" s="43">
        <f>'PRD OPEX TD (2009-2012)'!L179</f>
        <v>88309.759999999995</v>
      </c>
      <c r="M198" s="43">
        <f>'PRD OPEX TD (2009-2012)'!M179</f>
        <v>12785218</v>
      </c>
      <c r="N198" s="43">
        <f>'PRD OPEX TD (2009-2012)'!N179</f>
        <v>14938</v>
      </c>
      <c r="O198" s="43">
        <f>'PRD OPEX TD (2009-2012)'!O179</f>
        <v>0</v>
      </c>
    </row>
    <row r="199" spans="2:16">
      <c r="B199" s="23" t="s">
        <v>127</v>
      </c>
      <c r="D199" t="s">
        <v>109</v>
      </c>
      <c r="F199" s="80">
        <f>SUM(G199:O199)</f>
        <v>1946</v>
      </c>
      <c r="G199" s="43">
        <f>'PRD OPEX TD (2009-2012)'!G180</f>
        <v>1946</v>
      </c>
      <c r="H199" s="43">
        <f>'PRD OPEX TD (2009-2012)'!H180</f>
        <v>0</v>
      </c>
      <c r="I199" s="43">
        <f>'PRD OPEX TD (2009-2012)'!I180</f>
        <v>0</v>
      </c>
      <c r="J199" s="43">
        <f>'PRD OPEX TD (2009-2012)'!J180</f>
        <v>0</v>
      </c>
      <c r="K199" s="43">
        <f>'PRD OPEX TD (2009-2012)'!K180</f>
        <v>0</v>
      </c>
      <c r="L199" s="43">
        <f>'PRD OPEX TD (2009-2012)'!L180</f>
        <v>0</v>
      </c>
      <c r="M199" s="43">
        <f>'PRD OPEX TD (2009-2012)'!M180</f>
        <v>0</v>
      </c>
      <c r="N199" s="43">
        <f>'PRD OPEX TD (2009-2012)'!N180</f>
        <v>0</v>
      </c>
      <c r="O199" s="43">
        <f>'PRD OPEX TD (2009-2012)'!O180</f>
        <v>0</v>
      </c>
    </row>
    <row r="200" spans="2:16">
      <c r="B200" s="23"/>
      <c r="F200" s="62"/>
      <c r="G200" s="42"/>
      <c r="H200" s="42"/>
      <c r="I200" s="42"/>
      <c r="J200" s="42"/>
      <c r="K200" s="42"/>
      <c r="L200" s="42"/>
      <c r="M200" s="42"/>
      <c r="N200" s="42"/>
      <c r="O200" s="42"/>
    </row>
    <row r="201" spans="2:16">
      <c r="B201" s="22" t="s">
        <v>128</v>
      </c>
      <c r="F201" s="62"/>
      <c r="G201" s="42"/>
      <c r="H201" s="42"/>
      <c r="I201" s="42"/>
      <c r="J201" s="42"/>
      <c r="K201" s="42"/>
      <c r="L201" s="42"/>
      <c r="M201" s="42"/>
      <c r="N201" s="42"/>
      <c r="O201" s="42"/>
    </row>
    <row r="202" spans="2:16">
      <c r="B202" s="93" t="s">
        <v>180</v>
      </c>
      <c r="D202" t="s">
        <v>109</v>
      </c>
      <c r="F202" s="80">
        <f>SUM(G202:O202)</f>
        <v>3458677.2896710252</v>
      </c>
      <c r="G202" s="43">
        <f>'PRD OPEX TD (2009-2012)'!G183</f>
        <v>73859.390000000014</v>
      </c>
      <c r="H202" s="43">
        <f>'PRD OPEX TD (2009-2012)'!H183</f>
        <v>94582.840125000002</v>
      </c>
      <c r="I202" s="43">
        <f>'PRD OPEX TD (2009-2012)'!I183</f>
        <v>195419.9373577454</v>
      </c>
      <c r="J202" s="43">
        <f>'PRD OPEX TD (2009-2012)'!J183</f>
        <v>998180.57910558535</v>
      </c>
      <c r="K202" s="43">
        <f>'PRD OPEX TD (2009-2012)'!K183</f>
        <v>1116027.7957934665</v>
      </c>
      <c r="L202" s="43">
        <f>'PRD OPEX TD (2009-2012)'!L183</f>
        <v>65456.33</v>
      </c>
      <c r="M202" s="43">
        <f>'PRD OPEX TD (2009-2012)'!M183</f>
        <v>910924.47627129604</v>
      </c>
      <c r="N202" s="43">
        <f>'PRD OPEX TD (2009-2012)'!N183</f>
        <v>4225.9410179324877</v>
      </c>
      <c r="O202" s="43">
        <f>'PRD OPEX TD (2009-2012)'!O183</f>
        <v>0</v>
      </c>
    </row>
    <row r="203" spans="2:16">
      <c r="B203" s="93" t="s">
        <v>181</v>
      </c>
      <c r="D203" t="s">
        <v>109</v>
      </c>
      <c r="F203" s="80">
        <f>SUM(G203:O203)</f>
        <v>637908.05841122149</v>
      </c>
      <c r="G203" s="43">
        <f>'PRD OPEX TD (2009-2012)'!G184</f>
        <v>7891.29</v>
      </c>
      <c r="H203" s="43">
        <f>'PRD OPEX TD (2009-2012)'!H184</f>
        <v>12143.957050000001</v>
      </c>
      <c r="I203" s="43">
        <f>'PRD OPEX TD (2009-2012)'!I184</f>
        <v>34474.489264398348</v>
      </c>
      <c r="J203" s="43">
        <f>'PRD OPEX TD (2009-2012)'!J184</f>
        <v>179058.11931062461</v>
      </c>
      <c r="K203" s="43">
        <f>'PRD OPEX TD (2009-2012)'!K184</f>
        <v>154919.67880499997</v>
      </c>
      <c r="L203" s="43">
        <f>'PRD OPEX TD (2009-2012)'!L184</f>
        <v>8272.48</v>
      </c>
      <c r="M203" s="43">
        <f>'PRD OPEX TD (2009-2012)'!M184</f>
        <v>173742.45313178215</v>
      </c>
      <c r="N203" s="43">
        <f>'PRD OPEX TD (2009-2012)'!N184</f>
        <v>67405.590849416461</v>
      </c>
      <c r="O203" s="43">
        <f>'PRD OPEX TD (2009-2012)'!O184</f>
        <v>0</v>
      </c>
    </row>
    <row r="204" spans="2:16">
      <c r="B204" s="94" t="s">
        <v>182</v>
      </c>
      <c r="D204" t="s">
        <v>109</v>
      </c>
      <c r="F204" s="80">
        <f>SUM(G204:O204)</f>
        <v>4321787.5920022195</v>
      </c>
      <c r="G204" s="43">
        <f>'PRD OPEX TD (2009-2012)'!G185</f>
        <v>0</v>
      </c>
      <c r="H204" s="43">
        <f>'PRD OPEX TD (2009-2012)'!H185</f>
        <v>0</v>
      </c>
      <c r="I204" s="43">
        <f>'PRD OPEX TD (2009-2012)'!I185</f>
        <v>63652.126601851633</v>
      </c>
      <c r="J204" s="43">
        <f>'PRD OPEX TD (2009-2012)'!J185</f>
        <v>1455795.894486869</v>
      </c>
      <c r="K204" s="43">
        <f>'PRD OPEX TD (2009-2012)'!K185</f>
        <v>2652209.303857889</v>
      </c>
      <c r="L204" s="43">
        <f>'PRD OPEX TD (2009-2012)'!L185</f>
        <v>40229.01</v>
      </c>
      <c r="M204" s="43">
        <f>'PRD OPEX TD (2009-2012)'!M185</f>
        <v>85530.896623577253</v>
      </c>
      <c r="N204" s="43">
        <f>'PRD OPEX TD (2009-2012)'!N185</f>
        <v>24370.360432033631</v>
      </c>
      <c r="O204" s="43">
        <f>'PRD OPEX TD (2009-2012)'!O185</f>
        <v>0</v>
      </c>
    </row>
    <row r="205" spans="2:16">
      <c r="C205" s="45"/>
      <c r="D205" s="28"/>
      <c r="E205" s="46">
        <v>17</v>
      </c>
      <c r="F205" s="62"/>
      <c r="G205" s="42"/>
      <c r="H205" s="42"/>
      <c r="I205" s="42"/>
      <c r="J205" s="42"/>
      <c r="K205" s="42"/>
      <c r="L205" s="42"/>
      <c r="M205" s="42"/>
      <c r="N205" s="42"/>
      <c r="O205" s="42"/>
      <c r="P205" s="28"/>
    </row>
    <row r="206" spans="2:16">
      <c r="B206" s="79" t="s">
        <v>268</v>
      </c>
      <c r="D206" t="s">
        <v>109</v>
      </c>
      <c r="F206" s="80">
        <f>SUM(G206:O206)</f>
        <v>316134639.34765697</v>
      </c>
      <c r="G206" s="69">
        <f>SUM(G190:G191,G194:G195,G198:G199,G202:G204)</f>
        <v>8302187.6799999997</v>
      </c>
      <c r="H206" s="69">
        <f t="shared" ref="H206:O206" si="23">SUM(H190:H191,H194:H195,H198:H199,H202:H204)</f>
        <v>8474803.7125830688</v>
      </c>
      <c r="I206" s="69">
        <f t="shared" si="23"/>
        <v>12171851.740470352</v>
      </c>
      <c r="J206" s="69">
        <f t="shared" si="23"/>
        <v>87450754.201422065</v>
      </c>
      <c r="K206" s="69">
        <f t="shared" si="23"/>
        <v>108078168.05959839</v>
      </c>
      <c r="L206" s="69">
        <f t="shared" si="23"/>
        <v>3080947.03</v>
      </c>
      <c r="M206" s="69">
        <f t="shared" si="23"/>
        <v>82570421.93906419</v>
      </c>
      <c r="N206" s="69">
        <f t="shared" si="23"/>
        <v>6005504.9845189117</v>
      </c>
      <c r="O206" s="69">
        <f t="shared" si="23"/>
        <v>0</v>
      </c>
    </row>
    <row r="207" spans="2:16">
      <c r="F207" s="62"/>
      <c r="G207" s="42"/>
      <c r="H207" s="42"/>
      <c r="I207" s="42"/>
      <c r="J207" s="42"/>
      <c r="K207" s="42"/>
      <c r="L207" s="42"/>
      <c r="M207" s="42"/>
      <c r="N207" s="42"/>
    </row>
    <row r="208" spans="2:16">
      <c r="F208" s="62"/>
      <c r="G208" s="42"/>
      <c r="H208" s="42"/>
      <c r="I208" s="42"/>
      <c r="J208" s="42"/>
      <c r="K208" s="42"/>
      <c r="L208" s="42"/>
      <c r="M208" s="42"/>
      <c r="N208" s="42"/>
    </row>
    <row r="209" spans="2:15">
      <c r="B209" s="261" t="s">
        <v>832</v>
      </c>
      <c r="F209" s="62"/>
      <c r="G209" s="42"/>
      <c r="H209" s="42"/>
      <c r="I209" s="42"/>
      <c r="J209" s="42"/>
      <c r="K209" s="42"/>
      <c r="L209" s="42"/>
      <c r="M209" s="42"/>
      <c r="N209" s="42"/>
    </row>
    <row r="210" spans="2:15">
      <c r="F210" s="62"/>
      <c r="G210" s="133"/>
      <c r="H210" s="42"/>
      <c r="I210" s="42"/>
      <c r="J210" s="42"/>
      <c r="K210" s="42"/>
      <c r="L210" s="42"/>
      <c r="M210" s="42"/>
      <c r="N210" s="42"/>
    </row>
    <row r="211" spans="2:15">
      <c r="B211" s="22" t="s">
        <v>121</v>
      </c>
      <c r="D211" s="28"/>
      <c r="E211" s="28"/>
      <c r="F211" s="67"/>
      <c r="G211" s="38"/>
      <c r="H211" s="38"/>
      <c r="I211" s="38"/>
      <c r="J211" s="38"/>
      <c r="K211" s="38"/>
      <c r="L211" s="38"/>
      <c r="M211" s="38"/>
      <c r="N211" s="38"/>
    </row>
    <row r="212" spans="2:15">
      <c r="B212" s="23" t="s">
        <v>216</v>
      </c>
      <c r="D212" t="s">
        <v>109</v>
      </c>
      <c r="F212" s="80">
        <f>SUM(G212:O212)</f>
        <v>0</v>
      </c>
      <c r="G212" s="131"/>
      <c r="H212" s="131"/>
      <c r="I212" s="131"/>
      <c r="J212" s="131"/>
      <c r="K212" s="131"/>
      <c r="L212" s="131"/>
      <c r="M212" s="131"/>
      <c r="N212" s="131"/>
      <c r="O212" s="131"/>
    </row>
    <row r="213" spans="2:15">
      <c r="B213" s="23" t="s">
        <v>217</v>
      </c>
      <c r="D213" t="s">
        <v>109</v>
      </c>
      <c r="F213" s="80">
        <f>SUM(G213:O213)</f>
        <v>0</v>
      </c>
      <c r="G213" s="131"/>
      <c r="H213" s="131"/>
      <c r="I213" s="131"/>
      <c r="J213" s="131"/>
      <c r="K213" s="131"/>
      <c r="L213" s="131"/>
      <c r="M213" s="131"/>
      <c r="N213" s="131"/>
      <c r="O213" s="131"/>
    </row>
    <row r="214" spans="2:15">
      <c r="B214" s="23"/>
      <c r="F214" s="62"/>
      <c r="G214" s="42"/>
      <c r="H214" s="42"/>
      <c r="I214" s="42"/>
      <c r="J214" s="42"/>
      <c r="K214" s="42"/>
      <c r="L214" s="42"/>
      <c r="M214" s="42"/>
      <c r="N214" s="42"/>
    </row>
    <row r="215" spans="2:15">
      <c r="B215" s="22" t="s">
        <v>122</v>
      </c>
      <c r="F215" s="62"/>
      <c r="G215" s="42"/>
      <c r="H215" s="42"/>
      <c r="I215" s="42"/>
      <c r="J215" s="42"/>
      <c r="K215" s="42"/>
      <c r="L215" s="42"/>
      <c r="M215" s="42"/>
      <c r="N215" s="42"/>
    </row>
    <row r="216" spans="2:15">
      <c r="B216" s="23" t="s">
        <v>123</v>
      </c>
      <c r="D216" t="s">
        <v>109</v>
      </c>
      <c r="F216" s="80">
        <f>SUM(G216:O216)</f>
        <v>0</v>
      </c>
      <c r="G216" s="131"/>
      <c r="H216" s="131"/>
      <c r="I216" s="131"/>
      <c r="J216" s="131"/>
      <c r="K216" s="131"/>
      <c r="L216" s="131"/>
      <c r="M216" s="131"/>
      <c r="N216" s="131"/>
      <c r="O216" s="131"/>
    </row>
    <row r="217" spans="2:15">
      <c r="B217" s="23" t="s">
        <v>124</v>
      </c>
      <c r="D217" t="s">
        <v>109</v>
      </c>
      <c r="F217" s="80">
        <f>SUM(G217:O217)</f>
        <v>0</v>
      </c>
      <c r="G217" s="131"/>
      <c r="H217" s="131"/>
      <c r="I217" s="131"/>
      <c r="J217" s="131"/>
      <c r="K217" s="131"/>
      <c r="L217" s="131"/>
      <c r="M217" s="131"/>
      <c r="N217" s="131"/>
      <c r="O217" s="131"/>
    </row>
    <row r="218" spans="2:15">
      <c r="B218" s="23"/>
      <c r="F218" s="62"/>
      <c r="G218" s="42"/>
      <c r="H218" s="42"/>
      <c r="I218" s="42"/>
      <c r="J218" s="42"/>
      <c r="K218" s="42"/>
      <c r="L218" s="42"/>
      <c r="M218" s="42"/>
      <c r="N218" s="42"/>
    </row>
    <row r="219" spans="2:15">
      <c r="B219" s="22" t="s">
        <v>125</v>
      </c>
      <c r="F219" s="62"/>
      <c r="G219" s="42"/>
      <c r="H219" s="42"/>
      <c r="I219" s="42"/>
      <c r="J219" s="42"/>
      <c r="K219" s="42"/>
      <c r="L219" s="42"/>
      <c r="M219" s="42"/>
      <c r="N219" s="42"/>
    </row>
    <row r="220" spans="2:15">
      <c r="B220" s="23" t="s">
        <v>126</v>
      </c>
      <c r="D220" t="s">
        <v>109</v>
      </c>
      <c r="F220" s="80">
        <f>SUM(G220:O220)</f>
        <v>0</v>
      </c>
      <c r="G220" s="131"/>
      <c r="H220" s="131"/>
      <c r="I220" s="131"/>
      <c r="J220" s="131"/>
      <c r="K220" s="131"/>
      <c r="L220" s="131"/>
      <c r="M220" s="131"/>
      <c r="N220" s="131"/>
      <c r="O220" s="131"/>
    </row>
    <row r="221" spans="2:15">
      <c r="B221" s="23" t="s">
        <v>127</v>
      </c>
      <c r="D221" t="s">
        <v>109</v>
      </c>
      <c r="F221" s="80">
        <f>SUM(G221:O221)</f>
        <v>0</v>
      </c>
      <c r="G221" s="131"/>
      <c r="H221" s="131"/>
      <c r="I221" s="131"/>
      <c r="J221" s="131"/>
      <c r="K221" s="131"/>
      <c r="L221" s="131"/>
      <c r="M221" s="131"/>
      <c r="N221" s="131"/>
      <c r="O221" s="131"/>
    </row>
    <row r="222" spans="2:15">
      <c r="B222" s="23"/>
      <c r="F222" s="62"/>
      <c r="G222" s="42"/>
      <c r="H222" s="42"/>
      <c r="I222" s="42"/>
      <c r="J222" s="42"/>
      <c r="K222" s="42"/>
      <c r="L222" s="42"/>
      <c r="M222" s="42"/>
      <c r="N222" s="42"/>
    </row>
    <row r="223" spans="2:15">
      <c r="B223" s="22" t="s">
        <v>128</v>
      </c>
      <c r="F223" s="62"/>
      <c r="G223" s="42"/>
      <c r="H223" s="42"/>
      <c r="I223" s="42"/>
      <c r="J223" s="42"/>
      <c r="K223" s="42"/>
      <c r="L223" s="42"/>
      <c r="M223" s="42"/>
      <c r="N223" s="42"/>
    </row>
    <row r="224" spans="2:15">
      <c r="B224" s="93" t="s">
        <v>180</v>
      </c>
      <c r="D224" t="s">
        <v>109</v>
      </c>
      <c r="F224" s="80">
        <f>SUM(G224:O224)</f>
        <v>0</v>
      </c>
      <c r="G224" s="131"/>
      <c r="H224" s="131"/>
      <c r="I224" s="131"/>
      <c r="J224" s="131"/>
      <c r="K224" s="131"/>
      <c r="L224" s="131"/>
      <c r="M224" s="131"/>
      <c r="N224" s="131"/>
      <c r="O224" s="131"/>
    </row>
    <row r="225" spans="2:15">
      <c r="B225" s="93" t="s">
        <v>181</v>
      </c>
      <c r="D225" t="s">
        <v>109</v>
      </c>
      <c r="F225" s="80">
        <f>SUM(G225:O225)</f>
        <v>0</v>
      </c>
      <c r="G225" s="131"/>
      <c r="H225" s="131"/>
      <c r="I225" s="131"/>
      <c r="J225" s="131"/>
      <c r="K225" s="131"/>
      <c r="L225" s="131"/>
      <c r="M225" s="131"/>
      <c r="N225" s="131"/>
      <c r="O225" s="131"/>
    </row>
    <row r="226" spans="2:15">
      <c r="B226" s="94" t="s">
        <v>182</v>
      </c>
      <c r="D226" t="s">
        <v>109</v>
      </c>
      <c r="F226" s="80">
        <f>SUM(G226:O226)</f>
        <v>0</v>
      </c>
      <c r="G226" s="131"/>
      <c r="H226" s="131"/>
      <c r="I226" s="131"/>
      <c r="J226" s="131"/>
      <c r="K226" s="131"/>
      <c r="L226" s="131"/>
      <c r="M226" s="131"/>
      <c r="N226" s="131"/>
      <c r="O226" s="131"/>
    </row>
    <row r="227" spans="2:15">
      <c r="F227" s="62"/>
      <c r="G227" s="42"/>
      <c r="H227" s="42"/>
      <c r="I227" s="42"/>
      <c r="J227" s="42"/>
      <c r="K227" s="42"/>
      <c r="L227" s="42"/>
      <c r="M227" s="42"/>
      <c r="N227" s="42"/>
    </row>
    <row r="228" spans="2:15">
      <c r="F228" s="62"/>
      <c r="G228" s="42"/>
      <c r="H228" s="42"/>
      <c r="I228" s="42"/>
      <c r="J228" s="42"/>
      <c r="K228" s="42"/>
      <c r="L228" s="42"/>
      <c r="M228" s="42"/>
      <c r="N228" s="42"/>
    </row>
    <row r="229" spans="2:15">
      <c r="B229" s="261" t="s">
        <v>831</v>
      </c>
      <c r="F229" s="62"/>
      <c r="G229" s="42"/>
      <c r="H229" s="42"/>
      <c r="I229" s="42"/>
      <c r="J229" s="42"/>
      <c r="K229" s="42"/>
      <c r="L229" s="42"/>
      <c r="M229" s="42"/>
      <c r="N229" s="42"/>
    </row>
    <row r="230" spans="2:15">
      <c r="F230" s="62"/>
      <c r="G230" s="42"/>
      <c r="H230" s="42"/>
      <c r="I230" s="42"/>
      <c r="J230" s="42"/>
      <c r="K230" s="42"/>
      <c r="L230" s="42"/>
      <c r="M230" s="42"/>
      <c r="N230" s="42"/>
    </row>
    <row r="231" spans="2:15">
      <c r="B231" s="22" t="s">
        <v>121</v>
      </c>
      <c r="D231" s="28"/>
      <c r="E231" s="28"/>
      <c r="F231" s="67"/>
      <c r="G231" s="38"/>
      <c r="H231" s="38"/>
      <c r="I231" s="38"/>
      <c r="J231" s="38"/>
      <c r="K231" s="38"/>
      <c r="L231" s="38"/>
      <c r="M231" s="38"/>
      <c r="N231" s="38"/>
    </row>
    <row r="232" spans="2:15">
      <c r="B232" s="23" t="s">
        <v>216</v>
      </c>
      <c r="D232" t="s">
        <v>109</v>
      </c>
      <c r="F232" s="80">
        <f>SUM(G232:O232)</f>
        <v>0</v>
      </c>
      <c r="G232" s="131"/>
      <c r="H232" s="131"/>
      <c r="I232" s="131"/>
      <c r="J232" s="131"/>
      <c r="K232" s="131"/>
      <c r="L232" s="131"/>
      <c r="M232" s="131"/>
      <c r="N232" s="131"/>
      <c r="O232" s="131"/>
    </row>
    <row r="233" spans="2:15">
      <c r="B233" s="23" t="s">
        <v>217</v>
      </c>
      <c r="D233" t="s">
        <v>109</v>
      </c>
      <c r="F233" s="80">
        <f>SUM(G233:O233)</f>
        <v>0</v>
      </c>
      <c r="G233" s="131"/>
      <c r="H233" s="131"/>
      <c r="I233" s="131"/>
      <c r="J233" s="131"/>
      <c r="K233" s="131"/>
      <c r="L233" s="131"/>
      <c r="M233" s="131"/>
      <c r="N233" s="131"/>
      <c r="O233" s="131"/>
    </row>
    <row r="234" spans="2:15">
      <c r="B234" s="23"/>
      <c r="F234" s="62"/>
      <c r="G234" s="42"/>
      <c r="H234" s="42"/>
      <c r="I234" s="42"/>
      <c r="J234" s="42"/>
      <c r="K234" s="42"/>
      <c r="L234" s="42"/>
      <c r="M234" s="42"/>
      <c r="N234" s="42"/>
      <c r="O234" s="42"/>
    </row>
    <row r="235" spans="2:15">
      <c r="B235" s="22" t="s">
        <v>122</v>
      </c>
      <c r="F235" s="62"/>
      <c r="G235" s="42"/>
      <c r="H235" s="42"/>
      <c r="I235" s="42"/>
      <c r="J235" s="42"/>
      <c r="K235" s="42"/>
      <c r="L235" s="42"/>
      <c r="M235" s="42"/>
      <c r="N235" s="42"/>
      <c r="O235" s="42"/>
    </row>
    <row r="236" spans="2:15">
      <c r="B236" s="23" t="s">
        <v>123</v>
      </c>
      <c r="D236" t="s">
        <v>109</v>
      </c>
      <c r="F236" s="80">
        <f>SUM(G236:O236)</f>
        <v>17185323.924817495</v>
      </c>
      <c r="G236" s="195">
        <f>'PRD Ov.Opbrengst TD (2009-2012)'!G132+'PRD Ov.Opbrengst TD (2009-2012)'!G147-'PRD Ov.Opbrengst TD (2009-2012)'!G151</f>
        <v>74658.01999999999</v>
      </c>
      <c r="H236" s="195">
        <f>'PRD Ov.Opbrengst TD (2009-2012)'!H132+'PRD Ov.Opbrengst TD (2009-2012)'!H147-'PRD Ov.Opbrengst TD (2009-2012)'!H151</f>
        <v>15379.611000000001</v>
      </c>
      <c r="I236" s="195">
        <f>'PRD Ov.Opbrengst TD (2009-2012)'!I132+'PRD Ov.Opbrengst TD (2009-2012)'!I147-'PRD Ov.Opbrengst TD (2009-2012)'!I151</f>
        <v>707733.23442875315</v>
      </c>
      <c r="J236" s="195">
        <f>'PRD Ov.Opbrengst TD (2009-2012)'!J132+'PRD Ov.Opbrengst TD (2009-2012)'!J147-'PRD Ov.Opbrengst TD (2009-2012)'!J151</f>
        <v>8918205.4750769008</v>
      </c>
      <c r="K236" s="195">
        <f>'PRD Ov.Opbrengst TD (2009-2012)'!K132+'PRD Ov.Opbrengst TD (2009-2012)'!K147-'PRD Ov.Opbrengst TD (2009-2012)'!K151</f>
        <v>4937471.92</v>
      </c>
      <c r="L236" s="195">
        <f>'PRD Ov.Opbrengst TD (2009-2012)'!L132+'PRD Ov.Opbrengst TD (2009-2012)'!L147-'PRD Ov.Opbrengst TD (2009-2012)'!L151</f>
        <v>83286</v>
      </c>
      <c r="M236" s="195">
        <f>'PRD Ov.Opbrengst TD (2009-2012)'!M132+'PRD Ov.Opbrengst TD (2009-2012)'!M147-'PRD Ov.Opbrengst TD (2009-2012)'!M151</f>
        <v>2435656.304799363</v>
      </c>
      <c r="N236" s="195">
        <f>'PRD Ov.Opbrengst TD (2009-2012)'!N132+'PRD Ov.Opbrengst TD (2009-2012)'!N147-'PRD Ov.Opbrengst TD (2009-2012)'!N151</f>
        <v>12933.35951247738</v>
      </c>
      <c r="O236" s="195">
        <f>'PRD Ov.Opbrengst TD (2009-2012)'!O132+'PRD Ov.Opbrengst TD (2009-2012)'!O147-'PRD Ov.Opbrengst TD (2009-2012)'!O151</f>
        <v>0</v>
      </c>
    </row>
    <row r="237" spans="2:15">
      <c r="B237" s="23" t="s">
        <v>124</v>
      </c>
      <c r="D237" t="s">
        <v>109</v>
      </c>
      <c r="F237" s="80">
        <f>SUM(G237:O237)</f>
        <v>0</v>
      </c>
      <c r="G237" s="131"/>
      <c r="H237" s="131"/>
      <c r="I237" s="131"/>
      <c r="J237" s="131"/>
      <c r="K237" s="131"/>
      <c r="L237" s="131"/>
      <c r="M237" s="131"/>
      <c r="N237" s="131"/>
      <c r="O237" s="131"/>
    </row>
    <row r="238" spans="2:15">
      <c r="B238" s="23"/>
      <c r="F238" s="62"/>
      <c r="G238" s="42"/>
      <c r="H238" s="42"/>
      <c r="I238" s="42"/>
      <c r="J238" s="42"/>
      <c r="K238" s="42"/>
      <c r="L238" s="42"/>
      <c r="M238" s="42"/>
      <c r="N238" s="42"/>
      <c r="O238" s="42"/>
    </row>
    <row r="239" spans="2:15">
      <c r="B239" s="22" t="s">
        <v>125</v>
      </c>
      <c r="F239" s="62"/>
      <c r="G239" s="42"/>
      <c r="H239" s="42"/>
      <c r="I239" s="42"/>
      <c r="J239" s="42"/>
      <c r="K239" s="42"/>
      <c r="L239" s="42"/>
      <c r="M239" s="42"/>
      <c r="N239" s="42"/>
      <c r="O239" s="42"/>
    </row>
    <row r="240" spans="2:15">
      <c r="B240" s="23" t="s">
        <v>126</v>
      </c>
      <c r="D240" t="s">
        <v>109</v>
      </c>
      <c r="F240" s="80">
        <f>SUM(G240:O240)</f>
        <v>0</v>
      </c>
      <c r="G240" s="131"/>
      <c r="H240" s="131"/>
      <c r="I240" s="131"/>
      <c r="J240" s="131"/>
      <c r="K240" s="131"/>
      <c r="L240" s="131"/>
      <c r="M240" s="131"/>
      <c r="N240" s="131"/>
      <c r="O240" s="131"/>
    </row>
    <row r="241" spans="2:17">
      <c r="B241" s="23" t="s">
        <v>127</v>
      </c>
      <c r="D241" t="s">
        <v>109</v>
      </c>
      <c r="F241" s="80">
        <f>SUM(G241:O241)</f>
        <v>0</v>
      </c>
      <c r="G241" s="131"/>
      <c r="H241" s="131"/>
      <c r="I241" s="131"/>
      <c r="J241" s="131"/>
      <c r="K241" s="131"/>
      <c r="L241" s="131"/>
      <c r="M241" s="131"/>
      <c r="N241" s="131"/>
      <c r="O241" s="131"/>
    </row>
    <row r="242" spans="2:17">
      <c r="B242" s="23"/>
      <c r="F242" s="62"/>
      <c r="G242" s="42"/>
      <c r="H242" s="42"/>
      <c r="I242" s="42"/>
      <c r="J242" s="42"/>
      <c r="K242" s="42"/>
      <c r="L242" s="42"/>
      <c r="M242" s="42"/>
      <c r="N242" s="42"/>
      <c r="O242" s="42"/>
    </row>
    <row r="243" spans="2:17">
      <c r="B243" s="22" t="s">
        <v>128</v>
      </c>
      <c r="F243" s="62"/>
      <c r="G243" s="42"/>
      <c r="H243" s="42"/>
      <c r="I243" s="42"/>
      <c r="J243" s="42"/>
      <c r="K243" s="42"/>
      <c r="L243" s="42"/>
      <c r="M243" s="42"/>
      <c r="N243" s="42"/>
      <c r="O243" s="42"/>
    </row>
    <row r="244" spans="2:17">
      <c r="B244" s="93" t="s">
        <v>180</v>
      </c>
      <c r="D244" t="s">
        <v>109</v>
      </c>
      <c r="F244" s="80">
        <f>SUM(G244:O244)</f>
        <v>0</v>
      </c>
      <c r="G244" s="131"/>
      <c r="H244" s="131"/>
      <c r="I244" s="131"/>
      <c r="J244" s="131"/>
      <c r="K244" s="131"/>
      <c r="L244" s="131"/>
      <c r="M244" s="131"/>
      <c r="N244" s="131"/>
      <c r="O244" s="131"/>
    </row>
    <row r="245" spans="2:17">
      <c r="B245" s="93" t="s">
        <v>181</v>
      </c>
      <c r="D245" t="s">
        <v>109</v>
      </c>
      <c r="F245" s="80">
        <f>SUM(G245:O245)</f>
        <v>0</v>
      </c>
      <c r="G245" s="131"/>
      <c r="H245" s="131"/>
      <c r="I245" s="131"/>
      <c r="J245" s="131"/>
      <c r="K245" s="131"/>
      <c r="L245" s="131"/>
      <c r="M245" s="131"/>
      <c r="N245" s="131"/>
      <c r="O245" s="131"/>
    </row>
    <row r="246" spans="2:17">
      <c r="B246" s="94" t="s">
        <v>182</v>
      </c>
      <c r="D246" t="s">
        <v>109</v>
      </c>
      <c r="F246" s="80">
        <f>SUM(G246:O246)</f>
        <v>0</v>
      </c>
      <c r="G246" s="131"/>
      <c r="H246" s="131"/>
      <c r="I246" s="131"/>
      <c r="J246" s="131"/>
      <c r="K246" s="131"/>
      <c r="L246" s="131"/>
      <c r="M246" s="131"/>
      <c r="N246" s="131"/>
      <c r="O246" s="131"/>
    </row>
    <row r="247" spans="2:17">
      <c r="F247" s="62"/>
      <c r="G247" s="42"/>
      <c r="H247" s="42"/>
      <c r="I247" s="42"/>
      <c r="J247" s="42"/>
      <c r="K247" s="42"/>
      <c r="L247" s="42"/>
      <c r="M247" s="42"/>
      <c r="N247" s="42"/>
    </row>
    <row r="248" spans="2:17">
      <c r="F248" s="62"/>
      <c r="G248" s="42"/>
      <c r="H248" s="42"/>
      <c r="I248" s="42"/>
      <c r="J248" s="42"/>
      <c r="K248" s="42"/>
      <c r="L248" s="42"/>
      <c r="M248" s="42"/>
      <c r="N248" s="42"/>
    </row>
    <row r="249" spans="2:17">
      <c r="B249" s="3" t="s">
        <v>30</v>
      </c>
      <c r="F249" s="62"/>
      <c r="G249" s="42"/>
      <c r="H249" s="42"/>
      <c r="I249" s="42"/>
      <c r="J249" s="42"/>
      <c r="K249" s="42"/>
      <c r="L249" s="42"/>
      <c r="M249" s="42"/>
      <c r="N249" s="42"/>
    </row>
    <row r="250" spans="2:17">
      <c r="F250" s="62"/>
      <c r="G250" s="42"/>
      <c r="H250" s="42"/>
      <c r="I250" s="42"/>
      <c r="J250" s="42"/>
      <c r="K250" s="42"/>
      <c r="L250" s="42"/>
      <c r="M250" s="42"/>
      <c r="N250" s="42"/>
    </row>
    <row r="251" spans="2:17">
      <c r="B251" s="22" t="s">
        <v>121</v>
      </c>
      <c r="D251" s="28"/>
      <c r="E251" s="28"/>
      <c r="F251" s="67"/>
      <c r="G251" s="38"/>
      <c r="H251" s="38"/>
      <c r="I251" s="38"/>
      <c r="J251" s="38"/>
      <c r="K251" s="38"/>
      <c r="L251" s="38"/>
      <c r="M251" s="38"/>
      <c r="N251" s="38"/>
    </row>
    <row r="252" spans="2:17">
      <c r="B252" s="23" t="s">
        <v>216</v>
      </c>
      <c r="D252" t="s">
        <v>109</v>
      </c>
      <c r="F252" s="80">
        <f>SUM(G252:O252)</f>
        <v>0</v>
      </c>
      <c r="G252" s="30">
        <f>G190+G212-G232</f>
        <v>0</v>
      </c>
      <c r="H252" s="30">
        <f t="shared" ref="H252:O252" si="24">H190+H212-H232</f>
        <v>0</v>
      </c>
      <c r="I252" s="30">
        <f t="shared" si="24"/>
        <v>0</v>
      </c>
      <c r="J252" s="30">
        <f t="shared" si="24"/>
        <v>0</v>
      </c>
      <c r="K252" s="30">
        <f t="shared" si="24"/>
        <v>0</v>
      </c>
      <c r="L252" s="30">
        <f t="shared" si="24"/>
        <v>0</v>
      </c>
      <c r="M252" s="30">
        <f t="shared" si="24"/>
        <v>0</v>
      </c>
      <c r="N252" s="30">
        <f t="shared" si="24"/>
        <v>0</v>
      </c>
      <c r="O252" s="30">
        <f t="shared" si="24"/>
        <v>0</v>
      </c>
      <c r="Q252" s="51" t="s">
        <v>569</v>
      </c>
    </row>
    <row r="253" spans="2:17">
      <c r="B253" s="23" t="s">
        <v>217</v>
      </c>
      <c r="D253" t="s">
        <v>109</v>
      </c>
      <c r="F253" s="80">
        <f>SUM(G253:O253)</f>
        <v>0</v>
      </c>
      <c r="G253" s="30">
        <f>G191+G213-G233</f>
        <v>0</v>
      </c>
      <c r="H253" s="30">
        <f t="shared" ref="H253:O253" si="25">H191+H213-H233</f>
        <v>0</v>
      </c>
      <c r="I253" s="30">
        <f t="shared" si="25"/>
        <v>0</v>
      </c>
      <c r="J253" s="30">
        <f t="shared" si="25"/>
        <v>0</v>
      </c>
      <c r="K253" s="30">
        <f t="shared" si="25"/>
        <v>0</v>
      </c>
      <c r="L253" s="30">
        <f t="shared" si="25"/>
        <v>0</v>
      </c>
      <c r="M253" s="30">
        <f t="shared" si="25"/>
        <v>0</v>
      </c>
      <c r="N253" s="30">
        <f t="shared" si="25"/>
        <v>0</v>
      </c>
      <c r="O253" s="30">
        <f t="shared" si="25"/>
        <v>0</v>
      </c>
    </row>
    <row r="254" spans="2:17">
      <c r="B254" s="23"/>
      <c r="F254" s="62"/>
      <c r="G254" s="38"/>
      <c r="H254" s="38"/>
      <c r="I254" s="38"/>
      <c r="J254" s="38"/>
      <c r="K254" s="38"/>
      <c r="L254" s="38"/>
      <c r="M254" s="38"/>
      <c r="N254" s="38"/>
    </row>
    <row r="255" spans="2:17">
      <c r="B255" s="22" t="s">
        <v>122</v>
      </c>
      <c r="F255" s="62"/>
      <c r="G255" s="38"/>
      <c r="H255" s="38"/>
      <c r="I255" s="38"/>
      <c r="J255" s="38"/>
      <c r="K255" s="38"/>
      <c r="L255" s="38"/>
      <c r="M255" s="38"/>
      <c r="N255" s="38"/>
    </row>
    <row r="256" spans="2:17">
      <c r="B256" s="23" t="s">
        <v>123</v>
      </c>
      <c r="D256" t="s">
        <v>109</v>
      </c>
      <c r="F256" s="80">
        <f>SUM(G256:O256)</f>
        <v>258725719.93597618</v>
      </c>
      <c r="G256" s="30">
        <f>G194+G216-G236</f>
        <v>8143832.9800000004</v>
      </c>
      <c r="H256" s="30">
        <f t="shared" ref="H256:O256" si="26">H194+H216-H236</f>
        <v>7984593.3044080697</v>
      </c>
      <c r="I256" s="30">
        <f t="shared" si="26"/>
        <v>11170571.9528176</v>
      </c>
      <c r="J256" s="30">
        <f t="shared" si="26"/>
        <v>75218834.133442089</v>
      </c>
      <c r="K256" s="30">
        <f t="shared" si="26"/>
        <v>87902184.408105269</v>
      </c>
      <c r="L256" s="30">
        <f t="shared" si="26"/>
        <v>2465666.4900000002</v>
      </c>
      <c r="M256" s="30">
        <f t="shared" si="26"/>
        <v>59958404.93449609</v>
      </c>
      <c r="N256" s="30">
        <f t="shared" si="26"/>
        <v>5881631.7327070525</v>
      </c>
      <c r="O256" s="30">
        <f t="shared" si="26"/>
        <v>0</v>
      </c>
    </row>
    <row r="257" spans="2:15">
      <c r="B257" s="23" t="s">
        <v>124</v>
      </c>
      <c r="D257" t="s">
        <v>109</v>
      </c>
      <c r="F257" s="80">
        <f>SUM(G257:O257)</f>
        <v>6550671.8337420756</v>
      </c>
      <c r="G257" s="30">
        <f>G195+G217-G237</f>
        <v>0</v>
      </c>
      <c r="H257" s="30">
        <f t="shared" ref="H257:O257" si="27">H195+H217-H237</f>
        <v>0</v>
      </c>
      <c r="I257" s="30">
        <f t="shared" si="27"/>
        <v>0</v>
      </c>
      <c r="J257" s="30">
        <f t="shared" si="27"/>
        <v>0</v>
      </c>
      <c r="K257" s="30">
        <f t="shared" si="27"/>
        <v>0</v>
      </c>
      <c r="L257" s="30">
        <f t="shared" si="27"/>
        <v>329726.96000000002</v>
      </c>
      <c r="M257" s="30">
        <f t="shared" si="27"/>
        <v>6220944.8737420756</v>
      </c>
      <c r="N257" s="30">
        <f t="shared" si="27"/>
        <v>0</v>
      </c>
      <c r="O257" s="30">
        <f t="shared" si="27"/>
        <v>0</v>
      </c>
    </row>
    <row r="258" spans="2:15">
      <c r="B258" s="23"/>
      <c r="F258" s="62"/>
      <c r="G258" s="38"/>
      <c r="H258" s="38"/>
      <c r="I258" s="38"/>
      <c r="J258" s="38"/>
      <c r="K258" s="38"/>
      <c r="L258" s="38"/>
      <c r="M258" s="38"/>
      <c r="N258" s="38"/>
    </row>
    <row r="259" spans="2:15">
      <c r="B259" s="22" t="s">
        <v>125</v>
      </c>
      <c r="F259" s="62"/>
      <c r="G259" s="38"/>
      <c r="H259" s="38"/>
      <c r="I259" s="38"/>
      <c r="J259" s="38"/>
      <c r="K259" s="38"/>
      <c r="L259" s="38"/>
      <c r="M259" s="38"/>
      <c r="N259" s="38"/>
    </row>
    <row r="260" spans="2:15">
      <c r="B260" s="23" t="s">
        <v>126</v>
      </c>
      <c r="D260" t="s">
        <v>109</v>
      </c>
      <c r="F260" s="80">
        <f>SUM(G260:O260)</f>
        <v>25252604.713036753</v>
      </c>
      <c r="G260" s="30">
        <f>G198+G220-G240</f>
        <v>0</v>
      </c>
      <c r="H260" s="30">
        <f t="shared" ref="H260:O260" si="28">H198+H220-H240</f>
        <v>368104</v>
      </c>
      <c r="I260" s="30">
        <f t="shared" si="28"/>
        <v>0</v>
      </c>
      <c r="J260" s="30">
        <f t="shared" si="28"/>
        <v>680680</v>
      </c>
      <c r="K260" s="30">
        <f t="shared" si="28"/>
        <v>11315354.953036755</v>
      </c>
      <c r="L260" s="30">
        <f t="shared" si="28"/>
        <v>88309.759999999995</v>
      </c>
      <c r="M260" s="30">
        <f t="shared" si="28"/>
        <v>12785218</v>
      </c>
      <c r="N260" s="30">
        <f t="shared" si="28"/>
        <v>14938</v>
      </c>
      <c r="O260" s="30">
        <f t="shared" si="28"/>
        <v>0</v>
      </c>
    </row>
    <row r="261" spans="2:15">
      <c r="B261" s="23" t="s">
        <v>127</v>
      </c>
      <c r="D261" t="s">
        <v>109</v>
      </c>
      <c r="F261" s="80">
        <f>SUM(G261:O261)</f>
        <v>1946</v>
      </c>
      <c r="G261" s="30">
        <f>G199+G221-G241</f>
        <v>1946</v>
      </c>
      <c r="H261" s="30">
        <f t="shared" ref="H261:O261" si="29">H199+H221-H241</f>
        <v>0</v>
      </c>
      <c r="I261" s="30">
        <f t="shared" si="29"/>
        <v>0</v>
      </c>
      <c r="J261" s="30">
        <f t="shared" si="29"/>
        <v>0</v>
      </c>
      <c r="K261" s="30">
        <f t="shared" si="29"/>
        <v>0</v>
      </c>
      <c r="L261" s="30">
        <f t="shared" si="29"/>
        <v>0</v>
      </c>
      <c r="M261" s="30">
        <f t="shared" si="29"/>
        <v>0</v>
      </c>
      <c r="N261" s="30">
        <f t="shared" si="29"/>
        <v>0</v>
      </c>
      <c r="O261" s="30">
        <f t="shared" si="29"/>
        <v>0</v>
      </c>
    </row>
    <row r="262" spans="2:15">
      <c r="B262" s="23"/>
      <c r="F262" s="62"/>
      <c r="G262" s="38"/>
      <c r="H262" s="38"/>
      <c r="I262" s="38"/>
      <c r="J262" s="38"/>
      <c r="K262" s="38"/>
      <c r="L262" s="38"/>
      <c r="M262" s="38"/>
      <c r="N262" s="38"/>
    </row>
    <row r="263" spans="2:15">
      <c r="B263" s="22" t="s">
        <v>128</v>
      </c>
      <c r="F263" s="62"/>
      <c r="G263" s="38"/>
      <c r="H263" s="38"/>
      <c r="I263" s="38"/>
      <c r="J263" s="38"/>
      <c r="K263" s="38"/>
      <c r="L263" s="38"/>
      <c r="M263" s="38"/>
      <c r="N263" s="38"/>
    </row>
    <row r="264" spans="2:15">
      <c r="B264" s="93" t="s">
        <v>180</v>
      </c>
      <c r="D264" t="s">
        <v>109</v>
      </c>
      <c r="F264" s="80">
        <f>SUM(G264:O264)</f>
        <v>3458677.2896710252</v>
      </c>
      <c r="G264" s="30">
        <f>G202+G224-G244</f>
        <v>73859.390000000014</v>
      </c>
      <c r="H264" s="30">
        <f t="shared" ref="H264:O264" si="30">H202+H224-H244</f>
        <v>94582.840125000002</v>
      </c>
      <c r="I264" s="30">
        <f t="shared" si="30"/>
        <v>195419.9373577454</v>
      </c>
      <c r="J264" s="30">
        <f t="shared" si="30"/>
        <v>998180.57910558535</v>
      </c>
      <c r="K264" s="30">
        <f t="shared" si="30"/>
        <v>1116027.7957934665</v>
      </c>
      <c r="L264" s="30">
        <f t="shared" si="30"/>
        <v>65456.33</v>
      </c>
      <c r="M264" s="30">
        <f t="shared" si="30"/>
        <v>910924.47627129604</v>
      </c>
      <c r="N264" s="30">
        <f t="shared" si="30"/>
        <v>4225.9410179324877</v>
      </c>
      <c r="O264" s="30">
        <f t="shared" si="30"/>
        <v>0</v>
      </c>
    </row>
    <row r="265" spans="2:15">
      <c r="B265" s="93" t="s">
        <v>181</v>
      </c>
      <c r="D265" t="s">
        <v>109</v>
      </c>
      <c r="F265" s="80">
        <f>SUM(G265:O265)</f>
        <v>637908.05841122149</v>
      </c>
      <c r="G265" s="30">
        <f>G203+G225-G245</f>
        <v>7891.29</v>
      </c>
      <c r="H265" s="30">
        <f t="shared" ref="H265:O265" si="31">H203+H225-H245</f>
        <v>12143.957050000001</v>
      </c>
      <c r="I265" s="30">
        <f t="shared" si="31"/>
        <v>34474.489264398348</v>
      </c>
      <c r="J265" s="30">
        <f t="shared" si="31"/>
        <v>179058.11931062461</v>
      </c>
      <c r="K265" s="30">
        <f t="shared" si="31"/>
        <v>154919.67880499997</v>
      </c>
      <c r="L265" s="30">
        <f t="shared" si="31"/>
        <v>8272.48</v>
      </c>
      <c r="M265" s="30">
        <f t="shared" si="31"/>
        <v>173742.45313178215</v>
      </c>
      <c r="N265" s="30">
        <f t="shared" si="31"/>
        <v>67405.590849416461</v>
      </c>
      <c r="O265" s="30">
        <f t="shared" si="31"/>
        <v>0</v>
      </c>
    </row>
    <row r="266" spans="2:15">
      <c r="B266" s="94" t="s">
        <v>182</v>
      </c>
      <c r="D266" t="s">
        <v>109</v>
      </c>
      <c r="F266" s="80">
        <f>SUM(G266:O266)</f>
        <v>4321787.5920022195</v>
      </c>
      <c r="G266" s="30">
        <f>G204+G226-G246</f>
        <v>0</v>
      </c>
      <c r="H266" s="30">
        <f t="shared" ref="H266:O266" si="32">H204+H226-H246</f>
        <v>0</v>
      </c>
      <c r="I266" s="30">
        <f t="shared" si="32"/>
        <v>63652.126601851633</v>
      </c>
      <c r="J266" s="30">
        <f t="shared" si="32"/>
        <v>1455795.894486869</v>
      </c>
      <c r="K266" s="30">
        <f t="shared" si="32"/>
        <v>2652209.303857889</v>
      </c>
      <c r="L266" s="30">
        <f t="shared" si="32"/>
        <v>40229.01</v>
      </c>
      <c r="M266" s="30">
        <f t="shared" si="32"/>
        <v>85530.896623577253</v>
      </c>
      <c r="N266" s="30">
        <f t="shared" si="32"/>
        <v>24370.360432033631</v>
      </c>
      <c r="O266" s="30">
        <f t="shared" si="32"/>
        <v>0</v>
      </c>
    </row>
    <row r="267" spans="2:15">
      <c r="F267" s="62"/>
      <c r="G267" s="42"/>
      <c r="H267" s="42"/>
      <c r="I267" s="42"/>
      <c r="J267" s="42"/>
      <c r="K267" s="42"/>
      <c r="L267" s="42"/>
      <c r="M267" s="42"/>
      <c r="N267" s="42"/>
    </row>
    <row r="268" spans="2:15">
      <c r="B268" s="25" t="s">
        <v>404</v>
      </c>
      <c r="D268" t="s">
        <v>109</v>
      </c>
      <c r="F268" s="132">
        <f>SUM(G268:O268)</f>
        <v>298949315.42283952</v>
      </c>
      <c r="G268" s="69">
        <f>SUM(G252:G253,G256:G257,G260:G261,G264:G266)</f>
        <v>8227529.6600000001</v>
      </c>
      <c r="H268" s="69">
        <f t="shared" ref="H268:O268" si="33">SUM(H252:H253,H256:H257,H260:H261,H264:H266)</f>
        <v>8459424.1015830692</v>
      </c>
      <c r="I268" s="69">
        <f t="shared" si="33"/>
        <v>11464118.506041598</v>
      </c>
      <c r="J268" s="69">
        <f t="shared" si="33"/>
        <v>78532548.726345167</v>
      </c>
      <c r="K268" s="69">
        <f t="shared" si="33"/>
        <v>103140696.13959838</v>
      </c>
      <c r="L268" s="69">
        <f t="shared" si="33"/>
        <v>2997661.03</v>
      </c>
      <c r="M268" s="69">
        <f t="shared" si="33"/>
        <v>80134765.634264827</v>
      </c>
      <c r="N268" s="69">
        <f t="shared" si="33"/>
        <v>5992571.6250064345</v>
      </c>
      <c r="O268" s="69">
        <f t="shared" si="33"/>
        <v>0</v>
      </c>
    </row>
    <row r="269" spans="2:15">
      <c r="F269" s="85"/>
      <c r="G269" s="42"/>
      <c r="H269" s="42"/>
      <c r="I269" s="42"/>
      <c r="J269" s="42"/>
      <c r="K269" s="42"/>
      <c r="L269" s="42"/>
      <c r="M269" s="42"/>
      <c r="N269" s="42"/>
    </row>
    <row r="270" spans="2:15">
      <c r="B270" s="51" t="s">
        <v>618</v>
      </c>
      <c r="F270" s="132">
        <f>SUM(G270:O270)</f>
        <v>270236087.42013168</v>
      </c>
      <c r="G270" s="195">
        <f>G268-G260-G261-G264</f>
        <v>8151724.2700000005</v>
      </c>
      <c r="H270" s="195">
        <f t="shared" ref="H270:O270" si="34">H268-H260-H261-H264</f>
        <v>7996737.2614580691</v>
      </c>
      <c r="I270" s="195">
        <f t="shared" si="34"/>
        <v>11268698.568683852</v>
      </c>
      <c r="J270" s="195">
        <f t="shared" si="34"/>
        <v>76853688.147239581</v>
      </c>
      <c r="K270" s="195">
        <f t="shared" si="34"/>
        <v>90709313.390768155</v>
      </c>
      <c r="L270" s="195">
        <f t="shared" si="34"/>
        <v>2843894.94</v>
      </c>
      <c r="M270" s="195">
        <f t="shared" si="34"/>
        <v>66438623.157993533</v>
      </c>
      <c r="N270" s="195">
        <f t="shared" si="34"/>
        <v>5973407.6839885022</v>
      </c>
      <c r="O270" s="195">
        <f t="shared" si="34"/>
        <v>0</v>
      </c>
    </row>
    <row r="271" spans="2:15">
      <c r="F271" s="85"/>
      <c r="G271" s="42"/>
      <c r="H271" s="42"/>
      <c r="I271" s="42"/>
      <c r="J271" s="42"/>
      <c r="K271" s="42"/>
      <c r="L271" s="42"/>
      <c r="M271" s="42"/>
      <c r="N271" s="42"/>
    </row>
    <row r="272" spans="2:15">
      <c r="F272" s="62"/>
      <c r="G272" s="42"/>
      <c r="H272" s="42"/>
      <c r="I272" s="42"/>
      <c r="J272" s="42"/>
      <c r="K272" s="42"/>
      <c r="L272" s="42"/>
      <c r="M272" s="42"/>
      <c r="N272" s="42"/>
    </row>
    <row r="273" spans="2:15" s="2" customFormat="1">
      <c r="B273" s="2" t="s">
        <v>381</v>
      </c>
      <c r="F273" s="49"/>
    </row>
    <row r="274" spans="2:15">
      <c r="F274" s="47"/>
    </row>
    <row r="275" spans="2:15">
      <c r="B275" s="3" t="s">
        <v>29</v>
      </c>
      <c r="F275" s="47"/>
    </row>
    <row r="276" spans="2:15">
      <c r="F276" s="47"/>
    </row>
    <row r="277" spans="2:15">
      <c r="B277" s="22" t="s">
        <v>121</v>
      </c>
      <c r="D277" s="28"/>
      <c r="E277" s="28"/>
      <c r="F277" s="67"/>
      <c r="G277" s="38"/>
      <c r="H277" s="38"/>
      <c r="I277" s="38"/>
      <c r="J277" s="38"/>
      <c r="K277" s="38"/>
      <c r="L277" s="38"/>
      <c r="M277" s="38"/>
      <c r="N277" s="38"/>
    </row>
    <row r="278" spans="2:15">
      <c r="B278" s="23" t="s">
        <v>216</v>
      </c>
      <c r="D278" t="s">
        <v>110</v>
      </c>
      <c r="F278" s="80">
        <f>SUM(G278:O278)</f>
        <v>0</v>
      </c>
      <c r="G278" s="43">
        <f>'PRD OPEX TD (2009-2012)'!G231</f>
        <v>0</v>
      </c>
      <c r="H278" s="43">
        <f>'PRD OPEX TD (2009-2012)'!H231</f>
        <v>0</v>
      </c>
      <c r="I278" s="43">
        <f>'PRD OPEX TD (2009-2012)'!I231</f>
        <v>0</v>
      </c>
      <c r="J278" s="43">
        <f>'PRD OPEX TD (2009-2012)'!J231</f>
        <v>0</v>
      </c>
      <c r="K278" s="43">
        <f>'PRD OPEX TD (2009-2012)'!K231</f>
        <v>0</v>
      </c>
      <c r="L278" s="43">
        <f>'PRD OPEX TD (2009-2012)'!L231</f>
        <v>0</v>
      </c>
      <c r="M278" s="43">
        <f>'PRD OPEX TD (2009-2012)'!M231</f>
        <v>0</v>
      </c>
      <c r="N278" s="43">
        <f>'PRD OPEX TD (2009-2012)'!N231</f>
        <v>0</v>
      </c>
      <c r="O278" s="43">
        <f>'PRD OPEX TD (2009-2012)'!O231</f>
        <v>0</v>
      </c>
    </row>
    <row r="279" spans="2:15">
      <c r="B279" s="23" t="s">
        <v>217</v>
      </c>
      <c r="D279" t="s">
        <v>110</v>
      </c>
      <c r="F279" s="80">
        <f>SUM(G279:O279)</f>
        <v>0</v>
      </c>
      <c r="G279" s="43">
        <f>'PRD OPEX TD (2009-2012)'!G232</f>
        <v>0</v>
      </c>
      <c r="H279" s="43">
        <f>'PRD OPEX TD (2009-2012)'!H232</f>
        <v>0</v>
      </c>
      <c r="I279" s="43">
        <f>'PRD OPEX TD (2009-2012)'!I232</f>
        <v>0</v>
      </c>
      <c r="J279" s="43">
        <f>'PRD OPEX TD (2009-2012)'!J232</f>
        <v>0</v>
      </c>
      <c r="K279" s="43">
        <f>'PRD OPEX TD (2009-2012)'!K232</f>
        <v>0</v>
      </c>
      <c r="L279" s="43">
        <f>'PRD OPEX TD (2009-2012)'!L232</f>
        <v>0</v>
      </c>
      <c r="M279" s="43">
        <f>'PRD OPEX TD (2009-2012)'!M232</f>
        <v>0</v>
      </c>
      <c r="N279" s="43">
        <f>'PRD OPEX TD (2009-2012)'!N232</f>
        <v>0</v>
      </c>
      <c r="O279" s="43">
        <f>'PRD OPEX TD (2009-2012)'!O232</f>
        <v>0</v>
      </c>
    </row>
    <row r="280" spans="2:15">
      <c r="B280" s="23"/>
      <c r="F280" s="62"/>
      <c r="G280" s="42"/>
      <c r="H280" s="42"/>
      <c r="I280" s="42"/>
      <c r="J280" s="42"/>
      <c r="K280" s="42"/>
      <c r="L280" s="42"/>
      <c r="M280" s="42"/>
      <c r="N280" s="42"/>
      <c r="O280" s="42"/>
    </row>
    <row r="281" spans="2:15">
      <c r="B281" s="22" t="s">
        <v>122</v>
      </c>
      <c r="F281" s="62"/>
      <c r="G281" s="42"/>
      <c r="H281" s="42"/>
      <c r="I281" s="42"/>
      <c r="J281" s="42"/>
      <c r="K281" s="42"/>
      <c r="L281" s="42"/>
      <c r="M281" s="42"/>
      <c r="N281" s="42"/>
      <c r="O281" s="42"/>
    </row>
    <row r="282" spans="2:15">
      <c r="B282" s="23" t="s">
        <v>123</v>
      </c>
      <c r="D282" t="s">
        <v>110</v>
      </c>
      <c r="F282" s="80">
        <f>SUM(G282:O282)</f>
        <v>275009340.02318764</v>
      </c>
      <c r="G282" s="43">
        <f>'PRD OPEX TD (2009-2012)'!G235</f>
        <v>7224201</v>
      </c>
      <c r="H282" s="43">
        <f>'PRD OPEX TD (2009-2012)'!H235</f>
        <v>9639752.6926502027</v>
      </c>
      <c r="I282" s="43">
        <f>'PRD OPEX TD (2009-2012)'!I235</f>
        <v>11825625.103048505</v>
      </c>
      <c r="J282" s="43">
        <f>'PRD OPEX TD (2009-2012)'!J235</f>
        <v>83835624.458988503</v>
      </c>
      <c r="K282" s="43">
        <f>'PRD OPEX TD (2009-2012)'!K235</f>
        <v>89344611.504958451</v>
      </c>
      <c r="L282" s="43">
        <f>'PRD OPEX TD (2009-2012)'!L235</f>
        <v>2738458.9</v>
      </c>
      <c r="M282" s="43">
        <f>'PRD OPEX TD (2009-2012)'!M235</f>
        <v>64089669.648934126</v>
      </c>
      <c r="N282" s="43">
        <f>'PRD OPEX TD (2009-2012)'!N235</f>
        <v>6311396.7146078087</v>
      </c>
      <c r="O282" s="43">
        <f>'PRD OPEX TD (2009-2012)'!O235</f>
        <v>0</v>
      </c>
    </row>
    <row r="283" spans="2:15">
      <c r="B283" s="23" t="s">
        <v>124</v>
      </c>
      <c r="D283" t="s">
        <v>110</v>
      </c>
      <c r="F283" s="80">
        <f>SUM(G283:O283)</f>
        <v>5412222.6907922579</v>
      </c>
      <c r="G283" s="43">
        <f>'PRD OPEX TD (2009-2012)'!G236</f>
        <v>0</v>
      </c>
      <c r="H283" s="43">
        <f>'PRD OPEX TD (2009-2012)'!H236</f>
        <v>0</v>
      </c>
      <c r="I283" s="43">
        <f>'PRD OPEX TD (2009-2012)'!I236</f>
        <v>0</v>
      </c>
      <c r="J283" s="43">
        <f>'PRD OPEX TD (2009-2012)'!J236</f>
        <v>0</v>
      </c>
      <c r="K283" s="43">
        <f>'PRD OPEX TD (2009-2012)'!K236</f>
        <v>0</v>
      </c>
      <c r="L283" s="43">
        <f>'PRD OPEX TD (2009-2012)'!L236</f>
        <v>312336.64000000001</v>
      </c>
      <c r="M283" s="43">
        <f>'PRD OPEX TD (2009-2012)'!M236</f>
        <v>5099886.0507922582</v>
      </c>
      <c r="N283" s="43">
        <f>'PRD OPEX TD (2009-2012)'!N236</f>
        <v>0</v>
      </c>
      <c r="O283" s="43">
        <f>'PRD OPEX TD (2009-2012)'!O236</f>
        <v>0</v>
      </c>
    </row>
    <row r="284" spans="2:15">
      <c r="B284" s="23"/>
      <c r="F284" s="62"/>
      <c r="G284" s="42"/>
      <c r="H284" s="42"/>
      <c r="I284" s="42"/>
      <c r="J284" s="42"/>
      <c r="K284" s="42"/>
      <c r="L284" s="42"/>
      <c r="M284" s="42"/>
      <c r="N284" s="42"/>
      <c r="O284" s="42"/>
    </row>
    <row r="285" spans="2:15">
      <c r="B285" s="22" t="s">
        <v>125</v>
      </c>
      <c r="F285" s="62"/>
      <c r="G285" s="42"/>
      <c r="H285" s="42"/>
      <c r="I285" s="42"/>
      <c r="J285" s="42"/>
      <c r="K285" s="42"/>
      <c r="L285" s="42"/>
      <c r="M285" s="42"/>
      <c r="N285" s="42"/>
      <c r="O285" s="42"/>
    </row>
    <row r="286" spans="2:15">
      <c r="B286" s="23" t="s">
        <v>126</v>
      </c>
      <c r="D286" t="s">
        <v>110</v>
      </c>
      <c r="F286" s="80">
        <f>SUM(G286:O286)</f>
        <v>27853361.315894756</v>
      </c>
      <c r="G286" s="43">
        <f>'PRD OPEX TD (2009-2012)'!G239</f>
        <v>84</v>
      </c>
      <c r="H286" s="43">
        <f>'PRD OPEX TD (2009-2012)'!H239</f>
        <v>391176.4</v>
      </c>
      <c r="I286" s="43">
        <f>'PRD OPEX TD (2009-2012)'!I239</f>
        <v>0</v>
      </c>
      <c r="J286" s="43">
        <f>'PRD OPEX TD (2009-2012)'!J239</f>
        <v>767902.47589475755</v>
      </c>
      <c r="K286" s="43">
        <f>'PRD OPEX TD (2009-2012)'!K239</f>
        <v>13691948</v>
      </c>
      <c r="L286" s="43">
        <f>'PRD OPEX TD (2009-2012)'!L239</f>
        <v>96427.44</v>
      </c>
      <c r="M286" s="43">
        <f>'PRD OPEX TD (2009-2012)'!M239</f>
        <v>12898160</v>
      </c>
      <c r="N286" s="43">
        <f>'PRD OPEX TD (2009-2012)'!N239</f>
        <v>7663</v>
      </c>
      <c r="O286" s="43">
        <f>'PRD OPEX TD (2009-2012)'!O239</f>
        <v>0</v>
      </c>
    </row>
    <row r="287" spans="2:15">
      <c r="B287" s="23" t="s">
        <v>127</v>
      </c>
      <c r="D287" t="s">
        <v>110</v>
      </c>
      <c r="F287" s="80">
        <f>SUM(G287:O287)</f>
        <v>1124</v>
      </c>
      <c r="G287" s="43">
        <f>'PRD OPEX TD (2009-2012)'!G240</f>
        <v>1124</v>
      </c>
      <c r="H287" s="43">
        <f>'PRD OPEX TD (2009-2012)'!H240</f>
        <v>0</v>
      </c>
      <c r="I287" s="43">
        <f>'PRD OPEX TD (2009-2012)'!I240</f>
        <v>0</v>
      </c>
      <c r="J287" s="43">
        <f>'PRD OPEX TD (2009-2012)'!J240</f>
        <v>0</v>
      </c>
      <c r="K287" s="43">
        <f>'PRD OPEX TD (2009-2012)'!K240</f>
        <v>0</v>
      </c>
      <c r="L287" s="43">
        <f>'PRD OPEX TD (2009-2012)'!L240</f>
        <v>0</v>
      </c>
      <c r="M287" s="43">
        <f>'PRD OPEX TD (2009-2012)'!M240</f>
        <v>0</v>
      </c>
      <c r="N287" s="43">
        <f>'PRD OPEX TD (2009-2012)'!N240</f>
        <v>0</v>
      </c>
      <c r="O287" s="43">
        <f>'PRD OPEX TD (2009-2012)'!O240</f>
        <v>0</v>
      </c>
    </row>
    <row r="288" spans="2:15">
      <c r="B288" s="23"/>
      <c r="F288" s="62"/>
      <c r="G288" s="42"/>
      <c r="H288" s="42"/>
      <c r="I288" s="42"/>
      <c r="J288" s="42"/>
      <c r="K288" s="42"/>
      <c r="L288" s="42"/>
      <c r="M288" s="42"/>
      <c r="N288" s="42"/>
      <c r="O288" s="42"/>
    </row>
    <row r="289" spans="2:16">
      <c r="B289" s="22" t="s">
        <v>128</v>
      </c>
      <c r="F289" s="62"/>
      <c r="G289" s="42"/>
      <c r="H289" s="42"/>
      <c r="I289" s="42"/>
      <c r="J289" s="42"/>
      <c r="K289" s="42"/>
      <c r="L289" s="42"/>
      <c r="M289" s="42"/>
      <c r="N289" s="42"/>
      <c r="O289" s="42"/>
    </row>
    <row r="290" spans="2:16">
      <c r="B290" s="93" t="s">
        <v>180</v>
      </c>
      <c r="D290" t="s">
        <v>110</v>
      </c>
      <c r="F290" s="80">
        <f>SUM(G290:O290)</f>
        <v>3645373.5903245066</v>
      </c>
      <c r="G290" s="43">
        <f>'PRD OPEX TD (2009-2012)'!G243</f>
        <v>81919</v>
      </c>
      <c r="H290" s="43">
        <f>'PRD OPEX TD (2009-2012)'!H243</f>
        <v>101889.36795000001</v>
      </c>
      <c r="I290" s="43">
        <f>'PRD OPEX TD (2009-2012)'!I243</f>
        <v>212907.46572199996</v>
      </c>
      <c r="J290" s="43">
        <f>'PRD OPEX TD (2009-2012)'!J243</f>
        <v>1025841.4026185945</v>
      </c>
      <c r="K290" s="43">
        <f>'PRD OPEX TD (2009-2012)'!K243</f>
        <v>1198276.094126892</v>
      </c>
      <c r="L290" s="43">
        <f>'PRD OPEX TD (2009-2012)'!L243</f>
        <v>64038.92</v>
      </c>
      <c r="M290" s="43">
        <f>'PRD OPEX TD (2009-2012)'!M243</f>
        <v>945128.78118938475</v>
      </c>
      <c r="N290" s="43">
        <f>'PRD OPEX TD (2009-2012)'!N243</f>
        <v>15372.558717635126</v>
      </c>
      <c r="O290" s="43">
        <f>'PRD OPEX TD (2009-2012)'!O243</f>
        <v>0</v>
      </c>
    </row>
    <row r="291" spans="2:16">
      <c r="B291" s="93" t="s">
        <v>181</v>
      </c>
      <c r="D291" t="s">
        <v>110</v>
      </c>
      <c r="F291" s="80">
        <f>SUM(G291:O291)</f>
        <v>658765.02069199574</v>
      </c>
      <c r="G291" s="43">
        <f>'PRD OPEX TD (2009-2012)'!G244</f>
        <v>3504</v>
      </c>
      <c r="H291" s="43">
        <f>'PRD OPEX TD (2009-2012)'!H244</f>
        <v>13070.677785593216</v>
      </c>
      <c r="I291" s="43">
        <f>'PRD OPEX TD (2009-2012)'!I244</f>
        <v>35975.923927049807</v>
      </c>
      <c r="J291" s="43">
        <f>'PRD OPEX TD (2009-2012)'!J244</f>
        <v>177160.62569518763</v>
      </c>
      <c r="K291" s="43">
        <f>'PRD OPEX TD (2009-2012)'!K244</f>
        <v>179108.00886856153</v>
      </c>
      <c r="L291" s="43">
        <f>'PRD OPEX TD (2009-2012)'!L244</f>
        <v>8080.36</v>
      </c>
      <c r="M291" s="43">
        <f>'PRD OPEX TD (2009-2012)'!M244</f>
        <v>180369.21447999129</v>
      </c>
      <c r="N291" s="43">
        <f>'PRD OPEX TD (2009-2012)'!N244</f>
        <v>61496.209935612234</v>
      </c>
      <c r="O291" s="43">
        <f>'PRD OPEX TD (2009-2012)'!O244</f>
        <v>0</v>
      </c>
    </row>
    <row r="292" spans="2:16">
      <c r="B292" s="94" t="s">
        <v>182</v>
      </c>
      <c r="D292" t="s">
        <v>110</v>
      </c>
      <c r="F292" s="80">
        <f>SUM(G292:O292)</f>
        <v>6536678.6407631161</v>
      </c>
      <c r="G292" s="43">
        <f>'PRD OPEX TD (2009-2012)'!G245</f>
        <v>0</v>
      </c>
      <c r="H292" s="43">
        <f>'PRD OPEX TD (2009-2012)'!H245</f>
        <v>0</v>
      </c>
      <c r="I292" s="43">
        <f>'PRD OPEX TD (2009-2012)'!I245</f>
        <v>127205.70868412919</v>
      </c>
      <c r="J292" s="43">
        <f>'PRD OPEX TD (2009-2012)'!J245</f>
        <v>2829182.2484512334</v>
      </c>
      <c r="K292" s="43">
        <f>'PRD OPEX TD (2009-2012)'!K245</f>
        <v>3391946.0158972405</v>
      </c>
      <c r="L292" s="43">
        <f>'PRD OPEX TD (2009-2012)'!L245</f>
        <v>28255.919999999998</v>
      </c>
      <c r="M292" s="43">
        <f>'PRD OPEX TD (2009-2012)'!M245</f>
        <v>101370.89832073201</v>
      </c>
      <c r="N292" s="43">
        <f>'PRD OPEX TD (2009-2012)'!N245</f>
        <v>58717.849409781425</v>
      </c>
      <c r="O292" s="43">
        <f>'PRD OPEX TD (2009-2012)'!O245</f>
        <v>0</v>
      </c>
    </row>
    <row r="293" spans="2:16">
      <c r="C293" s="45"/>
      <c r="D293" s="28"/>
      <c r="E293" s="46">
        <v>17</v>
      </c>
      <c r="F293" s="62"/>
      <c r="G293" s="42"/>
      <c r="H293" s="42"/>
      <c r="I293" s="42"/>
      <c r="J293" s="42"/>
      <c r="K293" s="42"/>
      <c r="L293" s="42"/>
      <c r="M293" s="42"/>
      <c r="N293" s="42"/>
      <c r="O293" s="42"/>
      <c r="P293" s="28"/>
    </row>
    <row r="294" spans="2:16">
      <c r="B294" s="79" t="s">
        <v>268</v>
      </c>
      <c r="D294" t="s">
        <v>110</v>
      </c>
      <c r="F294" s="80">
        <f>SUM(G294:O294)</f>
        <v>319116865.28165424</v>
      </c>
      <c r="G294" s="69">
        <f>SUM(G278:G279,G282:G283,G286:G287,G290:G292)</f>
        <v>7310832</v>
      </c>
      <c r="H294" s="69">
        <f t="shared" ref="H294:O294" si="35">SUM(H278:H279,H282:H283,H286:H287,H290:H292)</f>
        <v>10145889.138385797</v>
      </c>
      <c r="I294" s="69">
        <f t="shared" si="35"/>
        <v>12201714.201381685</v>
      </c>
      <c r="J294" s="69">
        <f t="shared" si="35"/>
        <v>88635711.21164827</v>
      </c>
      <c r="K294" s="69">
        <f t="shared" si="35"/>
        <v>107805889.62385115</v>
      </c>
      <c r="L294" s="69">
        <f t="shared" si="35"/>
        <v>3247598.1799999997</v>
      </c>
      <c r="M294" s="69">
        <f t="shared" si="35"/>
        <v>83314584.593716502</v>
      </c>
      <c r="N294" s="69">
        <f t="shared" si="35"/>
        <v>6454646.3326708376</v>
      </c>
      <c r="O294" s="69">
        <f t="shared" si="35"/>
        <v>0</v>
      </c>
    </row>
    <row r="295" spans="2:16">
      <c r="F295" s="62"/>
      <c r="G295" s="42"/>
      <c r="H295" s="42"/>
      <c r="I295" s="42"/>
      <c r="J295" s="42"/>
      <c r="K295" s="42"/>
      <c r="L295" s="42"/>
      <c r="M295" s="42"/>
      <c r="N295" s="42"/>
    </row>
    <row r="296" spans="2:16">
      <c r="F296" s="62"/>
      <c r="G296" s="42"/>
      <c r="H296" s="42"/>
      <c r="I296" s="42"/>
      <c r="J296" s="42"/>
      <c r="K296" s="42"/>
      <c r="L296" s="42"/>
      <c r="M296" s="42"/>
      <c r="N296" s="42"/>
    </row>
    <row r="297" spans="2:16">
      <c r="B297" s="261" t="s">
        <v>832</v>
      </c>
      <c r="F297" s="62"/>
      <c r="G297" s="42"/>
      <c r="H297" s="42"/>
      <c r="I297" s="42"/>
      <c r="J297" s="42"/>
      <c r="K297" s="42"/>
      <c r="L297" s="42"/>
      <c r="M297" s="42"/>
      <c r="N297" s="42"/>
    </row>
    <row r="298" spans="2:16">
      <c r="F298" s="62"/>
      <c r="G298" s="133"/>
      <c r="H298" s="42"/>
      <c r="I298" s="42"/>
      <c r="J298" s="42"/>
      <c r="K298" s="42"/>
      <c r="L298" s="42"/>
      <c r="M298" s="42"/>
      <c r="N298" s="42"/>
    </row>
    <row r="299" spans="2:16">
      <c r="B299" s="22" t="s">
        <v>121</v>
      </c>
      <c r="D299" s="28"/>
      <c r="E299" s="28"/>
      <c r="F299" s="67"/>
      <c r="G299" s="38"/>
      <c r="H299" s="38"/>
      <c r="I299" s="38"/>
      <c r="J299" s="38"/>
      <c r="K299" s="38"/>
      <c r="L299" s="38"/>
      <c r="M299" s="38"/>
      <c r="N299" s="38"/>
    </row>
    <row r="300" spans="2:16">
      <c r="B300" s="23" t="s">
        <v>216</v>
      </c>
      <c r="D300" t="s">
        <v>110</v>
      </c>
      <c r="F300" s="80">
        <f>SUM(G300:O300)</f>
        <v>0</v>
      </c>
      <c r="G300" s="131"/>
      <c r="H300" s="131"/>
      <c r="I300" s="131"/>
      <c r="J300" s="131"/>
      <c r="K300" s="131"/>
      <c r="L300" s="131"/>
      <c r="M300" s="131"/>
      <c r="N300" s="131"/>
      <c r="O300" s="131"/>
    </row>
    <row r="301" spans="2:16">
      <c r="B301" s="23" t="s">
        <v>217</v>
      </c>
      <c r="D301" t="s">
        <v>110</v>
      </c>
      <c r="F301" s="80">
        <f>SUM(G301:O301)</f>
        <v>0</v>
      </c>
      <c r="G301" s="131"/>
      <c r="H301" s="131"/>
      <c r="I301" s="131"/>
      <c r="J301" s="131"/>
      <c r="K301" s="131"/>
      <c r="L301" s="131"/>
      <c r="M301" s="131"/>
      <c r="N301" s="131"/>
      <c r="O301" s="131"/>
    </row>
    <row r="302" spans="2:16">
      <c r="B302" s="23"/>
      <c r="F302" s="62"/>
      <c r="G302" s="42"/>
      <c r="H302" s="42"/>
      <c r="I302" s="42"/>
      <c r="J302" s="42"/>
      <c r="K302" s="42"/>
      <c r="L302" s="42"/>
      <c r="M302" s="42"/>
      <c r="N302" s="42"/>
    </row>
    <row r="303" spans="2:16">
      <c r="B303" s="22" t="s">
        <v>122</v>
      </c>
      <c r="F303" s="62"/>
      <c r="G303" s="42"/>
      <c r="H303" s="42"/>
      <c r="I303" s="42"/>
      <c r="J303" s="42"/>
      <c r="K303" s="42"/>
      <c r="L303" s="42"/>
      <c r="M303" s="42"/>
      <c r="N303" s="42"/>
    </row>
    <row r="304" spans="2:16">
      <c r="B304" s="23" t="s">
        <v>123</v>
      </c>
      <c r="D304" t="s">
        <v>110</v>
      </c>
      <c r="F304" s="80">
        <f>SUM(G304:O304)</f>
        <v>0</v>
      </c>
      <c r="G304" s="131"/>
      <c r="H304" s="131"/>
      <c r="I304" s="131"/>
      <c r="J304" s="131"/>
      <c r="K304" s="131"/>
      <c r="L304" s="131"/>
      <c r="M304" s="131"/>
      <c r="N304" s="131"/>
      <c r="O304" s="131"/>
    </row>
    <row r="305" spans="2:15">
      <c r="B305" s="23" t="s">
        <v>124</v>
      </c>
      <c r="D305" t="s">
        <v>110</v>
      </c>
      <c r="F305" s="80">
        <f>SUM(G305:O305)</f>
        <v>0</v>
      </c>
      <c r="G305" s="131"/>
      <c r="H305" s="131"/>
      <c r="I305" s="131"/>
      <c r="J305" s="131"/>
      <c r="K305" s="131"/>
      <c r="L305" s="131"/>
      <c r="M305" s="131"/>
      <c r="N305" s="131"/>
      <c r="O305" s="131"/>
    </row>
    <row r="306" spans="2:15">
      <c r="B306" s="23"/>
      <c r="F306" s="62"/>
      <c r="G306" s="42"/>
      <c r="H306" s="42"/>
      <c r="I306" s="42"/>
      <c r="J306" s="42"/>
      <c r="K306" s="42"/>
      <c r="L306" s="42"/>
      <c r="M306" s="42"/>
      <c r="N306" s="42"/>
    </row>
    <row r="307" spans="2:15">
      <c r="B307" s="22" t="s">
        <v>125</v>
      </c>
      <c r="F307" s="62"/>
      <c r="G307" s="42"/>
      <c r="H307" s="42"/>
      <c r="I307" s="42"/>
      <c r="J307" s="42"/>
      <c r="K307" s="42"/>
      <c r="L307" s="42"/>
      <c r="M307" s="42"/>
      <c r="N307" s="42"/>
    </row>
    <row r="308" spans="2:15">
      <c r="B308" s="23" t="s">
        <v>126</v>
      </c>
      <c r="D308" t="s">
        <v>110</v>
      </c>
      <c r="F308" s="80">
        <f>SUM(G308:O308)</f>
        <v>0</v>
      </c>
      <c r="G308" s="131"/>
      <c r="H308" s="131"/>
      <c r="I308" s="131"/>
      <c r="J308" s="131"/>
      <c r="K308" s="131"/>
      <c r="L308" s="131"/>
      <c r="M308" s="131"/>
      <c r="N308" s="131"/>
      <c r="O308" s="131"/>
    </row>
    <row r="309" spans="2:15">
      <c r="B309" s="23" t="s">
        <v>127</v>
      </c>
      <c r="D309" t="s">
        <v>110</v>
      </c>
      <c r="F309" s="80">
        <f>SUM(G309:O309)</f>
        <v>0</v>
      </c>
      <c r="G309" s="131"/>
      <c r="H309" s="131"/>
      <c r="I309" s="131"/>
      <c r="J309" s="131"/>
      <c r="K309" s="131"/>
      <c r="L309" s="131"/>
      <c r="M309" s="131"/>
      <c r="N309" s="131"/>
      <c r="O309" s="131"/>
    </row>
    <row r="310" spans="2:15">
      <c r="B310" s="23"/>
      <c r="F310" s="62"/>
      <c r="G310" s="42"/>
      <c r="H310" s="42"/>
      <c r="I310" s="42"/>
      <c r="J310" s="42"/>
      <c r="K310" s="42"/>
      <c r="L310" s="42"/>
      <c r="M310" s="42"/>
      <c r="N310" s="42"/>
    </row>
    <row r="311" spans="2:15">
      <c r="B311" s="22" t="s">
        <v>128</v>
      </c>
      <c r="F311" s="62"/>
      <c r="G311" s="42"/>
      <c r="H311" s="42"/>
      <c r="I311" s="42"/>
      <c r="J311" s="42"/>
      <c r="K311" s="42"/>
      <c r="L311" s="42"/>
      <c r="M311" s="42"/>
      <c r="N311" s="42"/>
    </row>
    <row r="312" spans="2:15">
      <c r="B312" s="93" t="s">
        <v>180</v>
      </c>
      <c r="D312" t="s">
        <v>110</v>
      </c>
      <c r="F312" s="80">
        <f>SUM(G312:O312)</f>
        <v>0</v>
      </c>
      <c r="G312" s="131"/>
      <c r="H312" s="131"/>
      <c r="I312" s="131"/>
      <c r="J312" s="131"/>
      <c r="K312" s="131"/>
      <c r="L312" s="131"/>
      <c r="M312" s="131"/>
      <c r="N312" s="131"/>
      <c r="O312" s="131"/>
    </row>
    <row r="313" spans="2:15">
      <c r="B313" s="93" t="s">
        <v>181</v>
      </c>
      <c r="D313" t="s">
        <v>110</v>
      </c>
      <c r="F313" s="80">
        <f>SUM(G313:O313)</f>
        <v>0</v>
      </c>
      <c r="G313" s="131"/>
      <c r="H313" s="131"/>
      <c r="I313" s="131"/>
      <c r="J313" s="131"/>
      <c r="K313" s="131"/>
      <c r="L313" s="131"/>
      <c r="M313" s="131"/>
      <c r="N313" s="131"/>
      <c r="O313" s="131"/>
    </row>
    <row r="314" spans="2:15">
      <c r="B314" s="94" t="s">
        <v>182</v>
      </c>
      <c r="D314" t="s">
        <v>110</v>
      </c>
      <c r="F314" s="80">
        <f>SUM(G314:O314)</f>
        <v>0</v>
      </c>
      <c r="G314" s="131"/>
      <c r="H314" s="131"/>
      <c r="I314" s="131"/>
      <c r="J314" s="131"/>
      <c r="K314" s="131"/>
      <c r="L314" s="131"/>
      <c r="M314" s="131"/>
      <c r="N314" s="131"/>
      <c r="O314" s="131"/>
    </row>
    <row r="315" spans="2:15">
      <c r="F315" s="62"/>
      <c r="G315" s="42"/>
      <c r="H315" s="42"/>
      <c r="I315" s="42"/>
      <c r="J315" s="42"/>
      <c r="K315" s="42"/>
      <c r="L315" s="42"/>
      <c r="M315" s="42"/>
      <c r="N315" s="42"/>
    </row>
    <row r="316" spans="2:15">
      <c r="F316" s="62"/>
      <c r="G316" s="42"/>
      <c r="H316" s="42"/>
      <c r="I316" s="42"/>
      <c r="J316" s="42"/>
      <c r="K316" s="42"/>
      <c r="L316" s="42"/>
      <c r="M316" s="42"/>
      <c r="N316" s="42"/>
    </row>
    <row r="317" spans="2:15">
      <c r="B317" s="261" t="s">
        <v>831</v>
      </c>
      <c r="F317" s="62"/>
      <c r="G317" s="42"/>
      <c r="H317" s="42"/>
      <c r="I317" s="42"/>
      <c r="J317" s="42"/>
      <c r="K317" s="42"/>
      <c r="L317" s="42"/>
      <c r="M317" s="42"/>
      <c r="N317" s="42"/>
    </row>
    <row r="318" spans="2:15">
      <c r="F318" s="62"/>
      <c r="G318" s="42"/>
      <c r="H318" s="42"/>
      <c r="I318" s="42"/>
      <c r="J318" s="42"/>
      <c r="K318" s="42"/>
      <c r="L318" s="42"/>
      <c r="M318" s="42"/>
      <c r="N318" s="42"/>
    </row>
    <row r="319" spans="2:15">
      <c r="B319" s="22" t="s">
        <v>121</v>
      </c>
      <c r="D319" s="28"/>
      <c r="E319" s="28"/>
      <c r="F319" s="67"/>
      <c r="G319" s="38"/>
      <c r="H319" s="38"/>
      <c r="I319" s="38"/>
      <c r="J319" s="38"/>
      <c r="K319" s="38"/>
      <c r="L319" s="38"/>
      <c r="M319" s="38"/>
      <c r="N319" s="38"/>
    </row>
    <row r="320" spans="2:15">
      <c r="B320" s="23" t="s">
        <v>216</v>
      </c>
      <c r="D320" t="s">
        <v>110</v>
      </c>
      <c r="F320" s="80">
        <f>SUM(G320:O320)</f>
        <v>0</v>
      </c>
      <c r="G320" s="131"/>
      <c r="H320" s="131"/>
      <c r="I320" s="131"/>
      <c r="J320" s="131"/>
      <c r="K320" s="131"/>
      <c r="L320" s="131"/>
      <c r="M320" s="131"/>
      <c r="N320" s="131"/>
      <c r="O320" s="131"/>
    </row>
    <row r="321" spans="2:15">
      <c r="B321" s="23" t="s">
        <v>217</v>
      </c>
      <c r="D321" t="s">
        <v>110</v>
      </c>
      <c r="F321" s="80">
        <f>SUM(G321:O321)</f>
        <v>0</v>
      </c>
      <c r="G321" s="131"/>
      <c r="H321" s="131"/>
      <c r="I321" s="131"/>
      <c r="J321" s="131"/>
      <c r="K321" s="131"/>
      <c r="L321" s="131"/>
      <c r="M321" s="131"/>
      <c r="N321" s="131"/>
      <c r="O321" s="131"/>
    </row>
    <row r="322" spans="2:15">
      <c r="B322" s="23"/>
      <c r="F322" s="62"/>
      <c r="G322" s="42"/>
      <c r="H322" s="42"/>
      <c r="I322" s="42"/>
      <c r="J322" s="42"/>
      <c r="K322" s="42"/>
      <c r="L322" s="42"/>
      <c r="M322" s="42"/>
      <c r="N322" s="42"/>
      <c r="O322" s="42"/>
    </row>
    <row r="323" spans="2:15">
      <c r="B323" s="22" t="s">
        <v>122</v>
      </c>
      <c r="F323" s="62"/>
      <c r="G323" s="42"/>
      <c r="H323" s="42"/>
      <c r="I323" s="42"/>
      <c r="J323" s="42"/>
      <c r="K323" s="42"/>
      <c r="L323" s="42"/>
      <c r="M323" s="42"/>
      <c r="N323" s="42"/>
      <c r="O323" s="42"/>
    </row>
    <row r="324" spans="2:15">
      <c r="B324" s="23" t="s">
        <v>123</v>
      </c>
      <c r="D324" t="s">
        <v>110</v>
      </c>
      <c r="F324" s="80">
        <f>SUM(G324:O324)</f>
        <v>18418787.250415802</v>
      </c>
      <c r="G324" s="195">
        <f>'PRD Ov.Opbrengst TD (2009-2012)'!G181+'PRD Ov.Opbrengst TD (2009-2012)'!G196-'PRD Ov.Opbrengst TD (2009-2012)'!G200</f>
        <v>49892.25</v>
      </c>
      <c r="H324" s="195">
        <f>'PRD Ov.Opbrengst TD (2009-2012)'!H181+'PRD Ov.Opbrengst TD (2009-2012)'!H196-'PRD Ov.Opbrengst TD (2009-2012)'!H200</f>
        <v>14641.045999999998</v>
      </c>
      <c r="I324" s="195">
        <f>'PRD Ov.Opbrengst TD (2009-2012)'!I181+'PRD Ov.Opbrengst TD (2009-2012)'!I196-'PRD Ov.Opbrengst TD (2009-2012)'!I200</f>
        <v>390674.42980996135</v>
      </c>
      <c r="J324" s="195">
        <f>'PRD Ov.Opbrengst TD (2009-2012)'!J181+'PRD Ov.Opbrengst TD (2009-2012)'!J196-'PRD Ov.Opbrengst TD (2009-2012)'!J200</f>
        <v>10632430.304916829</v>
      </c>
      <c r="K324" s="195">
        <f>'PRD Ov.Opbrengst TD (2009-2012)'!K181+'PRD Ov.Opbrengst TD (2009-2012)'!K196-'PRD Ov.Opbrengst TD (2009-2012)'!K200</f>
        <v>5475170.6500000004</v>
      </c>
      <c r="L324" s="195">
        <f>'PRD Ov.Opbrengst TD (2009-2012)'!L181+'PRD Ov.Opbrengst TD (2009-2012)'!L196-'PRD Ov.Opbrengst TD (2009-2012)'!L200</f>
        <v>73244.3</v>
      </c>
      <c r="M324" s="195">
        <f>'PRD Ov.Opbrengst TD (2009-2012)'!M181+'PRD Ov.Opbrengst TD (2009-2012)'!M196-'PRD Ov.Opbrengst TD (2009-2012)'!M200</f>
        <v>1745898.392141815</v>
      </c>
      <c r="N324" s="195">
        <f>'PRD Ov.Opbrengst TD (2009-2012)'!N181+'PRD Ov.Opbrengst TD (2009-2012)'!N196-'PRD Ov.Opbrengst TD (2009-2012)'!N200</f>
        <v>36835.877547198528</v>
      </c>
      <c r="O324" s="195">
        <f>'PRD Ov.Opbrengst TD (2009-2012)'!O181+'PRD Ov.Opbrengst TD (2009-2012)'!O196-'PRD Ov.Opbrengst TD (2009-2012)'!O200</f>
        <v>0</v>
      </c>
    </row>
    <row r="325" spans="2:15">
      <c r="B325" s="23" t="s">
        <v>124</v>
      </c>
      <c r="D325" t="s">
        <v>110</v>
      </c>
      <c r="F325" s="80">
        <f>SUM(G325:O325)</f>
        <v>0</v>
      </c>
      <c r="G325" s="131"/>
      <c r="H325" s="131"/>
      <c r="I325" s="131"/>
      <c r="J325" s="131"/>
      <c r="K325" s="131"/>
      <c r="L325" s="131"/>
      <c r="M325" s="131"/>
      <c r="N325" s="131"/>
      <c r="O325" s="131"/>
    </row>
    <row r="326" spans="2:15">
      <c r="B326" s="23"/>
      <c r="F326" s="62"/>
      <c r="G326" s="42"/>
      <c r="H326" s="42"/>
      <c r="I326" s="42"/>
      <c r="J326" s="42"/>
      <c r="K326" s="42"/>
      <c r="L326" s="42"/>
      <c r="M326" s="42"/>
      <c r="N326" s="42"/>
      <c r="O326" s="42"/>
    </row>
    <row r="327" spans="2:15">
      <c r="B327" s="22" t="s">
        <v>125</v>
      </c>
      <c r="F327" s="62"/>
      <c r="G327" s="42"/>
      <c r="H327" s="42"/>
      <c r="I327" s="42"/>
      <c r="J327" s="42"/>
      <c r="K327" s="42"/>
      <c r="L327" s="42"/>
      <c r="M327" s="42"/>
      <c r="N327" s="42"/>
      <c r="O327" s="42"/>
    </row>
    <row r="328" spans="2:15">
      <c r="B328" s="23" t="s">
        <v>126</v>
      </c>
      <c r="D328" t="s">
        <v>110</v>
      </c>
      <c r="F328" s="80">
        <f>SUM(G328:O328)</f>
        <v>0</v>
      </c>
      <c r="G328" s="131"/>
      <c r="H328" s="131"/>
      <c r="I328" s="131"/>
      <c r="J328" s="131"/>
      <c r="K328" s="131"/>
      <c r="L328" s="131"/>
      <c r="M328" s="131"/>
      <c r="N328" s="131"/>
      <c r="O328" s="131"/>
    </row>
    <row r="329" spans="2:15">
      <c r="B329" s="23" t="s">
        <v>127</v>
      </c>
      <c r="D329" t="s">
        <v>110</v>
      </c>
      <c r="F329" s="80">
        <f>SUM(G329:O329)</f>
        <v>0</v>
      </c>
      <c r="G329" s="131"/>
      <c r="H329" s="131"/>
      <c r="I329" s="131"/>
      <c r="J329" s="131"/>
      <c r="K329" s="131"/>
      <c r="L329" s="131"/>
      <c r="M329" s="131"/>
      <c r="N329" s="131"/>
      <c r="O329" s="131"/>
    </row>
    <row r="330" spans="2:15">
      <c r="B330" s="23"/>
      <c r="F330" s="62"/>
      <c r="G330" s="42"/>
      <c r="H330" s="42"/>
      <c r="I330" s="42"/>
      <c r="J330" s="42"/>
      <c r="K330" s="42"/>
      <c r="L330" s="42"/>
      <c r="M330" s="42"/>
      <c r="N330" s="42"/>
      <c r="O330" s="42"/>
    </row>
    <row r="331" spans="2:15">
      <c r="B331" s="22" t="s">
        <v>128</v>
      </c>
      <c r="F331" s="62"/>
      <c r="G331" s="42"/>
      <c r="H331" s="42"/>
      <c r="I331" s="42"/>
      <c r="J331" s="42"/>
      <c r="K331" s="42"/>
      <c r="L331" s="42"/>
      <c r="M331" s="42"/>
      <c r="N331" s="42"/>
      <c r="O331" s="42"/>
    </row>
    <row r="332" spans="2:15">
      <c r="B332" s="93" t="s">
        <v>180</v>
      </c>
      <c r="D332" t="s">
        <v>110</v>
      </c>
      <c r="F332" s="80">
        <f>SUM(G332:O332)</f>
        <v>0</v>
      </c>
      <c r="G332" s="131"/>
      <c r="H332" s="131"/>
      <c r="I332" s="131"/>
      <c r="J332" s="131"/>
      <c r="K332" s="131"/>
      <c r="L332" s="131"/>
      <c r="M332" s="131"/>
      <c r="N332" s="131"/>
      <c r="O332" s="131"/>
    </row>
    <row r="333" spans="2:15">
      <c r="B333" s="93" t="s">
        <v>181</v>
      </c>
      <c r="D333" t="s">
        <v>110</v>
      </c>
      <c r="F333" s="80">
        <f>SUM(G333:O333)</f>
        <v>0</v>
      </c>
      <c r="G333" s="131"/>
      <c r="H333" s="131"/>
      <c r="I333" s="131"/>
      <c r="J333" s="131"/>
      <c r="K333" s="131"/>
      <c r="L333" s="131"/>
      <c r="M333" s="131"/>
      <c r="N333" s="131"/>
      <c r="O333" s="131"/>
    </row>
    <row r="334" spans="2:15">
      <c r="B334" s="94" t="s">
        <v>182</v>
      </c>
      <c r="D334" t="s">
        <v>110</v>
      </c>
      <c r="F334" s="80">
        <f>SUM(G334:O334)</f>
        <v>0</v>
      </c>
      <c r="G334" s="131"/>
      <c r="H334" s="131"/>
      <c r="I334" s="131"/>
      <c r="J334" s="131"/>
      <c r="K334" s="131"/>
      <c r="L334" s="131"/>
      <c r="M334" s="131"/>
      <c r="N334" s="131"/>
      <c r="O334" s="131"/>
    </row>
    <row r="335" spans="2:15">
      <c r="F335" s="62"/>
      <c r="G335" s="42"/>
      <c r="H335" s="42"/>
      <c r="I335" s="42"/>
      <c r="J335" s="42"/>
      <c r="K335" s="42"/>
      <c r="L335" s="42"/>
      <c r="M335" s="42"/>
      <c r="N335" s="42"/>
    </row>
    <row r="336" spans="2:15">
      <c r="F336" s="62"/>
      <c r="G336" s="42"/>
      <c r="H336" s="42"/>
      <c r="I336" s="42"/>
      <c r="J336" s="42"/>
      <c r="K336" s="42"/>
      <c r="L336" s="42"/>
      <c r="M336" s="42"/>
      <c r="N336" s="42"/>
    </row>
    <row r="337" spans="2:17">
      <c r="B337" s="3" t="s">
        <v>30</v>
      </c>
      <c r="F337" s="62"/>
      <c r="G337" s="42"/>
      <c r="H337" s="42"/>
      <c r="I337" s="42"/>
      <c r="J337" s="42"/>
      <c r="K337" s="42"/>
      <c r="L337" s="42"/>
      <c r="M337" s="42"/>
      <c r="N337" s="42"/>
    </row>
    <row r="338" spans="2:17">
      <c r="F338" s="62"/>
      <c r="G338" s="42"/>
      <c r="H338" s="42"/>
      <c r="I338" s="42"/>
      <c r="J338" s="42"/>
      <c r="K338" s="42"/>
      <c r="L338" s="42"/>
      <c r="M338" s="42"/>
      <c r="N338" s="42"/>
    </row>
    <row r="339" spans="2:17">
      <c r="B339" s="22" t="s">
        <v>121</v>
      </c>
      <c r="D339" s="28"/>
      <c r="E339" s="28"/>
      <c r="F339" s="67"/>
      <c r="G339" s="38"/>
      <c r="H339" s="38"/>
      <c r="I339" s="38"/>
      <c r="J339" s="38"/>
      <c r="K339" s="38"/>
      <c r="L339" s="38"/>
      <c r="M339" s="38"/>
      <c r="N339" s="38"/>
    </row>
    <row r="340" spans="2:17">
      <c r="B340" s="23" t="s">
        <v>216</v>
      </c>
      <c r="D340" t="s">
        <v>110</v>
      </c>
      <c r="F340" s="80">
        <f>SUM(G340:O340)</f>
        <v>0</v>
      </c>
      <c r="G340" s="30">
        <f>G278+G300-G320</f>
        <v>0</v>
      </c>
      <c r="H340" s="30">
        <f t="shared" ref="H340:O340" si="36">H278+H300-H320</f>
        <v>0</v>
      </c>
      <c r="I340" s="30">
        <f t="shared" si="36"/>
        <v>0</v>
      </c>
      <c r="J340" s="30">
        <f t="shared" si="36"/>
        <v>0</v>
      </c>
      <c r="K340" s="30">
        <f t="shared" si="36"/>
        <v>0</v>
      </c>
      <c r="L340" s="30">
        <f t="shared" si="36"/>
        <v>0</v>
      </c>
      <c r="M340" s="30">
        <f t="shared" si="36"/>
        <v>0</v>
      </c>
      <c r="N340" s="30">
        <f t="shared" si="36"/>
        <v>0</v>
      </c>
      <c r="O340" s="30">
        <f t="shared" si="36"/>
        <v>0</v>
      </c>
      <c r="Q340" s="51" t="s">
        <v>569</v>
      </c>
    </row>
    <row r="341" spans="2:17">
      <c r="B341" s="23" t="s">
        <v>217</v>
      </c>
      <c r="D341" t="s">
        <v>110</v>
      </c>
      <c r="F341" s="80">
        <f>SUM(G341:O341)</f>
        <v>0</v>
      </c>
      <c r="G341" s="30">
        <f>G279+G301-G321</f>
        <v>0</v>
      </c>
      <c r="H341" s="30">
        <f t="shared" ref="H341:O341" si="37">H279+H301-H321</f>
        <v>0</v>
      </c>
      <c r="I341" s="30">
        <f t="shared" si="37"/>
        <v>0</v>
      </c>
      <c r="J341" s="30">
        <f t="shared" si="37"/>
        <v>0</v>
      </c>
      <c r="K341" s="30">
        <f t="shared" si="37"/>
        <v>0</v>
      </c>
      <c r="L341" s="30">
        <f t="shared" si="37"/>
        <v>0</v>
      </c>
      <c r="M341" s="30">
        <f t="shared" si="37"/>
        <v>0</v>
      </c>
      <c r="N341" s="30">
        <f t="shared" si="37"/>
        <v>0</v>
      </c>
      <c r="O341" s="30">
        <f t="shared" si="37"/>
        <v>0</v>
      </c>
    </row>
    <row r="342" spans="2:17">
      <c r="B342" s="23"/>
      <c r="F342" s="62"/>
      <c r="G342" s="38"/>
      <c r="H342" s="38"/>
      <c r="I342" s="38"/>
      <c r="J342" s="38"/>
      <c r="K342" s="38"/>
      <c r="L342" s="38"/>
      <c r="M342" s="38"/>
      <c r="N342" s="38"/>
    </row>
    <row r="343" spans="2:17">
      <c r="B343" s="22" t="s">
        <v>122</v>
      </c>
      <c r="F343" s="62"/>
      <c r="G343" s="38"/>
      <c r="H343" s="38"/>
      <c r="I343" s="38"/>
      <c r="J343" s="38"/>
      <c r="K343" s="38"/>
      <c r="L343" s="38"/>
      <c r="M343" s="38"/>
      <c r="N343" s="38"/>
    </row>
    <row r="344" spans="2:17">
      <c r="B344" s="23" t="s">
        <v>123</v>
      </c>
      <c r="D344" t="s">
        <v>110</v>
      </c>
      <c r="F344" s="80">
        <f>SUM(G344:O344)</f>
        <v>256590552.77277178</v>
      </c>
      <c r="G344" s="30">
        <f>G282+G304-G324</f>
        <v>7174308.75</v>
      </c>
      <c r="H344" s="30">
        <f t="shared" ref="H344:O344" si="38">H282+H304-H324</f>
        <v>9625111.6466502026</v>
      </c>
      <c r="I344" s="30">
        <f t="shared" si="38"/>
        <v>11434950.673238544</v>
      </c>
      <c r="J344" s="30">
        <f t="shared" si="38"/>
        <v>73203194.154071674</v>
      </c>
      <c r="K344" s="30">
        <f t="shared" si="38"/>
        <v>83869440.854958445</v>
      </c>
      <c r="L344" s="30">
        <f t="shared" si="38"/>
        <v>2665214.6</v>
      </c>
      <c r="M344" s="30">
        <f t="shared" si="38"/>
        <v>62343771.256792314</v>
      </c>
      <c r="N344" s="30">
        <f t="shared" si="38"/>
        <v>6274560.8370606098</v>
      </c>
      <c r="O344" s="30">
        <f t="shared" si="38"/>
        <v>0</v>
      </c>
    </row>
    <row r="345" spans="2:17">
      <c r="B345" s="23" t="s">
        <v>124</v>
      </c>
      <c r="D345" t="s">
        <v>110</v>
      </c>
      <c r="F345" s="80">
        <f>SUM(G345:O345)</f>
        <v>5412222.6907922579</v>
      </c>
      <c r="G345" s="30">
        <f>G283+G305-G325</f>
        <v>0</v>
      </c>
      <c r="H345" s="30">
        <f t="shared" ref="H345:O345" si="39">H283+H305-H325</f>
        <v>0</v>
      </c>
      <c r="I345" s="30">
        <f t="shared" si="39"/>
        <v>0</v>
      </c>
      <c r="J345" s="30">
        <f t="shared" si="39"/>
        <v>0</v>
      </c>
      <c r="K345" s="30">
        <f t="shared" si="39"/>
        <v>0</v>
      </c>
      <c r="L345" s="30">
        <f t="shared" si="39"/>
        <v>312336.64000000001</v>
      </c>
      <c r="M345" s="30">
        <f t="shared" si="39"/>
        <v>5099886.0507922582</v>
      </c>
      <c r="N345" s="30">
        <f t="shared" si="39"/>
        <v>0</v>
      </c>
      <c r="O345" s="30">
        <f t="shared" si="39"/>
        <v>0</v>
      </c>
    </row>
    <row r="346" spans="2:17">
      <c r="B346" s="23"/>
      <c r="F346" s="62"/>
      <c r="G346" s="38"/>
      <c r="H346" s="38"/>
      <c r="I346" s="38"/>
      <c r="J346" s="38"/>
      <c r="K346" s="38"/>
      <c r="L346" s="38"/>
      <c r="M346" s="38"/>
      <c r="N346" s="38"/>
    </row>
    <row r="347" spans="2:17">
      <c r="B347" s="22" t="s">
        <v>125</v>
      </c>
      <c r="F347" s="62"/>
      <c r="G347" s="38"/>
      <c r="H347" s="38"/>
      <c r="I347" s="38"/>
      <c r="J347" s="38"/>
      <c r="K347" s="38"/>
      <c r="L347" s="38"/>
      <c r="M347" s="38"/>
      <c r="N347" s="38"/>
    </row>
    <row r="348" spans="2:17">
      <c r="B348" s="23" t="s">
        <v>126</v>
      </c>
      <c r="D348" t="s">
        <v>110</v>
      </c>
      <c r="F348" s="80">
        <f>SUM(G348:O348)</f>
        <v>27853361.315894756</v>
      </c>
      <c r="G348" s="30">
        <f>G286+G308-G328</f>
        <v>84</v>
      </c>
      <c r="H348" s="30">
        <f t="shared" ref="H348:O348" si="40">H286+H308-H328</f>
        <v>391176.4</v>
      </c>
      <c r="I348" s="30">
        <f t="shared" si="40"/>
        <v>0</v>
      </c>
      <c r="J348" s="30">
        <f t="shared" si="40"/>
        <v>767902.47589475755</v>
      </c>
      <c r="K348" s="30">
        <f t="shared" si="40"/>
        <v>13691948</v>
      </c>
      <c r="L348" s="30">
        <f t="shared" si="40"/>
        <v>96427.44</v>
      </c>
      <c r="M348" s="30">
        <f t="shared" si="40"/>
        <v>12898160</v>
      </c>
      <c r="N348" s="30">
        <f t="shared" si="40"/>
        <v>7663</v>
      </c>
      <c r="O348" s="30">
        <f t="shared" si="40"/>
        <v>0</v>
      </c>
    </row>
    <row r="349" spans="2:17">
      <c r="B349" s="23" t="s">
        <v>127</v>
      </c>
      <c r="D349" t="s">
        <v>110</v>
      </c>
      <c r="F349" s="80">
        <f>SUM(G349:O349)</f>
        <v>1124</v>
      </c>
      <c r="G349" s="30">
        <f>G287+G309-G329</f>
        <v>1124</v>
      </c>
      <c r="H349" s="30">
        <f t="shared" ref="H349:O349" si="41">H287+H309-H329</f>
        <v>0</v>
      </c>
      <c r="I349" s="30">
        <f t="shared" si="41"/>
        <v>0</v>
      </c>
      <c r="J349" s="30">
        <f t="shared" si="41"/>
        <v>0</v>
      </c>
      <c r="K349" s="30">
        <f t="shared" si="41"/>
        <v>0</v>
      </c>
      <c r="L349" s="30">
        <f t="shared" si="41"/>
        <v>0</v>
      </c>
      <c r="M349" s="30">
        <f t="shared" si="41"/>
        <v>0</v>
      </c>
      <c r="N349" s="30">
        <f t="shared" si="41"/>
        <v>0</v>
      </c>
      <c r="O349" s="30">
        <f t="shared" si="41"/>
        <v>0</v>
      </c>
    </row>
    <row r="350" spans="2:17">
      <c r="B350" s="23"/>
      <c r="F350" s="62"/>
      <c r="G350" s="38"/>
      <c r="H350" s="38"/>
      <c r="I350" s="38"/>
      <c r="J350" s="38"/>
      <c r="K350" s="38"/>
      <c r="L350" s="38"/>
      <c r="M350" s="38"/>
      <c r="N350" s="38"/>
    </row>
    <row r="351" spans="2:17">
      <c r="B351" s="22" t="s">
        <v>128</v>
      </c>
      <c r="F351" s="62"/>
      <c r="G351" s="38"/>
      <c r="H351" s="38"/>
      <c r="I351" s="38"/>
      <c r="J351" s="38"/>
      <c r="K351" s="38"/>
      <c r="L351" s="38"/>
      <c r="M351" s="38"/>
      <c r="N351" s="38"/>
    </row>
    <row r="352" spans="2:17">
      <c r="B352" s="93" t="s">
        <v>180</v>
      </c>
      <c r="D352" t="s">
        <v>110</v>
      </c>
      <c r="F352" s="80">
        <f>SUM(G352:O352)</f>
        <v>3645373.5903245066</v>
      </c>
      <c r="G352" s="30">
        <f>G290+G312-G332</f>
        <v>81919</v>
      </c>
      <c r="H352" s="30">
        <f t="shared" ref="H352:O352" si="42">H290+H312-H332</f>
        <v>101889.36795000001</v>
      </c>
      <c r="I352" s="30">
        <f t="shared" si="42"/>
        <v>212907.46572199996</v>
      </c>
      <c r="J352" s="30">
        <f t="shared" si="42"/>
        <v>1025841.4026185945</v>
      </c>
      <c r="K352" s="30">
        <f t="shared" si="42"/>
        <v>1198276.094126892</v>
      </c>
      <c r="L352" s="30">
        <f t="shared" si="42"/>
        <v>64038.92</v>
      </c>
      <c r="M352" s="30">
        <f t="shared" si="42"/>
        <v>945128.78118938475</v>
      </c>
      <c r="N352" s="30">
        <f t="shared" si="42"/>
        <v>15372.558717635126</v>
      </c>
      <c r="O352" s="30">
        <f t="shared" si="42"/>
        <v>0</v>
      </c>
    </row>
    <row r="353" spans="2:15">
      <c r="B353" s="93" t="s">
        <v>181</v>
      </c>
      <c r="D353" t="s">
        <v>110</v>
      </c>
      <c r="F353" s="80">
        <f>SUM(G353:O353)</f>
        <v>658765.02069199574</v>
      </c>
      <c r="G353" s="30">
        <f>G291+G313-G333</f>
        <v>3504</v>
      </c>
      <c r="H353" s="30">
        <f t="shared" ref="H353:O353" si="43">H291+H313-H333</f>
        <v>13070.677785593216</v>
      </c>
      <c r="I353" s="30">
        <f t="shared" si="43"/>
        <v>35975.923927049807</v>
      </c>
      <c r="J353" s="30">
        <f t="shared" si="43"/>
        <v>177160.62569518763</v>
      </c>
      <c r="K353" s="30">
        <f t="shared" si="43"/>
        <v>179108.00886856153</v>
      </c>
      <c r="L353" s="30">
        <f t="shared" si="43"/>
        <v>8080.36</v>
      </c>
      <c r="M353" s="30">
        <f t="shared" si="43"/>
        <v>180369.21447999129</v>
      </c>
      <c r="N353" s="30">
        <f t="shared" si="43"/>
        <v>61496.209935612234</v>
      </c>
      <c r="O353" s="30">
        <f t="shared" si="43"/>
        <v>0</v>
      </c>
    </row>
    <row r="354" spans="2:15">
      <c r="B354" s="94" t="s">
        <v>182</v>
      </c>
      <c r="D354" t="s">
        <v>110</v>
      </c>
      <c r="F354" s="80">
        <f>SUM(G354:O354)</f>
        <v>6536678.6407631161</v>
      </c>
      <c r="G354" s="30">
        <f>G292+G314-G334</f>
        <v>0</v>
      </c>
      <c r="H354" s="30">
        <f t="shared" ref="H354:O354" si="44">H292+H314-H334</f>
        <v>0</v>
      </c>
      <c r="I354" s="30">
        <f t="shared" si="44"/>
        <v>127205.70868412919</v>
      </c>
      <c r="J354" s="30">
        <f t="shared" si="44"/>
        <v>2829182.2484512334</v>
      </c>
      <c r="K354" s="30">
        <f t="shared" si="44"/>
        <v>3391946.0158972405</v>
      </c>
      <c r="L354" s="30">
        <f t="shared" si="44"/>
        <v>28255.919999999998</v>
      </c>
      <c r="M354" s="30">
        <f t="shared" si="44"/>
        <v>101370.89832073201</v>
      </c>
      <c r="N354" s="30">
        <f t="shared" si="44"/>
        <v>58717.849409781425</v>
      </c>
      <c r="O354" s="30">
        <f t="shared" si="44"/>
        <v>0</v>
      </c>
    </row>
    <row r="355" spans="2:15">
      <c r="F355" s="62"/>
      <c r="G355" s="42"/>
      <c r="H355" s="42"/>
      <c r="I355" s="42"/>
      <c r="J355" s="42"/>
      <c r="K355" s="42"/>
      <c r="L355" s="42"/>
      <c r="M355" s="42"/>
      <c r="N355" s="42"/>
    </row>
    <row r="356" spans="2:15">
      <c r="B356" s="25" t="s">
        <v>404</v>
      </c>
      <c r="D356" t="s">
        <v>110</v>
      </c>
      <c r="F356" s="132">
        <f>SUM(G356:O356)</f>
        <v>300698078.03123844</v>
      </c>
      <c r="G356" s="69">
        <f>SUM(G340:G341,G344:G345,G348:G349,G352:G354)</f>
        <v>7260939.75</v>
      </c>
      <c r="H356" s="69">
        <f t="shared" ref="H356:O356" si="45">SUM(H340:H341,H344:H345,H348:H349,H352:H354)</f>
        <v>10131248.092385797</v>
      </c>
      <c r="I356" s="69">
        <f t="shared" si="45"/>
        <v>11811039.771571724</v>
      </c>
      <c r="J356" s="69">
        <f t="shared" si="45"/>
        <v>78003280.906731442</v>
      </c>
      <c r="K356" s="69">
        <f t="shared" si="45"/>
        <v>102330718.97385114</v>
      </c>
      <c r="L356" s="69">
        <f t="shared" si="45"/>
        <v>3174353.88</v>
      </c>
      <c r="M356" s="69">
        <f t="shared" si="45"/>
        <v>81568686.201574683</v>
      </c>
      <c r="N356" s="69">
        <f t="shared" si="45"/>
        <v>6417810.4551236387</v>
      </c>
      <c r="O356" s="69">
        <f t="shared" si="45"/>
        <v>0</v>
      </c>
    </row>
    <row r="357" spans="2:15">
      <c r="F357" s="85"/>
      <c r="G357" s="42"/>
      <c r="H357" s="42"/>
      <c r="I357" s="42"/>
      <c r="J357" s="42"/>
      <c r="K357" s="42"/>
      <c r="L357" s="42"/>
      <c r="M357" s="42"/>
      <c r="N357" s="42"/>
    </row>
    <row r="358" spans="2:15">
      <c r="B358" s="51" t="s">
        <v>618</v>
      </c>
      <c r="F358" s="132">
        <f>SUM(G358:O358)</f>
        <v>269198219.12501919</v>
      </c>
      <c r="G358" s="195">
        <f>G356-G348-G349-G352</f>
        <v>7177812.75</v>
      </c>
      <c r="H358" s="195">
        <f t="shared" ref="H358:O358" si="46">H356-H348-H349-H352</f>
        <v>9638182.3244357966</v>
      </c>
      <c r="I358" s="195">
        <f t="shared" si="46"/>
        <v>11598132.305849724</v>
      </c>
      <c r="J358" s="195">
        <f t="shared" si="46"/>
        <v>76209537.028218091</v>
      </c>
      <c r="K358" s="195">
        <f t="shared" si="46"/>
        <v>87440494.879724249</v>
      </c>
      <c r="L358" s="195">
        <f t="shared" si="46"/>
        <v>3013887.52</v>
      </c>
      <c r="M358" s="195">
        <f t="shared" si="46"/>
        <v>67725397.420385301</v>
      </c>
      <c r="N358" s="195">
        <f t="shared" si="46"/>
        <v>6394774.8964060033</v>
      </c>
      <c r="O358" s="195">
        <f t="shared" si="46"/>
        <v>0</v>
      </c>
    </row>
    <row r="359" spans="2:15">
      <c r="F359" s="85"/>
      <c r="G359" s="42"/>
      <c r="H359" s="42"/>
      <c r="I359" s="42"/>
      <c r="J359" s="42"/>
      <c r="K359" s="42"/>
      <c r="L359" s="42"/>
      <c r="M359" s="42"/>
      <c r="N359" s="42"/>
    </row>
    <row r="360" spans="2:15">
      <c r="F360" s="62"/>
      <c r="G360" s="42"/>
      <c r="H360" s="42"/>
      <c r="I360" s="42"/>
      <c r="J360" s="42"/>
      <c r="K360" s="42"/>
      <c r="L360" s="42"/>
      <c r="M360" s="42"/>
      <c r="N360" s="42"/>
    </row>
    <row r="361" spans="2:15">
      <c r="F361" s="4"/>
    </row>
    <row r="362" spans="2:15" s="2" customFormat="1">
      <c r="B362" s="2" t="s">
        <v>382</v>
      </c>
      <c r="F362" s="49"/>
    </row>
    <row r="363" spans="2:15">
      <c r="F363" s="47"/>
    </row>
    <row r="364" spans="2:15">
      <c r="B364" s="3" t="s">
        <v>383</v>
      </c>
      <c r="F364" s="47"/>
    </row>
    <row r="365" spans="2:15">
      <c r="F365" s="47"/>
    </row>
    <row r="366" spans="2:15">
      <c r="B366" s="25" t="s">
        <v>269</v>
      </c>
      <c r="D366" t="s">
        <v>107</v>
      </c>
      <c r="F366" s="80">
        <f>SUM(G366:O366)</f>
        <v>2226031.1750413724</v>
      </c>
      <c r="G366" s="68"/>
      <c r="H366" s="134">
        <f>'PRD OPEX TD (2009-2012)'!H307</f>
        <v>898539.35504137247</v>
      </c>
      <c r="I366" s="68"/>
      <c r="J366" s="134">
        <f>'PRD OPEX TD (2009-2012)'!J307</f>
        <v>83000</v>
      </c>
      <c r="K366" s="68"/>
      <c r="L366" s="68"/>
      <c r="M366" s="68"/>
      <c r="N366" s="68"/>
      <c r="O366" s="134">
        <f>'PRD OPEX TD (2009-2012)'!O307</f>
        <v>1244491.82</v>
      </c>
    </row>
    <row r="367" spans="2:15">
      <c r="F367" s="62"/>
      <c r="G367" s="42"/>
      <c r="H367" s="42"/>
      <c r="I367" s="42"/>
      <c r="J367" s="42"/>
      <c r="K367" s="42"/>
      <c r="L367" s="42"/>
      <c r="M367" s="42"/>
      <c r="N367" s="42"/>
    </row>
    <row r="368" spans="2:15">
      <c r="F368" s="62"/>
      <c r="G368" s="42"/>
      <c r="H368" s="42"/>
      <c r="I368" s="42"/>
      <c r="J368" s="42"/>
      <c r="K368" s="42"/>
      <c r="L368" s="42"/>
      <c r="M368" s="42"/>
      <c r="N368" s="42"/>
    </row>
    <row r="369" spans="2:17">
      <c r="B369" s="261" t="s">
        <v>832</v>
      </c>
      <c r="F369" s="62"/>
      <c r="G369" s="42"/>
      <c r="H369" s="42"/>
      <c r="I369" s="42"/>
      <c r="J369" s="42"/>
      <c r="K369" s="42"/>
      <c r="L369" s="42"/>
      <c r="M369" s="42"/>
      <c r="N369" s="42"/>
    </row>
    <row r="370" spans="2:17">
      <c r="F370" s="62"/>
      <c r="G370" s="133"/>
      <c r="H370" s="42"/>
      <c r="I370" s="42"/>
      <c r="J370" s="42"/>
      <c r="K370" s="42"/>
      <c r="L370" s="42"/>
      <c r="M370" s="42"/>
      <c r="N370" s="42"/>
    </row>
    <row r="371" spans="2:17">
      <c r="B371" s="135" t="s">
        <v>384</v>
      </c>
      <c r="D371" t="s">
        <v>107</v>
      </c>
      <c r="F371" s="80">
        <f>SUM(G371:O371)</f>
        <v>0</v>
      </c>
      <c r="G371" s="38"/>
      <c r="H371" s="131"/>
      <c r="I371" s="38"/>
      <c r="J371" s="131"/>
      <c r="K371" s="38"/>
      <c r="L371" s="38"/>
      <c r="M371" s="38"/>
      <c r="N371" s="38"/>
      <c r="O371" s="131"/>
    </row>
    <row r="372" spans="2:17">
      <c r="F372" s="62"/>
      <c r="G372" s="42"/>
      <c r="H372" s="42"/>
      <c r="I372" s="42"/>
      <c r="J372" s="42"/>
      <c r="K372" s="42"/>
      <c r="L372" s="42"/>
      <c r="M372" s="42"/>
      <c r="N372" s="42"/>
    </row>
    <row r="373" spans="2:17">
      <c r="F373" s="62"/>
      <c r="G373" s="42"/>
      <c r="H373" s="42"/>
      <c r="I373" s="42"/>
      <c r="J373" s="42"/>
      <c r="K373" s="42"/>
      <c r="L373" s="42"/>
      <c r="M373" s="42"/>
      <c r="N373" s="42"/>
    </row>
    <row r="374" spans="2:17">
      <c r="B374" s="261" t="s">
        <v>831</v>
      </c>
      <c r="F374" s="62"/>
      <c r="G374" s="42"/>
      <c r="H374" s="42"/>
      <c r="I374" s="42"/>
      <c r="J374" s="42"/>
      <c r="K374" s="42"/>
      <c r="L374" s="42"/>
      <c r="M374" s="42"/>
      <c r="N374" s="42"/>
    </row>
    <row r="375" spans="2:17">
      <c r="F375" s="62"/>
      <c r="G375" s="42"/>
      <c r="H375" s="42"/>
      <c r="I375" s="42"/>
      <c r="J375" s="42"/>
      <c r="K375" s="42"/>
      <c r="L375" s="42"/>
      <c r="M375" s="42"/>
      <c r="N375" s="42"/>
    </row>
    <row r="376" spans="2:17">
      <c r="B376" s="135" t="s">
        <v>389</v>
      </c>
      <c r="D376" t="s">
        <v>107</v>
      </c>
      <c r="F376" s="80">
        <f>SUM(G376:O376)</f>
        <v>0</v>
      </c>
      <c r="G376" s="68"/>
      <c r="H376" s="131"/>
      <c r="I376" s="38"/>
      <c r="J376" s="131"/>
      <c r="K376" s="38"/>
      <c r="L376" s="38"/>
      <c r="M376" s="38"/>
      <c r="N376" s="38"/>
      <c r="O376" s="131"/>
    </row>
    <row r="377" spans="2:17">
      <c r="F377" s="62"/>
      <c r="G377" s="42"/>
      <c r="H377" s="42"/>
      <c r="I377" s="42"/>
      <c r="J377" s="42"/>
      <c r="K377" s="42"/>
      <c r="L377" s="42"/>
      <c r="M377" s="42"/>
      <c r="N377" s="42"/>
    </row>
    <row r="378" spans="2:17">
      <c r="F378" s="62"/>
      <c r="G378" s="42"/>
      <c r="H378" s="42"/>
      <c r="I378" s="42"/>
      <c r="J378" s="42"/>
      <c r="K378" s="42"/>
      <c r="L378" s="42"/>
      <c r="M378" s="42"/>
      <c r="N378" s="42"/>
    </row>
    <row r="379" spans="2:17">
      <c r="B379" s="3" t="s">
        <v>30</v>
      </c>
      <c r="F379" s="62"/>
      <c r="G379" s="42"/>
      <c r="H379" s="42"/>
      <c r="I379" s="42"/>
      <c r="J379" s="42"/>
      <c r="K379" s="42"/>
      <c r="L379" s="42"/>
      <c r="M379" s="42"/>
      <c r="N379" s="42"/>
    </row>
    <row r="380" spans="2:17">
      <c r="F380" s="62"/>
      <c r="G380" s="42"/>
      <c r="H380" s="42"/>
      <c r="I380" s="42"/>
      <c r="J380" s="42"/>
      <c r="K380" s="42"/>
      <c r="L380" s="42"/>
      <c r="M380" s="42"/>
      <c r="N380" s="42"/>
    </row>
    <row r="381" spans="2:17">
      <c r="B381" s="25" t="s">
        <v>390</v>
      </c>
      <c r="D381" t="s">
        <v>107</v>
      </c>
      <c r="F381" s="132">
        <f>SUM(G381:O381)</f>
        <v>2226031.1750413724</v>
      </c>
      <c r="G381" s="68"/>
      <c r="H381" s="69">
        <f>H366+H371-H376</f>
        <v>898539.35504137247</v>
      </c>
      <c r="I381" s="68"/>
      <c r="J381" s="69">
        <f>J366+J371-J376</f>
        <v>83000</v>
      </c>
      <c r="K381" s="68"/>
      <c r="L381" s="68"/>
      <c r="M381" s="68"/>
      <c r="N381" s="68"/>
      <c r="O381" s="69">
        <f>O366+O371-O376</f>
        <v>1244491.82</v>
      </c>
      <c r="Q381" s="51" t="s">
        <v>569</v>
      </c>
    </row>
    <row r="382" spans="2:17">
      <c r="F382" s="85"/>
      <c r="G382" s="42"/>
      <c r="H382" s="42"/>
      <c r="I382" s="42"/>
      <c r="J382" s="42"/>
      <c r="K382" s="42"/>
      <c r="L382" s="42"/>
      <c r="M382" s="42"/>
      <c r="N382" s="42"/>
    </row>
    <row r="383" spans="2:17">
      <c r="F383" s="4"/>
    </row>
    <row r="384" spans="2:17" s="2" customFormat="1">
      <c r="B384" s="2" t="s">
        <v>391</v>
      </c>
      <c r="F384" s="49"/>
    </row>
    <row r="385" spans="2:15">
      <c r="F385" s="47"/>
    </row>
    <row r="386" spans="2:15">
      <c r="B386" s="3" t="s">
        <v>383</v>
      </c>
      <c r="F386" s="47"/>
    </row>
    <row r="387" spans="2:15">
      <c r="F387" s="47"/>
    </row>
    <row r="388" spans="2:15">
      <c r="B388" s="25" t="s">
        <v>269</v>
      </c>
      <c r="D388" s="51" t="s">
        <v>108</v>
      </c>
      <c r="F388" s="80">
        <f>SUM(G388:O388)</f>
        <v>2071779.9715665458</v>
      </c>
      <c r="G388" s="68"/>
      <c r="H388" s="134">
        <f>'PRD OPEX TD (2009-2012)'!H367</f>
        <v>768779.97156654589</v>
      </c>
      <c r="I388" s="68"/>
      <c r="J388" s="134">
        <f>'PRD OPEX TD (2009-2012)'!J367</f>
        <v>105000</v>
      </c>
      <c r="K388" s="68"/>
      <c r="L388" s="68"/>
      <c r="M388" s="68"/>
      <c r="N388" s="68"/>
      <c r="O388" s="134">
        <f>'PRD OPEX TD (2009-2012)'!O367</f>
        <v>1198000</v>
      </c>
    </row>
    <row r="389" spans="2:15">
      <c r="F389" s="62"/>
      <c r="G389" s="42"/>
      <c r="H389" s="42"/>
      <c r="I389" s="42"/>
      <c r="J389" s="42"/>
      <c r="K389" s="42"/>
      <c r="L389" s="42"/>
      <c r="M389" s="42"/>
      <c r="N389" s="42"/>
    </row>
    <row r="390" spans="2:15">
      <c r="F390" s="62"/>
      <c r="G390" s="42"/>
      <c r="H390" s="42"/>
      <c r="I390" s="42"/>
      <c r="J390" s="42"/>
      <c r="K390" s="42"/>
      <c r="L390" s="42"/>
      <c r="M390" s="42"/>
      <c r="N390" s="42"/>
    </row>
    <row r="391" spans="2:15">
      <c r="B391" s="261" t="s">
        <v>832</v>
      </c>
      <c r="F391" s="62"/>
      <c r="G391" s="42"/>
      <c r="H391" s="42"/>
      <c r="I391" s="42"/>
      <c r="J391" s="42"/>
      <c r="K391" s="42"/>
      <c r="L391" s="42"/>
      <c r="M391" s="42"/>
      <c r="N391" s="42"/>
    </row>
    <row r="392" spans="2:15">
      <c r="F392" s="62"/>
      <c r="G392" s="133"/>
      <c r="H392" s="42"/>
      <c r="I392" s="42"/>
      <c r="J392" s="42"/>
      <c r="K392" s="42"/>
      <c r="L392" s="42"/>
      <c r="M392" s="42"/>
      <c r="N392" s="42"/>
    </row>
    <row r="393" spans="2:15">
      <c r="B393" s="135" t="s">
        <v>384</v>
      </c>
      <c r="D393" s="51" t="s">
        <v>108</v>
      </c>
      <c r="F393" s="80">
        <f>SUM(G393:O393)</f>
        <v>0</v>
      </c>
      <c r="G393" s="38"/>
      <c r="H393" s="131"/>
      <c r="I393" s="38"/>
      <c r="J393" s="131"/>
      <c r="K393" s="38"/>
      <c r="L393" s="38"/>
      <c r="M393" s="38"/>
      <c r="N393" s="38"/>
      <c r="O393" s="131"/>
    </row>
    <row r="394" spans="2:15">
      <c r="F394" s="62"/>
      <c r="G394" s="42"/>
      <c r="H394" s="42"/>
      <c r="I394" s="42"/>
      <c r="J394" s="42"/>
      <c r="K394" s="42"/>
      <c r="L394" s="42"/>
      <c r="M394" s="42"/>
      <c r="N394" s="42"/>
    </row>
    <row r="395" spans="2:15">
      <c r="F395" s="62"/>
      <c r="G395" s="42"/>
      <c r="H395" s="42"/>
      <c r="I395" s="42"/>
      <c r="J395" s="42"/>
      <c r="K395" s="42"/>
      <c r="L395" s="42"/>
      <c r="M395" s="42"/>
      <c r="N395" s="42"/>
    </row>
    <row r="396" spans="2:15">
      <c r="B396" s="261" t="s">
        <v>831</v>
      </c>
      <c r="F396" s="62"/>
      <c r="G396" s="42"/>
      <c r="H396" s="42"/>
      <c r="I396" s="42"/>
      <c r="J396" s="42"/>
      <c r="K396" s="42"/>
      <c r="L396" s="42"/>
      <c r="M396" s="42"/>
      <c r="N396" s="42"/>
    </row>
    <row r="397" spans="2:15">
      <c r="F397" s="62"/>
      <c r="G397" s="42"/>
      <c r="H397" s="42"/>
      <c r="I397" s="42"/>
      <c r="J397" s="42"/>
      <c r="K397" s="42"/>
      <c r="L397" s="42"/>
      <c r="M397" s="42"/>
      <c r="N397" s="42"/>
    </row>
    <row r="398" spans="2:15">
      <c r="B398" s="135" t="s">
        <v>389</v>
      </c>
      <c r="D398" s="51" t="s">
        <v>108</v>
      </c>
      <c r="F398" s="80">
        <f>SUM(G398:O398)</f>
        <v>0</v>
      </c>
      <c r="G398" s="68"/>
      <c r="H398" s="131"/>
      <c r="I398" s="38"/>
      <c r="J398" s="131"/>
      <c r="K398" s="38"/>
      <c r="L398" s="38"/>
      <c r="M398" s="38"/>
      <c r="N398" s="38"/>
      <c r="O398" s="131"/>
    </row>
    <row r="399" spans="2:15">
      <c r="F399" s="62"/>
      <c r="G399" s="42"/>
      <c r="H399" s="42"/>
      <c r="I399" s="42"/>
      <c r="J399" s="42"/>
      <c r="K399" s="42"/>
      <c r="L399" s="42"/>
      <c r="M399" s="42"/>
      <c r="N399" s="42"/>
    </row>
    <row r="400" spans="2:15">
      <c r="F400" s="62"/>
      <c r="G400" s="42"/>
      <c r="H400" s="42"/>
      <c r="I400" s="42"/>
      <c r="J400" s="42"/>
      <c r="K400" s="42"/>
      <c r="L400" s="42"/>
      <c r="M400" s="42"/>
      <c r="N400" s="42"/>
    </row>
    <row r="401" spans="2:17">
      <c r="B401" s="3" t="s">
        <v>30</v>
      </c>
      <c r="F401" s="62"/>
      <c r="G401" s="42"/>
      <c r="H401" s="42"/>
      <c r="I401" s="42"/>
      <c r="J401" s="42"/>
      <c r="K401" s="42"/>
      <c r="L401" s="42"/>
      <c r="M401" s="42"/>
      <c r="N401" s="42"/>
    </row>
    <row r="402" spans="2:17">
      <c r="F402" s="62"/>
      <c r="G402" s="42"/>
      <c r="H402" s="42"/>
      <c r="I402" s="42"/>
      <c r="J402" s="42"/>
      <c r="K402" s="42"/>
      <c r="L402" s="42"/>
      <c r="M402" s="42"/>
      <c r="N402" s="42"/>
    </row>
    <row r="403" spans="2:17">
      <c r="B403" s="25" t="s">
        <v>390</v>
      </c>
      <c r="D403" s="51" t="s">
        <v>108</v>
      </c>
      <c r="F403" s="132">
        <f>SUM(G403:O403)</f>
        <v>2071779.9715665458</v>
      </c>
      <c r="G403" s="68"/>
      <c r="H403" s="69">
        <f>H388+H393-H398</f>
        <v>768779.97156654589</v>
      </c>
      <c r="I403" s="68"/>
      <c r="J403" s="69">
        <f>J388+J393-J398</f>
        <v>105000</v>
      </c>
      <c r="K403" s="68"/>
      <c r="L403" s="68"/>
      <c r="M403" s="68"/>
      <c r="N403" s="68"/>
      <c r="O403" s="69">
        <f>O388+O393-O398</f>
        <v>1198000</v>
      </c>
      <c r="Q403" s="51" t="s">
        <v>569</v>
      </c>
    </row>
    <row r="404" spans="2:17">
      <c r="F404" s="85"/>
      <c r="G404" s="42"/>
      <c r="H404" s="42"/>
      <c r="I404" s="42"/>
      <c r="J404" s="42"/>
      <c r="K404" s="42"/>
      <c r="L404" s="42"/>
      <c r="M404" s="42"/>
      <c r="N404" s="42"/>
    </row>
    <row r="405" spans="2:17">
      <c r="F405" s="4"/>
    </row>
    <row r="406" spans="2:17" s="2" customFormat="1">
      <c r="B406" s="2" t="s">
        <v>392</v>
      </c>
      <c r="F406" s="49"/>
    </row>
    <row r="407" spans="2:17">
      <c r="F407" s="47"/>
    </row>
    <row r="408" spans="2:17">
      <c r="B408" s="3" t="s">
        <v>383</v>
      </c>
      <c r="F408" s="47"/>
    </row>
    <row r="409" spans="2:17">
      <c r="F409" s="47"/>
    </row>
    <row r="410" spans="2:17">
      <c r="B410" s="25" t="s">
        <v>269</v>
      </c>
      <c r="D410" s="51" t="s">
        <v>109</v>
      </c>
      <c r="F410" s="80">
        <f>SUM(G410:O410)</f>
        <v>2643528.54190807</v>
      </c>
      <c r="G410" s="68"/>
      <c r="H410" s="134">
        <f>'PRD OPEX TD (2009-2012)'!H427</f>
        <v>743481.32190806989</v>
      </c>
      <c r="I410" s="68"/>
      <c r="J410" s="134">
        <f>'PRD OPEX TD (2009-2012)'!J427</f>
        <v>90701.22</v>
      </c>
      <c r="K410" s="68"/>
      <c r="L410" s="68"/>
      <c r="M410" s="68"/>
      <c r="N410" s="68"/>
      <c r="O410" s="134">
        <f>'PRD OPEX TD (2009-2012)'!O427</f>
        <v>1809346</v>
      </c>
    </row>
    <row r="411" spans="2:17">
      <c r="F411" s="62"/>
      <c r="G411" s="42"/>
      <c r="H411" s="42"/>
      <c r="I411" s="42"/>
      <c r="J411" s="42"/>
      <c r="K411" s="42"/>
      <c r="L411" s="42"/>
      <c r="M411" s="42"/>
      <c r="N411" s="42"/>
    </row>
    <row r="412" spans="2:17">
      <c r="F412" s="62"/>
      <c r="G412" s="42"/>
      <c r="H412" s="42"/>
      <c r="I412" s="42"/>
      <c r="J412" s="42"/>
      <c r="K412" s="42"/>
      <c r="L412" s="42"/>
      <c r="M412" s="42"/>
      <c r="N412" s="42"/>
    </row>
    <row r="413" spans="2:17">
      <c r="B413" s="261" t="s">
        <v>832</v>
      </c>
      <c r="F413" s="62"/>
      <c r="G413" s="42"/>
      <c r="H413" s="42"/>
      <c r="I413" s="42"/>
      <c r="J413" s="42"/>
      <c r="K413" s="42"/>
      <c r="L413" s="42"/>
      <c r="M413" s="42"/>
      <c r="N413" s="42"/>
    </row>
    <row r="414" spans="2:17">
      <c r="F414" s="62"/>
      <c r="G414" s="133"/>
      <c r="H414" s="42"/>
      <c r="I414" s="42"/>
      <c r="J414" s="42"/>
      <c r="K414" s="42"/>
      <c r="L414" s="42"/>
      <c r="M414" s="42"/>
      <c r="N414" s="42"/>
    </row>
    <row r="415" spans="2:17">
      <c r="B415" s="135" t="s">
        <v>384</v>
      </c>
      <c r="D415" s="51" t="s">
        <v>109</v>
      </c>
      <c r="F415" s="80">
        <f>SUM(G415:O415)</f>
        <v>0</v>
      </c>
      <c r="G415" s="38"/>
      <c r="H415" s="131"/>
      <c r="I415" s="38"/>
      <c r="J415" s="131"/>
      <c r="K415" s="38"/>
      <c r="L415" s="38"/>
      <c r="M415" s="38"/>
      <c r="N415" s="38"/>
      <c r="O415" s="131"/>
    </row>
    <row r="416" spans="2:17">
      <c r="F416" s="62"/>
      <c r="G416" s="42"/>
      <c r="H416" s="42"/>
      <c r="I416" s="42"/>
      <c r="J416" s="42"/>
      <c r="K416" s="42"/>
      <c r="L416" s="42"/>
      <c r="M416" s="42"/>
      <c r="N416" s="42"/>
    </row>
    <row r="417" spans="2:17">
      <c r="F417" s="62"/>
      <c r="G417" s="42"/>
      <c r="H417" s="42"/>
      <c r="I417" s="42"/>
      <c r="J417" s="42"/>
      <c r="K417" s="42"/>
      <c r="L417" s="42"/>
      <c r="M417" s="42"/>
      <c r="N417" s="42"/>
    </row>
    <row r="418" spans="2:17">
      <c r="B418" s="261" t="s">
        <v>831</v>
      </c>
      <c r="F418" s="62"/>
      <c r="G418" s="42"/>
      <c r="H418" s="42"/>
      <c r="I418" s="42"/>
      <c r="J418" s="42"/>
      <c r="K418" s="42"/>
      <c r="L418" s="42"/>
      <c r="M418" s="42"/>
      <c r="N418" s="42"/>
    </row>
    <row r="419" spans="2:17">
      <c r="F419" s="62"/>
      <c r="G419" s="42"/>
      <c r="H419" s="42"/>
      <c r="I419" s="42"/>
      <c r="J419" s="42"/>
      <c r="K419" s="42"/>
      <c r="L419" s="42"/>
      <c r="M419" s="42"/>
      <c r="N419" s="42"/>
    </row>
    <row r="420" spans="2:17">
      <c r="B420" s="135" t="s">
        <v>389</v>
      </c>
      <c r="D420" s="51" t="s">
        <v>109</v>
      </c>
      <c r="F420" s="80">
        <f>SUM(G420:O420)</f>
        <v>0</v>
      </c>
      <c r="G420" s="68"/>
      <c r="H420" s="131"/>
      <c r="I420" s="38"/>
      <c r="J420" s="131"/>
      <c r="K420" s="38"/>
      <c r="L420" s="38"/>
      <c r="M420" s="38"/>
      <c r="N420" s="38"/>
      <c r="O420" s="131"/>
    </row>
    <row r="421" spans="2:17">
      <c r="F421" s="62"/>
      <c r="G421" s="42"/>
      <c r="H421" s="42"/>
      <c r="I421" s="42"/>
      <c r="J421" s="42"/>
      <c r="K421" s="42"/>
      <c r="L421" s="42"/>
      <c r="M421" s="42"/>
      <c r="N421" s="42"/>
    </row>
    <row r="422" spans="2:17">
      <c r="F422" s="62"/>
      <c r="G422" s="42"/>
      <c r="H422" s="42"/>
      <c r="I422" s="42"/>
      <c r="J422" s="42"/>
      <c r="K422" s="42"/>
      <c r="L422" s="42"/>
      <c r="M422" s="42"/>
      <c r="N422" s="42"/>
    </row>
    <row r="423" spans="2:17">
      <c r="B423" s="3" t="s">
        <v>30</v>
      </c>
      <c r="F423" s="62"/>
      <c r="G423" s="42"/>
      <c r="H423" s="42"/>
      <c r="I423" s="42"/>
      <c r="J423" s="42"/>
      <c r="K423" s="42"/>
      <c r="L423" s="42"/>
      <c r="M423" s="42"/>
      <c r="N423" s="42"/>
    </row>
    <row r="424" spans="2:17">
      <c r="F424" s="62"/>
      <c r="G424" s="42"/>
      <c r="H424" s="42"/>
      <c r="I424" s="42"/>
      <c r="J424" s="42"/>
      <c r="K424" s="42"/>
      <c r="L424" s="42"/>
      <c r="M424" s="42"/>
      <c r="N424" s="42"/>
    </row>
    <row r="425" spans="2:17">
      <c r="B425" s="25" t="s">
        <v>390</v>
      </c>
      <c r="D425" s="51" t="s">
        <v>109</v>
      </c>
      <c r="F425" s="132">
        <f>SUM(G425:O425)</f>
        <v>2643528.54190807</v>
      </c>
      <c r="G425" s="68"/>
      <c r="H425" s="69">
        <f>H410+H415-H420</f>
        <v>743481.32190806989</v>
      </c>
      <c r="I425" s="68"/>
      <c r="J425" s="69">
        <f>J410+J415-J420</f>
        <v>90701.22</v>
      </c>
      <c r="K425" s="68"/>
      <c r="L425" s="68"/>
      <c r="M425" s="68"/>
      <c r="N425" s="68"/>
      <c r="O425" s="69">
        <f>O410+O415-O420</f>
        <v>1809346</v>
      </c>
      <c r="Q425" s="51" t="s">
        <v>569</v>
      </c>
    </row>
    <row r="426" spans="2:17">
      <c r="F426" s="85"/>
      <c r="G426" s="42"/>
      <c r="H426" s="42"/>
      <c r="I426" s="42"/>
      <c r="J426" s="42"/>
      <c r="K426" s="42"/>
      <c r="L426" s="42"/>
      <c r="M426" s="42"/>
      <c r="N426" s="42"/>
    </row>
    <row r="427" spans="2:17">
      <c r="F427" s="4"/>
    </row>
    <row r="428" spans="2:17" s="2" customFormat="1">
      <c r="B428" s="2" t="s">
        <v>393</v>
      </c>
      <c r="F428" s="49"/>
    </row>
    <row r="429" spans="2:17">
      <c r="F429" s="47"/>
    </row>
    <row r="430" spans="2:17">
      <c r="B430" s="3" t="s">
        <v>383</v>
      </c>
      <c r="F430" s="47"/>
    </row>
    <row r="431" spans="2:17">
      <c r="F431" s="47"/>
    </row>
    <row r="432" spans="2:17">
      <c r="B432" s="25" t="s">
        <v>269</v>
      </c>
      <c r="D432" s="51" t="s">
        <v>110</v>
      </c>
      <c r="F432" s="80">
        <f>SUM(G432:O432)</f>
        <v>2287545.3977800636</v>
      </c>
      <c r="G432" s="68"/>
      <c r="H432" s="134">
        <f>'PRD OPEX TD (2009-2012)'!H487</f>
        <v>701943.31778006372</v>
      </c>
      <c r="I432" s="68"/>
      <c r="J432" s="134">
        <f>'PRD OPEX TD (2009-2012)'!J487</f>
        <v>143662.07999999999</v>
      </c>
      <c r="K432" s="68"/>
      <c r="L432" s="68"/>
      <c r="M432" s="68"/>
      <c r="N432" s="68"/>
      <c r="O432" s="134">
        <f>'PRD OPEX TD (2009-2012)'!O487</f>
        <v>1441940</v>
      </c>
    </row>
    <row r="433" spans="2:17">
      <c r="F433" s="62"/>
      <c r="G433" s="42"/>
      <c r="H433" s="42"/>
      <c r="I433" s="42"/>
      <c r="J433" s="42"/>
      <c r="K433" s="42"/>
      <c r="L433" s="42"/>
      <c r="M433" s="42"/>
      <c r="N433" s="42"/>
    </row>
    <row r="434" spans="2:17">
      <c r="F434" s="62"/>
      <c r="G434" s="42"/>
      <c r="H434" s="42"/>
      <c r="I434" s="42"/>
      <c r="J434" s="42"/>
      <c r="K434" s="42"/>
      <c r="L434" s="42"/>
      <c r="M434" s="42"/>
      <c r="N434" s="42"/>
    </row>
    <row r="435" spans="2:17">
      <c r="B435" s="3" t="s">
        <v>832</v>
      </c>
      <c r="F435" s="62"/>
      <c r="G435" s="42"/>
      <c r="H435" s="42"/>
      <c r="I435" s="42"/>
      <c r="J435" s="42"/>
      <c r="K435" s="42"/>
      <c r="L435" s="42"/>
      <c r="M435" s="42"/>
      <c r="N435" s="42"/>
    </row>
    <row r="436" spans="2:17">
      <c r="F436" s="62"/>
      <c r="G436" s="133"/>
      <c r="H436" s="42"/>
      <c r="I436" s="42"/>
      <c r="J436" s="42"/>
      <c r="K436" s="42"/>
      <c r="L436" s="42"/>
      <c r="M436" s="42"/>
      <c r="N436" s="42"/>
    </row>
    <row r="437" spans="2:17">
      <c r="B437" s="135" t="s">
        <v>384</v>
      </c>
      <c r="D437" s="51" t="s">
        <v>110</v>
      </c>
      <c r="F437" s="80">
        <f>SUM(G437:O437)</f>
        <v>0</v>
      </c>
      <c r="G437" s="38"/>
      <c r="H437" s="131"/>
      <c r="I437" s="38"/>
      <c r="J437" s="131"/>
      <c r="K437" s="38"/>
      <c r="L437" s="38"/>
      <c r="M437" s="38"/>
      <c r="N437" s="38"/>
      <c r="O437" s="131"/>
    </row>
    <row r="438" spans="2:17">
      <c r="F438" s="62"/>
      <c r="G438" s="42"/>
      <c r="H438" s="42"/>
      <c r="I438" s="42"/>
      <c r="J438" s="42"/>
      <c r="K438" s="42"/>
      <c r="L438" s="42"/>
      <c r="M438" s="42"/>
      <c r="N438" s="42"/>
    </row>
    <row r="439" spans="2:17">
      <c r="F439" s="62"/>
      <c r="G439" s="42"/>
      <c r="H439" s="42"/>
      <c r="I439" s="42"/>
      <c r="J439" s="42"/>
      <c r="K439" s="42"/>
      <c r="L439" s="42"/>
      <c r="M439" s="42"/>
      <c r="N439" s="42"/>
    </row>
    <row r="440" spans="2:17">
      <c r="B440" s="261" t="s">
        <v>831</v>
      </c>
      <c r="F440" s="62"/>
      <c r="G440" s="42"/>
      <c r="H440" s="42"/>
      <c r="I440" s="42"/>
      <c r="J440" s="42"/>
      <c r="K440" s="42"/>
      <c r="L440" s="42"/>
      <c r="M440" s="42"/>
      <c r="N440" s="42"/>
    </row>
    <row r="441" spans="2:17">
      <c r="F441" s="62"/>
      <c r="G441" s="42"/>
      <c r="H441" s="42"/>
      <c r="I441" s="42"/>
      <c r="J441" s="42"/>
      <c r="K441" s="42"/>
      <c r="L441" s="42"/>
      <c r="M441" s="42"/>
      <c r="N441" s="42"/>
    </row>
    <row r="442" spans="2:17">
      <c r="B442" s="135" t="s">
        <v>389</v>
      </c>
      <c r="D442" s="51" t="s">
        <v>110</v>
      </c>
      <c r="F442" s="80">
        <f>SUM(G442:O442)</f>
        <v>0</v>
      </c>
      <c r="G442" s="68"/>
      <c r="H442" s="131"/>
      <c r="I442" s="38"/>
      <c r="J442" s="131"/>
      <c r="K442" s="38"/>
      <c r="L442" s="38"/>
      <c r="M442" s="38"/>
      <c r="N442" s="38"/>
      <c r="O442" s="131"/>
    </row>
    <row r="443" spans="2:17">
      <c r="F443" s="62"/>
      <c r="G443" s="42"/>
      <c r="H443" s="42"/>
      <c r="I443" s="42"/>
      <c r="J443" s="42"/>
      <c r="K443" s="42"/>
      <c r="L443" s="42"/>
      <c r="M443" s="42"/>
      <c r="N443" s="42"/>
    </row>
    <row r="444" spans="2:17">
      <c r="F444" s="62"/>
      <c r="G444" s="42"/>
      <c r="H444" s="42"/>
      <c r="I444" s="42"/>
      <c r="J444" s="42"/>
      <c r="K444" s="42"/>
      <c r="L444" s="42"/>
      <c r="M444" s="42"/>
      <c r="N444" s="42"/>
    </row>
    <row r="445" spans="2:17">
      <c r="B445" s="3" t="s">
        <v>30</v>
      </c>
      <c r="F445" s="62"/>
      <c r="G445" s="42"/>
      <c r="H445" s="42"/>
      <c r="I445" s="42"/>
      <c r="J445" s="42"/>
      <c r="K445" s="42"/>
      <c r="L445" s="42"/>
      <c r="M445" s="42"/>
      <c r="N445" s="42"/>
    </row>
    <row r="446" spans="2:17">
      <c r="F446" s="62"/>
      <c r="G446" s="42"/>
      <c r="H446" s="42"/>
      <c r="I446" s="42"/>
      <c r="J446" s="42"/>
      <c r="K446" s="42"/>
      <c r="L446" s="42"/>
      <c r="M446" s="42"/>
      <c r="N446" s="42"/>
    </row>
    <row r="447" spans="2:17">
      <c r="B447" s="25" t="s">
        <v>390</v>
      </c>
      <c r="D447" s="51" t="s">
        <v>110</v>
      </c>
      <c r="F447" s="132">
        <f>SUM(G447:O447)</f>
        <v>2287545.3977800636</v>
      </c>
      <c r="G447" s="68"/>
      <c r="H447" s="69">
        <f>H432+H437-H442</f>
        <v>701943.31778006372</v>
      </c>
      <c r="I447" s="68"/>
      <c r="J447" s="69">
        <f>J432+J437-J442</f>
        <v>143662.07999999999</v>
      </c>
      <c r="K447" s="68"/>
      <c r="L447" s="68"/>
      <c r="M447" s="68"/>
      <c r="N447" s="68"/>
      <c r="O447" s="69">
        <f>O432+O437-O442</f>
        <v>1441940</v>
      </c>
      <c r="Q447" s="51" t="s">
        <v>569</v>
      </c>
    </row>
    <row r="448" spans="2:17">
      <c r="F448" s="85"/>
      <c r="G448" s="42"/>
      <c r="H448" s="42"/>
      <c r="I448" s="42"/>
      <c r="J448" s="42"/>
      <c r="K448" s="42"/>
      <c r="L448" s="42"/>
      <c r="M448" s="42"/>
      <c r="N448" s="42"/>
    </row>
    <row r="449" spans="6:16">
      <c r="F449" s="4"/>
    </row>
    <row r="450" spans="6:16">
      <c r="P450" s="27"/>
    </row>
    <row r="451" spans="6:16">
      <c r="P451" s="27"/>
    </row>
    <row r="452" spans="6:16">
      <c r="P452" s="27"/>
    </row>
    <row r="453" spans="6:16">
      <c r="P453" s="27"/>
    </row>
    <row r="454" spans="6:16">
      <c r="P454" s="27"/>
    </row>
    <row r="455" spans="6:16">
      <c r="P455" s="27"/>
    </row>
    <row r="456" spans="6:16">
      <c r="P456" s="27"/>
    </row>
    <row r="457" spans="6:16">
      <c r="P457" s="27"/>
    </row>
    <row r="458" spans="6:16">
      <c r="P458" s="27"/>
    </row>
    <row r="459" spans="6:16">
      <c r="P459" s="27"/>
    </row>
    <row r="460" spans="6:16">
      <c r="P460" s="27"/>
    </row>
    <row r="461" spans="6:16">
      <c r="P461" s="27"/>
    </row>
    <row r="462" spans="6:16">
      <c r="P462" s="27"/>
    </row>
    <row r="463" spans="6:16">
      <c r="P463" s="27"/>
    </row>
    <row r="464" spans="6:16">
      <c r="P464" s="27"/>
    </row>
    <row r="465" spans="16:16">
      <c r="P465" s="27"/>
    </row>
    <row r="466" spans="16:16">
      <c r="P466" s="27"/>
    </row>
    <row r="467" spans="16:16">
      <c r="P467" s="27"/>
    </row>
    <row r="468" spans="16:16">
      <c r="P468" s="27"/>
    </row>
    <row r="469" spans="16:16">
      <c r="P469" s="27"/>
    </row>
    <row r="470" spans="16:16">
      <c r="P470" s="27"/>
    </row>
    <row r="471" spans="16:16">
      <c r="P471" s="27"/>
    </row>
  </sheetData>
  <phoneticPr fontId="4" type="noConversion"/>
  <pageMargins left="0.75" right="0.75" top="1" bottom="1" header="0.5" footer="0.5"/>
  <pageSetup paperSize="9" orientation="portrait"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B1:Q463"/>
  <sheetViews>
    <sheetView showGridLines="0" zoomScale="85" zoomScaleNormal="85" workbookViewId="0"/>
  </sheetViews>
  <sheetFormatPr defaultRowHeight="12.75"/>
  <cols>
    <col min="1" max="1" width="2.5703125" customWidth="1"/>
    <col min="2" max="2" width="62" customWidth="1"/>
    <col min="3" max="3" width="2.5703125" customWidth="1"/>
    <col min="4" max="4" width="14.5703125" customWidth="1"/>
    <col min="5" max="5" width="2.5703125" customWidth="1"/>
    <col min="6" max="6" width="21.42578125" customWidth="1"/>
    <col min="7" max="15" width="14.85546875" customWidth="1"/>
    <col min="17" max="17" width="23.5703125" customWidth="1"/>
  </cols>
  <sheetData>
    <row r="1" spans="2:17" ht="12" customHeight="1"/>
    <row r="2" spans="2:17" s="1" customFormat="1" ht="18">
      <c r="B2" s="1" t="s">
        <v>405</v>
      </c>
      <c r="F2" s="5" t="s">
        <v>105</v>
      </c>
      <c r="G2" s="5" t="s">
        <v>96</v>
      </c>
      <c r="H2" s="5" t="s">
        <v>97</v>
      </c>
      <c r="I2" s="5" t="s">
        <v>98</v>
      </c>
      <c r="J2" s="5" t="s">
        <v>99</v>
      </c>
      <c r="K2" s="5" t="s">
        <v>100</v>
      </c>
      <c r="L2" s="5" t="s">
        <v>101</v>
      </c>
      <c r="M2" s="5" t="s">
        <v>102</v>
      </c>
      <c r="N2" s="5" t="s">
        <v>103</v>
      </c>
      <c r="O2" s="5" t="s">
        <v>197</v>
      </c>
      <c r="P2" s="5"/>
      <c r="Q2" s="5" t="s">
        <v>567</v>
      </c>
    </row>
    <row r="4" spans="2:17">
      <c r="B4" s="51" t="s">
        <v>551</v>
      </c>
    </row>
    <row r="5" spans="2:17">
      <c r="B5" s="51" t="s">
        <v>566</v>
      </c>
    </row>
    <row r="6" spans="2:17">
      <c r="B6" s="51" t="s">
        <v>552</v>
      </c>
    </row>
    <row r="7" spans="2:17">
      <c r="B7" s="259" t="s">
        <v>1024</v>
      </c>
    </row>
    <row r="8" spans="2:17">
      <c r="F8" s="47"/>
    </row>
    <row r="9" spans="2:17" s="2" customFormat="1">
      <c r="B9" s="2" t="s">
        <v>394</v>
      </c>
      <c r="F9" s="49"/>
    </row>
    <row r="10" spans="2:17">
      <c r="F10" s="47"/>
    </row>
    <row r="11" spans="2:17">
      <c r="B11" s="3" t="s">
        <v>29</v>
      </c>
      <c r="F11" s="47"/>
    </row>
    <row r="12" spans="2:17">
      <c r="F12" s="47"/>
    </row>
    <row r="13" spans="2:17">
      <c r="B13" s="22" t="s">
        <v>121</v>
      </c>
      <c r="D13" s="28"/>
      <c r="E13" s="28"/>
      <c r="F13" s="67"/>
      <c r="G13" s="38"/>
      <c r="H13" s="38"/>
      <c r="I13" s="38"/>
      <c r="J13" s="38"/>
      <c r="K13" s="38"/>
      <c r="L13" s="38"/>
      <c r="M13" s="38"/>
      <c r="N13" s="38"/>
    </row>
    <row r="14" spans="2:17">
      <c r="B14" s="23" t="s">
        <v>216</v>
      </c>
      <c r="D14" t="s">
        <v>107</v>
      </c>
      <c r="F14" s="80">
        <f>SUM(G14:O14)</f>
        <v>0</v>
      </c>
      <c r="G14" s="43">
        <f>'PRD OPEX AD (2009-2012)'!G55</f>
        <v>0</v>
      </c>
      <c r="H14" s="43">
        <f>'PRD OPEX AD (2009-2012)'!H55</f>
        <v>0</v>
      </c>
      <c r="I14" s="43">
        <f>'PRD OPEX AD (2009-2012)'!I55</f>
        <v>0</v>
      </c>
      <c r="J14" s="43">
        <f>'PRD OPEX AD (2009-2012)'!J55</f>
        <v>0</v>
      </c>
      <c r="K14" s="43">
        <f>'PRD OPEX AD (2009-2012)'!K55</f>
        <v>0</v>
      </c>
      <c r="L14" s="43">
        <f>'PRD OPEX AD (2009-2012)'!L55</f>
        <v>0</v>
      </c>
      <c r="M14" s="43">
        <f>'PRD OPEX AD (2009-2012)'!M55</f>
        <v>0</v>
      </c>
      <c r="N14" s="43">
        <f>'PRD OPEX AD (2009-2012)'!N55</f>
        <v>0</v>
      </c>
      <c r="O14" s="43">
        <f>'PRD OPEX AD (2009-2012)'!O55</f>
        <v>0</v>
      </c>
    </row>
    <row r="15" spans="2:17">
      <c r="B15" s="23" t="s">
        <v>217</v>
      </c>
      <c r="D15" t="s">
        <v>107</v>
      </c>
      <c r="F15" s="80">
        <f>SUM(G15:O15)</f>
        <v>0</v>
      </c>
      <c r="G15" s="43">
        <f>'PRD OPEX AD (2009-2012)'!G56</f>
        <v>0</v>
      </c>
      <c r="H15" s="43">
        <f>'PRD OPEX AD (2009-2012)'!H56</f>
        <v>0</v>
      </c>
      <c r="I15" s="43">
        <f>'PRD OPEX AD (2009-2012)'!I56</f>
        <v>0</v>
      </c>
      <c r="J15" s="43">
        <f>'PRD OPEX AD (2009-2012)'!J56</f>
        <v>0</v>
      </c>
      <c r="K15" s="43">
        <f>'PRD OPEX AD (2009-2012)'!K56</f>
        <v>0</v>
      </c>
      <c r="L15" s="43">
        <f>'PRD OPEX AD (2009-2012)'!L56</f>
        <v>0</v>
      </c>
      <c r="M15" s="43">
        <f>'PRD OPEX AD (2009-2012)'!M56</f>
        <v>0</v>
      </c>
      <c r="N15" s="43">
        <f>'PRD OPEX AD (2009-2012)'!N56</f>
        <v>0</v>
      </c>
      <c r="O15" s="43">
        <f>'PRD OPEX AD (2009-2012)'!O56</f>
        <v>0</v>
      </c>
    </row>
    <row r="16" spans="2:17">
      <c r="B16" s="23"/>
      <c r="F16" s="62"/>
      <c r="G16" s="42"/>
      <c r="H16" s="42"/>
      <c r="I16" s="42"/>
      <c r="J16" s="42"/>
      <c r="K16" s="42"/>
      <c r="L16" s="42"/>
      <c r="M16" s="42"/>
      <c r="N16" s="42"/>
      <c r="O16" s="42"/>
    </row>
    <row r="17" spans="2:16">
      <c r="B17" s="22" t="s">
        <v>122</v>
      </c>
      <c r="F17" s="62"/>
      <c r="G17" s="42"/>
      <c r="H17" s="42"/>
      <c r="I17" s="42"/>
      <c r="J17" s="42"/>
      <c r="K17" s="42"/>
      <c r="L17" s="42"/>
      <c r="M17" s="42"/>
      <c r="N17" s="42"/>
      <c r="O17" s="42"/>
    </row>
    <row r="18" spans="2:16">
      <c r="B18" s="23" t="s">
        <v>123</v>
      </c>
      <c r="D18" t="s">
        <v>107</v>
      </c>
      <c r="F18" s="80">
        <f>SUM(G18:O18)</f>
        <v>66228789.498475216</v>
      </c>
      <c r="G18" s="43">
        <f>'PRD OPEX AD (2009-2012)'!G59</f>
        <v>1553000</v>
      </c>
      <c r="H18" s="43">
        <f>'PRD OPEX AD (2009-2012)'!H59</f>
        <v>1025742.336324536</v>
      </c>
      <c r="I18" s="43">
        <f>'PRD OPEX AD (2009-2012)'!I59</f>
        <v>2546713.5503268191</v>
      </c>
      <c r="J18" s="43">
        <f>'PRD OPEX AD (2009-2012)'!J59</f>
        <v>15831507.00139389</v>
      </c>
      <c r="K18" s="43">
        <f>'PRD OPEX AD (2009-2012)'!K59</f>
        <v>34391758.51526951</v>
      </c>
      <c r="L18" s="43">
        <f>'PRD OPEX AD (2009-2012)'!L59</f>
        <v>944023.91</v>
      </c>
      <c r="M18" s="43">
        <f>'PRD OPEX AD (2009-2012)'!M59</f>
        <v>9107636.3849563673</v>
      </c>
      <c r="N18" s="43">
        <f>'PRD OPEX AD (2009-2012)'!N59</f>
        <v>828407.80020410172</v>
      </c>
      <c r="O18" s="43">
        <f>'PRD OPEX AD (2009-2012)'!O59</f>
        <v>0</v>
      </c>
    </row>
    <row r="19" spans="2:16">
      <c r="B19" s="23" t="s">
        <v>124</v>
      </c>
      <c r="D19" t="s">
        <v>107</v>
      </c>
      <c r="F19" s="80">
        <f>SUM(G19:O19)</f>
        <v>6532471.0025044177</v>
      </c>
      <c r="G19" s="43">
        <f>'PRD OPEX AD (2009-2012)'!G60</f>
        <v>0</v>
      </c>
      <c r="H19" s="43">
        <f>'PRD OPEX AD (2009-2012)'!H60</f>
        <v>0</v>
      </c>
      <c r="I19" s="43">
        <f>'PRD OPEX AD (2009-2012)'!I60</f>
        <v>0</v>
      </c>
      <c r="J19" s="43">
        <f>'PRD OPEX AD (2009-2012)'!J60</f>
        <v>0</v>
      </c>
      <c r="K19" s="43">
        <f>'PRD OPEX AD (2009-2012)'!K60</f>
        <v>0</v>
      </c>
      <c r="L19" s="43">
        <f>'PRD OPEX AD (2009-2012)'!L60</f>
        <v>50067.51</v>
      </c>
      <c r="M19" s="43">
        <f>'PRD OPEX AD (2009-2012)'!M60</f>
        <v>6482403.4925044179</v>
      </c>
      <c r="N19" s="43">
        <f>'PRD OPEX AD (2009-2012)'!N60</f>
        <v>0</v>
      </c>
      <c r="O19" s="43">
        <f>'PRD OPEX AD (2009-2012)'!O60</f>
        <v>0</v>
      </c>
    </row>
    <row r="20" spans="2:16">
      <c r="B20" s="23"/>
      <c r="F20" s="62"/>
      <c r="G20" s="42"/>
      <c r="H20" s="42"/>
      <c r="I20" s="42"/>
      <c r="J20" s="42"/>
      <c r="K20" s="42"/>
      <c r="L20" s="42"/>
      <c r="M20" s="42"/>
      <c r="N20" s="42"/>
      <c r="O20" s="42"/>
    </row>
    <row r="21" spans="2:16">
      <c r="B21" s="22" t="s">
        <v>125</v>
      </c>
      <c r="F21" s="62"/>
      <c r="G21" s="42"/>
      <c r="H21" s="42"/>
      <c r="I21" s="42"/>
      <c r="J21" s="42"/>
      <c r="K21" s="42"/>
      <c r="L21" s="42"/>
      <c r="M21" s="42"/>
      <c r="N21" s="42"/>
      <c r="O21" s="42"/>
    </row>
    <row r="22" spans="2:16">
      <c r="B22" s="23" t="s">
        <v>126</v>
      </c>
      <c r="D22" t="s">
        <v>107</v>
      </c>
      <c r="F22" s="80">
        <f>SUM(G22:O22)</f>
        <v>0</v>
      </c>
      <c r="G22" s="43">
        <f>'PRD OPEX AD (2009-2012)'!G63</f>
        <v>0</v>
      </c>
      <c r="H22" s="43">
        <f>'PRD OPEX AD (2009-2012)'!H63</f>
        <v>0</v>
      </c>
      <c r="I22" s="43">
        <f>'PRD OPEX AD (2009-2012)'!I63</f>
        <v>0</v>
      </c>
      <c r="J22" s="43">
        <f>'PRD OPEX AD (2009-2012)'!J63</f>
        <v>0</v>
      </c>
      <c r="K22" s="43">
        <f>'PRD OPEX AD (2009-2012)'!K63</f>
        <v>0</v>
      </c>
      <c r="L22" s="43">
        <f>'PRD OPEX AD (2009-2012)'!L63</f>
        <v>0</v>
      </c>
      <c r="M22" s="43">
        <f>'PRD OPEX AD (2009-2012)'!M63</f>
        <v>0</v>
      </c>
      <c r="N22" s="43">
        <f>'PRD OPEX AD (2009-2012)'!N63</f>
        <v>0</v>
      </c>
      <c r="O22" s="43">
        <f>'PRD OPEX AD (2009-2012)'!O63</f>
        <v>0</v>
      </c>
    </row>
    <row r="23" spans="2:16">
      <c r="B23" s="23" t="s">
        <v>127</v>
      </c>
      <c r="D23" t="s">
        <v>107</v>
      </c>
      <c r="F23" s="80">
        <f>SUM(G23:O23)</f>
        <v>6000</v>
      </c>
      <c r="G23" s="43">
        <f>'PRD OPEX AD (2009-2012)'!G64</f>
        <v>6000</v>
      </c>
      <c r="H23" s="43">
        <f>'PRD OPEX AD (2009-2012)'!H64</f>
        <v>0</v>
      </c>
      <c r="I23" s="43">
        <f>'PRD OPEX AD (2009-2012)'!I64</f>
        <v>0</v>
      </c>
      <c r="J23" s="43">
        <f>'PRD OPEX AD (2009-2012)'!J64</f>
        <v>0</v>
      </c>
      <c r="K23" s="43">
        <f>'PRD OPEX AD (2009-2012)'!K64</f>
        <v>0</v>
      </c>
      <c r="L23" s="43">
        <f>'PRD OPEX AD (2009-2012)'!L64</f>
        <v>0</v>
      </c>
      <c r="M23" s="43">
        <f>'PRD OPEX AD (2009-2012)'!M64</f>
        <v>0</v>
      </c>
      <c r="N23" s="43">
        <f>'PRD OPEX AD (2009-2012)'!N64</f>
        <v>0</v>
      </c>
      <c r="O23" s="43">
        <f>'PRD OPEX AD (2009-2012)'!O64</f>
        <v>0</v>
      </c>
    </row>
    <row r="24" spans="2:16">
      <c r="B24" s="23"/>
      <c r="F24" s="62"/>
      <c r="G24" s="42"/>
      <c r="H24" s="42"/>
      <c r="I24" s="42"/>
      <c r="J24" s="42"/>
      <c r="K24" s="42"/>
      <c r="L24" s="42"/>
      <c r="M24" s="42"/>
      <c r="N24" s="42"/>
      <c r="O24" s="42"/>
    </row>
    <row r="25" spans="2:16">
      <c r="B25" s="22" t="s">
        <v>128</v>
      </c>
      <c r="F25" s="62"/>
      <c r="G25" s="42"/>
      <c r="H25" s="42"/>
      <c r="I25" s="42"/>
      <c r="J25" s="42"/>
      <c r="K25" s="42"/>
      <c r="L25" s="42"/>
      <c r="M25" s="42"/>
      <c r="N25" s="42"/>
      <c r="O25" s="42"/>
    </row>
    <row r="26" spans="2:16">
      <c r="B26" s="93" t="s">
        <v>180</v>
      </c>
      <c r="D26" t="s">
        <v>107</v>
      </c>
      <c r="F26" s="80">
        <f>SUM(G26:O26)</f>
        <v>901299.89307408675</v>
      </c>
      <c r="G26" s="43">
        <f>'PRD OPEX AD (2009-2012)'!G67</f>
        <v>26000</v>
      </c>
      <c r="H26" s="43">
        <f>'PRD OPEX AD (2009-2012)'!H67</f>
        <v>22458.734700000001</v>
      </c>
      <c r="I26" s="43">
        <f>'PRD OPEX AD (2009-2012)'!I67</f>
        <v>51862.014201924241</v>
      </c>
      <c r="J26" s="43">
        <f>'PRD OPEX AD (2009-2012)'!J67</f>
        <v>213349.71157806349</v>
      </c>
      <c r="K26" s="43">
        <f>'PRD OPEX AD (2009-2012)'!K67</f>
        <v>220536.54314187251</v>
      </c>
      <c r="L26" s="43">
        <f>'PRD OPEX AD (2009-2012)'!L67</f>
        <v>14875.46</v>
      </c>
      <c r="M26" s="43">
        <f>'PRD OPEX AD (2009-2012)'!M67</f>
        <v>351560.01118961675</v>
      </c>
      <c r="N26" s="43">
        <f>'PRD OPEX AD (2009-2012)'!N67</f>
        <v>657.41826260991138</v>
      </c>
      <c r="O26" s="43">
        <f>'PRD OPEX AD (2009-2012)'!O67</f>
        <v>0</v>
      </c>
    </row>
    <row r="27" spans="2:16">
      <c r="B27" s="93" t="s">
        <v>181</v>
      </c>
      <c r="D27" t="s">
        <v>107</v>
      </c>
      <c r="F27" s="80">
        <f>SUM(G27:O27)</f>
        <v>146315.99483141754</v>
      </c>
      <c r="G27" s="43">
        <f>'PRD OPEX AD (2009-2012)'!G68</f>
        <v>3000</v>
      </c>
      <c r="H27" s="43">
        <f>'PRD OPEX AD (2009-2012)'!H68</f>
        <v>575.25491100000022</v>
      </c>
      <c r="I27" s="43">
        <f>'PRD OPEX AD (2009-2012)'!I68</f>
        <v>4152.5559762278872</v>
      </c>
      <c r="J27" s="43">
        <f>'PRD OPEX AD (2009-2012)'!J68</f>
        <v>28635.746153304081</v>
      </c>
      <c r="K27" s="43">
        <f>'PRD OPEX AD (2009-2012)'!K68</f>
        <v>26540.297919721699</v>
      </c>
      <c r="L27" s="43">
        <f>'PRD OPEX AD (2009-2012)'!L68</f>
        <v>1406.42</v>
      </c>
      <c r="M27" s="43">
        <f>'PRD OPEX AD (2009-2012)'!M68</f>
        <v>69439.240914330934</v>
      </c>
      <c r="N27" s="43">
        <f>'PRD OPEX AD (2009-2012)'!N68</f>
        <v>12566.478956832934</v>
      </c>
      <c r="O27" s="43">
        <f>'PRD OPEX AD (2009-2012)'!O68</f>
        <v>0</v>
      </c>
    </row>
    <row r="28" spans="2:16">
      <c r="B28" s="94" t="s">
        <v>182</v>
      </c>
      <c r="D28" t="s">
        <v>107</v>
      </c>
      <c r="F28" s="80">
        <f>SUM(G28:O28)</f>
        <v>1411978.4920654087</v>
      </c>
      <c r="G28" s="43">
        <f>'PRD OPEX AD (2009-2012)'!G69</f>
        <v>0</v>
      </c>
      <c r="H28" s="43">
        <f>'PRD OPEX AD (2009-2012)'!H69</f>
        <v>0</v>
      </c>
      <c r="I28" s="43">
        <f>'PRD OPEX AD (2009-2012)'!I69</f>
        <v>2912.4720582992777</v>
      </c>
      <c r="J28" s="43">
        <f>'PRD OPEX AD (2009-2012)'!J69</f>
        <v>0</v>
      </c>
      <c r="K28" s="43">
        <f>'PRD OPEX AD (2009-2012)'!K69</f>
        <v>1353153.264352083</v>
      </c>
      <c r="L28" s="43">
        <f>'PRD OPEX AD (2009-2012)'!L69</f>
        <v>17150.560000000001</v>
      </c>
      <c r="M28" s="43">
        <f>'PRD OPEX AD (2009-2012)'!M69</f>
        <v>20483.893937006931</v>
      </c>
      <c r="N28" s="43">
        <f>'PRD OPEX AD (2009-2012)'!N69</f>
        <v>18278.301718019684</v>
      </c>
      <c r="O28" s="43">
        <f>'PRD OPEX AD (2009-2012)'!O69</f>
        <v>0</v>
      </c>
    </row>
    <row r="29" spans="2:16">
      <c r="C29" s="45"/>
      <c r="D29" s="28"/>
      <c r="E29" s="46">
        <v>17</v>
      </c>
      <c r="F29" s="62"/>
      <c r="G29" s="42"/>
      <c r="H29" s="42"/>
      <c r="I29" s="42"/>
      <c r="J29" s="42"/>
      <c r="K29" s="42"/>
      <c r="L29" s="42"/>
      <c r="M29" s="42"/>
      <c r="N29" s="42"/>
      <c r="O29" s="42"/>
      <c r="P29" s="28"/>
    </row>
    <row r="30" spans="2:16">
      <c r="B30" s="79" t="s">
        <v>267</v>
      </c>
      <c r="D30" t="s">
        <v>107</v>
      </c>
      <c r="F30" s="80">
        <f>SUM(G30:O30)</f>
        <v>75226854.880950555</v>
      </c>
      <c r="G30" s="69">
        <f>SUM(G14:G15,G18:G19,G22:G23,G26:G28)</f>
        <v>1588000</v>
      </c>
      <c r="H30" s="69">
        <f t="shared" ref="H30:O30" si="0">SUM(H14:H15,H18:H19,H22:H23,H26:H28)</f>
        <v>1048776.3259355361</v>
      </c>
      <c r="I30" s="69">
        <f t="shared" si="0"/>
        <v>2605640.5925632706</v>
      </c>
      <c r="J30" s="69">
        <f t="shared" si="0"/>
        <v>16073492.459125258</v>
      </c>
      <c r="K30" s="69">
        <f t="shared" si="0"/>
        <v>35991988.620683186</v>
      </c>
      <c r="L30" s="69">
        <f t="shared" si="0"/>
        <v>1027523.8600000001</v>
      </c>
      <c r="M30" s="69">
        <f t="shared" si="0"/>
        <v>16031523.023501741</v>
      </c>
      <c r="N30" s="69">
        <f t="shared" si="0"/>
        <v>859909.99914156413</v>
      </c>
      <c r="O30" s="69">
        <f t="shared" si="0"/>
        <v>0</v>
      </c>
    </row>
    <row r="31" spans="2:16">
      <c r="F31" s="62"/>
      <c r="G31" s="42"/>
      <c r="H31" s="42"/>
      <c r="I31" s="42"/>
      <c r="J31" s="42"/>
      <c r="K31" s="42"/>
      <c r="L31" s="42"/>
      <c r="M31" s="42"/>
      <c r="N31" s="42"/>
    </row>
    <row r="32" spans="2:16">
      <c r="F32" s="62"/>
      <c r="G32" s="42"/>
      <c r="H32" s="42"/>
      <c r="I32" s="42"/>
      <c r="J32" s="42"/>
      <c r="K32" s="42"/>
      <c r="L32" s="42"/>
      <c r="M32" s="42"/>
      <c r="N32" s="42"/>
    </row>
    <row r="33" spans="2:15">
      <c r="B33" s="261" t="s">
        <v>832</v>
      </c>
      <c r="F33" s="62"/>
      <c r="G33" s="42"/>
      <c r="H33" s="42"/>
      <c r="I33" s="42"/>
      <c r="J33" s="42"/>
      <c r="K33" s="42"/>
      <c r="L33" s="42"/>
      <c r="M33" s="42"/>
      <c r="N33" s="42"/>
    </row>
    <row r="34" spans="2:15">
      <c r="F34" s="62"/>
      <c r="G34" s="133"/>
      <c r="H34" s="42"/>
      <c r="I34" s="42"/>
      <c r="J34" s="42"/>
      <c r="K34" s="42"/>
      <c r="L34" s="42"/>
      <c r="M34" s="42"/>
      <c r="N34" s="42"/>
    </row>
    <row r="35" spans="2:15">
      <c r="B35" s="22" t="s">
        <v>121</v>
      </c>
      <c r="D35" s="28"/>
      <c r="E35" s="28"/>
      <c r="F35" s="67"/>
      <c r="G35" s="38"/>
      <c r="H35" s="38"/>
      <c r="I35" s="38"/>
      <c r="J35" s="38"/>
      <c r="K35" s="38"/>
      <c r="L35" s="38"/>
      <c r="M35" s="38"/>
      <c r="N35" s="38"/>
    </row>
    <row r="36" spans="2:15">
      <c r="B36" s="23" t="s">
        <v>216</v>
      </c>
      <c r="D36" t="s">
        <v>107</v>
      </c>
      <c r="F36" s="80">
        <f>SUM(G36:O36)</f>
        <v>0</v>
      </c>
      <c r="G36" s="131"/>
      <c r="H36" s="131"/>
      <c r="I36" s="131"/>
      <c r="J36" s="131"/>
      <c r="K36" s="131"/>
      <c r="L36" s="131"/>
      <c r="M36" s="131"/>
      <c r="N36" s="131"/>
      <c r="O36" s="131"/>
    </row>
    <row r="37" spans="2:15">
      <c r="B37" s="23" t="s">
        <v>217</v>
      </c>
      <c r="D37" t="s">
        <v>107</v>
      </c>
      <c r="F37" s="80">
        <f>SUM(G37:O37)</f>
        <v>0</v>
      </c>
      <c r="G37" s="131"/>
      <c r="H37" s="131"/>
      <c r="I37" s="131"/>
      <c r="J37" s="131"/>
      <c r="K37" s="131"/>
      <c r="L37" s="131"/>
      <c r="M37" s="131"/>
      <c r="N37" s="131"/>
      <c r="O37" s="131"/>
    </row>
    <row r="38" spans="2:15">
      <c r="B38" s="23"/>
      <c r="F38" s="62"/>
      <c r="G38" s="42"/>
      <c r="H38" s="42"/>
      <c r="I38" s="42"/>
      <c r="J38" s="42"/>
      <c r="K38" s="42"/>
      <c r="L38" s="42"/>
      <c r="M38" s="42"/>
      <c r="N38" s="42"/>
    </row>
    <row r="39" spans="2:15">
      <c r="B39" s="22" t="s">
        <v>122</v>
      </c>
      <c r="F39" s="62"/>
      <c r="G39" s="42"/>
      <c r="H39" s="42"/>
      <c r="I39" s="42"/>
      <c r="J39" s="42"/>
      <c r="K39" s="42"/>
      <c r="L39" s="42"/>
      <c r="M39" s="42"/>
      <c r="N39" s="42"/>
    </row>
    <row r="40" spans="2:15">
      <c r="B40" s="23" t="s">
        <v>123</v>
      </c>
      <c r="D40" t="s">
        <v>107</v>
      </c>
      <c r="F40" s="80">
        <f>SUM(G40:O40)</f>
        <v>0</v>
      </c>
      <c r="G40" s="131"/>
      <c r="H40" s="131"/>
      <c r="I40" s="131"/>
      <c r="J40" s="131"/>
      <c r="K40" s="131"/>
      <c r="L40" s="131"/>
      <c r="M40" s="131"/>
      <c r="N40" s="131"/>
      <c r="O40" s="131"/>
    </row>
    <row r="41" spans="2:15">
      <c r="B41" s="23" t="s">
        <v>124</v>
      </c>
      <c r="D41" t="s">
        <v>107</v>
      </c>
      <c r="F41" s="80">
        <f>SUM(G41:O41)</f>
        <v>0</v>
      </c>
      <c r="G41" s="131"/>
      <c r="H41" s="131"/>
      <c r="I41" s="131"/>
      <c r="J41" s="131"/>
      <c r="K41" s="131"/>
      <c r="L41" s="131"/>
      <c r="M41" s="131"/>
      <c r="N41" s="131"/>
      <c r="O41" s="131"/>
    </row>
    <row r="42" spans="2:15">
      <c r="B42" s="23"/>
      <c r="F42" s="62"/>
      <c r="G42" s="42"/>
      <c r="H42" s="42"/>
      <c r="I42" s="42"/>
      <c r="J42" s="42"/>
      <c r="K42" s="42"/>
      <c r="L42" s="42"/>
      <c r="M42" s="42"/>
      <c r="N42" s="42"/>
    </row>
    <row r="43" spans="2:15">
      <c r="B43" s="22" t="s">
        <v>125</v>
      </c>
      <c r="F43" s="62"/>
      <c r="G43" s="42"/>
      <c r="H43" s="42"/>
      <c r="I43" s="42"/>
      <c r="J43" s="42"/>
      <c r="K43" s="42"/>
      <c r="L43" s="42"/>
      <c r="M43" s="42"/>
      <c r="N43" s="42"/>
    </row>
    <row r="44" spans="2:15">
      <c r="B44" s="23" t="s">
        <v>126</v>
      </c>
      <c r="D44" t="s">
        <v>107</v>
      </c>
      <c r="F44" s="80">
        <f>SUM(G44:O44)</f>
        <v>0</v>
      </c>
      <c r="G44" s="131"/>
      <c r="H44" s="131"/>
      <c r="I44" s="131"/>
      <c r="J44" s="131"/>
      <c r="K44" s="131"/>
      <c r="L44" s="131"/>
      <c r="M44" s="131"/>
      <c r="N44" s="131"/>
      <c r="O44" s="131"/>
    </row>
    <row r="45" spans="2:15">
      <c r="B45" s="23" t="s">
        <v>127</v>
      </c>
      <c r="D45" t="s">
        <v>107</v>
      </c>
      <c r="F45" s="80">
        <f>SUM(G45:O45)</f>
        <v>0</v>
      </c>
      <c r="G45" s="131"/>
      <c r="H45" s="131"/>
      <c r="I45" s="131"/>
      <c r="J45" s="131"/>
      <c r="K45" s="131"/>
      <c r="L45" s="131"/>
      <c r="M45" s="131"/>
      <c r="N45" s="131"/>
      <c r="O45" s="131"/>
    </row>
    <row r="46" spans="2:15">
      <c r="B46" s="23"/>
      <c r="F46" s="62"/>
      <c r="G46" s="42"/>
      <c r="H46" s="42"/>
      <c r="I46" s="42"/>
      <c r="J46" s="42"/>
      <c r="K46" s="42"/>
      <c r="L46" s="42"/>
      <c r="M46" s="42"/>
      <c r="N46" s="42"/>
    </row>
    <row r="47" spans="2:15">
      <c r="B47" s="22" t="s">
        <v>128</v>
      </c>
      <c r="F47" s="62"/>
      <c r="G47" s="42"/>
      <c r="H47" s="42"/>
      <c r="I47" s="42"/>
      <c r="J47" s="42"/>
      <c r="K47" s="42"/>
      <c r="L47" s="42"/>
      <c r="M47" s="42"/>
      <c r="N47" s="42"/>
    </row>
    <row r="48" spans="2:15">
      <c r="B48" s="93" t="s">
        <v>180</v>
      </c>
      <c r="D48" t="s">
        <v>107</v>
      </c>
      <c r="F48" s="80">
        <f>SUM(G48:O48)</f>
        <v>0</v>
      </c>
      <c r="G48" s="131"/>
      <c r="H48" s="131"/>
      <c r="I48" s="131"/>
      <c r="J48" s="131"/>
      <c r="K48" s="131"/>
      <c r="L48" s="131"/>
      <c r="M48" s="131"/>
      <c r="N48" s="131"/>
      <c r="O48" s="131"/>
    </row>
    <row r="49" spans="2:15">
      <c r="B49" s="93" t="s">
        <v>181</v>
      </c>
      <c r="D49" t="s">
        <v>107</v>
      </c>
      <c r="F49" s="80">
        <f>SUM(G49:O49)</f>
        <v>0</v>
      </c>
      <c r="G49" s="131"/>
      <c r="H49" s="131"/>
      <c r="I49" s="131"/>
      <c r="J49" s="131"/>
      <c r="K49" s="131"/>
      <c r="L49" s="131"/>
      <c r="M49" s="131"/>
      <c r="N49" s="131"/>
      <c r="O49" s="131"/>
    </row>
    <row r="50" spans="2:15">
      <c r="B50" s="94" t="s">
        <v>182</v>
      </c>
      <c r="D50" t="s">
        <v>107</v>
      </c>
      <c r="F50" s="80">
        <f>SUM(G50:O50)</f>
        <v>0</v>
      </c>
      <c r="G50" s="131"/>
      <c r="H50" s="131"/>
      <c r="I50" s="131"/>
      <c r="J50" s="131"/>
      <c r="K50" s="131"/>
      <c r="L50" s="131"/>
      <c r="M50" s="131"/>
      <c r="N50" s="131"/>
      <c r="O50" s="131"/>
    </row>
    <row r="51" spans="2:15">
      <c r="F51" s="62"/>
      <c r="G51" s="42"/>
      <c r="H51" s="42"/>
      <c r="I51" s="42"/>
      <c r="J51" s="42"/>
      <c r="K51" s="42"/>
      <c r="L51" s="42"/>
      <c r="M51" s="42"/>
      <c r="N51" s="42"/>
    </row>
    <row r="52" spans="2:15">
      <c r="F52" s="62"/>
      <c r="G52" s="42"/>
      <c r="H52" s="42"/>
      <c r="I52" s="42"/>
      <c r="J52" s="42"/>
      <c r="K52" s="42"/>
      <c r="L52" s="42"/>
      <c r="M52" s="42"/>
      <c r="N52" s="42"/>
    </row>
    <row r="53" spans="2:15">
      <c r="B53" s="261" t="s">
        <v>831</v>
      </c>
      <c r="F53" s="62"/>
      <c r="G53" s="42"/>
      <c r="H53" s="42"/>
      <c r="I53" s="42"/>
      <c r="J53" s="42"/>
      <c r="K53" s="42"/>
      <c r="L53" s="42"/>
      <c r="M53" s="42"/>
      <c r="N53" s="42"/>
    </row>
    <row r="54" spans="2:15">
      <c r="F54" s="62"/>
      <c r="G54" s="42"/>
      <c r="H54" s="42"/>
      <c r="I54" s="42"/>
      <c r="J54" s="42"/>
      <c r="K54" s="42"/>
      <c r="L54" s="42"/>
      <c r="M54" s="42"/>
      <c r="N54" s="42"/>
    </row>
    <row r="55" spans="2:15">
      <c r="B55" s="22" t="s">
        <v>121</v>
      </c>
      <c r="D55" s="28"/>
      <c r="E55" s="28"/>
      <c r="F55" s="67"/>
      <c r="G55" s="38"/>
      <c r="H55" s="38"/>
      <c r="I55" s="38"/>
      <c r="J55" s="38"/>
      <c r="K55" s="38"/>
      <c r="L55" s="38"/>
      <c r="M55" s="38"/>
      <c r="N55" s="38"/>
    </row>
    <row r="56" spans="2:15">
      <c r="B56" s="23" t="s">
        <v>216</v>
      </c>
      <c r="D56" t="s">
        <v>107</v>
      </c>
      <c r="F56" s="80">
        <f>SUM(G56:O56)</f>
        <v>0</v>
      </c>
      <c r="G56" s="131"/>
      <c r="H56" s="131"/>
      <c r="I56" s="131"/>
      <c r="J56" s="131"/>
      <c r="K56" s="131"/>
      <c r="L56" s="131"/>
      <c r="M56" s="131"/>
      <c r="N56" s="131"/>
      <c r="O56" s="131"/>
    </row>
    <row r="57" spans="2:15">
      <c r="B57" s="23" t="s">
        <v>217</v>
      </c>
      <c r="D57" t="s">
        <v>107</v>
      </c>
      <c r="F57" s="80">
        <f>SUM(G57:O57)</f>
        <v>0</v>
      </c>
      <c r="G57" s="131"/>
      <c r="H57" s="131"/>
      <c r="I57" s="131"/>
      <c r="J57" s="131"/>
      <c r="K57" s="131"/>
      <c r="L57" s="131"/>
      <c r="M57" s="131"/>
      <c r="N57" s="131"/>
      <c r="O57" s="131"/>
    </row>
    <row r="58" spans="2:15">
      <c r="B58" s="23"/>
      <c r="F58" s="62"/>
      <c r="G58" s="42"/>
      <c r="H58" s="42"/>
      <c r="I58" s="42"/>
      <c r="J58" s="42"/>
      <c r="K58" s="42"/>
      <c r="L58" s="42"/>
      <c r="M58" s="42"/>
      <c r="N58" s="42"/>
      <c r="O58" s="42"/>
    </row>
    <row r="59" spans="2:15">
      <c r="B59" s="22" t="s">
        <v>122</v>
      </c>
      <c r="F59" s="62"/>
      <c r="G59" s="42"/>
      <c r="H59" s="42"/>
      <c r="I59" s="42"/>
      <c r="J59" s="42"/>
      <c r="K59" s="42"/>
      <c r="L59" s="42"/>
      <c r="M59" s="42"/>
      <c r="N59" s="42"/>
      <c r="O59" s="42"/>
    </row>
    <row r="60" spans="2:15">
      <c r="B60" s="23" t="s">
        <v>123</v>
      </c>
      <c r="D60" t="s">
        <v>107</v>
      </c>
      <c r="F60" s="80">
        <f>SUM(G60:O60)</f>
        <v>14158727.999647861</v>
      </c>
      <c r="G60" s="313">
        <f>'PRD Ov.Opbrengst AD (2009-2012)'!G36-'PRD Ov.Opbrengst AD (2009-2012)'!G28+'PRD Ov.Opbrengst AD (2009-2012)'!G15+'PRD Ov.Opbrengst AD (2009-2012)'!G51-'PRD Ov.Opbrengst AD (2009-2012)'!G55</f>
        <v>199884.81820241641</v>
      </c>
      <c r="H60" s="313">
        <f>'PRD Ov.Opbrengst AD (2009-2012)'!H36-'PRD Ov.Opbrengst AD (2009-2012)'!H28+'PRD Ov.Opbrengst AD (2009-2012)'!H15+'PRD Ov.Opbrengst AD (2009-2012)'!H51-'PRD Ov.Opbrengst AD (2009-2012)'!H55</f>
        <v>663.5</v>
      </c>
      <c r="I60" s="313">
        <f>'PRD Ov.Opbrengst AD (2009-2012)'!I36-'PRD Ov.Opbrengst AD (2009-2012)'!I28+'PRD Ov.Opbrengst AD (2009-2012)'!I15+'PRD Ov.Opbrengst AD (2009-2012)'!I51-'PRD Ov.Opbrengst AD (2009-2012)'!I55</f>
        <v>310734.44174374436</v>
      </c>
      <c r="J60" s="313">
        <f>'PRD Ov.Opbrengst AD (2009-2012)'!J36-'PRD Ov.Opbrengst AD (2009-2012)'!J28+'PRD Ov.Opbrengst AD (2009-2012)'!J15+'PRD Ov.Opbrengst AD (2009-2012)'!J51-'PRD Ov.Opbrengst AD (2009-2012)'!J55</f>
        <v>5869187.2947073737</v>
      </c>
      <c r="K60" s="313">
        <f>'PRD Ov.Opbrengst AD (2009-2012)'!K36-'PRD Ov.Opbrengst AD (2009-2012)'!K28+'PRD Ov.Opbrengst AD (2009-2012)'!K15+'PRD Ov.Opbrengst AD (2009-2012)'!K51-'PRD Ov.Opbrengst AD (2009-2012)'!K55</f>
        <v>3473942.3196312366</v>
      </c>
      <c r="L60" s="313">
        <f>'PRD Ov.Opbrengst AD (2009-2012)'!L36-'PRD Ov.Opbrengst AD (2009-2012)'!L28+'PRD Ov.Opbrengst AD (2009-2012)'!L15+'PRD Ov.Opbrengst AD (2009-2012)'!L51-'PRD Ov.Opbrengst AD (2009-2012)'!L55</f>
        <v>102367</v>
      </c>
      <c r="M60" s="313">
        <f>'PRD Ov.Opbrengst AD (2009-2012)'!M36-'PRD Ov.Opbrengst AD (2009-2012)'!M28+'PRD Ov.Opbrengst AD (2009-2012)'!M15+'PRD Ov.Opbrengst AD (2009-2012)'!M51-'PRD Ov.Opbrengst AD (2009-2012)'!M55</f>
        <v>3581606.4480571738</v>
      </c>
      <c r="N60" s="313">
        <f>'PRD Ov.Opbrengst AD (2009-2012)'!N36-'PRD Ov.Opbrengst AD (2009-2012)'!N28+'PRD Ov.Opbrengst AD (2009-2012)'!N15+'PRD Ov.Opbrengst AD (2009-2012)'!N51-'PRD Ov.Opbrengst AD (2009-2012)'!N55</f>
        <v>620342.17730591644</v>
      </c>
      <c r="O60" s="313">
        <f>'PRD Ov.Opbrengst AD (2009-2012)'!O36-'PRD Ov.Opbrengst AD (2009-2012)'!O28+'PRD Ov.Opbrengst AD (2009-2012)'!O15+'PRD Ov.Opbrengst AD (2009-2012)'!O51-'PRD Ov.Opbrengst AD (2009-2012)'!O55</f>
        <v>0</v>
      </c>
    </row>
    <row r="61" spans="2:15">
      <c r="B61" s="23" t="s">
        <v>124</v>
      </c>
      <c r="D61" t="s">
        <v>107</v>
      </c>
      <c r="F61" s="80">
        <f>SUM(G61:O61)</f>
        <v>0</v>
      </c>
      <c r="G61" s="131"/>
      <c r="H61" s="131"/>
      <c r="I61" s="131"/>
      <c r="J61" s="131"/>
      <c r="K61" s="131"/>
      <c r="L61" s="131"/>
      <c r="M61" s="131"/>
      <c r="N61" s="131"/>
      <c r="O61" s="131"/>
    </row>
    <row r="62" spans="2:15">
      <c r="B62" s="23"/>
      <c r="F62" s="62"/>
      <c r="G62" s="42"/>
      <c r="H62" s="42"/>
      <c r="I62" s="42"/>
      <c r="J62" s="42"/>
      <c r="K62" s="42"/>
      <c r="L62" s="42"/>
      <c r="M62" s="42"/>
      <c r="N62" s="42"/>
      <c r="O62" s="42"/>
    </row>
    <row r="63" spans="2:15">
      <c r="B63" s="22" t="s">
        <v>125</v>
      </c>
      <c r="F63" s="62"/>
      <c r="G63" s="42"/>
      <c r="H63" s="42"/>
      <c r="I63" s="42"/>
      <c r="J63" s="42"/>
      <c r="K63" s="42"/>
      <c r="L63" s="42"/>
      <c r="M63" s="42"/>
      <c r="N63" s="42"/>
      <c r="O63" s="42"/>
    </row>
    <row r="64" spans="2:15">
      <c r="B64" s="23" t="s">
        <v>126</v>
      </c>
      <c r="D64" t="s">
        <v>107</v>
      </c>
      <c r="F64" s="80">
        <f>SUM(G64:O64)</f>
        <v>0</v>
      </c>
      <c r="G64" s="131"/>
      <c r="H64" s="131"/>
      <c r="I64" s="131"/>
      <c r="J64" s="131"/>
      <c r="K64" s="131"/>
      <c r="L64" s="131"/>
      <c r="M64" s="131"/>
      <c r="N64" s="131"/>
      <c r="O64" s="131"/>
    </row>
    <row r="65" spans="2:17">
      <c r="B65" s="23" t="s">
        <v>127</v>
      </c>
      <c r="D65" t="s">
        <v>107</v>
      </c>
      <c r="F65" s="80">
        <f>SUM(G65:O65)</f>
        <v>0</v>
      </c>
      <c r="G65" s="131"/>
      <c r="H65" s="131"/>
      <c r="I65" s="131"/>
      <c r="J65" s="131"/>
      <c r="K65" s="131"/>
      <c r="L65" s="131"/>
      <c r="M65" s="131"/>
      <c r="N65" s="131"/>
      <c r="O65" s="131"/>
    </row>
    <row r="66" spans="2:17">
      <c r="B66" s="23"/>
      <c r="F66" s="62"/>
      <c r="G66" s="42"/>
      <c r="H66" s="42"/>
      <c r="I66" s="42"/>
      <c r="J66" s="42"/>
      <c r="K66" s="42"/>
      <c r="L66" s="42"/>
      <c r="M66" s="42"/>
      <c r="N66" s="42"/>
      <c r="O66" s="42"/>
    </row>
    <row r="67" spans="2:17">
      <c r="B67" s="22" t="s">
        <v>128</v>
      </c>
      <c r="F67" s="62"/>
      <c r="G67" s="42"/>
      <c r="H67" s="42"/>
      <c r="I67" s="42"/>
      <c r="J67" s="42"/>
      <c r="K67" s="42"/>
      <c r="L67" s="42"/>
      <c r="M67" s="42"/>
      <c r="N67" s="42"/>
      <c r="O67" s="42"/>
    </row>
    <row r="68" spans="2:17">
      <c r="B68" s="93" t="s">
        <v>180</v>
      </c>
      <c r="D68" t="s">
        <v>107</v>
      </c>
      <c r="F68" s="80">
        <f>SUM(G68:O68)</f>
        <v>0</v>
      </c>
      <c r="G68" s="131"/>
      <c r="H68" s="131"/>
      <c r="I68" s="131"/>
      <c r="J68" s="131"/>
      <c r="K68" s="131"/>
      <c r="L68" s="131"/>
      <c r="M68" s="131"/>
      <c r="N68" s="131"/>
      <c r="O68" s="131"/>
    </row>
    <row r="69" spans="2:17">
      <c r="B69" s="93" t="s">
        <v>181</v>
      </c>
      <c r="D69" t="s">
        <v>107</v>
      </c>
      <c r="F69" s="80">
        <f>SUM(G69:O69)</f>
        <v>0</v>
      </c>
      <c r="G69" s="131"/>
      <c r="H69" s="131"/>
      <c r="I69" s="131"/>
      <c r="J69" s="131"/>
      <c r="K69" s="131"/>
      <c r="L69" s="131"/>
      <c r="M69" s="131"/>
      <c r="N69" s="131"/>
      <c r="O69" s="131"/>
    </row>
    <row r="70" spans="2:17">
      <c r="B70" s="94" t="s">
        <v>182</v>
      </c>
      <c r="D70" t="s">
        <v>107</v>
      </c>
      <c r="F70" s="80">
        <f>SUM(G70:O70)</f>
        <v>0</v>
      </c>
      <c r="G70" s="131"/>
      <c r="H70" s="131"/>
      <c r="I70" s="131"/>
      <c r="J70" s="131"/>
      <c r="K70" s="131"/>
      <c r="L70" s="131"/>
      <c r="M70" s="131"/>
      <c r="N70" s="131"/>
      <c r="O70" s="131"/>
    </row>
    <row r="71" spans="2:17">
      <c r="F71" s="62"/>
      <c r="G71" s="42"/>
      <c r="H71" s="42"/>
      <c r="I71" s="42"/>
      <c r="J71" s="42"/>
      <c r="K71" s="42"/>
      <c r="L71" s="42"/>
      <c r="M71" s="42"/>
      <c r="N71" s="42"/>
    </row>
    <row r="72" spans="2:17">
      <c r="F72" s="62"/>
      <c r="G72" s="42"/>
      <c r="H72" s="42"/>
      <c r="I72" s="42"/>
      <c r="J72" s="42"/>
      <c r="K72" s="42"/>
      <c r="L72" s="42"/>
      <c r="M72" s="42"/>
      <c r="N72" s="42"/>
    </row>
    <row r="73" spans="2:17">
      <c r="B73" s="3" t="s">
        <v>30</v>
      </c>
      <c r="F73" s="62"/>
      <c r="G73" s="42"/>
      <c r="H73" s="42"/>
      <c r="I73" s="42"/>
      <c r="J73" s="42"/>
      <c r="K73" s="42"/>
      <c r="L73" s="42"/>
      <c r="M73" s="42"/>
      <c r="N73" s="42"/>
    </row>
    <row r="74" spans="2:17">
      <c r="F74" s="62"/>
      <c r="G74" s="42"/>
      <c r="H74" s="42"/>
      <c r="I74" s="42"/>
      <c r="J74" s="42"/>
      <c r="K74" s="42"/>
      <c r="L74" s="42"/>
      <c r="M74" s="42"/>
      <c r="N74" s="42"/>
    </row>
    <row r="75" spans="2:17">
      <c r="B75" s="22" t="s">
        <v>121</v>
      </c>
      <c r="D75" s="28"/>
      <c r="E75" s="28"/>
      <c r="F75" s="67"/>
      <c r="G75" s="38"/>
      <c r="H75" s="38"/>
      <c r="I75" s="38"/>
      <c r="J75" s="38"/>
      <c r="K75" s="38"/>
      <c r="L75" s="38"/>
      <c r="M75" s="38"/>
      <c r="N75" s="38"/>
    </row>
    <row r="76" spans="2:17">
      <c r="B76" s="23" t="s">
        <v>216</v>
      </c>
      <c r="D76" t="s">
        <v>107</v>
      </c>
      <c r="F76" s="80">
        <f>SUM(G76:O76)</f>
        <v>0</v>
      </c>
      <c r="G76" s="30">
        <f>G14+G36-G56</f>
        <v>0</v>
      </c>
      <c r="H76" s="30">
        <f t="shared" ref="H76:O77" si="1">H14+H36-H56</f>
        <v>0</v>
      </c>
      <c r="I76" s="30">
        <f t="shared" si="1"/>
        <v>0</v>
      </c>
      <c r="J76" s="30">
        <f t="shared" si="1"/>
        <v>0</v>
      </c>
      <c r="K76" s="30">
        <f t="shared" si="1"/>
        <v>0</v>
      </c>
      <c r="L76" s="30">
        <f t="shared" si="1"/>
        <v>0</v>
      </c>
      <c r="M76" s="30">
        <f t="shared" si="1"/>
        <v>0</v>
      </c>
      <c r="N76" s="30">
        <f t="shared" si="1"/>
        <v>0</v>
      </c>
      <c r="O76" s="30">
        <f t="shared" si="1"/>
        <v>0</v>
      </c>
      <c r="Q76" s="51" t="s">
        <v>569</v>
      </c>
    </row>
    <row r="77" spans="2:17">
      <c r="B77" s="23" t="s">
        <v>217</v>
      </c>
      <c r="D77" t="s">
        <v>107</v>
      </c>
      <c r="F77" s="80">
        <f>SUM(G77:O77)</f>
        <v>0</v>
      </c>
      <c r="G77" s="30">
        <f>G15+G37-G57</f>
        <v>0</v>
      </c>
      <c r="H77" s="30">
        <f t="shared" si="1"/>
        <v>0</v>
      </c>
      <c r="I77" s="30">
        <f t="shared" si="1"/>
        <v>0</v>
      </c>
      <c r="J77" s="30">
        <f t="shared" si="1"/>
        <v>0</v>
      </c>
      <c r="K77" s="30">
        <f t="shared" si="1"/>
        <v>0</v>
      </c>
      <c r="L77" s="30">
        <f t="shared" si="1"/>
        <v>0</v>
      </c>
      <c r="M77" s="30">
        <f t="shared" si="1"/>
        <v>0</v>
      </c>
      <c r="N77" s="30">
        <f t="shared" si="1"/>
        <v>0</v>
      </c>
      <c r="O77" s="30">
        <f t="shared" si="1"/>
        <v>0</v>
      </c>
    </row>
    <row r="78" spans="2:17">
      <c r="B78" s="23"/>
      <c r="F78" s="62"/>
      <c r="G78" s="38"/>
      <c r="H78" s="38"/>
      <c r="I78" s="38"/>
      <c r="J78" s="38"/>
      <c r="K78" s="38"/>
      <c r="L78" s="38"/>
      <c r="M78" s="38"/>
      <c r="N78" s="38"/>
    </row>
    <row r="79" spans="2:17">
      <c r="B79" s="22" t="s">
        <v>122</v>
      </c>
      <c r="F79" s="62"/>
      <c r="G79" s="38"/>
      <c r="H79" s="38"/>
      <c r="I79" s="38"/>
      <c r="J79" s="38"/>
      <c r="K79" s="38"/>
      <c r="L79" s="38"/>
      <c r="M79" s="38"/>
      <c r="N79" s="38"/>
    </row>
    <row r="80" spans="2:17">
      <c r="B80" s="23" t="s">
        <v>123</v>
      </c>
      <c r="D80" t="s">
        <v>107</v>
      </c>
      <c r="F80" s="80">
        <f>SUM(G80:O80)</f>
        <v>52070061.498827353</v>
      </c>
      <c r="G80" s="30">
        <f>G18+G40-G60</f>
        <v>1353115.1817975836</v>
      </c>
      <c r="H80" s="30">
        <f t="shared" ref="H80:O81" si="2">H18+H40-H60</f>
        <v>1025078.836324536</v>
      </c>
      <c r="I80" s="30">
        <f t="shared" si="2"/>
        <v>2235979.1085830745</v>
      </c>
      <c r="J80" s="30">
        <f t="shared" si="2"/>
        <v>9962319.7066865154</v>
      </c>
      <c r="K80" s="30">
        <f t="shared" si="2"/>
        <v>30917816.195638273</v>
      </c>
      <c r="L80" s="30">
        <f t="shared" si="2"/>
        <v>841656.91</v>
      </c>
      <c r="M80" s="30">
        <f t="shared" si="2"/>
        <v>5526029.9368991936</v>
      </c>
      <c r="N80" s="30">
        <f t="shared" si="2"/>
        <v>208065.62289818528</v>
      </c>
      <c r="O80" s="30">
        <f t="shared" si="2"/>
        <v>0</v>
      </c>
    </row>
    <row r="81" spans="2:15">
      <c r="B81" s="23" t="s">
        <v>124</v>
      </c>
      <c r="D81" t="s">
        <v>107</v>
      </c>
      <c r="F81" s="80">
        <f>SUM(G81:O81)</f>
        <v>6532471.0025044177</v>
      </c>
      <c r="G81" s="30">
        <f>G19+G41-G61</f>
        <v>0</v>
      </c>
      <c r="H81" s="30">
        <f t="shared" si="2"/>
        <v>0</v>
      </c>
      <c r="I81" s="30">
        <f t="shared" si="2"/>
        <v>0</v>
      </c>
      <c r="J81" s="30">
        <f t="shared" si="2"/>
        <v>0</v>
      </c>
      <c r="K81" s="30">
        <f t="shared" si="2"/>
        <v>0</v>
      </c>
      <c r="L81" s="30">
        <f t="shared" si="2"/>
        <v>50067.51</v>
      </c>
      <c r="M81" s="30">
        <f t="shared" si="2"/>
        <v>6482403.4925044179</v>
      </c>
      <c r="N81" s="30">
        <f t="shared" si="2"/>
        <v>0</v>
      </c>
      <c r="O81" s="30">
        <f t="shared" si="2"/>
        <v>0</v>
      </c>
    </row>
    <row r="82" spans="2:15">
      <c r="B82" s="23"/>
      <c r="F82" s="62"/>
      <c r="G82" s="38"/>
      <c r="H82" s="38"/>
      <c r="I82" s="38"/>
      <c r="J82" s="38"/>
      <c r="K82" s="38"/>
      <c r="L82" s="38"/>
      <c r="M82" s="38"/>
      <c r="N82" s="38"/>
    </row>
    <row r="83" spans="2:15">
      <c r="B83" s="22" t="s">
        <v>125</v>
      </c>
      <c r="F83" s="62"/>
      <c r="G83" s="38"/>
      <c r="H83" s="38"/>
      <c r="I83" s="38"/>
      <c r="J83" s="38"/>
      <c r="K83" s="38"/>
      <c r="L83" s="38"/>
      <c r="M83" s="38"/>
      <c r="N83" s="38"/>
    </row>
    <row r="84" spans="2:15">
      <c r="B84" s="23" t="s">
        <v>126</v>
      </c>
      <c r="D84" t="s">
        <v>107</v>
      </c>
      <c r="F84" s="80">
        <f>SUM(G84:O84)</f>
        <v>0</v>
      </c>
      <c r="G84" s="30">
        <f>G22+G44-G64</f>
        <v>0</v>
      </c>
      <c r="H84" s="30">
        <f t="shared" ref="H84:O85" si="3">H22+H44-H64</f>
        <v>0</v>
      </c>
      <c r="I84" s="30">
        <f t="shared" si="3"/>
        <v>0</v>
      </c>
      <c r="J84" s="30">
        <f t="shared" si="3"/>
        <v>0</v>
      </c>
      <c r="K84" s="30">
        <f t="shared" si="3"/>
        <v>0</v>
      </c>
      <c r="L84" s="30">
        <f t="shared" si="3"/>
        <v>0</v>
      </c>
      <c r="M84" s="30">
        <f t="shared" si="3"/>
        <v>0</v>
      </c>
      <c r="N84" s="30">
        <f t="shared" si="3"/>
        <v>0</v>
      </c>
      <c r="O84" s="30">
        <f t="shared" si="3"/>
        <v>0</v>
      </c>
    </row>
    <row r="85" spans="2:15">
      <c r="B85" s="23" t="s">
        <v>127</v>
      </c>
      <c r="D85" t="s">
        <v>107</v>
      </c>
      <c r="F85" s="80">
        <f>SUM(G85:O85)</f>
        <v>6000</v>
      </c>
      <c r="G85" s="30">
        <f>G23+G45-G65</f>
        <v>6000</v>
      </c>
      <c r="H85" s="30">
        <f t="shared" si="3"/>
        <v>0</v>
      </c>
      <c r="I85" s="30">
        <f t="shared" si="3"/>
        <v>0</v>
      </c>
      <c r="J85" s="30">
        <f t="shared" si="3"/>
        <v>0</v>
      </c>
      <c r="K85" s="30">
        <f t="shared" si="3"/>
        <v>0</v>
      </c>
      <c r="L85" s="30">
        <f t="shared" si="3"/>
        <v>0</v>
      </c>
      <c r="M85" s="30">
        <f t="shared" si="3"/>
        <v>0</v>
      </c>
      <c r="N85" s="30">
        <f t="shared" si="3"/>
        <v>0</v>
      </c>
      <c r="O85" s="30">
        <f t="shared" si="3"/>
        <v>0</v>
      </c>
    </row>
    <row r="86" spans="2:15">
      <c r="B86" s="23"/>
      <c r="F86" s="62"/>
      <c r="G86" s="38"/>
      <c r="H86" s="38"/>
      <c r="I86" s="38"/>
      <c r="J86" s="38"/>
      <c r="K86" s="38"/>
      <c r="L86" s="38"/>
      <c r="M86" s="38"/>
      <c r="N86" s="38"/>
    </row>
    <row r="87" spans="2:15">
      <c r="B87" s="22" t="s">
        <v>128</v>
      </c>
      <c r="F87" s="62"/>
      <c r="G87" s="38"/>
      <c r="H87" s="38"/>
      <c r="I87" s="38"/>
      <c r="J87" s="38"/>
      <c r="K87" s="38"/>
      <c r="L87" s="38"/>
      <c r="M87" s="38"/>
      <c r="N87" s="38"/>
    </row>
    <row r="88" spans="2:15">
      <c r="B88" s="93" t="s">
        <v>180</v>
      </c>
      <c r="D88" t="s">
        <v>107</v>
      </c>
      <c r="F88" s="80">
        <f>SUM(G88:O88)</f>
        <v>901299.89307408675</v>
      </c>
      <c r="G88" s="30">
        <f>G26+G48-G68</f>
        <v>26000</v>
      </c>
      <c r="H88" s="30">
        <f t="shared" ref="H88:O90" si="4">H26+H48-H68</f>
        <v>22458.734700000001</v>
      </c>
      <c r="I88" s="30">
        <f t="shared" si="4"/>
        <v>51862.014201924241</v>
      </c>
      <c r="J88" s="30">
        <f t="shared" si="4"/>
        <v>213349.71157806349</v>
      </c>
      <c r="K88" s="30">
        <f t="shared" si="4"/>
        <v>220536.54314187251</v>
      </c>
      <c r="L88" s="30">
        <f t="shared" si="4"/>
        <v>14875.46</v>
      </c>
      <c r="M88" s="30">
        <f t="shared" si="4"/>
        <v>351560.01118961675</v>
      </c>
      <c r="N88" s="30">
        <f t="shared" si="4"/>
        <v>657.41826260991138</v>
      </c>
      <c r="O88" s="30">
        <f t="shared" si="4"/>
        <v>0</v>
      </c>
    </row>
    <row r="89" spans="2:15">
      <c r="B89" s="93" t="s">
        <v>181</v>
      </c>
      <c r="D89" t="s">
        <v>107</v>
      </c>
      <c r="F89" s="80">
        <f>SUM(G89:O89)</f>
        <v>146315.99483141754</v>
      </c>
      <c r="G89" s="30">
        <f>G27+G49-G69</f>
        <v>3000</v>
      </c>
      <c r="H89" s="30">
        <f t="shared" si="4"/>
        <v>575.25491100000022</v>
      </c>
      <c r="I89" s="30">
        <f t="shared" si="4"/>
        <v>4152.5559762278872</v>
      </c>
      <c r="J89" s="30">
        <f t="shared" si="4"/>
        <v>28635.746153304081</v>
      </c>
      <c r="K89" s="30">
        <f t="shared" si="4"/>
        <v>26540.297919721699</v>
      </c>
      <c r="L89" s="30">
        <f t="shared" si="4"/>
        <v>1406.42</v>
      </c>
      <c r="M89" s="30">
        <f t="shared" si="4"/>
        <v>69439.240914330934</v>
      </c>
      <c r="N89" s="30">
        <f t="shared" si="4"/>
        <v>12566.478956832934</v>
      </c>
      <c r="O89" s="30">
        <f t="shared" si="4"/>
        <v>0</v>
      </c>
    </row>
    <row r="90" spans="2:15">
      <c r="B90" s="94" t="s">
        <v>182</v>
      </c>
      <c r="D90" t="s">
        <v>107</v>
      </c>
      <c r="F90" s="80">
        <f>SUM(G90:O90)</f>
        <v>1411978.4920654087</v>
      </c>
      <c r="G90" s="30">
        <f>G28+G50-G70</f>
        <v>0</v>
      </c>
      <c r="H90" s="30">
        <f t="shared" si="4"/>
        <v>0</v>
      </c>
      <c r="I90" s="30">
        <f t="shared" si="4"/>
        <v>2912.4720582992777</v>
      </c>
      <c r="J90" s="30">
        <f t="shared" si="4"/>
        <v>0</v>
      </c>
      <c r="K90" s="30">
        <f t="shared" si="4"/>
        <v>1353153.264352083</v>
      </c>
      <c r="L90" s="30">
        <f t="shared" si="4"/>
        <v>17150.560000000001</v>
      </c>
      <c r="M90" s="30">
        <f t="shared" si="4"/>
        <v>20483.893937006931</v>
      </c>
      <c r="N90" s="30">
        <f t="shared" si="4"/>
        <v>18278.301718019684</v>
      </c>
      <c r="O90" s="30">
        <f t="shared" si="4"/>
        <v>0</v>
      </c>
    </row>
    <row r="91" spans="2:15">
      <c r="F91" s="62"/>
      <c r="G91" s="42"/>
      <c r="H91" s="42"/>
      <c r="I91" s="42"/>
      <c r="J91" s="42"/>
      <c r="K91" s="42"/>
      <c r="L91" s="42"/>
      <c r="M91" s="42"/>
      <c r="N91" s="42"/>
    </row>
    <row r="92" spans="2:15">
      <c r="B92" s="25" t="s">
        <v>403</v>
      </c>
      <c r="D92" t="s">
        <v>107</v>
      </c>
      <c r="F92" s="132">
        <f>SUM(G92:O92)</f>
        <v>61068126.881302685</v>
      </c>
      <c r="G92" s="69">
        <f>SUM(G76:G77,G80:G81,G84:G85,G88:G90)</f>
        <v>1388115.1817975836</v>
      </c>
      <c r="H92" s="69">
        <f t="shared" ref="H92:O92" si="5">SUM(H76:H77,H80:H81,H84:H85,H88:H90)</f>
        <v>1048112.8259355361</v>
      </c>
      <c r="I92" s="69">
        <f t="shared" si="5"/>
        <v>2294906.1508195261</v>
      </c>
      <c r="J92" s="69">
        <f t="shared" si="5"/>
        <v>10204305.164417883</v>
      </c>
      <c r="K92" s="69">
        <f t="shared" si="5"/>
        <v>32518046.301051948</v>
      </c>
      <c r="L92" s="69">
        <f t="shared" si="5"/>
        <v>925156.8600000001</v>
      </c>
      <c r="M92" s="69">
        <f t="shared" si="5"/>
        <v>12449916.575444566</v>
      </c>
      <c r="N92" s="69">
        <f t="shared" si="5"/>
        <v>239567.8218356478</v>
      </c>
      <c r="O92" s="69">
        <f t="shared" si="5"/>
        <v>0</v>
      </c>
    </row>
    <row r="93" spans="2:15">
      <c r="F93" s="85"/>
      <c r="G93" s="42"/>
      <c r="H93" s="42"/>
      <c r="I93" s="42"/>
      <c r="J93" s="42"/>
      <c r="K93" s="42"/>
      <c r="L93" s="42"/>
      <c r="M93" s="42"/>
      <c r="N93" s="42"/>
    </row>
    <row r="94" spans="2:15">
      <c r="F94" s="62"/>
      <c r="G94" s="42"/>
      <c r="H94" s="42"/>
      <c r="I94" s="42"/>
      <c r="J94" s="42"/>
      <c r="K94" s="42"/>
      <c r="L94" s="42"/>
      <c r="M94" s="42"/>
      <c r="N94" s="42"/>
    </row>
    <row r="95" spans="2:15" s="2" customFormat="1">
      <c r="B95" s="2" t="s">
        <v>395</v>
      </c>
      <c r="F95" s="49"/>
    </row>
    <row r="96" spans="2:15">
      <c r="F96" s="47"/>
    </row>
    <row r="97" spans="2:15">
      <c r="B97" s="3" t="s">
        <v>29</v>
      </c>
      <c r="F97" s="47"/>
    </row>
    <row r="98" spans="2:15">
      <c r="F98" s="47"/>
    </row>
    <row r="99" spans="2:15">
      <c r="B99" s="22" t="s">
        <v>121</v>
      </c>
      <c r="D99" s="28"/>
      <c r="E99" s="28"/>
      <c r="F99" s="67"/>
      <c r="G99" s="38"/>
      <c r="H99" s="38"/>
      <c r="I99" s="38"/>
      <c r="J99" s="38"/>
      <c r="K99" s="38"/>
      <c r="L99" s="38"/>
      <c r="M99" s="38"/>
      <c r="N99" s="38"/>
    </row>
    <row r="100" spans="2:15">
      <c r="B100" s="23" t="s">
        <v>216</v>
      </c>
      <c r="D100" t="s">
        <v>108</v>
      </c>
      <c r="F100" s="80">
        <f>SUM(G100:O100)</f>
        <v>0</v>
      </c>
      <c r="G100" s="43">
        <f>'PRD OPEX AD (2009-2012)'!G119</f>
        <v>0</v>
      </c>
      <c r="H100" s="43">
        <f>'PRD OPEX AD (2009-2012)'!H119</f>
        <v>0</v>
      </c>
      <c r="I100" s="43">
        <f>'PRD OPEX AD (2009-2012)'!I119</f>
        <v>0</v>
      </c>
      <c r="J100" s="43">
        <f>'PRD OPEX AD (2009-2012)'!J119</f>
        <v>0</v>
      </c>
      <c r="K100" s="43">
        <f>'PRD OPEX AD (2009-2012)'!K119</f>
        <v>0</v>
      </c>
      <c r="L100" s="43">
        <f>'PRD OPEX AD (2009-2012)'!L119</f>
        <v>0</v>
      </c>
      <c r="M100" s="43">
        <f>'PRD OPEX AD (2009-2012)'!M119</f>
        <v>0</v>
      </c>
      <c r="N100" s="43">
        <f>'PRD OPEX AD (2009-2012)'!N119</f>
        <v>0</v>
      </c>
      <c r="O100" s="43">
        <f>'PRD OPEX AD (2009-2012)'!O119</f>
        <v>0</v>
      </c>
    </row>
    <row r="101" spans="2:15">
      <c r="B101" s="23" t="s">
        <v>217</v>
      </c>
      <c r="D101" t="s">
        <v>108</v>
      </c>
      <c r="F101" s="80">
        <f>SUM(G101:O101)</f>
        <v>0</v>
      </c>
      <c r="G101" s="43">
        <f>'PRD OPEX AD (2009-2012)'!G120</f>
        <v>0</v>
      </c>
      <c r="H101" s="43">
        <f>'PRD OPEX AD (2009-2012)'!H120</f>
        <v>0</v>
      </c>
      <c r="I101" s="43">
        <f>'PRD OPEX AD (2009-2012)'!I120</f>
        <v>0</v>
      </c>
      <c r="J101" s="43">
        <f>'PRD OPEX AD (2009-2012)'!J120</f>
        <v>0</v>
      </c>
      <c r="K101" s="43">
        <f>'PRD OPEX AD (2009-2012)'!K120</f>
        <v>0</v>
      </c>
      <c r="L101" s="43">
        <f>'PRD OPEX AD (2009-2012)'!L120</f>
        <v>0</v>
      </c>
      <c r="M101" s="43">
        <f>'PRD OPEX AD (2009-2012)'!M120</f>
        <v>0</v>
      </c>
      <c r="N101" s="43">
        <f>'PRD OPEX AD (2009-2012)'!N120</f>
        <v>0</v>
      </c>
      <c r="O101" s="43">
        <f>'PRD OPEX AD (2009-2012)'!O120</f>
        <v>0</v>
      </c>
    </row>
    <row r="102" spans="2:15">
      <c r="B102" s="23"/>
      <c r="F102" s="62"/>
      <c r="G102" s="42"/>
      <c r="H102" s="42"/>
      <c r="I102" s="42"/>
      <c r="J102" s="42"/>
      <c r="K102" s="42"/>
      <c r="L102" s="42"/>
      <c r="M102" s="42"/>
      <c r="N102" s="42"/>
      <c r="O102" s="42"/>
    </row>
    <row r="103" spans="2:15">
      <c r="B103" s="22" t="s">
        <v>122</v>
      </c>
      <c r="F103" s="62"/>
      <c r="G103" s="42"/>
      <c r="H103" s="42"/>
      <c r="I103" s="42"/>
      <c r="J103" s="42"/>
      <c r="K103" s="42"/>
      <c r="L103" s="42"/>
      <c r="M103" s="42"/>
      <c r="N103" s="42"/>
      <c r="O103" s="42"/>
    </row>
    <row r="104" spans="2:15">
      <c r="B104" s="23" t="s">
        <v>123</v>
      </c>
      <c r="D104" t="s">
        <v>108</v>
      </c>
      <c r="F104" s="80">
        <f>SUM(G104:O104)</f>
        <v>76274103.838073462</v>
      </c>
      <c r="G104" s="43">
        <f>'PRD OPEX AD (2009-2012)'!G123</f>
        <v>1525000</v>
      </c>
      <c r="H104" s="43">
        <f>'PRD OPEX AD (2009-2012)'!H123</f>
        <v>1464535.9653174004</v>
      </c>
      <c r="I104" s="43">
        <f>'PRD OPEX AD (2009-2012)'!I123</f>
        <v>5597905.0691100499</v>
      </c>
      <c r="J104" s="43">
        <f>'PRD OPEX AD (2009-2012)'!J123</f>
        <v>15101937.713420806</v>
      </c>
      <c r="K104" s="43">
        <f>'PRD OPEX AD (2009-2012)'!K123</f>
        <v>37982886.291962922</v>
      </c>
      <c r="L104" s="43">
        <f>'PRD OPEX AD (2009-2012)'!L123</f>
        <v>926073.05999999994</v>
      </c>
      <c r="M104" s="43">
        <f>'PRD OPEX AD (2009-2012)'!M123</f>
        <v>13176248.251381829</v>
      </c>
      <c r="N104" s="43">
        <f>'PRD OPEX AD (2009-2012)'!N123</f>
        <v>499517.48688044853</v>
      </c>
      <c r="O104" s="43">
        <f>'PRD OPEX AD (2009-2012)'!O123</f>
        <v>0</v>
      </c>
    </row>
    <row r="105" spans="2:15">
      <c r="B105" s="23" t="s">
        <v>124</v>
      </c>
      <c r="D105" t="s">
        <v>108</v>
      </c>
      <c r="F105" s="80">
        <f>SUM(G105:O105)</f>
        <v>5532221.6557895578</v>
      </c>
      <c r="G105" s="43">
        <f>'PRD OPEX AD (2009-2012)'!G124</f>
        <v>0</v>
      </c>
      <c r="H105" s="43">
        <f>'PRD OPEX AD (2009-2012)'!H124</f>
        <v>0</v>
      </c>
      <c r="I105" s="43">
        <f>'PRD OPEX AD (2009-2012)'!I124</f>
        <v>0</v>
      </c>
      <c r="J105" s="43">
        <f>'PRD OPEX AD (2009-2012)'!J124</f>
        <v>0</v>
      </c>
      <c r="K105" s="43">
        <f>'PRD OPEX AD (2009-2012)'!K124</f>
        <v>0</v>
      </c>
      <c r="L105" s="43">
        <f>'PRD OPEX AD (2009-2012)'!L124</f>
        <v>18733.280000000002</v>
      </c>
      <c r="M105" s="43">
        <f>'PRD OPEX AD (2009-2012)'!M124</f>
        <v>5513488.3757895576</v>
      </c>
      <c r="N105" s="43">
        <f>'PRD OPEX AD (2009-2012)'!N124</f>
        <v>0</v>
      </c>
      <c r="O105" s="43">
        <f>'PRD OPEX AD (2009-2012)'!O124</f>
        <v>0</v>
      </c>
    </row>
    <row r="106" spans="2:15">
      <c r="B106" s="23"/>
      <c r="F106" s="62"/>
      <c r="G106" s="42"/>
      <c r="H106" s="42"/>
      <c r="I106" s="42"/>
      <c r="J106" s="42"/>
      <c r="K106" s="42"/>
      <c r="L106" s="42"/>
      <c r="M106" s="42"/>
      <c r="N106" s="42"/>
      <c r="O106" s="42"/>
    </row>
    <row r="107" spans="2:15">
      <c r="B107" s="22" t="s">
        <v>125</v>
      </c>
      <c r="F107" s="62"/>
      <c r="G107" s="42"/>
      <c r="H107" s="42"/>
      <c r="I107" s="42"/>
      <c r="J107" s="42"/>
      <c r="K107" s="42"/>
      <c r="L107" s="42"/>
      <c r="M107" s="42"/>
      <c r="N107" s="42"/>
      <c r="O107" s="42"/>
    </row>
    <row r="108" spans="2:15">
      <c r="B108" s="23" t="s">
        <v>126</v>
      </c>
      <c r="D108" t="s">
        <v>108</v>
      </c>
      <c r="F108" s="80">
        <f>SUM(G108:O108)</f>
        <v>0</v>
      </c>
      <c r="G108" s="43">
        <f>'PRD OPEX AD (2009-2012)'!G127</f>
        <v>0</v>
      </c>
      <c r="H108" s="43">
        <f>'PRD OPEX AD (2009-2012)'!H127</f>
        <v>0</v>
      </c>
      <c r="I108" s="43">
        <f>'PRD OPEX AD (2009-2012)'!I127</f>
        <v>0</v>
      </c>
      <c r="J108" s="43">
        <f>'PRD OPEX AD (2009-2012)'!J127</f>
        <v>0</v>
      </c>
      <c r="K108" s="43">
        <f>'PRD OPEX AD (2009-2012)'!K127</f>
        <v>0</v>
      </c>
      <c r="L108" s="43">
        <f>'PRD OPEX AD (2009-2012)'!L127</f>
        <v>0</v>
      </c>
      <c r="M108" s="43">
        <f>'PRD OPEX AD (2009-2012)'!M127</f>
        <v>0</v>
      </c>
      <c r="N108" s="43">
        <f>'PRD OPEX AD (2009-2012)'!N127</f>
        <v>0</v>
      </c>
      <c r="O108" s="43">
        <f>'PRD OPEX AD (2009-2012)'!O127</f>
        <v>0</v>
      </c>
    </row>
    <row r="109" spans="2:15">
      <c r="B109" s="23" t="s">
        <v>127</v>
      </c>
      <c r="D109" t="s">
        <v>108</v>
      </c>
      <c r="F109" s="80">
        <f>SUM(G109:O109)</f>
        <v>1000</v>
      </c>
      <c r="G109" s="43">
        <f>'PRD OPEX AD (2009-2012)'!G128</f>
        <v>1000</v>
      </c>
      <c r="H109" s="43">
        <f>'PRD OPEX AD (2009-2012)'!H128</f>
        <v>0</v>
      </c>
      <c r="I109" s="43">
        <f>'PRD OPEX AD (2009-2012)'!I128</f>
        <v>0</v>
      </c>
      <c r="J109" s="43">
        <f>'PRD OPEX AD (2009-2012)'!J128</f>
        <v>0</v>
      </c>
      <c r="K109" s="43">
        <f>'PRD OPEX AD (2009-2012)'!K128</f>
        <v>0</v>
      </c>
      <c r="L109" s="43">
        <f>'PRD OPEX AD (2009-2012)'!L128</f>
        <v>0</v>
      </c>
      <c r="M109" s="43">
        <f>'PRD OPEX AD (2009-2012)'!M128</f>
        <v>0</v>
      </c>
      <c r="N109" s="43">
        <f>'PRD OPEX AD (2009-2012)'!N128</f>
        <v>0</v>
      </c>
      <c r="O109" s="43">
        <f>'PRD OPEX AD (2009-2012)'!O128</f>
        <v>0</v>
      </c>
    </row>
    <row r="110" spans="2:15">
      <c r="B110" s="23"/>
      <c r="F110" s="62"/>
      <c r="G110" s="42"/>
      <c r="H110" s="42"/>
      <c r="I110" s="42"/>
      <c r="J110" s="42"/>
      <c r="K110" s="42"/>
      <c r="L110" s="42"/>
      <c r="M110" s="42"/>
      <c r="N110" s="42"/>
      <c r="O110" s="42"/>
    </row>
    <row r="111" spans="2:15">
      <c r="B111" s="22" t="s">
        <v>128</v>
      </c>
      <c r="F111" s="62"/>
      <c r="G111" s="42"/>
      <c r="H111" s="42"/>
      <c r="I111" s="42"/>
      <c r="J111" s="42"/>
      <c r="K111" s="42"/>
      <c r="L111" s="42"/>
      <c r="M111" s="42"/>
      <c r="N111" s="42"/>
      <c r="O111" s="42"/>
    </row>
    <row r="112" spans="2:15">
      <c r="B112" s="93" t="s">
        <v>180</v>
      </c>
      <c r="D112" t="s">
        <v>108</v>
      </c>
      <c r="F112" s="80">
        <f>SUM(G112:O112)</f>
        <v>815406.80330350378</v>
      </c>
      <c r="G112" s="43">
        <f>'PRD OPEX AD (2009-2012)'!G131</f>
        <v>17000</v>
      </c>
      <c r="H112" s="43">
        <f>'PRD OPEX AD (2009-2012)'!H131</f>
        <v>22655.414549999998</v>
      </c>
      <c r="I112" s="43">
        <f>'PRD OPEX AD (2009-2012)'!I131</f>
        <v>53190.981643655774</v>
      </c>
      <c r="J112" s="43">
        <f>'PRD OPEX AD (2009-2012)'!J131</f>
        <v>221030.34628937035</v>
      </c>
      <c r="K112" s="43">
        <f>'PRD OPEX AD (2009-2012)'!K131</f>
        <v>251804.95935440497</v>
      </c>
      <c r="L112" s="43">
        <f>'PRD OPEX AD (2009-2012)'!L131</f>
        <v>15371.73</v>
      </c>
      <c r="M112" s="43">
        <f>'PRD OPEX AD (2009-2012)'!M131</f>
        <v>233424.81861147922</v>
      </c>
      <c r="N112" s="43">
        <f>'PRD OPEX AD (2009-2012)'!N131</f>
        <v>928.55285459348249</v>
      </c>
      <c r="O112" s="43">
        <f>'PRD OPEX AD (2009-2012)'!O131</f>
        <v>0</v>
      </c>
    </row>
    <row r="113" spans="2:16">
      <c r="B113" s="93" t="s">
        <v>181</v>
      </c>
      <c r="D113" t="s">
        <v>108</v>
      </c>
      <c r="F113" s="80">
        <f>SUM(G113:O113)</f>
        <v>111225.73609393049</v>
      </c>
      <c r="G113" s="43">
        <f>'PRD OPEX AD (2009-2012)'!G132</f>
        <v>1000</v>
      </c>
      <c r="H113" s="43">
        <f>'PRD OPEX AD (2009-2012)'!H132</f>
        <v>591.01673399999981</v>
      </c>
      <c r="I113" s="43">
        <f>'PRD OPEX AD (2009-2012)'!I132</f>
        <v>4691.5693290800409</v>
      </c>
      <c r="J113" s="43">
        <f>'PRD OPEX AD (2009-2012)'!J132</f>
        <v>28492.428904095472</v>
      </c>
      <c r="K113" s="43">
        <f>'PRD OPEX AD (2009-2012)'!K132</f>
        <v>17347.665807246187</v>
      </c>
      <c r="L113" s="43">
        <f>'PRD OPEX AD (2009-2012)'!L132</f>
        <v>1429.02</v>
      </c>
      <c r="M113" s="43">
        <f>'PRD OPEX AD (2009-2012)'!M132</f>
        <v>49025.480735342586</v>
      </c>
      <c r="N113" s="43">
        <f>'PRD OPEX AD (2009-2012)'!N132</f>
        <v>8648.5545841662133</v>
      </c>
      <c r="O113" s="43">
        <f>'PRD OPEX AD (2009-2012)'!O132</f>
        <v>0</v>
      </c>
    </row>
    <row r="114" spans="2:16">
      <c r="B114" s="94" t="s">
        <v>182</v>
      </c>
      <c r="D114" t="s">
        <v>108</v>
      </c>
      <c r="F114" s="80">
        <f>SUM(G114:O114)</f>
        <v>1205650.9089940903</v>
      </c>
      <c r="G114" s="43">
        <f>'PRD OPEX AD (2009-2012)'!G133</f>
        <v>0</v>
      </c>
      <c r="H114" s="43">
        <f>'PRD OPEX AD (2009-2012)'!H133</f>
        <v>0</v>
      </c>
      <c r="I114" s="43">
        <f>'PRD OPEX AD (2009-2012)'!I133</f>
        <v>101568.8133051426</v>
      </c>
      <c r="J114" s="43">
        <f>'PRD OPEX AD (2009-2012)'!J133</f>
        <v>0</v>
      </c>
      <c r="K114" s="43">
        <f>'PRD OPEX AD (2009-2012)'!K133</f>
        <v>1041775.6659834526</v>
      </c>
      <c r="L114" s="43">
        <f>'PRD OPEX AD (2009-2012)'!L133</f>
        <v>31006.269999999997</v>
      </c>
      <c r="M114" s="43">
        <f>'PRD OPEX AD (2009-2012)'!M133</f>
        <v>25299.977455715318</v>
      </c>
      <c r="N114" s="43">
        <f>'PRD OPEX AD (2009-2012)'!N133</f>
        <v>6000.1822497796902</v>
      </c>
      <c r="O114" s="43">
        <f>'PRD OPEX AD (2009-2012)'!O133</f>
        <v>0</v>
      </c>
    </row>
    <row r="115" spans="2:16">
      <c r="C115" s="45"/>
      <c r="D115" s="28"/>
      <c r="E115" s="46">
        <v>17</v>
      </c>
      <c r="F115" s="62"/>
      <c r="G115" s="42"/>
      <c r="H115" s="42"/>
      <c r="I115" s="42"/>
      <c r="J115" s="42"/>
      <c r="K115" s="42"/>
      <c r="L115" s="42"/>
      <c r="M115" s="42"/>
      <c r="N115" s="42"/>
      <c r="O115" s="42"/>
      <c r="P115" s="28"/>
    </row>
    <row r="116" spans="2:16">
      <c r="B116" s="79" t="s">
        <v>267</v>
      </c>
      <c r="D116" t="s">
        <v>108</v>
      </c>
      <c r="F116" s="80">
        <f>SUM(G116:O116)</f>
        <v>83939608.942254543</v>
      </c>
      <c r="G116" s="69">
        <f>SUM(G100:G101,G104:G105,G108:G109,G112:G114)</f>
        <v>1544000</v>
      </c>
      <c r="H116" s="69">
        <f t="shared" ref="H116:O116" si="6">SUM(H100:H101,H104:H105,H108:H109,H112:H114)</f>
        <v>1487782.3966014006</v>
      </c>
      <c r="I116" s="69">
        <f t="shared" si="6"/>
        <v>5757356.4333879277</v>
      </c>
      <c r="J116" s="69">
        <f t="shared" si="6"/>
        <v>15351460.488614272</v>
      </c>
      <c r="K116" s="69">
        <f t="shared" si="6"/>
        <v>39293814.58310803</v>
      </c>
      <c r="L116" s="69">
        <f t="shared" si="6"/>
        <v>992613.36</v>
      </c>
      <c r="M116" s="69">
        <f t="shared" si="6"/>
        <v>18997486.903973926</v>
      </c>
      <c r="N116" s="69">
        <f t="shared" si="6"/>
        <v>515094.77656898793</v>
      </c>
      <c r="O116" s="69">
        <f t="shared" si="6"/>
        <v>0</v>
      </c>
    </row>
    <row r="117" spans="2:16">
      <c r="F117" s="62"/>
      <c r="G117" s="42"/>
      <c r="H117" s="42"/>
      <c r="I117" s="42"/>
      <c r="J117" s="42"/>
      <c r="K117" s="42"/>
      <c r="L117" s="42"/>
      <c r="M117" s="42"/>
      <c r="N117" s="42"/>
    </row>
    <row r="118" spans="2:16">
      <c r="F118" s="62"/>
      <c r="G118" s="42"/>
      <c r="H118" s="42"/>
      <c r="I118" s="42"/>
      <c r="J118" s="42"/>
      <c r="K118" s="42"/>
      <c r="L118" s="42"/>
      <c r="M118" s="42"/>
      <c r="N118" s="42"/>
    </row>
    <row r="119" spans="2:16">
      <c r="B119" s="261" t="s">
        <v>832</v>
      </c>
      <c r="F119" s="62"/>
      <c r="G119" s="42"/>
      <c r="H119" s="42"/>
      <c r="I119" s="42"/>
      <c r="J119" s="42"/>
      <c r="K119" s="42"/>
      <c r="L119" s="42"/>
      <c r="M119" s="42"/>
      <c r="N119" s="42"/>
    </row>
    <row r="120" spans="2:16">
      <c r="F120" s="62"/>
      <c r="G120" s="133"/>
      <c r="H120" s="42"/>
      <c r="I120" s="42"/>
      <c r="J120" s="42"/>
      <c r="K120" s="42"/>
      <c r="L120" s="42"/>
      <c r="M120" s="42"/>
      <c r="N120" s="42"/>
    </row>
    <row r="121" spans="2:16">
      <c r="B121" s="22" t="s">
        <v>121</v>
      </c>
      <c r="D121" s="28"/>
      <c r="E121" s="28"/>
      <c r="F121" s="67"/>
      <c r="G121" s="38"/>
      <c r="H121" s="38"/>
      <c r="I121" s="38"/>
      <c r="J121" s="38"/>
      <c r="K121" s="38"/>
      <c r="L121" s="38"/>
      <c r="M121" s="38"/>
      <c r="N121" s="38"/>
    </row>
    <row r="122" spans="2:16">
      <c r="B122" s="23" t="s">
        <v>216</v>
      </c>
      <c r="D122" t="s">
        <v>108</v>
      </c>
      <c r="F122" s="80">
        <f>SUM(G122:O122)</f>
        <v>0</v>
      </c>
      <c r="G122" s="131"/>
      <c r="H122" s="131"/>
      <c r="I122" s="131"/>
      <c r="J122" s="131"/>
      <c r="K122" s="131"/>
      <c r="L122" s="131"/>
      <c r="M122" s="131"/>
      <c r="N122" s="131"/>
      <c r="O122" s="131"/>
    </row>
    <row r="123" spans="2:16">
      <c r="B123" s="23" t="s">
        <v>217</v>
      </c>
      <c r="D123" t="s">
        <v>108</v>
      </c>
      <c r="F123" s="80">
        <f>SUM(G123:O123)</f>
        <v>0</v>
      </c>
      <c r="G123" s="131"/>
      <c r="H123" s="131"/>
      <c r="I123" s="131"/>
      <c r="J123" s="131"/>
      <c r="K123" s="131"/>
      <c r="L123" s="131"/>
      <c r="M123" s="131"/>
      <c r="N123" s="131"/>
      <c r="O123" s="131"/>
    </row>
    <row r="124" spans="2:16">
      <c r="B124" s="23"/>
      <c r="F124" s="62"/>
      <c r="G124" s="42"/>
      <c r="H124" s="42"/>
      <c r="I124" s="42"/>
      <c r="J124" s="42"/>
      <c r="K124" s="42"/>
      <c r="L124" s="42"/>
      <c r="M124" s="42"/>
      <c r="N124" s="42"/>
    </row>
    <row r="125" spans="2:16">
      <c r="B125" s="22" t="s">
        <v>122</v>
      </c>
      <c r="F125" s="62"/>
      <c r="G125" s="42"/>
      <c r="H125" s="42"/>
      <c r="I125" s="42"/>
      <c r="J125" s="42"/>
      <c r="K125" s="42"/>
      <c r="L125" s="42"/>
      <c r="M125" s="42"/>
      <c r="N125" s="42"/>
    </row>
    <row r="126" spans="2:16">
      <c r="B126" s="23" t="s">
        <v>123</v>
      </c>
      <c r="D126" t="s">
        <v>108</v>
      </c>
      <c r="F126" s="80">
        <f>SUM(G126:O126)</f>
        <v>0</v>
      </c>
      <c r="G126" s="131"/>
      <c r="H126" s="131"/>
      <c r="I126" s="131"/>
      <c r="J126" s="131"/>
      <c r="K126" s="131"/>
      <c r="L126" s="131"/>
      <c r="M126" s="131"/>
      <c r="N126" s="131"/>
      <c r="O126" s="131"/>
    </row>
    <row r="127" spans="2:16">
      <c r="B127" s="23" t="s">
        <v>124</v>
      </c>
      <c r="D127" t="s">
        <v>108</v>
      </c>
      <c r="F127" s="80">
        <f>SUM(G127:O127)</f>
        <v>0</v>
      </c>
      <c r="G127" s="131"/>
      <c r="H127" s="131"/>
      <c r="I127" s="131"/>
      <c r="J127" s="131"/>
      <c r="K127" s="131"/>
      <c r="L127" s="131"/>
      <c r="M127" s="131"/>
      <c r="N127" s="131"/>
      <c r="O127" s="131"/>
    </row>
    <row r="128" spans="2:16">
      <c r="B128" s="23"/>
      <c r="F128" s="62"/>
      <c r="G128" s="42"/>
      <c r="H128" s="42"/>
      <c r="I128" s="42"/>
      <c r="J128" s="42"/>
      <c r="K128" s="42"/>
      <c r="L128" s="42"/>
      <c r="M128" s="42"/>
      <c r="N128" s="42"/>
    </row>
    <row r="129" spans="2:15">
      <c r="B129" s="22" t="s">
        <v>125</v>
      </c>
      <c r="F129" s="62"/>
      <c r="G129" s="42"/>
      <c r="H129" s="42"/>
      <c r="I129" s="42"/>
      <c r="J129" s="42"/>
      <c r="K129" s="42"/>
      <c r="L129" s="42"/>
      <c r="M129" s="42"/>
      <c r="N129" s="42"/>
    </row>
    <row r="130" spans="2:15">
      <c r="B130" s="23" t="s">
        <v>126</v>
      </c>
      <c r="D130" t="s">
        <v>108</v>
      </c>
      <c r="F130" s="80">
        <f>SUM(G130:O130)</f>
        <v>0</v>
      </c>
      <c r="G130" s="131"/>
      <c r="H130" s="131"/>
      <c r="I130" s="131"/>
      <c r="J130" s="131"/>
      <c r="K130" s="131"/>
      <c r="L130" s="131"/>
      <c r="M130" s="131"/>
      <c r="N130" s="131"/>
      <c r="O130" s="131"/>
    </row>
    <row r="131" spans="2:15">
      <c r="B131" s="23" t="s">
        <v>127</v>
      </c>
      <c r="D131" t="s">
        <v>108</v>
      </c>
      <c r="F131" s="80">
        <f>SUM(G131:O131)</f>
        <v>0</v>
      </c>
      <c r="G131" s="131"/>
      <c r="H131" s="131"/>
      <c r="I131" s="131"/>
      <c r="J131" s="131"/>
      <c r="K131" s="131"/>
      <c r="L131" s="131"/>
      <c r="M131" s="131"/>
      <c r="N131" s="131"/>
      <c r="O131" s="131"/>
    </row>
    <row r="132" spans="2:15">
      <c r="B132" s="23"/>
      <c r="F132" s="62"/>
      <c r="G132" s="42"/>
      <c r="H132" s="42"/>
      <c r="I132" s="42"/>
      <c r="J132" s="42"/>
      <c r="K132" s="42"/>
      <c r="L132" s="42"/>
      <c r="M132" s="42"/>
      <c r="N132" s="42"/>
    </row>
    <row r="133" spans="2:15">
      <c r="B133" s="22" t="s">
        <v>128</v>
      </c>
      <c r="F133" s="62"/>
      <c r="G133" s="42"/>
      <c r="H133" s="42"/>
      <c r="I133" s="42"/>
      <c r="J133" s="42"/>
      <c r="K133" s="42"/>
      <c r="L133" s="42"/>
      <c r="M133" s="42"/>
      <c r="N133" s="42"/>
    </row>
    <row r="134" spans="2:15">
      <c r="B134" s="93" t="s">
        <v>180</v>
      </c>
      <c r="D134" t="s">
        <v>108</v>
      </c>
      <c r="F134" s="80">
        <f>SUM(G134:O134)</f>
        <v>0</v>
      </c>
      <c r="G134" s="131"/>
      <c r="H134" s="131"/>
      <c r="I134" s="131"/>
      <c r="J134" s="131"/>
      <c r="K134" s="131"/>
      <c r="L134" s="131"/>
      <c r="M134" s="131"/>
      <c r="N134" s="131"/>
      <c r="O134" s="131"/>
    </row>
    <row r="135" spans="2:15">
      <c r="B135" s="93" t="s">
        <v>181</v>
      </c>
      <c r="D135" t="s">
        <v>108</v>
      </c>
      <c r="F135" s="80">
        <f>SUM(G135:O135)</f>
        <v>0</v>
      </c>
      <c r="G135" s="131"/>
      <c r="H135" s="131"/>
      <c r="I135" s="131"/>
      <c r="J135" s="131"/>
      <c r="K135" s="131"/>
      <c r="L135" s="131"/>
      <c r="M135" s="131"/>
      <c r="N135" s="131"/>
      <c r="O135" s="131"/>
    </row>
    <row r="136" spans="2:15">
      <c r="B136" s="94" t="s">
        <v>182</v>
      </c>
      <c r="D136" t="s">
        <v>108</v>
      </c>
      <c r="F136" s="80">
        <f>SUM(G136:O136)</f>
        <v>0</v>
      </c>
      <c r="G136" s="131"/>
      <c r="H136" s="131"/>
      <c r="I136" s="131"/>
      <c r="J136" s="131"/>
      <c r="K136" s="131"/>
      <c r="L136" s="131"/>
      <c r="M136" s="131"/>
      <c r="N136" s="131"/>
      <c r="O136" s="131"/>
    </row>
    <row r="137" spans="2:15">
      <c r="F137" s="62"/>
      <c r="G137" s="42"/>
      <c r="H137" s="42"/>
      <c r="I137" s="42"/>
      <c r="J137" s="42"/>
      <c r="K137" s="42"/>
      <c r="L137" s="42"/>
      <c r="M137" s="42"/>
      <c r="N137" s="42"/>
    </row>
    <row r="138" spans="2:15">
      <c r="F138" s="62"/>
      <c r="G138" s="42"/>
      <c r="H138" s="42"/>
      <c r="I138" s="42"/>
      <c r="J138" s="42"/>
      <c r="K138" s="42"/>
      <c r="L138" s="42"/>
      <c r="M138" s="42"/>
      <c r="N138" s="42"/>
    </row>
    <row r="139" spans="2:15">
      <c r="B139" s="261" t="s">
        <v>831</v>
      </c>
      <c r="F139" s="62"/>
      <c r="G139" s="42"/>
      <c r="H139" s="42"/>
      <c r="I139" s="42"/>
      <c r="J139" s="42"/>
      <c r="K139" s="42"/>
      <c r="L139" s="42"/>
      <c r="M139" s="42"/>
      <c r="N139" s="42"/>
    </row>
    <row r="140" spans="2:15">
      <c r="F140" s="62"/>
      <c r="G140" s="42"/>
      <c r="H140" s="42"/>
      <c r="I140" s="42"/>
      <c r="J140" s="42"/>
      <c r="K140" s="42"/>
      <c r="L140" s="42"/>
      <c r="M140" s="42"/>
      <c r="N140" s="42"/>
    </row>
    <row r="141" spans="2:15">
      <c r="B141" s="22" t="s">
        <v>121</v>
      </c>
      <c r="D141" s="28"/>
      <c r="E141" s="28"/>
      <c r="F141" s="67"/>
      <c r="G141" s="38"/>
      <c r="H141" s="38"/>
      <c r="I141" s="38"/>
      <c r="J141" s="38"/>
      <c r="K141" s="38"/>
      <c r="L141" s="38"/>
      <c r="M141" s="38"/>
      <c r="N141" s="38"/>
    </row>
    <row r="142" spans="2:15">
      <c r="B142" s="23" t="s">
        <v>216</v>
      </c>
      <c r="D142" t="s">
        <v>108</v>
      </c>
      <c r="F142" s="80">
        <f>SUM(G142:O142)</f>
        <v>0</v>
      </c>
      <c r="G142" s="131"/>
      <c r="H142" s="131"/>
      <c r="I142" s="131"/>
      <c r="J142" s="131"/>
      <c r="K142" s="131"/>
      <c r="L142" s="131"/>
      <c r="M142" s="131"/>
      <c r="N142" s="131"/>
      <c r="O142" s="131"/>
    </row>
    <row r="143" spans="2:15">
      <c r="B143" s="23" t="s">
        <v>217</v>
      </c>
      <c r="D143" t="s">
        <v>108</v>
      </c>
      <c r="F143" s="80">
        <f>SUM(G143:O143)</f>
        <v>0</v>
      </c>
      <c r="G143" s="131"/>
      <c r="H143" s="131"/>
      <c r="I143" s="131"/>
      <c r="J143" s="131"/>
      <c r="K143" s="131"/>
      <c r="L143" s="131"/>
      <c r="M143" s="131"/>
      <c r="N143" s="131"/>
      <c r="O143" s="131"/>
    </row>
    <row r="144" spans="2:15">
      <c r="B144" s="23"/>
      <c r="F144" s="62"/>
      <c r="G144" s="42"/>
      <c r="H144" s="42"/>
      <c r="I144" s="42"/>
      <c r="J144" s="42"/>
      <c r="K144" s="42"/>
      <c r="L144" s="42"/>
      <c r="M144" s="42"/>
      <c r="N144" s="42"/>
      <c r="O144" s="42"/>
    </row>
    <row r="145" spans="2:15">
      <c r="B145" s="22" t="s">
        <v>122</v>
      </c>
      <c r="F145" s="62"/>
      <c r="G145" s="42"/>
      <c r="H145" s="42"/>
      <c r="I145" s="42"/>
      <c r="J145" s="42"/>
      <c r="K145" s="42"/>
      <c r="L145" s="42"/>
      <c r="M145" s="42"/>
      <c r="N145" s="42"/>
      <c r="O145" s="42"/>
    </row>
    <row r="146" spans="2:15">
      <c r="B146" s="23" t="s">
        <v>123</v>
      </c>
      <c r="D146" t="s">
        <v>108</v>
      </c>
      <c r="F146" s="80">
        <f>SUM(G146:O146)</f>
        <v>12373142.839662803</v>
      </c>
      <c r="G146" s="195">
        <f>'PRD Ov.Opbrengst AD (2009-2012)'!G88-'PRD Ov.Opbrengst AD (2009-2012)'!G80+'PRD Ov.Opbrengst AD (2009-2012)'!G67+'PRD Ov.Opbrengst AD (2009-2012)'!G103-'PRD Ov.Opbrengst AD (2009-2012)'!G107</f>
        <v>100283.07</v>
      </c>
      <c r="H146" s="195">
        <f>'PRD Ov.Opbrengst AD (2009-2012)'!H88-'PRD Ov.Opbrengst AD (2009-2012)'!H80+'PRD Ov.Opbrengst AD (2009-2012)'!H67+'PRD Ov.Opbrengst AD (2009-2012)'!H103-'PRD Ov.Opbrengst AD (2009-2012)'!H107</f>
        <v>-60.35</v>
      </c>
      <c r="I146" s="195">
        <f>'PRD Ov.Opbrengst AD (2009-2012)'!I88-'PRD Ov.Opbrengst AD (2009-2012)'!I80+'PRD Ov.Opbrengst AD (2009-2012)'!I67+'PRD Ov.Opbrengst AD (2009-2012)'!I103-'PRD Ov.Opbrengst AD (2009-2012)'!I107</f>
        <v>427795.80727750232</v>
      </c>
      <c r="J146" s="195">
        <f>'PRD Ov.Opbrengst AD (2009-2012)'!J88-'PRD Ov.Opbrengst AD (2009-2012)'!J80+'PRD Ov.Opbrengst AD (2009-2012)'!J67+'PRD Ov.Opbrengst AD (2009-2012)'!J103-'PRD Ov.Opbrengst AD (2009-2012)'!J107</f>
        <v>3924391.1653382792</v>
      </c>
      <c r="K146" s="195">
        <f>'PRD Ov.Opbrengst AD (2009-2012)'!K88-'PRD Ov.Opbrengst AD (2009-2012)'!K80+'PRD Ov.Opbrengst AD (2009-2012)'!K67+'PRD Ov.Opbrengst AD (2009-2012)'!K103-'PRD Ov.Opbrengst AD (2009-2012)'!K107</f>
        <v>3734662.452839423</v>
      </c>
      <c r="L146" s="195">
        <f>'PRD Ov.Opbrengst AD (2009-2012)'!L88-'PRD Ov.Opbrengst AD (2009-2012)'!L80+'PRD Ov.Opbrengst AD (2009-2012)'!L67+'PRD Ov.Opbrengst AD (2009-2012)'!L103-'PRD Ov.Opbrengst AD (2009-2012)'!L107</f>
        <v>175798</v>
      </c>
      <c r="M146" s="195">
        <f>'PRD Ov.Opbrengst AD (2009-2012)'!M88-'PRD Ov.Opbrengst AD (2009-2012)'!M80+'PRD Ov.Opbrengst AD (2009-2012)'!M67+'PRD Ov.Opbrengst AD (2009-2012)'!M103-'PRD Ov.Opbrengst AD (2009-2012)'!M107</f>
        <v>3755385.4190329453</v>
      </c>
      <c r="N146" s="195">
        <f>'PRD Ov.Opbrengst AD (2009-2012)'!N88-'PRD Ov.Opbrengst AD (2009-2012)'!N80+'PRD Ov.Opbrengst AD (2009-2012)'!N67+'PRD Ov.Opbrengst AD (2009-2012)'!N103-'PRD Ov.Opbrengst AD (2009-2012)'!N107</f>
        <v>254887.27517465237</v>
      </c>
      <c r="O146" s="195">
        <f>'PRD Ov.Opbrengst AD (2009-2012)'!O88-'PRD Ov.Opbrengst AD (2009-2012)'!O80+'PRD Ov.Opbrengst AD (2009-2012)'!O67+'PRD Ov.Opbrengst AD (2009-2012)'!O103-'PRD Ov.Opbrengst AD (2009-2012)'!O107</f>
        <v>0</v>
      </c>
    </row>
    <row r="147" spans="2:15">
      <c r="B147" s="23" t="s">
        <v>124</v>
      </c>
      <c r="D147" t="s">
        <v>108</v>
      </c>
      <c r="F147" s="80">
        <f>SUM(G147:O147)</f>
        <v>0</v>
      </c>
      <c r="G147" s="131"/>
      <c r="H147" s="131"/>
      <c r="I147" s="131"/>
      <c r="J147" s="131"/>
      <c r="K147" s="131"/>
      <c r="L147" s="131"/>
      <c r="M147" s="131"/>
      <c r="N147" s="131"/>
      <c r="O147" s="131"/>
    </row>
    <row r="148" spans="2:15">
      <c r="B148" s="23"/>
      <c r="F148" s="62"/>
      <c r="G148" s="42"/>
      <c r="H148" s="42"/>
      <c r="I148" s="42"/>
      <c r="J148" s="42"/>
      <c r="K148" s="42"/>
      <c r="L148" s="42"/>
      <c r="M148" s="42"/>
      <c r="N148" s="42"/>
      <c r="O148" s="42"/>
    </row>
    <row r="149" spans="2:15">
      <c r="B149" s="22" t="s">
        <v>125</v>
      </c>
      <c r="F149" s="62"/>
      <c r="G149" s="42"/>
      <c r="H149" s="42"/>
      <c r="I149" s="42"/>
      <c r="J149" s="42"/>
      <c r="K149" s="42"/>
      <c r="L149" s="42"/>
      <c r="M149" s="42"/>
      <c r="N149" s="42"/>
      <c r="O149" s="42"/>
    </row>
    <row r="150" spans="2:15">
      <c r="B150" s="23" t="s">
        <v>126</v>
      </c>
      <c r="D150" t="s">
        <v>108</v>
      </c>
      <c r="F150" s="80">
        <f>SUM(G150:O150)</f>
        <v>0</v>
      </c>
      <c r="G150" s="131"/>
      <c r="H150" s="131"/>
      <c r="I150" s="131"/>
      <c r="J150" s="131"/>
      <c r="K150" s="131"/>
      <c r="L150" s="131"/>
      <c r="M150" s="131"/>
      <c r="N150" s="131"/>
      <c r="O150" s="131"/>
    </row>
    <row r="151" spans="2:15">
      <c r="B151" s="23" t="s">
        <v>127</v>
      </c>
      <c r="D151" t="s">
        <v>108</v>
      </c>
      <c r="F151" s="80">
        <f>SUM(G151:O151)</f>
        <v>0</v>
      </c>
      <c r="G151" s="131"/>
      <c r="H151" s="131"/>
      <c r="I151" s="131"/>
      <c r="J151" s="131"/>
      <c r="K151" s="131"/>
      <c r="L151" s="131"/>
      <c r="M151" s="131"/>
      <c r="N151" s="131"/>
      <c r="O151" s="131"/>
    </row>
    <row r="152" spans="2:15">
      <c r="B152" s="23"/>
      <c r="F152" s="62"/>
      <c r="G152" s="42"/>
      <c r="H152" s="42"/>
      <c r="I152" s="42"/>
      <c r="J152" s="42"/>
      <c r="K152" s="42"/>
      <c r="L152" s="42"/>
      <c r="M152" s="42"/>
      <c r="N152" s="42"/>
      <c r="O152" s="42"/>
    </row>
    <row r="153" spans="2:15">
      <c r="B153" s="22" t="s">
        <v>128</v>
      </c>
      <c r="F153" s="62"/>
      <c r="G153" s="42"/>
      <c r="H153" s="42"/>
      <c r="I153" s="42"/>
      <c r="J153" s="42"/>
      <c r="K153" s="42"/>
      <c r="L153" s="42"/>
      <c r="M153" s="42"/>
      <c r="N153" s="42"/>
      <c r="O153" s="42"/>
    </row>
    <row r="154" spans="2:15">
      <c r="B154" s="93" t="s">
        <v>180</v>
      </c>
      <c r="D154" t="s">
        <v>108</v>
      </c>
      <c r="F154" s="80">
        <f>SUM(G154:O154)</f>
        <v>0</v>
      </c>
      <c r="G154" s="131"/>
      <c r="H154" s="131"/>
      <c r="I154" s="131"/>
      <c r="J154" s="131"/>
      <c r="K154" s="131"/>
      <c r="L154" s="131"/>
      <c r="M154" s="131"/>
      <c r="N154" s="131"/>
      <c r="O154" s="131"/>
    </row>
    <row r="155" spans="2:15">
      <c r="B155" s="93" t="s">
        <v>181</v>
      </c>
      <c r="D155" t="s">
        <v>108</v>
      </c>
      <c r="F155" s="80">
        <f>SUM(G155:O155)</f>
        <v>0</v>
      </c>
      <c r="G155" s="131"/>
      <c r="H155" s="131"/>
      <c r="I155" s="131"/>
      <c r="J155" s="131"/>
      <c r="K155" s="131"/>
      <c r="L155" s="131"/>
      <c r="M155" s="131"/>
      <c r="N155" s="131"/>
      <c r="O155" s="131"/>
    </row>
    <row r="156" spans="2:15">
      <c r="B156" s="94" t="s">
        <v>182</v>
      </c>
      <c r="D156" t="s">
        <v>108</v>
      </c>
      <c r="F156" s="80">
        <f>SUM(G156:O156)</f>
        <v>0</v>
      </c>
      <c r="G156" s="131"/>
      <c r="H156" s="131"/>
      <c r="I156" s="131"/>
      <c r="J156" s="131"/>
      <c r="K156" s="131"/>
      <c r="L156" s="131"/>
      <c r="M156" s="131"/>
      <c r="N156" s="131"/>
      <c r="O156" s="131"/>
    </row>
    <row r="157" spans="2:15">
      <c r="F157" s="62"/>
      <c r="G157" s="42"/>
      <c r="H157" s="42"/>
      <c r="I157" s="42"/>
      <c r="J157" s="42"/>
      <c r="K157" s="42"/>
      <c r="L157" s="42"/>
      <c r="M157" s="42"/>
      <c r="N157" s="42"/>
    </row>
    <row r="158" spans="2:15">
      <c r="F158" s="62"/>
      <c r="G158" s="42"/>
      <c r="H158" s="42"/>
      <c r="I158" s="42"/>
      <c r="J158" s="42"/>
      <c r="K158" s="42"/>
      <c r="L158" s="42"/>
      <c r="M158" s="42"/>
      <c r="N158" s="42"/>
    </row>
    <row r="159" spans="2:15">
      <c r="B159" s="3" t="s">
        <v>30</v>
      </c>
      <c r="F159" s="62"/>
      <c r="G159" s="42"/>
      <c r="H159" s="42"/>
      <c r="I159" s="42"/>
      <c r="J159" s="42"/>
      <c r="K159" s="42"/>
      <c r="L159" s="42"/>
      <c r="M159" s="42"/>
      <c r="N159" s="42"/>
    </row>
    <row r="160" spans="2:15">
      <c r="F160" s="62"/>
      <c r="G160" s="42"/>
      <c r="H160" s="42"/>
      <c r="I160" s="42"/>
      <c r="J160" s="42"/>
      <c r="K160" s="42"/>
      <c r="L160" s="42"/>
      <c r="M160" s="42"/>
      <c r="N160" s="42"/>
    </row>
    <row r="161" spans="2:17">
      <c r="B161" s="22" t="s">
        <v>121</v>
      </c>
      <c r="D161" s="28"/>
      <c r="E161" s="28"/>
      <c r="F161" s="67"/>
      <c r="G161" s="38"/>
      <c r="H161" s="38"/>
      <c r="I161" s="38"/>
      <c r="J161" s="38"/>
      <c r="K161" s="38"/>
      <c r="L161" s="38"/>
      <c r="M161" s="38"/>
      <c r="N161" s="38"/>
    </row>
    <row r="162" spans="2:17">
      <c r="B162" s="23" t="s">
        <v>216</v>
      </c>
      <c r="D162" t="s">
        <v>108</v>
      </c>
      <c r="F162" s="80">
        <f>SUM(G162:O162)</f>
        <v>0</v>
      </c>
      <c r="G162" s="30">
        <f>G100+G122-G142</f>
        <v>0</v>
      </c>
      <c r="H162" s="30">
        <f t="shared" ref="H162:O163" si="7">H100+H122-H142</f>
        <v>0</v>
      </c>
      <c r="I162" s="30">
        <f t="shared" si="7"/>
        <v>0</v>
      </c>
      <c r="J162" s="30">
        <f t="shared" si="7"/>
        <v>0</v>
      </c>
      <c r="K162" s="30">
        <f t="shared" si="7"/>
        <v>0</v>
      </c>
      <c r="L162" s="30">
        <f t="shared" si="7"/>
        <v>0</v>
      </c>
      <c r="M162" s="30">
        <f t="shared" si="7"/>
        <v>0</v>
      </c>
      <c r="N162" s="30">
        <f t="shared" si="7"/>
        <v>0</v>
      </c>
      <c r="O162" s="30">
        <f t="shared" si="7"/>
        <v>0</v>
      </c>
      <c r="Q162" s="51" t="s">
        <v>569</v>
      </c>
    </row>
    <row r="163" spans="2:17">
      <c r="B163" s="23" t="s">
        <v>217</v>
      </c>
      <c r="D163" t="s">
        <v>108</v>
      </c>
      <c r="F163" s="80">
        <f>SUM(G163:O163)</f>
        <v>0</v>
      </c>
      <c r="G163" s="30">
        <f>G101+G123-G143</f>
        <v>0</v>
      </c>
      <c r="H163" s="30">
        <f t="shared" si="7"/>
        <v>0</v>
      </c>
      <c r="I163" s="30">
        <f t="shared" si="7"/>
        <v>0</v>
      </c>
      <c r="J163" s="30">
        <f t="shared" si="7"/>
        <v>0</v>
      </c>
      <c r="K163" s="30">
        <f t="shared" si="7"/>
        <v>0</v>
      </c>
      <c r="L163" s="30">
        <f t="shared" si="7"/>
        <v>0</v>
      </c>
      <c r="M163" s="30">
        <f t="shared" si="7"/>
        <v>0</v>
      </c>
      <c r="N163" s="30">
        <f t="shared" si="7"/>
        <v>0</v>
      </c>
      <c r="O163" s="30">
        <f t="shared" si="7"/>
        <v>0</v>
      </c>
    </row>
    <row r="164" spans="2:17">
      <c r="B164" s="23"/>
      <c r="F164" s="62"/>
      <c r="G164" s="38"/>
      <c r="H164" s="38"/>
      <c r="I164" s="38"/>
      <c r="J164" s="38"/>
      <c r="K164" s="38"/>
      <c r="L164" s="38"/>
      <c r="M164" s="38"/>
      <c r="N164" s="38"/>
    </row>
    <row r="165" spans="2:17">
      <c r="B165" s="22" t="s">
        <v>122</v>
      </c>
      <c r="F165" s="62"/>
      <c r="G165" s="38"/>
      <c r="H165" s="38"/>
      <c r="I165" s="38"/>
      <c r="J165" s="38"/>
      <c r="K165" s="38"/>
      <c r="L165" s="38"/>
      <c r="M165" s="38"/>
      <c r="N165" s="38"/>
    </row>
    <row r="166" spans="2:17">
      <c r="B166" s="23" t="s">
        <v>123</v>
      </c>
      <c r="D166" t="s">
        <v>108</v>
      </c>
      <c r="F166" s="80">
        <f>SUM(G166:O166)</f>
        <v>63900960.998410657</v>
      </c>
      <c r="G166" s="30">
        <f>G104+G126-G146</f>
        <v>1424716.93</v>
      </c>
      <c r="H166" s="30">
        <f t="shared" ref="H166:O167" si="8">H104+H126-H146</f>
        <v>1464596.3153174005</v>
      </c>
      <c r="I166" s="30">
        <f t="shared" si="8"/>
        <v>5170109.2618325474</v>
      </c>
      <c r="J166" s="30">
        <f t="shared" si="8"/>
        <v>11177546.548082527</v>
      </c>
      <c r="K166" s="30">
        <f t="shared" si="8"/>
        <v>34248223.839123502</v>
      </c>
      <c r="L166" s="30">
        <f t="shared" si="8"/>
        <v>750275.05999999994</v>
      </c>
      <c r="M166" s="30">
        <f t="shared" si="8"/>
        <v>9420862.8323488832</v>
      </c>
      <c r="N166" s="30">
        <f t="shared" si="8"/>
        <v>244630.21170579616</v>
      </c>
      <c r="O166" s="30">
        <f t="shared" si="8"/>
        <v>0</v>
      </c>
    </row>
    <row r="167" spans="2:17">
      <c r="B167" s="23" t="s">
        <v>124</v>
      </c>
      <c r="D167" t="s">
        <v>108</v>
      </c>
      <c r="F167" s="80">
        <f>SUM(G167:O167)</f>
        <v>5532221.6557895578</v>
      </c>
      <c r="G167" s="30">
        <f>G105+G127-G147</f>
        <v>0</v>
      </c>
      <c r="H167" s="30">
        <f t="shared" si="8"/>
        <v>0</v>
      </c>
      <c r="I167" s="30">
        <f t="shared" si="8"/>
        <v>0</v>
      </c>
      <c r="J167" s="30">
        <f t="shared" si="8"/>
        <v>0</v>
      </c>
      <c r="K167" s="30">
        <f t="shared" si="8"/>
        <v>0</v>
      </c>
      <c r="L167" s="30">
        <f t="shared" si="8"/>
        <v>18733.280000000002</v>
      </c>
      <c r="M167" s="30">
        <f t="shared" si="8"/>
        <v>5513488.3757895576</v>
      </c>
      <c r="N167" s="30">
        <f t="shared" si="8"/>
        <v>0</v>
      </c>
      <c r="O167" s="30">
        <f t="shared" si="8"/>
        <v>0</v>
      </c>
    </row>
    <row r="168" spans="2:17">
      <c r="B168" s="23"/>
      <c r="F168" s="62"/>
      <c r="G168" s="38"/>
      <c r="H168" s="38"/>
      <c r="I168" s="38"/>
      <c r="J168" s="38"/>
      <c r="K168" s="38"/>
      <c r="L168" s="38"/>
      <c r="M168" s="38"/>
      <c r="N168" s="38"/>
    </row>
    <row r="169" spans="2:17">
      <c r="B169" s="22" t="s">
        <v>125</v>
      </c>
      <c r="F169" s="62"/>
      <c r="G169" s="38"/>
      <c r="H169" s="38"/>
      <c r="I169" s="38"/>
      <c r="J169" s="38"/>
      <c r="K169" s="38"/>
      <c r="L169" s="38"/>
      <c r="M169" s="38"/>
      <c r="N169" s="38"/>
    </row>
    <row r="170" spans="2:17">
      <c r="B170" s="23" t="s">
        <v>126</v>
      </c>
      <c r="D170" t="s">
        <v>108</v>
      </c>
      <c r="F170" s="80">
        <f>SUM(G170:O170)</f>
        <v>0</v>
      </c>
      <c r="G170" s="30">
        <f>G108+G130-G150</f>
        <v>0</v>
      </c>
      <c r="H170" s="30">
        <f t="shared" ref="H170:O171" si="9">H108+H130-H150</f>
        <v>0</v>
      </c>
      <c r="I170" s="30">
        <f t="shared" si="9"/>
        <v>0</v>
      </c>
      <c r="J170" s="30">
        <f t="shared" si="9"/>
        <v>0</v>
      </c>
      <c r="K170" s="30">
        <f t="shared" si="9"/>
        <v>0</v>
      </c>
      <c r="L170" s="30">
        <f t="shared" si="9"/>
        <v>0</v>
      </c>
      <c r="M170" s="30">
        <f t="shared" si="9"/>
        <v>0</v>
      </c>
      <c r="N170" s="30">
        <f t="shared" si="9"/>
        <v>0</v>
      </c>
      <c r="O170" s="30">
        <f t="shared" si="9"/>
        <v>0</v>
      </c>
    </row>
    <row r="171" spans="2:17">
      <c r="B171" s="23" t="s">
        <v>127</v>
      </c>
      <c r="D171" t="s">
        <v>108</v>
      </c>
      <c r="F171" s="80">
        <f>SUM(G171:O171)</f>
        <v>1000</v>
      </c>
      <c r="G171" s="30">
        <f>G109+G131-G151</f>
        <v>1000</v>
      </c>
      <c r="H171" s="30">
        <f t="shared" si="9"/>
        <v>0</v>
      </c>
      <c r="I171" s="30">
        <f t="shared" si="9"/>
        <v>0</v>
      </c>
      <c r="J171" s="30">
        <f t="shared" si="9"/>
        <v>0</v>
      </c>
      <c r="K171" s="30">
        <f t="shared" si="9"/>
        <v>0</v>
      </c>
      <c r="L171" s="30">
        <f t="shared" si="9"/>
        <v>0</v>
      </c>
      <c r="M171" s="30">
        <f t="shared" si="9"/>
        <v>0</v>
      </c>
      <c r="N171" s="30">
        <f t="shared" si="9"/>
        <v>0</v>
      </c>
      <c r="O171" s="30">
        <f t="shared" si="9"/>
        <v>0</v>
      </c>
    </row>
    <row r="172" spans="2:17">
      <c r="B172" s="23"/>
      <c r="F172" s="62"/>
      <c r="G172" s="38"/>
      <c r="H172" s="38"/>
      <c r="I172" s="38"/>
      <c r="J172" s="38"/>
      <c r="K172" s="38"/>
      <c r="L172" s="38"/>
      <c r="M172" s="38"/>
      <c r="N172" s="38"/>
    </row>
    <row r="173" spans="2:17">
      <c r="B173" s="22" t="s">
        <v>128</v>
      </c>
      <c r="F173" s="62"/>
      <c r="G173" s="38"/>
      <c r="H173" s="38"/>
      <c r="I173" s="38"/>
      <c r="J173" s="38"/>
      <c r="K173" s="38"/>
      <c r="L173" s="38"/>
      <c r="M173" s="38"/>
      <c r="N173" s="38"/>
    </row>
    <row r="174" spans="2:17">
      <c r="B174" s="93" t="s">
        <v>180</v>
      </c>
      <c r="D174" t="s">
        <v>108</v>
      </c>
      <c r="F174" s="80">
        <f>SUM(G174:O174)</f>
        <v>815406.80330350378</v>
      </c>
      <c r="G174" s="30">
        <f>G112+G134-G154</f>
        <v>17000</v>
      </c>
      <c r="H174" s="30">
        <f t="shared" ref="H174:O176" si="10">H112+H134-H154</f>
        <v>22655.414549999998</v>
      </c>
      <c r="I174" s="30">
        <f t="shared" si="10"/>
        <v>53190.981643655774</v>
      </c>
      <c r="J174" s="30">
        <f t="shared" si="10"/>
        <v>221030.34628937035</v>
      </c>
      <c r="K174" s="30">
        <f t="shared" si="10"/>
        <v>251804.95935440497</v>
      </c>
      <c r="L174" s="30">
        <f t="shared" si="10"/>
        <v>15371.73</v>
      </c>
      <c r="M174" s="30">
        <f t="shared" si="10"/>
        <v>233424.81861147922</v>
      </c>
      <c r="N174" s="30">
        <f t="shared" si="10"/>
        <v>928.55285459348249</v>
      </c>
      <c r="O174" s="30">
        <f t="shared" si="10"/>
        <v>0</v>
      </c>
    </row>
    <row r="175" spans="2:17">
      <c r="B175" s="93" t="s">
        <v>181</v>
      </c>
      <c r="D175" t="s">
        <v>108</v>
      </c>
      <c r="F175" s="80">
        <f>SUM(G175:O175)</f>
        <v>111225.73609393049</v>
      </c>
      <c r="G175" s="30">
        <f>G113+G135-G155</f>
        <v>1000</v>
      </c>
      <c r="H175" s="30">
        <f t="shared" si="10"/>
        <v>591.01673399999981</v>
      </c>
      <c r="I175" s="30">
        <f t="shared" si="10"/>
        <v>4691.5693290800409</v>
      </c>
      <c r="J175" s="30">
        <f t="shared" si="10"/>
        <v>28492.428904095472</v>
      </c>
      <c r="K175" s="30">
        <f t="shared" si="10"/>
        <v>17347.665807246187</v>
      </c>
      <c r="L175" s="30">
        <f t="shared" si="10"/>
        <v>1429.02</v>
      </c>
      <c r="M175" s="30">
        <f t="shared" si="10"/>
        <v>49025.480735342586</v>
      </c>
      <c r="N175" s="30">
        <f t="shared" si="10"/>
        <v>8648.5545841662133</v>
      </c>
      <c r="O175" s="30">
        <f t="shared" si="10"/>
        <v>0</v>
      </c>
    </row>
    <row r="176" spans="2:17">
      <c r="B176" s="94" t="s">
        <v>182</v>
      </c>
      <c r="D176" t="s">
        <v>108</v>
      </c>
      <c r="F176" s="80">
        <f>SUM(G176:O176)</f>
        <v>1205650.9089940903</v>
      </c>
      <c r="G176" s="30">
        <f>G114+G136-G156</f>
        <v>0</v>
      </c>
      <c r="H176" s="30">
        <f t="shared" si="10"/>
        <v>0</v>
      </c>
      <c r="I176" s="30">
        <f t="shared" si="10"/>
        <v>101568.8133051426</v>
      </c>
      <c r="J176" s="30">
        <f t="shared" si="10"/>
        <v>0</v>
      </c>
      <c r="K176" s="30">
        <f t="shared" si="10"/>
        <v>1041775.6659834526</v>
      </c>
      <c r="L176" s="30">
        <f t="shared" si="10"/>
        <v>31006.269999999997</v>
      </c>
      <c r="M176" s="30">
        <f t="shared" si="10"/>
        <v>25299.977455715318</v>
      </c>
      <c r="N176" s="30">
        <f t="shared" si="10"/>
        <v>6000.1822497796902</v>
      </c>
      <c r="O176" s="30">
        <f t="shared" si="10"/>
        <v>0</v>
      </c>
    </row>
    <row r="177" spans="2:15">
      <c r="F177" s="62"/>
      <c r="G177" s="42"/>
      <c r="H177" s="42"/>
      <c r="I177" s="42"/>
      <c r="J177" s="42"/>
      <c r="K177" s="42"/>
      <c r="L177" s="42"/>
      <c r="M177" s="42"/>
      <c r="N177" s="42"/>
    </row>
    <row r="178" spans="2:15">
      <c r="B178" s="25" t="s">
        <v>403</v>
      </c>
      <c r="D178" t="s">
        <v>108</v>
      </c>
      <c r="F178" s="132">
        <f>SUM(G178:O178)</f>
        <v>71566466.102591738</v>
      </c>
      <c r="G178" s="69">
        <f>SUM(G162:G163,G166:G167,G170:G171,G174:G176)</f>
        <v>1443716.93</v>
      </c>
      <c r="H178" s="69">
        <f t="shared" ref="H178:O178" si="11">SUM(H162:H163,H166:H167,H170:H171,H174:H176)</f>
        <v>1487842.7466014007</v>
      </c>
      <c r="I178" s="69">
        <f t="shared" si="11"/>
        <v>5329560.6261104252</v>
      </c>
      <c r="J178" s="69">
        <f t="shared" si="11"/>
        <v>11427069.323275993</v>
      </c>
      <c r="K178" s="69">
        <f t="shared" si="11"/>
        <v>35559152.130268611</v>
      </c>
      <c r="L178" s="69">
        <f t="shared" si="11"/>
        <v>816815.36</v>
      </c>
      <c r="M178" s="69">
        <f t="shared" si="11"/>
        <v>15242101.484940976</v>
      </c>
      <c r="N178" s="69">
        <f t="shared" si="11"/>
        <v>260207.50139433556</v>
      </c>
      <c r="O178" s="69">
        <f t="shared" si="11"/>
        <v>0</v>
      </c>
    </row>
    <row r="179" spans="2:15">
      <c r="F179" s="85"/>
      <c r="G179" s="42"/>
      <c r="H179" s="42"/>
      <c r="I179" s="42"/>
      <c r="J179" s="42"/>
      <c r="K179" s="42"/>
      <c r="L179" s="42"/>
      <c r="M179" s="42"/>
      <c r="N179" s="42"/>
    </row>
    <row r="180" spans="2:15">
      <c r="F180" s="62"/>
      <c r="G180" s="42"/>
      <c r="H180" s="42"/>
      <c r="I180" s="42"/>
      <c r="J180" s="42"/>
      <c r="K180" s="42"/>
      <c r="L180" s="42"/>
      <c r="M180" s="42"/>
      <c r="N180" s="42"/>
    </row>
    <row r="181" spans="2:15" s="2" customFormat="1">
      <c r="B181" s="2" t="s">
        <v>396</v>
      </c>
      <c r="F181" s="49"/>
    </row>
    <row r="182" spans="2:15">
      <c r="F182" s="47"/>
    </row>
    <row r="183" spans="2:15">
      <c r="B183" s="3" t="s">
        <v>29</v>
      </c>
      <c r="F183" s="47"/>
    </row>
    <row r="184" spans="2:15">
      <c r="F184" s="47"/>
    </row>
    <row r="185" spans="2:15">
      <c r="B185" s="22" t="s">
        <v>121</v>
      </c>
      <c r="D185" s="28"/>
      <c r="E185" s="28"/>
      <c r="F185" s="67"/>
      <c r="G185" s="38"/>
      <c r="H185" s="38"/>
      <c r="I185" s="38"/>
      <c r="J185" s="38"/>
      <c r="K185" s="38"/>
      <c r="L185" s="38"/>
      <c r="M185" s="38"/>
      <c r="N185" s="38"/>
    </row>
    <row r="186" spans="2:15">
      <c r="B186" s="23" t="s">
        <v>216</v>
      </c>
      <c r="D186" t="s">
        <v>109</v>
      </c>
      <c r="F186" s="80">
        <f>SUM(G186:O186)</f>
        <v>0</v>
      </c>
      <c r="G186" s="43">
        <f>'PRD OPEX AD (2009-2012)'!G183</f>
        <v>0</v>
      </c>
      <c r="H186" s="43">
        <f>'PRD OPEX AD (2009-2012)'!H183</f>
        <v>0</v>
      </c>
      <c r="I186" s="43">
        <f>'PRD OPEX AD (2009-2012)'!I183</f>
        <v>0</v>
      </c>
      <c r="J186" s="43">
        <f>'PRD OPEX AD (2009-2012)'!J183</f>
        <v>0</v>
      </c>
      <c r="K186" s="43">
        <f>'PRD OPEX AD (2009-2012)'!K183</f>
        <v>0</v>
      </c>
      <c r="L186" s="43">
        <f>'PRD OPEX AD (2009-2012)'!L183</f>
        <v>0</v>
      </c>
      <c r="M186" s="43">
        <f>'PRD OPEX AD (2009-2012)'!M183</f>
        <v>0</v>
      </c>
      <c r="N186" s="43">
        <f>'PRD OPEX AD (2009-2012)'!N183</f>
        <v>0</v>
      </c>
      <c r="O186" s="43">
        <f>'PRD OPEX AD (2009-2012)'!O183</f>
        <v>0</v>
      </c>
    </row>
    <row r="187" spans="2:15">
      <c r="B187" s="23" t="s">
        <v>217</v>
      </c>
      <c r="D187" t="s">
        <v>109</v>
      </c>
      <c r="F187" s="80">
        <f>SUM(G187:O187)</f>
        <v>0</v>
      </c>
      <c r="G187" s="43">
        <f>'PRD OPEX AD (2009-2012)'!G184</f>
        <v>0</v>
      </c>
      <c r="H187" s="43">
        <f>'PRD OPEX AD (2009-2012)'!H184</f>
        <v>0</v>
      </c>
      <c r="I187" s="43">
        <f>'PRD OPEX AD (2009-2012)'!I184</f>
        <v>0</v>
      </c>
      <c r="J187" s="43">
        <f>'PRD OPEX AD (2009-2012)'!J184</f>
        <v>0</v>
      </c>
      <c r="K187" s="43">
        <f>'PRD OPEX AD (2009-2012)'!K184</f>
        <v>0</v>
      </c>
      <c r="L187" s="43">
        <f>'PRD OPEX AD (2009-2012)'!L184</f>
        <v>0</v>
      </c>
      <c r="M187" s="43">
        <f>'PRD OPEX AD (2009-2012)'!M184</f>
        <v>0</v>
      </c>
      <c r="N187" s="43">
        <f>'PRD OPEX AD (2009-2012)'!N184</f>
        <v>0</v>
      </c>
      <c r="O187" s="43">
        <f>'PRD OPEX AD (2009-2012)'!O184</f>
        <v>0</v>
      </c>
    </row>
    <row r="188" spans="2:15">
      <c r="B188" s="23"/>
      <c r="F188" s="62"/>
      <c r="G188" s="42"/>
      <c r="H188" s="42"/>
      <c r="I188" s="42"/>
      <c r="J188" s="42"/>
      <c r="K188" s="42"/>
      <c r="L188" s="42"/>
      <c r="M188" s="42"/>
      <c r="N188" s="42"/>
      <c r="O188" s="42"/>
    </row>
    <row r="189" spans="2:15">
      <c r="B189" s="22" t="s">
        <v>122</v>
      </c>
      <c r="F189" s="62"/>
      <c r="G189" s="42"/>
      <c r="H189" s="42"/>
      <c r="I189" s="42"/>
      <c r="J189" s="42"/>
      <c r="K189" s="42"/>
      <c r="L189" s="42"/>
      <c r="M189" s="42"/>
      <c r="N189" s="42"/>
      <c r="O189" s="42"/>
    </row>
    <row r="190" spans="2:15">
      <c r="B190" s="23" t="s">
        <v>123</v>
      </c>
      <c r="D190" t="s">
        <v>109</v>
      </c>
      <c r="F190" s="80">
        <f>SUM(G190:O190)</f>
        <v>83394920.314135164</v>
      </c>
      <c r="G190" s="43">
        <f>'PRD OPEX AD (2009-2012)'!G187</f>
        <v>1279886</v>
      </c>
      <c r="H190" s="43">
        <f>'PRD OPEX AD (2009-2012)'!H187</f>
        <v>1542884.8047678531</v>
      </c>
      <c r="I190" s="43">
        <f>'PRD OPEX AD (2009-2012)'!I187</f>
        <v>6405850.4652015753</v>
      </c>
      <c r="J190" s="43">
        <f>'PRD OPEX AD (2009-2012)'!J187</f>
        <v>14073861.863314966</v>
      </c>
      <c r="K190" s="43">
        <f>'PRD OPEX AD (2009-2012)'!K187</f>
        <v>41064764.82101763</v>
      </c>
      <c r="L190" s="43">
        <f>'PRD OPEX AD (2009-2012)'!L187</f>
        <v>1247976.1399999999</v>
      </c>
      <c r="M190" s="43">
        <f>'PRD OPEX AD (2009-2012)'!M187</f>
        <v>17258865.88937873</v>
      </c>
      <c r="N190" s="43">
        <f>'PRD OPEX AD (2009-2012)'!N187</f>
        <v>520830.33045440668</v>
      </c>
      <c r="O190" s="43">
        <f>'PRD OPEX AD (2009-2012)'!O187</f>
        <v>0</v>
      </c>
    </row>
    <row r="191" spans="2:15">
      <c r="B191" s="23" t="s">
        <v>124</v>
      </c>
      <c r="D191" t="s">
        <v>109</v>
      </c>
      <c r="F191" s="80">
        <f>SUM(G191:O191)</f>
        <v>2584478.1359586758</v>
      </c>
      <c r="G191" s="43">
        <f>'PRD OPEX AD (2009-2012)'!G188</f>
        <v>0</v>
      </c>
      <c r="H191" s="43">
        <f>'PRD OPEX AD (2009-2012)'!H188</f>
        <v>0</v>
      </c>
      <c r="I191" s="43">
        <f>'PRD OPEX AD (2009-2012)'!I188</f>
        <v>0</v>
      </c>
      <c r="J191" s="43">
        <f>'PRD OPEX AD (2009-2012)'!J188</f>
        <v>0</v>
      </c>
      <c r="K191" s="43">
        <f>'PRD OPEX AD (2009-2012)'!K188</f>
        <v>0</v>
      </c>
      <c r="L191" s="43">
        <f>'PRD OPEX AD (2009-2012)'!L188</f>
        <v>69308.459999999992</v>
      </c>
      <c r="M191" s="43">
        <f>'PRD OPEX AD (2009-2012)'!M188</f>
        <v>2515169.6759586758</v>
      </c>
      <c r="N191" s="43">
        <f>'PRD OPEX AD (2009-2012)'!N188</f>
        <v>0</v>
      </c>
      <c r="O191" s="43">
        <f>'PRD OPEX AD (2009-2012)'!O188</f>
        <v>0</v>
      </c>
    </row>
    <row r="192" spans="2:15">
      <c r="B192" s="23"/>
      <c r="F192" s="62"/>
      <c r="G192" s="42"/>
      <c r="H192" s="42"/>
      <c r="I192" s="42"/>
      <c r="J192" s="42"/>
      <c r="K192" s="42"/>
      <c r="L192" s="42"/>
      <c r="M192" s="42"/>
      <c r="N192" s="42"/>
      <c r="O192" s="42"/>
    </row>
    <row r="193" spans="2:16">
      <c r="B193" s="22" t="s">
        <v>125</v>
      </c>
      <c r="F193" s="62"/>
      <c r="G193" s="42"/>
      <c r="H193" s="42"/>
      <c r="I193" s="42"/>
      <c r="J193" s="42"/>
      <c r="K193" s="42"/>
      <c r="L193" s="42"/>
      <c r="M193" s="42"/>
      <c r="N193" s="42"/>
      <c r="O193" s="42"/>
    </row>
    <row r="194" spans="2:16">
      <c r="B194" s="23" t="s">
        <v>126</v>
      </c>
      <c r="D194" t="s">
        <v>109</v>
      </c>
      <c r="F194" s="80">
        <f>SUM(G194:O194)</f>
        <v>0</v>
      </c>
      <c r="G194" s="43">
        <f>'PRD OPEX AD (2009-2012)'!G191</f>
        <v>0</v>
      </c>
      <c r="H194" s="43">
        <f>'PRD OPEX AD (2009-2012)'!H191</f>
        <v>0</v>
      </c>
      <c r="I194" s="43">
        <f>'PRD OPEX AD (2009-2012)'!I191</f>
        <v>0</v>
      </c>
      <c r="J194" s="43">
        <f>'PRD OPEX AD (2009-2012)'!J191</f>
        <v>0</v>
      </c>
      <c r="K194" s="43">
        <f>'PRD OPEX AD (2009-2012)'!K191</f>
        <v>0</v>
      </c>
      <c r="L194" s="43">
        <f>'PRD OPEX AD (2009-2012)'!L191</f>
        <v>0</v>
      </c>
      <c r="M194" s="43">
        <f>'PRD OPEX AD (2009-2012)'!M191</f>
        <v>0</v>
      </c>
      <c r="N194" s="43">
        <f>'PRD OPEX AD (2009-2012)'!N191</f>
        <v>0</v>
      </c>
      <c r="O194" s="43">
        <f>'PRD OPEX AD (2009-2012)'!O191</f>
        <v>0</v>
      </c>
    </row>
    <row r="195" spans="2:16">
      <c r="B195" s="23" t="s">
        <v>127</v>
      </c>
      <c r="D195" t="s">
        <v>109</v>
      </c>
      <c r="F195" s="80">
        <f>SUM(G195:O195)</f>
        <v>0</v>
      </c>
      <c r="G195" s="43">
        <f>'PRD OPEX AD (2009-2012)'!G192</f>
        <v>0</v>
      </c>
      <c r="H195" s="43">
        <f>'PRD OPEX AD (2009-2012)'!H192</f>
        <v>0</v>
      </c>
      <c r="I195" s="43">
        <f>'PRD OPEX AD (2009-2012)'!I192</f>
        <v>0</v>
      </c>
      <c r="J195" s="43">
        <f>'PRD OPEX AD (2009-2012)'!J192</f>
        <v>0</v>
      </c>
      <c r="K195" s="43">
        <f>'PRD OPEX AD (2009-2012)'!K192</f>
        <v>0</v>
      </c>
      <c r="L195" s="43">
        <f>'PRD OPEX AD (2009-2012)'!L192</f>
        <v>0</v>
      </c>
      <c r="M195" s="43">
        <f>'PRD OPEX AD (2009-2012)'!M192</f>
        <v>0</v>
      </c>
      <c r="N195" s="43">
        <f>'PRD OPEX AD (2009-2012)'!N192</f>
        <v>0</v>
      </c>
      <c r="O195" s="43">
        <f>'PRD OPEX AD (2009-2012)'!O192</f>
        <v>0</v>
      </c>
    </row>
    <row r="196" spans="2:16">
      <c r="B196" s="23"/>
      <c r="F196" s="62"/>
      <c r="G196" s="42"/>
      <c r="H196" s="42"/>
      <c r="I196" s="42"/>
      <c r="J196" s="42"/>
      <c r="K196" s="42"/>
      <c r="L196" s="42"/>
      <c r="M196" s="42"/>
      <c r="N196" s="42"/>
      <c r="O196" s="42"/>
    </row>
    <row r="197" spans="2:16">
      <c r="B197" s="22" t="s">
        <v>128</v>
      </c>
      <c r="F197" s="62"/>
      <c r="G197" s="42"/>
      <c r="H197" s="42"/>
      <c r="I197" s="42"/>
      <c r="J197" s="42"/>
      <c r="K197" s="42"/>
      <c r="L197" s="42"/>
      <c r="M197" s="42"/>
      <c r="N197" s="42"/>
      <c r="O197" s="42"/>
    </row>
    <row r="198" spans="2:16">
      <c r="B198" s="93" t="s">
        <v>180</v>
      </c>
      <c r="D198" t="s">
        <v>109</v>
      </c>
      <c r="F198" s="80">
        <f>SUM(G198:O198)</f>
        <v>829807.50395847682</v>
      </c>
      <c r="G198" s="43">
        <f>'PRD OPEX AD (2009-2012)'!G195</f>
        <v>15855.894050000001</v>
      </c>
      <c r="H198" s="43">
        <f>'PRD OPEX AD (2009-2012)'!H195</f>
        <v>20925.481250000001</v>
      </c>
      <c r="I198" s="43">
        <f>'PRD OPEX AD (2009-2012)'!I195</f>
        <v>45454.015332335395</v>
      </c>
      <c r="J198" s="43">
        <f>'PRD OPEX AD (2009-2012)'!J195</f>
        <v>218913.94590930088</v>
      </c>
      <c r="K198" s="43">
        <f>'PRD OPEX AD (2009-2012)'!K195</f>
        <v>225760.82178911319</v>
      </c>
      <c r="L198" s="43">
        <f>'PRD OPEX AD (2009-2012)'!L195</f>
        <v>13654.11</v>
      </c>
      <c r="M198" s="43">
        <f>'PRD OPEX AD (2009-2012)'!M195</f>
        <v>288546.02055414068</v>
      </c>
      <c r="N198" s="43">
        <f>'PRD OPEX AD (2009-2012)'!N195</f>
        <v>697.21507358662541</v>
      </c>
      <c r="O198" s="43">
        <f>'PRD OPEX AD (2009-2012)'!O195</f>
        <v>0</v>
      </c>
    </row>
    <row r="199" spans="2:16">
      <c r="B199" s="93" t="s">
        <v>181</v>
      </c>
      <c r="D199" t="s">
        <v>109</v>
      </c>
      <c r="F199" s="80">
        <f>SUM(G199:O199)</f>
        <v>36810.200326907958</v>
      </c>
      <c r="G199" s="43">
        <f>'PRD OPEX AD (2009-2012)'!G196</f>
        <v>704.12</v>
      </c>
      <c r="H199" s="43">
        <f>'PRD OPEX AD (2009-2012)'!H196</f>
        <v>572.9328999999999</v>
      </c>
      <c r="I199" s="43">
        <f>'PRD OPEX AD (2009-2012)'!I196</f>
        <v>3848.1440452017519</v>
      </c>
      <c r="J199" s="43">
        <f>'PRD OPEX AD (2009-2012)'!J196</f>
        <v>7634.7209024325821</v>
      </c>
      <c r="K199" s="43">
        <f>'PRD OPEX AD (2009-2012)'!K196</f>
        <v>11337.07813898685</v>
      </c>
      <c r="L199" s="43">
        <f>'PRD OPEX AD (2009-2012)'!L196</f>
        <v>226.96</v>
      </c>
      <c r="M199" s="43">
        <f>'PRD OPEX AD (2009-2012)'!M196</f>
        <v>1365.361728626842</v>
      </c>
      <c r="N199" s="43">
        <f>'PRD OPEX AD (2009-2012)'!N196</f>
        <v>11120.88261165993</v>
      </c>
      <c r="O199" s="43">
        <f>'PRD OPEX AD (2009-2012)'!O196</f>
        <v>0</v>
      </c>
    </row>
    <row r="200" spans="2:16">
      <c r="B200" s="94" t="s">
        <v>182</v>
      </c>
      <c r="D200" t="s">
        <v>109</v>
      </c>
      <c r="F200" s="80">
        <f>SUM(G200:O200)</f>
        <v>1249173.0249962574</v>
      </c>
      <c r="G200" s="43">
        <f>'PRD OPEX AD (2009-2012)'!G197</f>
        <v>0</v>
      </c>
      <c r="H200" s="43">
        <f>'PRD OPEX AD (2009-2012)'!H197</f>
        <v>0</v>
      </c>
      <c r="I200" s="43">
        <f>'PRD OPEX AD (2009-2012)'!I197</f>
        <v>42910.640941474121</v>
      </c>
      <c r="J200" s="43">
        <f>'PRD OPEX AD (2009-2012)'!J197</f>
        <v>0</v>
      </c>
      <c r="K200" s="43">
        <f>'PRD OPEX AD (2009-2012)'!K197</f>
        <v>1159242.3598448487</v>
      </c>
      <c r="L200" s="43">
        <f>'PRD OPEX AD (2009-2012)'!L197</f>
        <v>22129.56</v>
      </c>
      <c r="M200" s="43">
        <f>'PRD OPEX AD (2009-2012)'!M197</f>
        <v>22860.824641968069</v>
      </c>
      <c r="N200" s="43">
        <f>'PRD OPEX AD (2009-2012)'!N197</f>
        <v>2029.6395679663704</v>
      </c>
      <c r="O200" s="43">
        <f>'PRD OPEX AD (2009-2012)'!O197</f>
        <v>0</v>
      </c>
    </row>
    <row r="201" spans="2:16">
      <c r="C201" s="45"/>
      <c r="D201" s="28"/>
      <c r="E201" s="46">
        <v>17</v>
      </c>
      <c r="F201" s="62"/>
      <c r="G201" s="42"/>
      <c r="H201" s="42"/>
      <c r="I201" s="42"/>
      <c r="J201" s="42"/>
      <c r="K201" s="42"/>
      <c r="L201" s="42"/>
      <c r="M201" s="42"/>
      <c r="N201" s="42"/>
      <c r="O201" s="42"/>
      <c r="P201" s="28"/>
    </row>
    <row r="202" spans="2:16">
      <c r="B202" s="79" t="s">
        <v>267</v>
      </c>
      <c r="D202" t="s">
        <v>109</v>
      </c>
      <c r="F202" s="80">
        <f>SUM(G202:O202)</f>
        <v>88095189.17937547</v>
      </c>
      <c r="G202" s="69">
        <f>SUM(G186:G187,G190:G191,G194:G195,G198:G200)</f>
        <v>1296446.0140500001</v>
      </c>
      <c r="H202" s="69">
        <f t="shared" ref="H202:O202" si="12">SUM(H186:H187,H190:H191,H194:H195,H198:H200)</f>
        <v>1564383.218917853</v>
      </c>
      <c r="I202" s="69">
        <f t="shared" si="12"/>
        <v>6498063.2655205876</v>
      </c>
      <c r="J202" s="69">
        <f t="shared" si="12"/>
        <v>14300410.530126698</v>
      </c>
      <c r="K202" s="69">
        <f t="shared" si="12"/>
        <v>42461105.080790579</v>
      </c>
      <c r="L202" s="69">
        <f t="shared" si="12"/>
        <v>1353295.23</v>
      </c>
      <c r="M202" s="69">
        <f t="shared" si="12"/>
        <v>20086807.772262141</v>
      </c>
      <c r="N202" s="69">
        <f t="shared" si="12"/>
        <v>534678.06770761951</v>
      </c>
      <c r="O202" s="69">
        <f t="shared" si="12"/>
        <v>0</v>
      </c>
    </row>
    <row r="203" spans="2:16">
      <c r="F203" s="62"/>
      <c r="G203" s="42"/>
      <c r="H203" s="42"/>
      <c r="I203" s="42"/>
      <c r="J203" s="42"/>
      <c r="K203" s="42"/>
      <c r="L203" s="42"/>
      <c r="M203" s="42"/>
      <c r="N203" s="42"/>
    </row>
    <row r="204" spans="2:16">
      <c r="F204" s="62"/>
      <c r="G204" s="42"/>
      <c r="H204" s="42"/>
      <c r="I204" s="42"/>
      <c r="J204" s="42"/>
      <c r="K204" s="42"/>
      <c r="L204" s="42"/>
      <c r="M204" s="42"/>
      <c r="N204" s="42"/>
    </row>
    <row r="205" spans="2:16">
      <c r="B205" s="261" t="s">
        <v>832</v>
      </c>
      <c r="F205" s="62"/>
      <c r="G205" s="42"/>
      <c r="H205" s="42"/>
      <c r="I205" s="42"/>
      <c r="J205" s="42"/>
      <c r="K205" s="42"/>
      <c r="L205" s="42"/>
      <c r="M205" s="42"/>
      <c r="N205" s="42"/>
    </row>
    <row r="206" spans="2:16">
      <c r="F206" s="62"/>
      <c r="G206" s="133"/>
      <c r="H206" s="42"/>
      <c r="I206" s="42"/>
      <c r="J206" s="42"/>
      <c r="K206" s="42"/>
      <c r="L206" s="42"/>
      <c r="M206" s="42"/>
      <c r="N206" s="42"/>
    </row>
    <row r="207" spans="2:16">
      <c r="B207" s="22" t="s">
        <v>121</v>
      </c>
      <c r="D207" s="28"/>
      <c r="E207" s="28"/>
      <c r="F207" s="67"/>
      <c r="G207" s="38"/>
      <c r="H207" s="38"/>
      <c r="I207" s="38"/>
      <c r="J207" s="38"/>
      <c r="K207" s="38"/>
      <c r="L207" s="38"/>
      <c r="M207" s="38"/>
      <c r="N207" s="38"/>
    </row>
    <row r="208" spans="2:16">
      <c r="B208" s="23" t="s">
        <v>216</v>
      </c>
      <c r="D208" t="s">
        <v>109</v>
      </c>
      <c r="F208" s="80">
        <f>SUM(G208:O208)</f>
        <v>0</v>
      </c>
      <c r="G208" s="131"/>
      <c r="H208" s="131"/>
      <c r="I208" s="131"/>
      <c r="J208" s="131"/>
      <c r="K208" s="131"/>
      <c r="L208" s="131"/>
      <c r="M208" s="131"/>
      <c r="N208" s="131"/>
      <c r="O208" s="131"/>
    </row>
    <row r="209" spans="2:15">
      <c r="B209" s="23" t="s">
        <v>217</v>
      </c>
      <c r="D209" t="s">
        <v>109</v>
      </c>
      <c r="F209" s="80">
        <f>SUM(G209:O209)</f>
        <v>0</v>
      </c>
      <c r="G209" s="131"/>
      <c r="H209" s="131"/>
      <c r="I209" s="131"/>
      <c r="J209" s="131"/>
      <c r="K209" s="131"/>
      <c r="L209" s="131"/>
      <c r="M209" s="131"/>
      <c r="N209" s="131"/>
      <c r="O209" s="131"/>
    </row>
    <row r="210" spans="2:15">
      <c r="B210" s="23"/>
      <c r="F210" s="62"/>
      <c r="G210" s="42"/>
      <c r="H210" s="42"/>
      <c r="I210" s="42"/>
      <c r="J210" s="42"/>
      <c r="K210" s="42"/>
      <c r="L210" s="42"/>
      <c r="M210" s="42"/>
      <c r="N210" s="42"/>
    </row>
    <row r="211" spans="2:15">
      <c r="B211" s="22" t="s">
        <v>122</v>
      </c>
      <c r="F211" s="62"/>
      <c r="G211" s="42"/>
      <c r="H211" s="42"/>
      <c r="I211" s="42"/>
      <c r="J211" s="42"/>
      <c r="K211" s="42"/>
      <c r="L211" s="42"/>
      <c r="M211" s="42"/>
      <c r="N211" s="42"/>
    </row>
    <row r="212" spans="2:15">
      <c r="B212" s="23" t="s">
        <v>123</v>
      </c>
      <c r="D212" t="s">
        <v>109</v>
      </c>
      <c r="F212" s="80">
        <f>SUM(G212:O212)</f>
        <v>0</v>
      </c>
      <c r="G212" s="131"/>
      <c r="H212" s="131"/>
      <c r="I212" s="131"/>
      <c r="J212" s="131"/>
      <c r="K212" s="131"/>
      <c r="L212" s="131"/>
      <c r="M212" s="131"/>
      <c r="N212" s="131"/>
      <c r="O212" s="131"/>
    </row>
    <row r="213" spans="2:15">
      <c r="B213" s="23" t="s">
        <v>124</v>
      </c>
      <c r="D213" t="s">
        <v>109</v>
      </c>
      <c r="F213" s="80">
        <f>SUM(G213:O213)</f>
        <v>0</v>
      </c>
      <c r="G213" s="131"/>
      <c r="H213" s="131"/>
      <c r="I213" s="131"/>
      <c r="J213" s="131"/>
      <c r="K213" s="131"/>
      <c r="L213" s="131"/>
      <c r="M213" s="131"/>
      <c r="N213" s="131"/>
      <c r="O213" s="131"/>
    </row>
    <row r="214" spans="2:15">
      <c r="B214" s="23"/>
      <c r="F214" s="62"/>
      <c r="G214" s="42"/>
      <c r="H214" s="42"/>
      <c r="I214" s="42"/>
      <c r="J214" s="42"/>
      <c r="K214" s="42"/>
      <c r="L214" s="42"/>
      <c r="M214" s="42"/>
      <c r="N214" s="42"/>
    </row>
    <row r="215" spans="2:15">
      <c r="B215" s="22" t="s">
        <v>125</v>
      </c>
      <c r="F215" s="62"/>
      <c r="G215" s="42"/>
      <c r="H215" s="42"/>
      <c r="I215" s="42"/>
      <c r="J215" s="42"/>
      <c r="K215" s="42"/>
      <c r="L215" s="42"/>
      <c r="M215" s="42"/>
      <c r="N215" s="42"/>
    </row>
    <row r="216" spans="2:15">
      <c r="B216" s="23" t="s">
        <v>126</v>
      </c>
      <c r="D216" t="s">
        <v>109</v>
      </c>
      <c r="F216" s="80">
        <f>SUM(G216:O216)</f>
        <v>0</v>
      </c>
      <c r="G216" s="131"/>
      <c r="H216" s="131"/>
      <c r="I216" s="131"/>
      <c r="J216" s="131"/>
      <c r="K216" s="131"/>
      <c r="L216" s="131"/>
      <c r="M216" s="131"/>
      <c r="N216" s="131"/>
      <c r="O216" s="131"/>
    </row>
    <row r="217" spans="2:15">
      <c r="B217" s="23" t="s">
        <v>127</v>
      </c>
      <c r="D217" t="s">
        <v>109</v>
      </c>
      <c r="F217" s="80">
        <f>SUM(G217:O217)</f>
        <v>0</v>
      </c>
      <c r="G217" s="131"/>
      <c r="H217" s="131"/>
      <c r="I217" s="131"/>
      <c r="J217" s="131"/>
      <c r="K217" s="131"/>
      <c r="L217" s="131"/>
      <c r="M217" s="131"/>
      <c r="N217" s="131"/>
      <c r="O217" s="131"/>
    </row>
    <row r="218" spans="2:15">
      <c r="B218" s="23"/>
      <c r="F218" s="62"/>
      <c r="G218" s="42"/>
      <c r="H218" s="42"/>
      <c r="I218" s="42"/>
      <c r="J218" s="42"/>
      <c r="K218" s="42"/>
      <c r="L218" s="42"/>
      <c r="M218" s="42"/>
      <c r="N218" s="42"/>
    </row>
    <row r="219" spans="2:15">
      <c r="B219" s="22" t="s">
        <v>128</v>
      </c>
      <c r="F219" s="62"/>
      <c r="G219" s="42"/>
      <c r="H219" s="42"/>
      <c r="I219" s="42"/>
      <c r="J219" s="42"/>
      <c r="K219" s="42"/>
      <c r="L219" s="42"/>
      <c r="M219" s="42"/>
      <c r="N219" s="42"/>
    </row>
    <row r="220" spans="2:15">
      <c r="B220" s="93" t="s">
        <v>180</v>
      </c>
      <c r="D220" t="s">
        <v>109</v>
      </c>
      <c r="F220" s="80">
        <f>SUM(G220:O220)</f>
        <v>0</v>
      </c>
      <c r="G220" s="131"/>
      <c r="H220" s="131"/>
      <c r="I220" s="131"/>
      <c r="J220" s="131"/>
      <c r="K220" s="131"/>
      <c r="L220" s="131"/>
      <c r="M220" s="131"/>
      <c r="N220" s="131"/>
      <c r="O220" s="131"/>
    </row>
    <row r="221" spans="2:15">
      <c r="B221" s="93" t="s">
        <v>181</v>
      </c>
      <c r="D221" t="s">
        <v>109</v>
      </c>
      <c r="F221" s="80">
        <f>SUM(G221:O221)</f>
        <v>0</v>
      </c>
      <c r="G221" s="131"/>
      <c r="H221" s="131"/>
      <c r="I221" s="131"/>
      <c r="J221" s="131"/>
      <c r="K221" s="131"/>
      <c r="L221" s="131"/>
      <c r="M221" s="131"/>
      <c r="N221" s="131"/>
      <c r="O221" s="131"/>
    </row>
    <row r="222" spans="2:15">
      <c r="B222" s="94" t="s">
        <v>182</v>
      </c>
      <c r="D222" t="s">
        <v>109</v>
      </c>
      <c r="F222" s="80">
        <f>SUM(G222:O222)</f>
        <v>0</v>
      </c>
      <c r="G222" s="131"/>
      <c r="H222" s="131"/>
      <c r="I222" s="131"/>
      <c r="J222" s="131"/>
      <c r="K222" s="131"/>
      <c r="L222" s="131"/>
      <c r="M222" s="131"/>
      <c r="N222" s="131"/>
      <c r="O222" s="131"/>
    </row>
    <row r="223" spans="2:15">
      <c r="F223" s="62"/>
      <c r="G223" s="42"/>
      <c r="H223" s="42"/>
      <c r="I223" s="42"/>
      <c r="J223" s="42"/>
      <c r="K223" s="42"/>
      <c r="L223" s="42"/>
      <c r="M223" s="42"/>
      <c r="N223" s="42"/>
    </row>
    <row r="224" spans="2:15">
      <c r="F224" s="62"/>
      <c r="G224" s="42"/>
      <c r="H224" s="42"/>
      <c r="I224" s="42"/>
      <c r="J224" s="42"/>
      <c r="K224" s="42"/>
      <c r="L224" s="42"/>
      <c r="M224" s="42"/>
      <c r="N224" s="42"/>
    </row>
    <row r="225" spans="2:15">
      <c r="B225" s="261" t="s">
        <v>831</v>
      </c>
      <c r="F225" s="62"/>
      <c r="G225" s="42"/>
      <c r="H225" s="42"/>
      <c r="I225" s="42"/>
      <c r="J225" s="42"/>
      <c r="K225" s="42"/>
      <c r="L225" s="42"/>
      <c r="M225" s="42"/>
      <c r="N225" s="42"/>
    </row>
    <row r="226" spans="2:15">
      <c r="F226" s="62"/>
      <c r="G226" s="42"/>
      <c r="H226" s="42"/>
      <c r="I226" s="42"/>
      <c r="J226" s="42"/>
      <c r="K226" s="42"/>
      <c r="L226" s="42"/>
      <c r="M226" s="42"/>
      <c r="N226" s="42"/>
    </row>
    <row r="227" spans="2:15">
      <c r="B227" s="22" t="s">
        <v>121</v>
      </c>
      <c r="D227" s="28"/>
      <c r="E227" s="28"/>
      <c r="F227" s="67"/>
      <c r="G227" s="38"/>
      <c r="H227" s="38"/>
      <c r="I227" s="38"/>
      <c r="J227" s="38"/>
      <c r="K227" s="38"/>
      <c r="L227" s="38"/>
      <c r="M227" s="38"/>
      <c r="N227" s="38"/>
    </row>
    <row r="228" spans="2:15">
      <c r="B228" s="23" t="s">
        <v>216</v>
      </c>
      <c r="D228" t="s">
        <v>109</v>
      </c>
      <c r="F228" s="80">
        <f>SUM(G228:O228)</f>
        <v>0</v>
      </c>
      <c r="G228" s="131"/>
      <c r="H228" s="131"/>
      <c r="I228" s="131"/>
      <c r="J228" s="131"/>
      <c r="K228" s="131"/>
      <c r="L228" s="131"/>
      <c r="M228" s="131"/>
      <c r="N228" s="131"/>
      <c r="O228" s="131"/>
    </row>
    <row r="229" spans="2:15">
      <c r="B229" s="23" t="s">
        <v>217</v>
      </c>
      <c r="D229" t="s">
        <v>109</v>
      </c>
      <c r="F229" s="80">
        <f>SUM(G229:O229)</f>
        <v>0</v>
      </c>
      <c r="G229" s="131"/>
      <c r="H229" s="131"/>
      <c r="I229" s="131"/>
      <c r="J229" s="131"/>
      <c r="K229" s="131"/>
      <c r="L229" s="131"/>
      <c r="M229" s="131"/>
      <c r="N229" s="131"/>
      <c r="O229" s="131"/>
    </row>
    <row r="230" spans="2:15">
      <c r="B230" s="23"/>
      <c r="F230" s="62"/>
      <c r="G230" s="42"/>
      <c r="H230" s="42"/>
      <c r="I230" s="42"/>
      <c r="J230" s="42"/>
      <c r="K230" s="42"/>
      <c r="L230" s="42"/>
      <c r="M230" s="42"/>
      <c r="N230" s="42"/>
      <c r="O230" s="42"/>
    </row>
    <row r="231" spans="2:15">
      <c r="B231" s="22" t="s">
        <v>122</v>
      </c>
      <c r="F231" s="62"/>
      <c r="G231" s="42"/>
      <c r="H231" s="42"/>
      <c r="I231" s="42"/>
      <c r="J231" s="42"/>
      <c r="K231" s="42"/>
      <c r="L231" s="42"/>
      <c r="M231" s="42"/>
      <c r="N231" s="42"/>
      <c r="O231" s="42"/>
    </row>
    <row r="232" spans="2:15">
      <c r="B232" s="23" t="s">
        <v>123</v>
      </c>
      <c r="D232" t="s">
        <v>109</v>
      </c>
      <c r="F232" s="80">
        <f>SUM(G232:O232)</f>
        <v>13607703.761566874</v>
      </c>
      <c r="G232" s="195">
        <f>'PRD Ov.Opbrengst AD (2009-2012)'!G140-'PRD Ov.Opbrengst AD (2009-2012)'!G132+'PRD Ov.Opbrengst AD (2009-2012)'!G119+'PRD Ov.Opbrengst AD (2009-2012)'!G155-'PRD Ov.Opbrengst AD (2009-2012)'!G159</f>
        <v>81254</v>
      </c>
      <c r="H232" s="195">
        <f>'PRD Ov.Opbrengst AD (2009-2012)'!H140-'PRD Ov.Opbrengst AD (2009-2012)'!H132+'PRD Ov.Opbrengst AD (2009-2012)'!H119+'PRD Ov.Opbrengst AD (2009-2012)'!H155-'PRD Ov.Opbrengst AD (2009-2012)'!H159</f>
        <v>2563.2685000000001</v>
      </c>
      <c r="I232" s="195">
        <f>'PRD Ov.Opbrengst AD (2009-2012)'!I140-'PRD Ov.Opbrengst AD (2009-2012)'!I132+'PRD Ov.Opbrengst AD (2009-2012)'!I119+'PRD Ov.Opbrengst AD (2009-2012)'!I155-'PRD Ov.Opbrengst AD (2009-2012)'!I159</f>
        <v>403102.44904035033</v>
      </c>
      <c r="J232" s="195">
        <f>'PRD Ov.Opbrengst AD (2009-2012)'!J140-'PRD Ov.Opbrengst AD (2009-2012)'!J132+'PRD Ov.Opbrengst AD (2009-2012)'!J119+'PRD Ov.Opbrengst AD (2009-2012)'!J155-'PRD Ov.Opbrengst AD (2009-2012)'!J159</f>
        <v>5111976</v>
      </c>
      <c r="K232" s="195">
        <f>'PRD Ov.Opbrengst AD (2009-2012)'!K140-'PRD Ov.Opbrengst AD (2009-2012)'!K132+'PRD Ov.Opbrengst AD (2009-2012)'!K119+'PRD Ov.Opbrengst AD (2009-2012)'!K155-'PRD Ov.Opbrengst AD (2009-2012)'!K159</f>
        <v>4531325.3600000096</v>
      </c>
      <c r="L232" s="195">
        <f>'PRD Ov.Opbrengst AD (2009-2012)'!L140-'PRD Ov.Opbrengst AD (2009-2012)'!L132+'PRD Ov.Opbrengst AD (2009-2012)'!L119+'PRD Ov.Opbrengst AD (2009-2012)'!L155-'PRD Ov.Opbrengst AD (2009-2012)'!L159</f>
        <v>131415</v>
      </c>
      <c r="M232" s="195">
        <f>'PRD Ov.Opbrengst AD (2009-2012)'!M140-'PRD Ov.Opbrengst AD (2009-2012)'!M132+'PRD Ov.Opbrengst AD (2009-2012)'!M119+'PRD Ov.Opbrengst AD (2009-2012)'!M155-'PRD Ov.Opbrengst AD (2009-2012)'!M159</f>
        <v>3071003.6505634724</v>
      </c>
      <c r="N232" s="195">
        <f>'PRD Ov.Opbrengst AD (2009-2012)'!N140-'PRD Ov.Opbrengst AD (2009-2012)'!N132+'PRD Ov.Opbrengst AD (2009-2012)'!N119+'PRD Ov.Opbrengst AD (2009-2012)'!N155-'PRD Ov.Opbrengst AD (2009-2012)'!N159</f>
        <v>275064.03346304054</v>
      </c>
      <c r="O232" s="195">
        <f>'PRD Ov.Opbrengst AD (2009-2012)'!O140-'PRD Ov.Opbrengst AD (2009-2012)'!O132+'PRD Ov.Opbrengst AD (2009-2012)'!O119+'PRD Ov.Opbrengst AD (2009-2012)'!O155-'PRD Ov.Opbrengst AD (2009-2012)'!O159</f>
        <v>0</v>
      </c>
    </row>
    <row r="233" spans="2:15">
      <c r="B233" s="23" t="s">
        <v>124</v>
      </c>
      <c r="D233" t="s">
        <v>109</v>
      </c>
      <c r="F233" s="80">
        <f>SUM(G233:O233)</f>
        <v>0</v>
      </c>
      <c r="G233" s="131"/>
      <c r="H233" s="131"/>
      <c r="I233" s="131"/>
      <c r="J233" s="131"/>
      <c r="K233" s="131"/>
      <c r="L233" s="131"/>
      <c r="M233" s="131"/>
      <c r="N233" s="131"/>
      <c r="O233" s="131"/>
    </row>
    <row r="234" spans="2:15">
      <c r="B234" s="23"/>
      <c r="F234" s="62"/>
      <c r="G234" s="42"/>
      <c r="H234" s="42"/>
      <c r="I234" s="42"/>
      <c r="J234" s="42"/>
      <c r="K234" s="42"/>
      <c r="L234" s="42"/>
      <c r="M234" s="42"/>
      <c r="N234" s="42"/>
      <c r="O234" s="42"/>
    </row>
    <row r="235" spans="2:15">
      <c r="B235" s="22" t="s">
        <v>125</v>
      </c>
      <c r="F235" s="62"/>
      <c r="G235" s="42"/>
      <c r="H235" s="42"/>
      <c r="I235" s="42"/>
      <c r="J235" s="42"/>
      <c r="K235" s="42"/>
      <c r="L235" s="42"/>
      <c r="M235" s="42"/>
      <c r="N235" s="42"/>
      <c r="O235" s="42"/>
    </row>
    <row r="236" spans="2:15">
      <c r="B236" s="23" t="s">
        <v>126</v>
      </c>
      <c r="D236" t="s">
        <v>109</v>
      </c>
      <c r="F236" s="80">
        <f>SUM(G236:O236)</f>
        <v>0</v>
      </c>
      <c r="G236" s="131"/>
      <c r="H236" s="131"/>
      <c r="I236" s="131"/>
      <c r="J236" s="131"/>
      <c r="K236" s="131"/>
      <c r="L236" s="131"/>
      <c r="M236" s="131"/>
      <c r="N236" s="131"/>
      <c r="O236" s="131"/>
    </row>
    <row r="237" spans="2:15">
      <c r="B237" s="23" t="s">
        <v>127</v>
      </c>
      <c r="D237" t="s">
        <v>109</v>
      </c>
      <c r="F237" s="80">
        <f>SUM(G237:O237)</f>
        <v>0</v>
      </c>
      <c r="G237" s="131"/>
      <c r="H237" s="131"/>
      <c r="I237" s="131"/>
      <c r="J237" s="131"/>
      <c r="K237" s="131"/>
      <c r="L237" s="131"/>
      <c r="M237" s="131"/>
      <c r="N237" s="131"/>
      <c r="O237" s="131"/>
    </row>
    <row r="238" spans="2:15">
      <c r="B238" s="23"/>
      <c r="F238" s="62"/>
      <c r="G238" s="42"/>
      <c r="H238" s="42"/>
      <c r="I238" s="42"/>
      <c r="J238" s="42"/>
      <c r="K238" s="42"/>
      <c r="L238" s="42"/>
      <c r="M238" s="42"/>
      <c r="N238" s="42"/>
      <c r="O238" s="42"/>
    </row>
    <row r="239" spans="2:15">
      <c r="B239" s="22" t="s">
        <v>128</v>
      </c>
      <c r="F239" s="62"/>
      <c r="G239" s="42"/>
      <c r="H239" s="42"/>
      <c r="I239" s="42"/>
      <c r="J239" s="42"/>
      <c r="K239" s="42"/>
      <c r="L239" s="42"/>
      <c r="M239" s="42"/>
      <c r="N239" s="42"/>
      <c r="O239" s="42"/>
    </row>
    <row r="240" spans="2:15">
      <c r="B240" s="93" t="s">
        <v>180</v>
      </c>
      <c r="D240" t="s">
        <v>109</v>
      </c>
      <c r="F240" s="80">
        <f>SUM(G240:O240)</f>
        <v>0</v>
      </c>
      <c r="G240" s="131"/>
      <c r="H240" s="131"/>
      <c r="I240" s="131"/>
      <c r="J240" s="131"/>
      <c r="K240" s="131"/>
      <c r="L240" s="131"/>
      <c r="M240" s="131"/>
      <c r="N240" s="131"/>
      <c r="O240" s="131"/>
    </row>
    <row r="241" spans="2:17">
      <c r="B241" s="93" t="s">
        <v>181</v>
      </c>
      <c r="D241" t="s">
        <v>109</v>
      </c>
      <c r="F241" s="80">
        <f>SUM(G241:O241)</f>
        <v>0</v>
      </c>
      <c r="G241" s="131"/>
      <c r="H241" s="131"/>
      <c r="I241" s="131"/>
      <c r="J241" s="131"/>
      <c r="K241" s="131"/>
      <c r="L241" s="131"/>
      <c r="M241" s="131"/>
      <c r="N241" s="131"/>
      <c r="O241" s="131"/>
    </row>
    <row r="242" spans="2:17">
      <c r="B242" s="94" t="s">
        <v>182</v>
      </c>
      <c r="D242" t="s">
        <v>109</v>
      </c>
      <c r="F242" s="80">
        <f>SUM(G242:O242)</f>
        <v>0</v>
      </c>
      <c r="G242" s="131"/>
      <c r="H242" s="131"/>
      <c r="I242" s="131"/>
      <c r="J242" s="131"/>
      <c r="K242" s="131"/>
      <c r="L242" s="131"/>
      <c r="M242" s="131"/>
      <c r="N242" s="131"/>
      <c r="O242" s="131"/>
    </row>
    <row r="243" spans="2:17">
      <c r="F243" s="62"/>
      <c r="G243" s="42"/>
      <c r="H243" s="42"/>
      <c r="I243" s="42"/>
      <c r="J243" s="42"/>
      <c r="K243" s="42"/>
      <c r="L243" s="42"/>
      <c r="M243" s="42"/>
      <c r="N243" s="42"/>
    </row>
    <row r="244" spans="2:17">
      <c r="F244" s="62"/>
      <c r="G244" s="42"/>
      <c r="H244" s="42"/>
      <c r="I244" s="42"/>
      <c r="J244" s="42"/>
      <c r="K244" s="42"/>
      <c r="L244" s="42"/>
      <c r="M244" s="42"/>
      <c r="N244" s="42"/>
    </row>
    <row r="245" spans="2:17">
      <c r="B245" s="3" t="s">
        <v>30</v>
      </c>
      <c r="F245" s="62"/>
      <c r="G245" s="42"/>
      <c r="H245" s="42"/>
      <c r="I245" s="42"/>
      <c r="J245" s="42"/>
      <c r="K245" s="42"/>
      <c r="L245" s="42"/>
      <c r="M245" s="42"/>
      <c r="N245" s="42"/>
    </row>
    <row r="246" spans="2:17">
      <c r="F246" s="62"/>
      <c r="G246" s="42"/>
      <c r="H246" s="42"/>
      <c r="I246" s="42"/>
      <c r="J246" s="42"/>
      <c r="K246" s="42"/>
      <c r="L246" s="42"/>
      <c r="M246" s="42"/>
      <c r="N246" s="42"/>
    </row>
    <row r="247" spans="2:17">
      <c r="B247" s="22" t="s">
        <v>121</v>
      </c>
      <c r="D247" s="28"/>
      <c r="E247" s="28"/>
      <c r="F247" s="67"/>
      <c r="G247" s="38"/>
      <c r="H247" s="38"/>
      <c r="I247" s="38"/>
      <c r="J247" s="38"/>
      <c r="K247" s="38"/>
      <c r="L247" s="38"/>
      <c r="M247" s="38"/>
      <c r="N247" s="38"/>
    </row>
    <row r="248" spans="2:17">
      <c r="B248" s="23" t="s">
        <v>216</v>
      </c>
      <c r="D248" t="s">
        <v>109</v>
      </c>
      <c r="F248" s="80">
        <f>SUM(G248:O248)</f>
        <v>0</v>
      </c>
      <c r="G248" s="30">
        <f>G186+G208-G228</f>
        <v>0</v>
      </c>
      <c r="H248" s="30">
        <f t="shared" ref="H248:O249" si="13">H186+H208-H228</f>
        <v>0</v>
      </c>
      <c r="I248" s="30">
        <f t="shared" si="13"/>
        <v>0</v>
      </c>
      <c r="J248" s="30">
        <f t="shared" si="13"/>
        <v>0</v>
      </c>
      <c r="K248" s="30">
        <f t="shared" si="13"/>
        <v>0</v>
      </c>
      <c r="L248" s="30">
        <f t="shared" si="13"/>
        <v>0</v>
      </c>
      <c r="M248" s="30">
        <f t="shared" si="13"/>
        <v>0</v>
      </c>
      <c r="N248" s="30">
        <f t="shared" si="13"/>
        <v>0</v>
      </c>
      <c r="O248" s="30">
        <f t="shared" si="13"/>
        <v>0</v>
      </c>
      <c r="Q248" s="51" t="s">
        <v>569</v>
      </c>
    </row>
    <row r="249" spans="2:17">
      <c r="B249" s="23" t="s">
        <v>217</v>
      </c>
      <c r="D249" t="s">
        <v>109</v>
      </c>
      <c r="F249" s="80">
        <f>SUM(G249:O249)</f>
        <v>0</v>
      </c>
      <c r="G249" s="30">
        <f>G187+G209-G229</f>
        <v>0</v>
      </c>
      <c r="H249" s="30">
        <f t="shared" si="13"/>
        <v>0</v>
      </c>
      <c r="I249" s="30">
        <f t="shared" si="13"/>
        <v>0</v>
      </c>
      <c r="J249" s="30">
        <f t="shared" si="13"/>
        <v>0</v>
      </c>
      <c r="K249" s="30">
        <f t="shared" si="13"/>
        <v>0</v>
      </c>
      <c r="L249" s="30">
        <f t="shared" si="13"/>
        <v>0</v>
      </c>
      <c r="M249" s="30">
        <f t="shared" si="13"/>
        <v>0</v>
      </c>
      <c r="N249" s="30">
        <f t="shared" si="13"/>
        <v>0</v>
      </c>
      <c r="O249" s="30">
        <f t="shared" si="13"/>
        <v>0</v>
      </c>
    </row>
    <row r="250" spans="2:17">
      <c r="B250" s="23"/>
      <c r="F250" s="62"/>
      <c r="G250" s="38"/>
      <c r="H250" s="38"/>
      <c r="I250" s="38"/>
      <c r="J250" s="38"/>
      <c r="K250" s="38"/>
      <c r="L250" s="38"/>
      <c r="M250" s="38"/>
      <c r="N250" s="38"/>
    </row>
    <row r="251" spans="2:17">
      <c r="B251" s="22" t="s">
        <v>122</v>
      </c>
      <c r="F251" s="62"/>
      <c r="G251" s="38"/>
      <c r="H251" s="38"/>
      <c r="I251" s="38"/>
      <c r="J251" s="38"/>
      <c r="K251" s="38"/>
      <c r="L251" s="38"/>
      <c r="M251" s="38"/>
      <c r="N251" s="38"/>
    </row>
    <row r="252" spans="2:17">
      <c r="B252" s="23" t="s">
        <v>123</v>
      </c>
      <c r="D252" t="s">
        <v>109</v>
      </c>
      <c r="F252" s="80">
        <f>SUM(G252:O252)</f>
        <v>69787216.552568287</v>
      </c>
      <c r="G252" s="30">
        <f>G190+G212-G232</f>
        <v>1198632</v>
      </c>
      <c r="H252" s="30">
        <f t="shared" ref="H252:O253" si="14">H190+H212-H232</f>
        <v>1540321.5362678531</v>
      </c>
      <c r="I252" s="30">
        <f t="shared" si="14"/>
        <v>6002748.0161612248</v>
      </c>
      <c r="J252" s="30">
        <f t="shared" si="14"/>
        <v>8961885.8633149657</v>
      </c>
      <c r="K252" s="30">
        <f t="shared" si="14"/>
        <v>36533439.461017624</v>
      </c>
      <c r="L252" s="30">
        <f t="shared" si="14"/>
        <v>1116561.1399999999</v>
      </c>
      <c r="M252" s="30">
        <f t="shared" si="14"/>
        <v>14187862.238815257</v>
      </c>
      <c r="N252" s="30">
        <f t="shared" si="14"/>
        <v>245766.29699136614</v>
      </c>
      <c r="O252" s="30">
        <f t="shared" si="14"/>
        <v>0</v>
      </c>
    </row>
    <row r="253" spans="2:17">
      <c r="B253" s="23" t="s">
        <v>124</v>
      </c>
      <c r="D253" t="s">
        <v>109</v>
      </c>
      <c r="F253" s="80">
        <f>SUM(G253:O253)</f>
        <v>2584478.1359586758</v>
      </c>
      <c r="G253" s="30">
        <f>G191+G213-G233</f>
        <v>0</v>
      </c>
      <c r="H253" s="30">
        <f t="shared" si="14"/>
        <v>0</v>
      </c>
      <c r="I253" s="30">
        <f t="shared" si="14"/>
        <v>0</v>
      </c>
      <c r="J253" s="30">
        <f t="shared" si="14"/>
        <v>0</v>
      </c>
      <c r="K253" s="30">
        <f t="shared" si="14"/>
        <v>0</v>
      </c>
      <c r="L253" s="30">
        <f t="shared" si="14"/>
        <v>69308.459999999992</v>
      </c>
      <c r="M253" s="30">
        <f t="shared" si="14"/>
        <v>2515169.6759586758</v>
      </c>
      <c r="N253" s="30">
        <f t="shared" si="14"/>
        <v>0</v>
      </c>
      <c r="O253" s="30">
        <f t="shared" si="14"/>
        <v>0</v>
      </c>
    </row>
    <row r="254" spans="2:17">
      <c r="B254" s="23"/>
      <c r="F254" s="62"/>
      <c r="G254" s="38"/>
      <c r="H254" s="38"/>
      <c r="I254" s="38"/>
      <c r="J254" s="38"/>
      <c r="K254" s="38"/>
      <c r="L254" s="38"/>
      <c r="M254" s="38"/>
      <c r="N254" s="38"/>
    </row>
    <row r="255" spans="2:17">
      <c r="B255" s="22" t="s">
        <v>125</v>
      </c>
      <c r="F255" s="62"/>
      <c r="G255" s="38"/>
      <c r="H255" s="38"/>
      <c r="I255" s="38"/>
      <c r="J255" s="38"/>
      <c r="K255" s="38"/>
      <c r="L255" s="38"/>
      <c r="M255" s="38"/>
      <c r="N255" s="38"/>
    </row>
    <row r="256" spans="2:17">
      <c r="B256" s="23" t="s">
        <v>126</v>
      </c>
      <c r="D256" t="s">
        <v>109</v>
      </c>
      <c r="F256" s="80">
        <f>SUM(G256:O256)</f>
        <v>0</v>
      </c>
      <c r="G256" s="30">
        <f>G194+G216-G236</f>
        <v>0</v>
      </c>
      <c r="H256" s="30">
        <f t="shared" ref="H256:O257" si="15">H194+H216-H236</f>
        <v>0</v>
      </c>
      <c r="I256" s="30">
        <f t="shared" si="15"/>
        <v>0</v>
      </c>
      <c r="J256" s="30">
        <f t="shared" si="15"/>
        <v>0</v>
      </c>
      <c r="K256" s="30">
        <f t="shared" si="15"/>
        <v>0</v>
      </c>
      <c r="L256" s="30">
        <f t="shared" si="15"/>
        <v>0</v>
      </c>
      <c r="M256" s="30">
        <f t="shared" si="15"/>
        <v>0</v>
      </c>
      <c r="N256" s="30">
        <f t="shared" si="15"/>
        <v>0</v>
      </c>
      <c r="O256" s="30">
        <f t="shared" si="15"/>
        <v>0</v>
      </c>
    </row>
    <row r="257" spans="2:15">
      <c r="B257" s="23" t="s">
        <v>127</v>
      </c>
      <c r="D257" t="s">
        <v>109</v>
      </c>
      <c r="F257" s="80">
        <f>SUM(G257:O257)</f>
        <v>0</v>
      </c>
      <c r="G257" s="30">
        <f>G195+G217-G237</f>
        <v>0</v>
      </c>
      <c r="H257" s="30">
        <f t="shared" si="15"/>
        <v>0</v>
      </c>
      <c r="I257" s="30">
        <f t="shared" si="15"/>
        <v>0</v>
      </c>
      <c r="J257" s="30">
        <f t="shared" si="15"/>
        <v>0</v>
      </c>
      <c r="K257" s="30">
        <f t="shared" si="15"/>
        <v>0</v>
      </c>
      <c r="L257" s="30">
        <f t="shared" si="15"/>
        <v>0</v>
      </c>
      <c r="M257" s="30">
        <f t="shared" si="15"/>
        <v>0</v>
      </c>
      <c r="N257" s="30">
        <f t="shared" si="15"/>
        <v>0</v>
      </c>
      <c r="O257" s="30">
        <f t="shared" si="15"/>
        <v>0</v>
      </c>
    </row>
    <row r="258" spans="2:15">
      <c r="B258" s="23"/>
      <c r="F258" s="62"/>
      <c r="G258" s="38"/>
      <c r="H258" s="38"/>
      <c r="I258" s="38"/>
      <c r="J258" s="38"/>
      <c r="K258" s="38"/>
      <c r="L258" s="38"/>
      <c r="M258" s="38"/>
      <c r="N258" s="38"/>
    </row>
    <row r="259" spans="2:15">
      <c r="B259" s="22" t="s">
        <v>128</v>
      </c>
      <c r="F259" s="62"/>
      <c r="G259" s="38"/>
      <c r="H259" s="38"/>
      <c r="I259" s="38"/>
      <c r="J259" s="38"/>
      <c r="K259" s="38"/>
      <c r="L259" s="38"/>
      <c r="M259" s="38"/>
      <c r="N259" s="38"/>
    </row>
    <row r="260" spans="2:15">
      <c r="B260" s="93" t="s">
        <v>180</v>
      </c>
      <c r="D260" t="s">
        <v>109</v>
      </c>
      <c r="F260" s="80">
        <f>SUM(G260:O260)</f>
        <v>829807.50395847682</v>
      </c>
      <c r="G260" s="30">
        <f>G198+G220-G240</f>
        <v>15855.894050000001</v>
      </c>
      <c r="H260" s="30">
        <f t="shared" ref="H260:O262" si="16">H198+H220-H240</f>
        <v>20925.481250000001</v>
      </c>
      <c r="I260" s="30">
        <f t="shared" si="16"/>
        <v>45454.015332335395</v>
      </c>
      <c r="J260" s="30">
        <f t="shared" si="16"/>
        <v>218913.94590930088</v>
      </c>
      <c r="K260" s="30">
        <f t="shared" si="16"/>
        <v>225760.82178911319</v>
      </c>
      <c r="L260" s="30">
        <f t="shared" si="16"/>
        <v>13654.11</v>
      </c>
      <c r="M260" s="30">
        <f t="shared" si="16"/>
        <v>288546.02055414068</v>
      </c>
      <c r="N260" s="30">
        <f t="shared" si="16"/>
        <v>697.21507358662541</v>
      </c>
      <c r="O260" s="30">
        <f t="shared" si="16"/>
        <v>0</v>
      </c>
    </row>
    <row r="261" spans="2:15">
      <c r="B261" s="93" t="s">
        <v>181</v>
      </c>
      <c r="D261" t="s">
        <v>109</v>
      </c>
      <c r="F261" s="80">
        <f>SUM(G261:O261)</f>
        <v>36810.200326907958</v>
      </c>
      <c r="G261" s="30">
        <f>G199+G221-G241</f>
        <v>704.12</v>
      </c>
      <c r="H261" s="30">
        <f t="shared" si="16"/>
        <v>572.9328999999999</v>
      </c>
      <c r="I261" s="30">
        <f t="shared" si="16"/>
        <v>3848.1440452017519</v>
      </c>
      <c r="J261" s="30">
        <f t="shared" si="16"/>
        <v>7634.7209024325821</v>
      </c>
      <c r="K261" s="30">
        <f t="shared" si="16"/>
        <v>11337.07813898685</v>
      </c>
      <c r="L261" s="30">
        <f t="shared" si="16"/>
        <v>226.96</v>
      </c>
      <c r="M261" s="30">
        <f t="shared" si="16"/>
        <v>1365.361728626842</v>
      </c>
      <c r="N261" s="30">
        <f t="shared" si="16"/>
        <v>11120.88261165993</v>
      </c>
      <c r="O261" s="30">
        <f t="shared" si="16"/>
        <v>0</v>
      </c>
    </row>
    <row r="262" spans="2:15">
      <c r="B262" s="94" t="s">
        <v>182</v>
      </c>
      <c r="D262" t="s">
        <v>109</v>
      </c>
      <c r="F262" s="80">
        <f>SUM(G262:O262)</f>
        <v>1249173.0249962574</v>
      </c>
      <c r="G262" s="30">
        <f>G200+G222-G242</f>
        <v>0</v>
      </c>
      <c r="H262" s="30">
        <f t="shared" si="16"/>
        <v>0</v>
      </c>
      <c r="I262" s="30">
        <f t="shared" si="16"/>
        <v>42910.640941474121</v>
      </c>
      <c r="J262" s="30">
        <f t="shared" si="16"/>
        <v>0</v>
      </c>
      <c r="K262" s="30">
        <f t="shared" si="16"/>
        <v>1159242.3598448487</v>
      </c>
      <c r="L262" s="30">
        <f t="shared" si="16"/>
        <v>22129.56</v>
      </c>
      <c r="M262" s="30">
        <f t="shared" si="16"/>
        <v>22860.824641968069</v>
      </c>
      <c r="N262" s="30">
        <f t="shared" si="16"/>
        <v>2029.6395679663704</v>
      </c>
      <c r="O262" s="30">
        <f t="shared" si="16"/>
        <v>0</v>
      </c>
    </row>
    <row r="263" spans="2:15">
      <c r="F263" s="62"/>
      <c r="G263" s="42"/>
      <c r="H263" s="42"/>
      <c r="I263" s="42"/>
      <c r="J263" s="42"/>
      <c r="K263" s="42"/>
      <c r="L263" s="42"/>
      <c r="M263" s="42"/>
      <c r="N263" s="42"/>
    </row>
    <row r="264" spans="2:15">
      <c r="B264" s="25" t="s">
        <v>403</v>
      </c>
      <c r="D264" t="s">
        <v>109</v>
      </c>
      <c r="F264" s="132">
        <f>SUM(G264:O264)</f>
        <v>74487485.417808607</v>
      </c>
      <c r="G264" s="69">
        <f>SUM(G248:G249,G252:G253,G256:G257,G260:G262)</f>
        <v>1215192.0140500001</v>
      </c>
      <c r="H264" s="69">
        <f t="shared" ref="H264:O264" si="17">SUM(H248:H249,H252:H253,H256:H257,H260:H262)</f>
        <v>1561819.950417853</v>
      </c>
      <c r="I264" s="69">
        <f t="shared" si="17"/>
        <v>6094960.8164802361</v>
      </c>
      <c r="J264" s="69">
        <f t="shared" si="17"/>
        <v>9188434.5301266983</v>
      </c>
      <c r="K264" s="69">
        <f t="shared" si="17"/>
        <v>37929779.720790572</v>
      </c>
      <c r="L264" s="69">
        <f t="shared" si="17"/>
        <v>1221880.23</v>
      </c>
      <c r="M264" s="69">
        <f t="shared" si="17"/>
        <v>17015804.12169867</v>
      </c>
      <c r="N264" s="69">
        <f t="shared" si="17"/>
        <v>259614.03424457906</v>
      </c>
      <c r="O264" s="69">
        <f t="shared" si="17"/>
        <v>0</v>
      </c>
    </row>
    <row r="265" spans="2:15">
      <c r="F265" s="85"/>
      <c r="G265" s="42"/>
      <c r="H265" s="42"/>
      <c r="I265" s="42"/>
      <c r="J265" s="42"/>
      <c r="K265" s="42"/>
      <c r="L265" s="42"/>
      <c r="M265" s="42"/>
      <c r="N265" s="42"/>
    </row>
    <row r="266" spans="2:15">
      <c r="F266" s="62"/>
      <c r="G266" s="42"/>
      <c r="H266" s="42"/>
      <c r="I266" s="42"/>
      <c r="J266" s="42"/>
      <c r="K266" s="42"/>
      <c r="L266" s="42"/>
      <c r="M266" s="42"/>
      <c r="N266" s="42"/>
    </row>
    <row r="267" spans="2:15" s="2" customFormat="1">
      <c r="B267" s="2" t="s">
        <v>397</v>
      </c>
      <c r="F267" s="49"/>
    </row>
    <row r="268" spans="2:15">
      <c r="F268" s="47"/>
    </row>
    <row r="269" spans="2:15">
      <c r="B269" s="3" t="s">
        <v>29</v>
      </c>
      <c r="F269" s="47"/>
    </row>
    <row r="270" spans="2:15">
      <c r="F270" s="47"/>
    </row>
    <row r="271" spans="2:15">
      <c r="B271" s="22" t="s">
        <v>121</v>
      </c>
      <c r="D271" s="28"/>
      <c r="E271" s="28"/>
      <c r="F271" s="67"/>
      <c r="G271" s="38"/>
      <c r="H271" s="38"/>
      <c r="I271" s="38"/>
      <c r="J271" s="38"/>
      <c r="K271" s="38"/>
      <c r="L271" s="38"/>
      <c r="M271" s="38"/>
      <c r="N271" s="38"/>
    </row>
    <row r="272" spans="2:15">
      <c r="B272" s="23" t="s">
        <v>216</v>
      </c>
      <c r="D272" t="s">
        <v>110</v>
      </c>
      <c r="F272" s="80">
        <f>SUM(G272:O272)</f>
        <v>0</v>
      </c>
      <c r="G272" s="43">
        <f>'PRD OPEX AD (2009-2012)'!G247</f>
        <v>0</v>
      </c>
      <c r="H272" s="43">
        <f>'PRD OPEX AD (2009-2012)'!H247</f>
        <v>0</v>
      </c>
      <c r="I272" s="43">
        <f>'PRD OPEX AD (2009-2012)'!I247</f>
        <v>0</v>
      </c>
      <c r="J272" s="43">
        <f>'PRD OPEX AD (2009-2012)'!J247</f>
        <v>0</v>
      </c>
      <c r="K272" s="43">
        <f>'PRD OPEX AD (2009-2012)'!K247</f>
        <v>0</v>
      </c>
      <c r="L272" s="43">
        <f>'PRD OPEX AD (2009-2012)'!L247</f>
        <v>0</v>
      </c>
      <c r="M272" s="43">
        <f>'PRD OPEX AD (2009-2012)'!M247</f>
        <v>0</v>
      </c>
      <c r="N272" s="43">
        <f>'PRD OPEX AD (2009-2012)'!N247</f>
        <v>0</v>
      </c>
      <c r="O272" s="43">
        <f>'PRD OPEX AD (2009-2012)'!O247</f>
        <v>0</v>
      </c>
    </row>
    <row r="273" spans="2:16">
      <c r="B273" s="23" t="s">
        <v>217</v>
      </c>
      <c r="D273" t="s">
        <v>110</v>
      </c>
      <c r="F273" s="80">
        <f>SUM(G273:O273)</f>
        <v>0</v>
      </c>
      <c r="G273" s="43">
        <f>'PRD OPEX AD (2009-2012)'!G248</f>
        <v>0</v>
      </c>
      <c r="H273" s="43">
        <f>'PRD OPEX AD (2009-2012)'!H248</f>
        <v>0</v>
      </c>
      <c r="I273" s="43">
        <f>'PRD OPEX AD (2009-2012)'!I248</f>
        <v>0</v>
      </c>
      <c r="J273" s="43">
        <f>'PRD OPEX AD (2009-2012)'!J248</f>
        <v>0</v>
      </c>
      <c r="K273" s="43">
        <f>'PRD OPEX AD (2009-2012)'!K248</f>
        <v>0</v>
      </c>
      <c r="L273" s="43">
        <f>'PRD OPEX AD (2009-2012)'!L248</f>
        <v>0</v>
      </c>
      <c r="M273" s="43">
        <f>'PRD OPEX AD (2009-2012)'!M248</f>
        <v>0</v>
      </c>
      <c r="N273" s="43">
        <f>'PRD OPEX AD (2009-2012)'!N248</f>
        <v>0</v>
      </c>
      <c r="O273" s="43">
        <f>'PRD OPEX AD (2009-2012)'!O248</f>
        <v>0</v>
      </c>
    </row>
    <row r="274" spans="2:16">
      <c r="B274" s="23"/>
      <c r="F274" s="62"/>
      <c r="G274" s="42"/>
      <c r="H274" s="42"/>
      <c r="I274" s="42"/>
      <c r="J274" s="42"/>
      <c r="K274" s="42"/>
      <c r="L274" s="42"/>
      <c r="M274" s="42"/>
      <c r="N274" s="42"/>
      <c r="O274" s="42"/>
    </row>
    <row r="275" spans="2:16">
      <c r="B275" s="22" t="s">
        <v>122</v>
      </c>
      <c r="F275" s="62"/>
      <c r="G275" s="42"/>
      <c r="H275" s="42"/>
      <c r="I275" s="42"/>
      <c r="J275" s="42"/>
      <c r="K275" s="42"/>
      <c r="L275" s="42"/>
      <c r="M275" s="42"/>
      <c r="N275" s="42"/>
      <c r="O275" s="42"/>
    </row>
    <row r="276" spans="2:16">
      <c r="B276" s="23" t="s">
        <v>123</v>
      </c>
      <c r="D276" t="s">
        <v>110</v>
      </c>
      <c r="F276" s="80">
        <f>SUM(G276:O276)</f>
        <v>103749339.32002322</v>
      </c>
      <c r="G276" s="43">
        <f>'PRD OPEX AD (2009-2012)'!G251</f>
        <v>1708049</v>
      </c>
      <c r="H276" s="43">
        <f>'PRD OPEX AD (2009-2012)'!H251</f>
        <v>1772764.8942675318</v>
      </c>
      <c r="I276" s="43">
        <f>'PRD OPEX AD (2009-2012)'!I251</f>
        <v>9655999.2863803357</v>
      </c>
      <c r="J276" s="43">
        <f>'PRD OPEX AD (2009-2012)'!J251</f>
        <v>13187293.027267164</v>
      </c>
      <c r="K276" s="43">
        <f>'PRD OPEX AD (2009-2012)'!K251</f>
        <v>50620993.160814434</v>
      </c>
      <c r="L276" s="43">
        <f>'PRD OPEX AD (2009-2012)'!L251</f>
        <v>1391437.94</v>
      </c>
      <c r="M276" s="43">
        <f>'PRD OPEX AD (2009-2012)'!M251</f>
        <v>24945282.455351494</v>
      </c>
      <c r="N276" s="43">
        <f>'PRD OPEX AD (2009-2012)'!N251</f>
        <v>467519.55594224716</v>
      </c>
      <c r="O276" s="43">
        <f>'PRD OPEX AD (2009-2012)'!O251</f>
        <v>0</v>
      </c>
    </row>
    <row r="277" spans="2:16">
      <c r="B277" s="23" t="s">
        <v>124</v>
      </c>
      <c r="D277" t="s">
        <v>110</v>
      </c>
      <c r="F277" s="80">
        <f>SUM(G277:O277)</f>
        <v>2203605.1525052567</v>
      </c>
      <c r="G277" s="43">
        <f>'PRD OPEX AD (2009-2012)'!G252</f>
        <v>0</v>
      </c>
      <c r="H277" s="43">
        <f>'PRD OPEX AD (2009-2012)'!H252</f>
        <v>0</v>
      </c>
      <c r="I277" s="43">
        <f>'PRD OPEX AD (2009-2012)'!I252</f>
        <v>0</v>
      </c>
      <c r="J277" s="43">
        <f>'PRD OPEX AD (2009-2012)'!J252</f>
        <v>0</v>
      </c>
      <c r="K277" s="43">
        <f>'PRD OPEX AD (2009-2012)'!K252</f>
        <v>0</v>
      </c>
      <c r="L277" s="43">
        <f>'PRD OPEX AD (2009-2012)'!L252</f>
        <v>87426.79</v>
      </c>
      <c r="M277" s="43">
        <f>'PRD OPEX AD (2009-2012)'!M252</f>
        <v>2116178.3625052567</v>
      </c>
      <c r="N277" s="43">
        <f>'PRD OPEX AD (2009-2012)'!N252</f>
        <v>0</v>
      </c>
      <c r="O277" s="43">
        <f>'PRD OPEX AD (2009-2012)'!O252</f>
        <v>0</v>
      </c>
    </row>
    <row r="278" spans="2:16">
      <c r="B278" s="23"/>
      <c r="F278" s="62"/>
      <c r="G278" s="42"/>
      <c r="H278" s="42"/>
      <c r="I278" s="42"/>
      <c r="J278" s="42"/>
      <c r="K278" s="42"/>
      <c r="L278" s="42"/>
      <c r="M278" s="42"/>
      <c r="N278" s="42"/>
      <c r="O278" s="42"/>
    </row>
    <row r="279" spans="2:16">
      <c r="B279" s="22" t="s">
        <v>125</v>
      </c>
      <c r="F279" s="62"/>
      <c r="G279" s="42"/>
      <c r="H279" s="42"/>
      <c r="I279" s="42"/>
      <c r="J279" s="42"/>
      <c r="K279" s="42"/>
      <c r="L279" s="42"/>
      <c r="M279" s="42"/>
      <c r="N279" s="42"/>
      <c r="O279" s="42"/>
    </row>
    <row r="280" spans="2:16">
      <c r="B280" s="23" t="s">
        <v>126</v>
      </c>
      <c r="D280" t="s">
        <v>110</v>
      </c>
      <c r="F280" s="80">
        <f>SUM(G280:O280)</f>
        <v>0</v>
      </c>
      <c r="G280" s="43">
        <f>'PRD OPEX AD (2009-2012)'!G255</f>
        <v>0</v>
      </c>
      <c r="H280" s="43">
        <f>'PRD OPEX AD (2009-2012)'!H255</f>
        <v>0</v>
      </c>
      <c r="I280" s="43">
        <f>'PRD OPEX AD (2009-2012)'!I255</f>
        <v>0</v>
      </c>
      <c r="J280" s="43">
        <f>'PRD OPEX AD (2009-2012)'!J255</f>
        <v>0</v>
      </c>
      <c r="K280" s="43">
        <f>'PRD OPEX AD (2009-2012)'!K255</f>
        <v>0</v>
      </c>
      <c r="L280" s="43">
        <f>'PRD OPEX AD (2009-2012)'!L255</f>
        <v>0</v>
      </c>
      <c r="M280" s="43">
        <f>'PRD OPEX AD (2009-2012)'!M255</f>
        <v>0</v>
      </c>
      <c r="N280" s="43">
        <f>'PRD OPEX AD (2009-2012)'!N255</f>
        <v>0</v>
      </c>
      <c r="O280" s="43">
        <f>'PRD OPEX AD (2009-2012)'!O255</f>
        <v>0</v>
      </c>
    </row>
    <row r="281" spans="2:16">
      <c r="B281" s="23" t="s">
        <v>127</v>
      </c>
      <c r="D281" t="s">
        <v>110</v>
      </c>
      <c r="F281" s="80">
        <f>SUM(G281:O281)</f>
        <v>194</v>
      </c>
      <c r="G281" s="43">
        <f>'PRD OPEX AD (2009-2012)'!G256</f>
        <v>194</v>
      </c>
      <c r="H281" s="43">
        <f>'PRD OPEX AD (2009-2012)'!H256</f>
        <v>0</v>
      </c>
      <c r="I281" s="43">
        <f>'PRD OPEX AD (2009-2012)'!I256</f>
        <v>0</v>
      </c>
      <c r="J281" s="43">
        <f>'PRD OPEX AD (2009-2012)'!J256</f>
        <v>0</v>
      </c>
      <c r="K281" s="43">
        <f>'PRD OPEX AD (2009-2012)'!K256</f>
        <v>0</v>
      </c>
      <c r="L281" s="43">
        <f>'PRD OPEX AD (2009-2012)'!L256</f>
        <v>0</v>
      </c>
      <c r="M281" s="43">
        <f>'PRD OPEX AD (2009-2012)'!M256</f>
        <v>0</v>
      </c>
      <c r="N281" s="43">
        <f>'PRD OPEX AD (2009-2012)'!N256</f>
        <v>0</v>
      </c>
      <c r="O281" s="43">
        <f>'PRD OPEX AD (2009-2012)'!O256</f>
        <v>0</v>
      </c>
    </row>
    <row r="282" spans="2:16">
      <c r="B282" s="23"/>
      <c r="F282" s="62"/>
      <c r="G282" s="42"/>
      <c r="H282" s="42"/>
      <c r="I282" s="42"/>
      <c r="J282" s="42"/>
      <c r="K282" s="42"/>
      <c r="L282" s="42"/>
      <c r="M282" s="42"/>
      <c r="N282" s="42"/>
      <c r="O282" s="42"/>
    </row>
    <row r="283" spans="2:16">
      <c r="B283" s="22" t="s">
        <v>128</v>
      </c>
      <c r="F283" s="62"/>
      <c r="G283" s="42"/>
      <c r="H283" s="42"/>
      <c r="I283" s="42"/>
      <c r="J283" s="42"/>
      <c r="K283" s="42"/>
      <c r="L283" s="42"/>
      <c r="M283" s="42"/>
      <c r="N283" s="42"/>
      <c r="O283" s="42"/>
    </row>
    <row r="284" spans="2:16">
      <c r="B284" s="93" t="s">
        <v>180</v>
      </c>
      <c r="D284" t="s">
        <v>110</v>
      </c>
      <c r="F284" s="80">
        <f>SUM(G284:O284)</f>
        <v>796143.63836750435</v>
      </c>
      <c r="G284" s="43">
        <f>'PRD OPEX AD (2009-2012)'!G259</f>
        <v>16730</v>
      </c>
      <c r="H284" s="43">
        <f>'PRD OPEX AD (2009-2012)'!H259</f>
        <v>18813.352150000002</v>
      </c>
      <c r="I284" s="43">
        <f>'PRD OPEX AD (2009-2012)'!I259</f>
        <v>40204.765246183924</v>
      </c>
      <c r="J284" s="43">
        <f>'PRD OPEX AD (2009-2012)'!J259</f>
        <v>191761.3083905112</v>
      </c>
      <c r="K284" s="43">
        <f>'PRD OPEX AD (2009-2012)'!K259</f>
        <v>215124.01285221669</v>
      </c>
      <c r="L284" s="43">
        <f>'PRD OPEX AD (2009-2012)'!L259</f>
        <v>12070.43</v>
      </c>
      <c r="M284" s="43">
        <f>'PRD OPEX AD (2009-2012)'!M259</f>
        <v>299408.01087277732</v>
      </c>
      <c r="N284" s="43">
        <f>'PRD OPEX AD (2009-2012)'!N259</f>
        <v>2031.7588558152511</v>
      </c>
      <c r="O284" s="43">
        <f>'PRD OPEX AD (2009-2012)'!O259</f>
        <v>0</v>
      </c>
    </row>
    <row r="285" spans="2:16">
      <c r="B285" s="93" t="s">
        <v>181</v>
      </c>
      <c r="D285" t="s">
        <v>110</v>
      </c>
      <c r="F285" s="80">
        <f>SUM(G285:O285)</f>
        <v>27638.227327475321</v>
      </c>
      <c r="G285" s="43">
        <f>'PRD OPEX AD (2009-2012)'!G260</f>
        <v>535</v>
      </c>
      <c r="H285" s="43">
        <f>'PRD OPEX AD (2009-2012)'!H260</f>
        <v>450.34780288135573</v>
      </c>
      <c r="I285" s="43">
        <f>'PRD OPEX AD (2009-2012)'!I260</f>
        <v>3795.3401424110125</v>
      </c>
      <c r="J285" s="43">
        <f>'PRD OPEX AD (2009-2012)'!J260</f>
        <v>2983.3733144976486</v>
      </c>
      <c r="K285" s="43">
        <f>'PRD OPEX AD (2009-2012)'!K260</f>
        <v>10130.21169778329</v>
      </c>
      <c r="L285" s="43">
        <f>'PRD OPEX AD (2009-2012)'!L260</f>
        <v>199.37</v>
      </c>
      <c r="M285" s="43">
        <f>'PRD OPEX AD (2009-2012)'!M260</f>
        <v>1416.7592348177188</v>
      </c>
      <c r="N285" s="43">
        <f>'PRD OPEX AD (2009-2012)'!N260</f>
        <v>8127.8251350842957</v>
      </c>
      <c r="O285" s="43">
        <f>'PRD OPEX AD (2009-2012)'!O260</f>
        <v>0</v>
      </c>
    </row>
    <row r="286" spans="2:16">
      <c r="B286" s="94" t="s">
        <v>182</v>
      </c>
      <c r="D286" t="s">
        <v>110</v>
      </c>
      <c r="F286" s="80">
        <f>SUM(G286:O286)</f>
        <v>2473770.2888739444</v>
      </c>
      <c r="G286" s="43">
        <f>'PRD OPEX AD (2009-2012)'!G261</f>
        <v>0</v>
      </c>
      <c r="H286" s="43">
        <f>'PRD OPEX AD (2009-2012)'!H261</f>
        <v>0</v>
      </c>
      <c r="I286" s="43">
        <f>'PRD OPEX AD (2009-2012)'!I261</f>
        <v>102944.1066123287</v>
      </c>
      <c r="J286" s="43">
        <f>'PRD OPEX AD (2009-2012)'!J261</f>
        <v>0</v>
      </c>
      <c r="K286" s="43">
        <f>'PRD OPEX AD (2009-2012)'!K261</f>
        <v>2312241.3879313716</v>
      </c>
      <c r="L286" s="43">
        <f>'PRD OPEX AD (2009-2012)'!L261</f>
        <v>26908.079999999998</v>
      </c>
      <c r="M286" s="43">
        <f>'PRD OPEX AD (2009-2012)'!M261</f>
        <v>27094.563740025314</v>
      </c>
      <c r="N286" s="43">
        <f>'PRD OPEX AD (2009-2012)'!N261</f>
        <v>4582.1505902185745</v>
      </c>
      <c r="O286" s="43">
        <f>'PRD OPEX AD (2009-2012)'!O261</f>
        <v>0</v>
      </c>
    </row>
    <row r="287" spans="2:16">
      <c r="C287" s="45"/>
      <c r="D287" s="28"/>
      <c r="E287" s="46">
        <v>17</v>
      </c>
      <c r="F287" s="62"/>
      <c r="G287" s="42"/>
      <c r="H287" s="42"/>
      <c r="I287" s="42"/>
      <c r="J287" s="42"/>
      <c r="K287" s="42"/>
      <c r="L287" s="42"/>
      <c r="M287" s="42"/>
      <c r="N287" s="42"/>
      <c r="O287" s="42"/>
      <c r="P287" s="28"/>
    </row>
    <row r="288" spans="2:16">
      <c r="B288" s="79" t="s">
        <v>267</v>
      </c>
      <c r="D288" t="s">
        <v>110</v>
      </c>
      <c r="F288" s="80">
        <f>SUM(G288:O288)</f>
        <v>109250690.62709737</v>
      </c>
      <c r="G288" s="69">
        <f>SUM(G272:G273,G276:G277,G280:G281,G284:G286)</f>
        <v>1725508</v>
      </c>
      <c r="H288" s="69">
        <f t="shared" ref="H288:O288" si="18">SUM(H272:H273,H276:H277,H280:H281,H284:H286)</f>
        <v>1792028.5942204131</v>
      </c>
      <c r="I288" s="69">
        <f t="shared" si="18"/>
        <v>9802943.4983812589</v>
      </c>
      <c r="J288" s="69">
        <f t="shared" si="18"/>
        <v>13382037.708972173</v>
      </c>
      <c r="K288" s="69">
        <f t="shared" si="18"/>
        <v>53158488.773295797</v>
      </c>
      <c r="L288" s="69">
        <f t="shared" si="18"/>
        <v>1518042.61</v>
      </c>
      <c r="M288" s="69">
        <f t="shared" si="18"/>
        <v>27389380.151704375</v>
      </c>
      <c r="N288" s="69">
        <f t="shared" si="18"/>
        <v>482261.29052336526</v>
      </c>
      <c r="O288" s="69">
        <f t="shared" si="18"/>
        <v>0</v>
      </c>
    </row>
    <row r="289" spans="2:15">
      <c r="F289" s="62"/>
      <c r="G289" s="42"/>
      <c r="H289" s="42"/>
      <c r="I289" s="42"/>
      <c r="J289" s="42"/>
      <c r="K289" s="42"/>
      <c r="L289" s="42"/>
      <c r="M289" s="42"/>
      <c r="N289" s="42"/>
    </row>
    <row r="290" spans="2:15">
      <c r="F290" s="62"/>
      <c r="G290" s="42"/>
      <c r="H290" s="42"/>
      <c r="I290" s="42"/>
      <c r="J290" s="42"/>
      <c r="K290" s="42"/>
      <c r="L290" s="42"/>
      <c r="M290" s="42"/>
      <c r="N290" s="42"/>
    </row>
    <row r="291" spans="2:15">
      <c r="B291" s="261" t="s">
        <v>832</v>
      </c>
      <c r="F291" s="62"/>
      <c r="G291" s="42"/>
      <c r="H291" s="42"/>
      <c r="I291" s="42"/>
      <c r="J291" s="42"/>
      <c r="K291" s="42"/>
      <c r="L291" s="42"/>
      <c r="M291" s="42"/>
      <c r="N291" s="42"/>
    </row>
    <row r="292" spans="2:15">
      <c r="F292" s="62"/>
      <c r="G292" s="133"/>
      <c r="H292" s="42"/>
      <c r="I292" s="42"/>
      <c r="J292" s="42"/>
      <c r="K292" s="42"/>
      <c r="L292" s="42"/>
      <c r="M292" s="42"/>
      <c r="N292" s="42"/>
    </row>
    <row r="293" spans="2:15">
      <c r="B293" s="22" t="s">
        <v>121</v>
      </c>
      <c r="D293" s="28"/>
      <c r="E293" s="28"/>
      <c r="F293" s="67"/>
      <c r="G293" s="38"/>
      <c r="H293" s="38"/>
      <c r="I293" s="38"/>
      <c r="J293" s="38"/>
      <c r="K293" s="38"/>
      <c r="L293" s="38"/>
      <c r="M293" s="38"/>
      <c r="N293" s="38"/>
    </row>
    <row r="294" spans="2:15">
      <c r="B294" s="23" t="s">
        <v>216</v>
      </c>
      <c r="D294" t="s">
        <v>110</v>
      </c>
      <c r="F294" s="80">
        <f>SUM(G294:O294)</f>
        <v>0</v>
      </c>
      <c r="G294" s="131"/>
      <c r="H294" s="131"/>
      <c r="I294" s="131"/>
      <c r="J294" s="131"/>
      <c r="K294" s="131"/>
      <c r="L294" s="131"/>
      <c r="M294" s="131"/>
      <c r="N294" s="131"/>
      <c r="O294" s="131"/>
    </row>
    <row r="295" spans="2:15">
      <c r="B295" s="23" t="s">
        <v>217</v>
      </c>
      <c r="D295" t="s">
        <v>110</v>
      </c>
      <c r="F295" s="80">
        <f>SUM(G295:O295)</f>
        <v>0</v>
      </c>
      <c r="G295" s="131"/>
      <c r="H295" s="131"/>
      <c r="I295" s="131"/>
      <c r="J295" s="131"/>
      <c r="K295" s="131"/>
      <c r="L295" s="131"/>
      <c r="M295" s="131"/>
      <c r="N295" s="131"/>
      <c r="O295" s="131"/>
    </row>
    <row r="296" spans="2:15">
      <c r="B296" s="23"/>
      <c r="F296" s="62"/>
      <c r="G296" s="42"/>
      <c r="H296" s="42"/>
      <c r="I296" s="42"/>
      <c r="J296" s="42"/>
      <c r="K296" s="42"/>
      <c r="L296" s="42"/>
      <c r="M296" s="42"/>
      <c r="N296" s="42"/>
    </row>
    <row r="297" spans="2:15">
      <c r="B297" s="22" t="s">
        <v>122</v>
      </c>
      <c r="F297" s="62"/>
      <c r="G297" s="42"/>
      <c r="H297" s="42"/>
      <c r="I297" s="42"/>
      <c r="J297" s="42"/>
      <c r="K297" s="42"/>
      <c r="L297" s="42"/>
      <c r="M297" s="42"/>
      <c r="N297" s="42"/>
    </row>
    <row r="298" spans="2:15">
      <c r="B298" s="23" t="s">
        <v>123</v>
      </c>
      <c r="D298" t="s">
        <v>110</v>
      </c>
      <c r="F298" s="80">
        <f>SUM(G298:O298)</f>
        <v>0</v>
      </c>
      <c r="G298" s="131"/>
      <c r="H298" s="131"/>
      <c r="I298" s="131"/>
      <c r="J298" s="131"/>
      <c r="K298" s="131"/>
      <c r="L298" s="131"/>
      <c r="M298" s="131"/>
      <c r="N298" s="131"/>
      <c r="O298" s="131"/>
    </row>
    <row r="299" spans="2:15">
      <c r="B299" s="23" t="s">
        <v>124</v>
      </c>
      <c r="D299" t="s">
        <v>110</v>
      </c>
      <c r="F299" s="80">
        <f>SUM(G299:O299)</f>
        <v>0</v>
      </c>
      <c r="G299" s="131"/>
      <c r="H299" s="131"/>
      <c r="I299" s="131"/>
      <c r="J299" s="131"/>
      <c r="K299" s="131"/>
      <c r="L299" s="131"/>
      <c r="M299" s="131"/>
      <c r="N299" s="131"/>
      <c r="O299" s="131"/>
    </row>
    <row r="300" spans="2:15">
      <c r="B300" s="23"/>
      <c r="F300" s="62"/>
      <c r="G300" s="42"/>
      <c r="H300" s="42"/>
      <c r="I300" s="42"/>
      <c r="J300" s="42"/>
      <c r="K300" s="42"/>
      <c r="L300" s="42"/>
      <c r="M300" s="42"/>
      <c r="N300" s="42"/>
    </row>
    <row r="301" spans="2:15">
      <c r="B301" s="22" t="s">
        <v>125</v>
      </c>
      <c r="F301" s="62"/>
      <c r="G301" s="42"/>
      <c r="H301" s="42"/>
      <c r="I301" s="42"/>
      <c r="J301" s="42"/>
      <c r="K301" s="42"/>
      <c r="L301" s="42"/>
      <c r="M301" s="42"/>
      <c r="N301" s="42"/>
    </row>
    <row r="302" spans="2:15">
      <c r="B302" s="23" t="s">
        <v>126</v>
      </c>
      <c r="D302" t="s">
        <v>110</v>
      </c>
      <c r="F302" s="80">
        <f>SUM(G302:O302)</f>
        <v>0</v>
      </c>
      <c r="G302" s="131"/>
      <c r="H302" s="131"/>
      <c r="I302" s="131"/>
      <c r="J302" s="131"/>
      <c r="K302" s="131"/>
      <c r="L302" s="131"/>
      <c r="M302" s="131"/>
      <c r="N302" s="131"/>
      <c r="O302" s="131"/>
    </row>
    <row r="303" spans="2:15">
      <c r="B303" s="23" t="s">
        <v>127</v>
      </c>
      <c r="D303" t="s">
        <v>110</v>
      </c>
      <c r="F303" s="80">
        <f>SUM(G303:O303)</f>
        <v>0</v>
      </c>
      <c r="G303" s="131"/>
      <c r="H303" s="131"/>
      <c r="I303" s="131"/>
      <c r="J303" s="131"/>
      <c r="K303" s="131"/>
      <c r="L303" s="131"/>
      <c r="M303" s="131"/>
      <c r="N303" s="131"/>
      <c r="O303" s="131"/>
    </row>
    <row r="304" spans="2:15">
      <c r="B304" s="23"/>
      <c r="F304" s="62"/>
      <c r="G304" s="42"/>
      <c r="H304" s="42"/>
      <c r="I304" s="42"/>
      <c r="J304" s="42"/>
      <c r="K304" s="42"/>
      <c r="L304" s="42"/>
      <c r="M304" s="42"/>
      <c r="N304" s="42"/>
    </row>
    <row r="305" spans="2:15">
      <c r="B305" s="22" t="s">
        <v>128</v>
      </c>
      <c r="F305" s="62"/>
      <c r="G305" s="42"/>
      <c r="H305" s="42"/>
      <c r="I305" s="42"/>
      <c r="J305" s="42"/>
      <c r="K305" s="42"/>
      <c r="L305" s="42"/>
      <c r="M305" s="42"/>
      <c r="N305" s="42"/>
    </row>
    <row r="306" spans="2:15">
      <c r="B306" s="93" t="s">
        <v>180</v>
      </c>
      <c r="D306" t="s">
        <v>110</v>
      </c>
      <c r="F306" s="80">
        <f>SUM(G306:O306)</f>
        <v>0</v>
      </c>
      <c r="G306" s="131"/>
      <c r="H306" s="131"/>
      <c r="I306" s="131"/>
      <c r="J306" s="131"/>
      <c r="K306" s="131"/>
      <c r="L306" s="131"/>
      <c r="M306" s="131"/>
      <c r="N306" s="131"/>
      <c r="O306" s="131"/>
    </row>
    <row r="307" spans="2:15">
      <c r="B307" s="93" t="s">
        <v>181</v>
      </c>
      <c r="D307" t="s">
        <v>110</v>
      </c>
      <c r="F307" s="80">
        <f>SUM(G307:O307)</f>
        <v>0</v>
      </c>
      <c r="G307" s="131"/>
      <c r="H307" s="131"/>
      <c r="I307" s="131"/>
      <c r="J307" s="131"/>
      <c r="K307" s="131"/>
      <c r="L307" s="131"/>
      <c r="M307" s="131"/>
      <c r="N307" s="131"/>
      <c r="O307" s="131"/>
    </row>
    <row r="308" spans="2:15">
      <c r="B308" s="94" t="s">
        <v>182</v>
      </c>
      <c r="D308" t="s">
        <v>110</v>
      </c>
      <c r="F308" s="80">
        <f>SUM(G308:O308)</f>
        <v>0</v>
      </c>
      <c r="G308" s="131"/>
      <c r="H308" s="131"/>
      <c r="I308" s="131"/>
      <c r="J308" s="131"/>
      <c r="K308" s="131"/>
      <c r="L308" s="131"/>
      <c r="M308" s="131"/>
      <c r="N308" s="131"/>
      <c r="O308" s="131"/>
    </row>
    <row r="309" spans="2:15">
      <c r="F309" s="62"/>
      <c r="G309" s="42"/>
      <c r="H309" s="42"/>
      <c r="I309" s="42"/>
      <c r="J309" s="42"/>
      <c r="K309" s="42"/>
      <c r="L309" s="42"/>
      <c r="M309" s="42"/>
      <c r="N309" s="42"/>
    </row>
    <row r="310" spans="2:15">
      <c r="F310" s="62"/>
      <c r="G310" s="42"/>
      <c r="H310" s="42"/>
      <c r="I310" s="42"/>
      <c r="J310" s="42"/>
      <c r="K310" s="42"/>
      <c r="L310" s="42"/>
      <c r="M310" s="42"/>
      <c r="N310" s="42"/>
    </row>
    <row r="311" spans="2:15">
      <c r="B311" s="261" t="s">
        <v>831</v>
      </c>
      <c r="F311" s="62"/>
      <c r="G311" s="42"/>
      <c r="H311" s="42"/>
      <c r="I311" s="42"/>
      <c r="J311" s="42"/>
      <c r="K311" s="42"/>
      <c r="L311" s="42"/>
      <c r="M311" s="42"/>
      <c r="N311" s="42"/>
    </row>
    <row r="312" spans="2:15">
      <c r="F312" s="62"/>
      <c r="G312" s="42"/>
      <c r="H312" s="42"/>
      <c r="I312" s="42"/>
      <c r="J312" s="42"/>
      <c r="K312" s="42"/>
      <c r="L312" s="42"/>
      <c r="M312" s="42"/>
      <c r="N312" s="42"/>
    </row>
    <row r="313" spans="2:15">
      <c r="B313" s="22" t="s">
        <v>121</v>
      </c>
      <c r="D313" s="28"/>
      <c r="E313" s="28"/>
      <c r="F313" s="67"/>
      <c r="G313" s="38"/>
      <c r="H313" s="38"/>
      <c r="I313" s="38"/>
      <c r="J313" s="38"/>
      <c r="K313" s="38"/>
      <c r="L313" s="38"/>
      <c r="M313" s="38"/>
      <c r="N313" s="38"/>
    </row>
    <row r="314" spans="2:15">
      <c r="B314" s="23" t="s">
        <v>216</v>
      </c>
      <c r="D314" t="s">
        <v>110</v>
      </c>
      <c r="F314" s="80">
        <f>SUM(G314:O314)</f>
        <v>0</v>
      </c>
      <c r="G314" s="131"/>
      <c r="H314" s="131"/>
      <c r="I314" s="131"/>
      <c r="J314" s="131"/>
      <c r="K314" s="131"/>
      <c r="L314" s="131"/>
      <c r="M314" s="131"/>
      <c r="N314" s="131"/>
      <c r="O314" s="131"/>
    </row>
    <row r="315" spans="2:15">
      <c r="B315" s="23" t="s">
        <v>217</v>
      </c>
      <c r="D315" t="s">
        <v>110</v>
      </c>
      <c r="F315" s="80">
        <f>SUM(G315:O315)</f>
        <v>0</v>
      </c>
      <c r="G315" s="131"/>
      <c r="H315" s="131"/>
      <c r="I315" s="131"/>
      <c r="J315" s="131"/>
      <c r="K315" s="131"/>
      <c r="L315" s="131"/>
      <c r="M315" s="131"/>
      <c r="N315" s="131"/>
      <c r="O315" s="131"/>
    </row>
    <row r="316" spans="2:15">
      <c r="B316" s="23"/>
      <c r="F316" s="62"/>
      <c r="G316" s="42"/>
      <c r="H316" s="42"/>
      <c r="I316" s="42"/>
      <c r="J316" s="42"/>
      <c r="K316" s="42"/>
      <c r="L316" s="42"/>
      <c r="M316" s="42"/>
      <c r="N316" s="42"/>
      <c r="O316" s="42"/>
    </row>
    <row r="317" spans="2:15">
      <c r="B317" s="22" t="s">
        <v>122</v>
      </c>
      <c r="F317" s="62"/>
      <c r="G317" s="42"/>
      <c r="H317" s="42"/>
      <c r="I317" s="42"/>
      <c r="J317" s="42"/>
      <c r="K317" s="42"/>
      <c r="L317" s="42"/>
      <c r="M317" s="42"/>
      <c r="N317" s="42"/>
      <c r="O317" s="42"/>
    </row>
    <row r="318" spans="2:15">
      <c r="B318" s="23" t="s">
        <v>123</v>
      </c>
      <c r="D318" t="s">
        <v>110</v>
      </c>
      <c r="F318" s="80">
        <f>SUM(G318:O318)</f>
        <v>9643159.8127928637</v>
      </c>
      <c r="G318" s="195">
        <f>'PRD Ov.Opbrengst AD (2009-2012)'!G192-'PRD Ov.Opbrengst AD (2009-2012)'!G184+'PRD Ov.Opbrengst AD (2009-2012)'!G171+'PRD Ov.Opbrengst AD (2009-2012)'!G207-'PRD Ov.Opbrengst AD (2009-2012)'!G211</f>
        <v>71014.109709596087</v>
      </c>
      <c r="H318" s="195">
        <f>'PRD Ov.Opbrengst AD (2009-2012)'!H192-'PRD Ov.Opbrengst AD (2009-2012)'!H184+'PRD Ov.Opbrengst AD (2009-2012)'!H171+'PRD Ov.Opbrengst AD (2009-2012)'!H207-'PRD Ov.Opbrengst AD (2009-2012)'!H211</f>
        <v>179119.14449495528</v>
      </c>
      <c r="I318" s="195">
        <f>'PRD Ov.Opbrengst AD (2009-2012)'!I192-'PRD Ov.Opbrengst AD (2009-2012)'!I184+'PRD Ov.Opbrengst AD (2009-2012)'!I171+'PRD Ov.Opbrengst AD (2009-2012)'!I207-'PRD Ov.Opbrengst AD (2009-2012)'!I211</f>
        <v>437149.63924330764</v>
      </c>
      <c r="J318" s="195">
        <f>'PRD Ov.Opbrengst AD (2009-2012)'!J192-'PRD Ov.Opbrengst AD (2009-2012)'!J184+'PRD Ov.Opbrengst AD (2009-2012)'!J171+'PRD Ov.Opbrengst AD (2009-2012)'!J207-'PRD Ov.Opbrengst AD (2009-2012)'!J211</f>
        <v>2331315</v>
      </c>
      <c r="K318" s="195">
        <f>'PRD Ov.Opbrengst AD (2009-2012)'!K192-'PRD Ov.Opbrengst AD (2009-2012)'!K184+'PRD Ov.Opbrengst AD (2009-2012)'!K171+'PRD Ov.Opbrengst AD (2009-2012)'!K207-'PRD Ov.Opbrengst AD (2009-2012)'!K211</f>
        <v>3940927.3599999985</v>
      </c>
      <c r="L318" s="195">
        <f>'PRD Ov.Opbrengst AD (2009-2012)'!L192-'PRD Ov.Opbrengst AD (2009-2012)'!L184+'PRD Ov.Opbrengst AD (2009-2012)'!L171+'PRD Ov.Opbrengst AD (2009-2012)'!L207-'PRD Ov.Opbrengst AD (2009-2012)'!L211</f>
        <v>141965.99</v>
      </c>
      <c r="M318" s="195">
        <f>'PRD Ov.Opbrengst AD (2009-2012)'!M192-'PRD Ov.Opbrengst AD (2009-2012)'!M184+'PRD Ov.Opbrengst AD (2009-2012)'!M171+'PRD Ov.Opbrengst AD (2009-2012)'!M207-'PRD Ov.Opbrengst AD (2009-2012)'!M211</f>
        <v>2341240.9772703419</v>
      </c>
      <c r="N318" s="195">
        <f>'PRD Ov.Opbrengst AD (2009-2012)'!N192-'PRD Ov.Opbrengst AD (2009-2012)'!N184+'PRD Ov.Opbrengst AD (2009-2012)'!N171+'PRD Ov.Opbrengst AD (2009-2012)'!N207-'PRD Ov.Opbrengst AD (2009-2012)'!N211</f>
        <v>200427.59207466451</v>
      </c>
      <c r="O318" s="195">
        <f>'PRD Ov.Opbrengst AD (2009-2012)'!O192-'PRD Ov.Opbrengst AD (2009-2012)'!O184+'PRD Ov.Opbrengst AD (2009-2012)'!O171+'PRD Ov.Opbrengst AD (2009-2012)'!O207-'PRD Ov.Opbrengst AD (2009-2012)'!O211</f>
        <v>0</v>
      </c>
    </row>
    <row r="319" spans="2:15">
      <c r="B319" s="23" t="s">
        <v>124</v>
      </c>
      <c r="D319" t="s">
        <v>110</v>
      </c>
      <c r="F319" s="80">
        <f>SUM(G319:O319)</f>
        <v>0</v>
      </c>
      <c r="G319" s="131"/>
      <c r="H319" s="131"/>
      <c r="I319" s="131"/>
      <c r="J319" s="131"/>
      <c r="K319" s="131"/>
      <c r="L319" s="131"/>
      <c r="M319" s="131"/>
      <c r="N319" s="131"/>
      <c r="O319" s="131"/>
    </row>
    <row r="320" spans="2:15">
      <c r="B320" s="23"/>
      <c r="F320" s="62"/>
      <c r="G320" s="42"/>
      <c r="H320" s="42"/>
      <c r="I320" s="42"/>
      <c r="J320" s="42"/>
      <c r="K320" s="42"/>
      <c r="L320" s="42"/>
      <c r="M320" s="42"/>
      <c r="N320" s="42"/>
      <c r="O320" s="42"/>
    </row>
    <row r="321" spans="2:17">
      <c r="B321" s="22" t="s">
        <v>125</v>
      </c>
      <c r="F321" s="62"/>
      <c r="G321" s="42"/>
      <c r="H321" s="42"/>
      <c r="I321" s="42"/>
      <c r="J321" s="42"/>
      <c r="K321" s="42"/>
      <c r="L321" s="42"/>
      <c r="M321" s="42"/>
      <c r="N321" s="42"/>
      <c r="O321" s="42"/>
    </row>
    <row r="322" spans="2:17">
      <c r="B322" s="23" t="s">
        <v>126</v>
      </c>
      <c r="D322" t="s">
        <v>110</v>
      </c>
      <c r="F322" s="80">
        <f>SUM(G322:O322)</f>
        <v>0</v>
      </c>
      <c r="G322" s="131"/>
      <c r="H322" s="131"/>
      <c r="I322" s="131"/>
      <c r="J322" s="131"/>
      <c r="K322" s="131"/>
      <c r="L322" s="131"/>
      <c r="M322" s="131"/>
      <c r="N322" s="131"/>
      <c r="O322" s="131"/>
    </row>
    <row r="323" spans="2:17">
      <c r="B323" s="23" t="s">
        <v>127</v>
      </c>
      <c r="D323" t="s">
        <v>110</v>
      </c>
      <c r="F323" s="80">
        <f>SUM(G323:O323)</f>
        <v>0</v>
      </c>
      <c r="G323" s="131"/>
      <c r="H323" s="131"/>
      <c r="I323" s="131"/>
      <c r="J323" s="131"/>
      <c r="K323" s="131"/>
      <c r="L323" s="131"/>
      <c r="M323" s="131"/>
      <c r="N323" s="131"/>
      <c r="O323" s="131"/>
    </row>
    <row r="324" spans="2:17">
      <c r="B324" s="23"/>
      <c r="F324" s="62"/>
      <c r="G324" s="42"/>
      <c r="H324" s="42"/>
      <c r="I324" s="42"/>
      <c r="J324" s="42"/>
      <c r="K324" s="42"/>
      <c r="L324" s="42"/>
      <c r="M324" s="42"/>
      <c r="N324" s="42"/>
      <c r="O324" s="42"/>
    </row>
    <row r="325" spans="2:17">
      <c r="B325" s="22" t="s">
        <v>128</v>
      </c>
      <c r="F325" s="62"/>
      <c r="G325" s="42"/>
      <c r="H325" s="42"/>
      <c r="I325" s="42"/>
      <c r="J325" s="42"/>
      <c r="K325" s="42"/>
      <c r="L325" s="42"/>
      <c r="M325" s="42"/>
      <c r="N325" s="42"/>
      <c r="O325" s="42"/>
    </row>
    <row r="326" spans="2:17">
      <c r="B326" s="93" t="s">
        <v>180</v>
      </c>
      <c r="D326" t="s">
        <v>110</v>
      </c>
      <c r="F326" s="80">
        <f>SUM(G326:O326)</f>
        <v>0</v>
      </c>
      <c r="G326" s="131"/>
      <c r="H326" s="131"/>
      <c r="I326" s="131"/>
      <c r="J326" s="131"/>
      <c r="K326" s="131"/>
      <c r="L326" s="131"/>
      <c r="M326" s="131"/>
      <c r="N326" s="131"/>
      <c r="O326" s="131"/>
    </row>
    <row r="327" spans="2:17">
      <c r="B327" s="93" t="s">
        <v>181</v>
      </c>
      <c r="D327" t="s">
        <v>110</v>
      </c>
      <c r="F327" s="80">
        <f>SUM(G327:O327)</f>
        <v>0</v>
      </c>
      <c r="G327" s="131"/>
      <c r="H327" s="131"/>
      <c r="I327" s="131"/>
      <c r="J327" s="131"/>
      <c r="K327" s="131"/>
      <c r="L327" s="131"/>
      <c r="M327" s="131"/>
      <c r="N327" s="131"/>
      <c r="O327" s="131"/>
    </row>
    <row r="328" spans="2:17">
      <c r="B328" s="94" t="s">
        <v>182</v>
      </c>
      <c r="D328" t="s">
        <v>110</v>
      </c>
      <c r="F328" s="80">
        <f>SUM(G328:O328)</f>
        <v>0</v>
      </c>
      <c r="G328" s="131"/>
      <c r="H328" s="131"/>
      <c r="I328" s="131"/>
      <c r="J328" s="131"/>
      <c r="K328" s="131"/>
      <c r="L328" s="131"/>
      <c r="M328" s="131"/>
      <c r="N328" s="131"/>
      <c r="O328" s="131"/>
    </row>
    <row r="329" spans="2:17">
      <c r="F329" s="62"/>
      <c r="G329" s="42"/>
      <c r="H329" s="42"/>
      <c r="I329" s="42"/>
      <c r="J329" s="42"/>
      <c r="K329" s="42"/>
      <c r="L329" s="42"/>
      <c r="M329" s="42"/>
      <c r="N329" s="42"/>
    </row>
    <row r="330" spans="2:17">
      <c r="F330" s="62"/>
      <c r="G330" s="42"/>
      <c r="H330" s="42"/>
      <c r="I330" s="42"/>
      <c r="J330" s="42"/>
      <c r="K330" s="42"/>
      <c r="L330" s="42"/>
      <c r="M330" s="42"/>
      <c r="N330" s="42"/>
    </row>
    <row r="331" spans="2:17">
      <c r="B331" s="3" t="s">
        <v>30</v>
      </c>
      <c r="F331" s="62"/>
      <c r="G331" s="42"/>
      <c r="H331" s="42"/>
      <c r="I331" s="42"/>
      <c r="J331" s="42"/>
      <c r="K331" s="42"/>
      <c r="L331" s="42"/>
      <c r="M331" s="42"/>
      <c r="N331" s="42"/>
    </row>
    <row r="332" spans="2:17">
      <c r="F332" s="62"/>
      <c r="G332" s="42"/>
      <c r="H332" s="42"/>
      <c r="I332" s="42"/>
      <c r="J332" s="42"/>
      <c r="K332" s="42"/>
      <c r="L332" s="42"/>
      <c r="M332" s="42"/>
      <c r="N332" s="42"/>
    </row>
    <row r="333" spans="2:17">
      <c r="B333" s="22" t="s">
        <v>121</v>
      </c>
      <c r="D333" s="28"/>
      <c r="E333" s="28"/>
      <c r="F333" s="67"/>
      <c r="G333" s="38"/>
      <c r="H333" s="38"/>
      <c r="I333" s="38"/>
      <c r="J333" s="38"/>
      <c r="K333" s="38"/>
      <c r="L333" s="38"/>
      <c r="M333" s="38"/>
      <c r="N333" s="38"/>
    </row>
    <row r="334" spans="2:17">
      <c r="B334" s="23" t="s">
        <v>216</v>
      </c>
      <c r="D334" t="s">
        <v>110</v>
      </c>
      <c r="F334" s="80">
        <f>SUM(G334:O334)</f>
        <v>0</v>
      </c>
      <c r="G334" s="30">
        <f>G272+G294-G314</f>
        <v>0</v>
      </c>
      <c r="H334" s="30">
        <f t="shared" ref="H334:O335" si="19">H272+H294-H314</f>
        <v>0</v>
      </c>
      <c r="I334" s="30">
        <f t="shared" si="19"/>
        <v>0</v>
      </c>
      <c r="J334" s="30">
        <f t="shared" si="19"/>
        <v>0</v>
      </c>
      <c r="K334" s="30">
        <f t="shared" si="19"/>
        <v>0</v>
      </c>
      <c r="L334" s="30">
        <f t="shared" si="19"/>
        <v>0</v>
      </c>
      <c r="M334" s="30">
        <f t="shared" si="19"/>
        <v>0</v>
      </c>
      <c r="N334" s="30">
        <f t="shared" si="19"/>
        <v>0</v>
      </c>
      <c r="O334" s="30">
        <f t="shared" si="19"/>
        <v>0</v>
      </c>
      <c r="Q334" s="51" t="s">
        <v>569</v>
      </c>
    </row>
    <row r="335" spans="2:17">
      <c r="B335" s="23" t="s">
        <v>217</v>
      </c>
      <c r="D335" t="s">
        <v>110</v>
      </c>
      <c r="F335" s="80">
        <f>SUM(G335:O335)</f>
        <v>0</v>
      </c>
      <c r="G335" s="30">
        <f>G273+G295-G315</f>
        <v>0</v>
      </c>
      <c r="H335" s="30">
        <f t="shared" si="19"/>
        <v>0</v>
      </c>
      <c r="I335" s="30">
        <f t="shared" si="19"/>
        <v>0</v>
      </c>
      <c r="J335" s="30">
        <f t="shared" si="19"/>
        <v>0</v>
      </c>
      <c r="K335" s="30">
        <f t="shared" si="19"/>
        <v>0</v>
      </c>
      <c r="L335" s="30">
        <f t="shared" si="19"/>
        <v>0</v>
      </c>
      <c r="M335" s="30">
        <f t="shared" si="19"/>
        <v>0</v>
      </c>
      <c r="N335" s="30">
        <f t="shared" si="19"/>
        <v>0</v>
      </c>
      <c r="O335" s="30">
        <f t="shared" si="19"/>
        <v>0</v>
      </c>
    </row>
    <row r="336" spans="2:17">
      <c r="B336" s="23"/>
      <c r="F336" s="62"/>
      <c r="G336" s="38"/>
      <c r="H336" s="38"/>
      <c r="I336" s="38"/>
      <c r="J336" s="38"/>
      <c r="K336" s="38"/>
      <c r="L336" s="38"/>
      <c r="M336" s="38"/>
      <c r="N336" s="38"/>
    </row>
    <row r="337" spans="2:15">
      <c r="B337" s="22" t="s">
        <v>122</v>
      </c>
      <c r="F337" s="62"/>
      <c r="G337" s="38"/>
      <c r="H337" s="38"/>
      <c r="I337" s="38"/>
      <c r="J337" s="38"/>
      <c r="K337" s="38"/>
      <c r="L337" s="38"/>
      <c r="M337" s="38"/>
      <c r="N337" s="38"/>
    </row>
    <row r="338" spans="2:15">
      <c r="B338" s="23" t="s">
        <v>123</v>
      </c>
      <c r="D338" t="s">
        <v>110</v>
      </c>
      <c r="F338" s="80">
        <f>SUM(G338:O338)</f>
        <v>94106179.507230356</v>
      </c>
      <c r="G338" s="30">
        <f>G276+G298-G318</f>
        <v>1637034.890290404</v>
      </c>
      <c r="H338" s="30">
        <f t="shared" ref="H338:O339" si="20">H276+H298-H318</f>
        <v>1593645.7497725766</v>
      </c>
      <c r="I338" s="30">
        <f t="shared" si="20"/>
        <v>9218849.6471370272</v>
      </c>
      <c r="J338" s="30">
        <f t="shared" si="20"/>
        <v>10855978.027267164</v>
      </c>
      <c r="K338" s="30">
        <f t="shared" si="20"/>
        <v>46680065.800814435</v>
      </c>
      <c r="L338" s="30">
        <f t="shared" si="20"/>
        <v>1249471.95</v>
      </c>
      <c r="M338" s="30">
        <f t="shared" si="20"/>
        <v>22604041.478081152</v>
      </c>
      <c r="N338" s="30">
        <f t="shared" si="20"/>
        <v>267091.96386758261</v>
      </c>
      <c r="O338" s="30">
        <f t="shared" si="20"/>
        <v>0</v>
      </c>
    </row>
    <row r="339" spans="2:15">
      <c r="B339" s="23" t="s">
        <v>124</v>
      </c>
      <c r="D339" t="s">
        <v>110</v>
      </c>
      <c r="F339" s="80">
        <f>SUM(G339:O339)</f>
        <v>2203605.1525052567</v>
      </c>
      <c r="G339" s="30">
        <f>G277+G299-G319</f>
        <v>0</v>
      </c>
      <c r="H339" s="30">
        <f t="shared" si="20"/>
        <v>0</v>
      </c>
      <c r="I339" s="30">
        <f t="shared" si="20"/>
        <v>0</v>
      </c>
      <c r="J339" s="30">
        <f t="shared" si="20"/>
        <v>0</v>
      </c>
      <c r="K339" s="30">
        <f t="shared" si="20"/>
        <v>0</v>
      </c>
      <c r="L339" s="30">
        <f t="shared" si="20"/>
        <v>87426.79</v>
      </c>
      <c r="M339" s="30">
        <f t="shared" si="20"/>
        <v>2116178.3625052567</v>
      </c>
      <c r="N339" s="30">
        <f t="shared" si="20"/>
        <v>0</v>
      </c>
      <c r="O339" s="30">
        <f t="shared" si="20"/>
        <v>0</v>
      </c>
    </row>
    <row r="340" spans="2:15">
      <c r="B340" s="23"/>
      <c r="F340" s="62"/>
      <c r="G340" s="38"/>
      <c r="H340" s="38"/>
      <c r="I340" s="38"/>
      <c r="J340" s="38"/>
      <c r="K340" s="38"/>
      <c r="L340" s="38"/>
      <c r="M340" s="38"/>
      <c r="N340" s="38"/>
    </row>
    <row r="341" spans="2:15">
      <c r="B341" s="22" t="s">
        <v>125</v>
      </c>
      <c r="F341" s="62"/>
      <c r="G341" s="38"/>
      <c r="H341" s="38"/>
      <c r="I341" s="38"/>
      <c r="J341" s="38"/>
      <c r="K341" s="38"/>
      <c r="L341" s="38"/>
      <c r="M341" s="38"/>
      <c r="N341" s="38"/>
    </row>
    <row r="342" spans="2:15">
      <c r="B342" s="23" t="s">
        <v>126</v>
      </c>
      <c r="D342" t="s">
        <v>110</v>
      </c>
      <c r="F342" s="80">
        <f>SUM(G342:O342)</f>
        <v>0</v>
      </c>
      <c r="G342" s="30">
        <f>G280+G302-G322</f>
        <v>0</v>
      </c>
      <c r="H342" s="30">
        <f t="shared" ref="H342:O343" si="21">H280+H302-H322</f>
        <v>0</v>
      </c>
      <c r="I342" s="30">
        <f t="shared" si="21"/>
        <v>0</v>
      </c>
      <c r="J342" s="30">
        <f t="shared" si="21"/>
        <v>0</v>
      </c>
      <c r="K342" s="30">
        <f t="shared" si="21"/>
        <v>0</v>
      </c>
      <c r="L342" s="30">
        <f t="shared" si="21"/>
        <v>0</v>
      </c>
      <c r="M342" s="30">
        <f t="shared" si="21"/>
        <v>0</v>
      </c>
      <c r="N342" s="30">
        <f t="shared" si="21"/>
        <v>0</v>
      </c>
      <c r="O342" s="30">
        <f t="shared" si="21"/>
        <v>0</v>
      </c>
    </row>
    <row r="343" spans="2:15">
      <c r="B343" s="23" t="s">
        <v>127</v>
      </c>
      <c r="D343" t="s">
        <v>110</v>
      </c>
      <c r="F343" s="80">
        <f>SUM(G343:O343)</f>
        <v>194</v>
      </c>
      <c r="G343" s="30">
        <f>G281+G303-G323</f>
        <v>194</v>
      </c>
      <c r="H343" s="30">
        <f t="shared" si="21"/>
        <v>0</v>
      </c>
      <c r="I343" s="30">
        <f t="shared" si="21"/>
        <v>0</v>
      </c>
      <c r="J343" s="30">
        <f t="shared" si="21"/>
        <v>0</v>
      </c>
      <c r="K343" s="30">
        <f t="shared" si="21"/>
        <v>0</v>
      </c>
      <c r="L343" s="30">
        <f t="shared" si="21"/>
        <v>0</v>
      </c>
      <c r="M343" s="30">
        <f t="shared" si="21"/>
        <v>0</v>
      </c>
      <c r="N343" s="30">
        <f t="shared" si="21"/>
        <v>0</v>
      </c>
      <c r="O343" s="30">
        <f t="shared" si="21"/>
        <v>0</v>
      </c>
    </row>
    <row r="344" spans="2:15">
      <c r="B344" s="23"/>
      <c r="F344" s="62"/>
      <c r="G344" s="38"/>
      <c r="H344" s="38"/>
      <c r="I344" s="38"/>
      <c r="J344" s="38"/>
      <c r="K344" s="38"/>
      <c r="L344" s="38"/>
      <c r="M344" s="38"/>
      <c r="N344" s="38"/>
    </row>
    <row r="345" spans="2:15">
      <c r="B345" s="22" t="s">
        <v>128</v>
      </c>
      <c r="F345" s="62"/>
      <c r="G345" s="38"/>
      <c r="H345" s="38"/>
      <c r="I345" s="38"/>
      <c r="J345" s="38"/>
      <c r="K345" s="38"/>
      <c r="L345" s="38"/>
      <c r="M345" s="38"/>
      <c r="N345" s="38"/>
    </row>
    <row r="346" spans="2:15">
      <c r="B346" s="93" t="s">
        <v>180</v>
      </c>
      <c r="D346" t="s">
        <v>110</v>
      </c>
      <c r="F346" s="80">
        <f>SUM(G346:O346)</f>
        <v>796143.63836750435</v>
      </c>
      <c r="G346" s="30">
        <f>G284+G306-G326</f>
        <v>16730</v>
      </c>
      <c r="H346" s="30">
        <f t="shared" ref="H346:O348" si="22">H284+H306-H326</f>
        <v>18813.352150000002</v>
      </c>
      <c r="I346" s="30">
        <f t="shared" si="22"/>
        <v>40204.765246183924</v>
      </c>
      <c r="J346" s="30">
        <f t="shared" si="22"/>
        <v>191761.3083905112</v>
      </c>
      <c r="K346" s="30">
        <f t="shared" si="22"/>
        <v>215124.01285221669</v>
      </c>
      <c r="L346" s="30">
        <f t="shared" si="22"/>
        <v>12070.43</v>
      </c>
      <c r="M346" s="30">
        <f t="shared" si="22"/>
        <v>299408.01087277732</v>
      </c>
      <c r="N346" s="30">
        <f t="shared" si="22"/>
        <v>2031.7588558152511</v>
      </c>
      <c r="O346" s="30">
        <f t="shared" si="22"/>
        <v>0</v>
      </c>
    </row>
    <row r="347" spans="2:15">
      <c r="B347" s="93" t="s">
        <v>181</v>
      </c>
      <c r="D347" t="s">
        <v>110</v>
      </c>
      <c r="F347" s="80">
        <f>SUM(G347:O347)</f>
        <v>27638.227327475321</v>
      </c>
      <c r="G347" s="30">
        <f>G285+G307-G327</f>
        <v>535</v>
      </c>
      <c r="H347" s="30">
        <f t="shared" si="22"/>
        <v>450.34780288135573</v>
      </c>
      <c r="I347" s="30">
        <f t="shared" si="22"/>
        <v>3795.3401424110125</v>
      </c>
      <c r="J347" s="30">
        <f t="shared" si="22"/>
        <v>2983.3733144976486</v>
      </c>
      <c r="K347" s="30">
        <f t="shared" si="22"/>
        <v>10130.21169778329</v>
      </c>
      <c r="L347" s="30">
        <f t="shared" si="22"/>
        <v>199.37</v>
      </c>
      <c r="M347" s="30">
        <f t="shared" si="22"/>
        <v>1416.7592348177188</v>
      </c>
      <c r="N347" s="30">
        <f t="shared" si="22"/>
        <v>8127.8251350842957</v>
      </c>
      <c r="O347" s="30">
        <f t="shared" si="22"/>
        <v>0</v>
      </c>
    </row>
    <row r="348" spans="2:15">
      <c r="B348" s="94" t="s">
        <v>182</v>
      </c>
      <c r="D348" t="s">
        <v>110</v>
      </c>
      <c r="F348" s="80">
        <f>SUM(G348:O348)</f>
        <v>2473770.2888739444</v>
      </c>
      <c r="G348" s="30">
        <f>G286+G308-G328</f>
        <v>0</v>
      </c>
      <c r="H348" s="30">
        <f t="shared" si="22"/>
        <v>0</v>
      </c>
      <c r="I348" s="30">
        <f t="shared" si="22"/>
        <v>102944.1066123287</v>
      </c>
      <c r="J348" s="30">
        <f t="shared" si="22"/>
        <v>0</v>
      </c>
      <c r="K348" s="30">
        <f t="shared" si="22"/>
        <v>2312241.3879313716</v>
      </c>
      <c r="L348" s="30">
        <f t="shared" si="22"/>
        <v>26908.079999999998</v>
      </c>
      <c r="M348" s="30">
        <f t="shared" si="22"/>
        <v>27094.563740025314</v>
      </c>
      <c r="N348" s="30">
        <f t="shared" si="22"/>
        <v>4582.1505902185745</v>
      </c>
      <c r="O348" s="30">
        <f t="shared" si="22"/>
        <v>0</v>
      </c>
    </row>
    <row r="349" spans="2:15">
      <c r="F349" s="62"/>
      <c r="G349" s="42"/>
      <c r="H349" s="42"/>
      <c r="I349" s="42"/>
      <c r="J349" s="42"/>
      <c r="K349" s="42"/>
      <c r="L349" s="42"/>
      <c r="M349" s="42"/>
      <c r="N349" s="42"/>
    </row>
    <row r="350" spans="2:15">
      <c r="B350" s="25" t="s">
        <v>403</v>
      </c>
      <c r="D350" t="s">
        <v>110</v>
      </c>
      <c r="F350" s="132">
        <f>SUM(G350:O350)</f>
        <v>99607530.814304531</v>
      </c>
      <c r="G350" s="69">
        <f>SUM(G334:G335,G338:G339,G342:G343,G346:G348)</f>
        <v>1654493.890290404</v>
      </c>
      <c r="H350" s="69">
        <f t="shared" ref="H350:O350" si="23">SUM(H334:H335,H338:H339,H342:H343,H346:H348)</f>
        <v>1612909.4497254579</v>
      </c>
      <c r="I350" s="69">
        <f t="shared" si="23"/>
        <v>9365793.8591379505</v>
      </c>
      <c r="J350" s="69">
        <f t="shared" si="23"/>
        <v>11050722.708972173</v>
      </c>
      <c r="K350" s="69">
        <f t="shared" si="23"/>
        <v>49217561.413295798</v>
      </c>
      <c r="L350" s="69">
        <f t="shared" si="23"/>
        <v>1376076.62</v>
      </c>
      <c r="M350" s="69">
        <f t="shared" si="23"/>
        <v>25048139.174434032</v>
      </c>
      <c r="N350" s="69">
        <f t="shared" si="23"/>
        <v>281833.69844870071</v>
      </c>
      <c r="O350" s="69">
        <f t="shared" si="23"/>
        <v>0</v>
      </c>
    </row>
    <row r="351" spans="2:15">
      <c r="F351" s="85"/>
      <c r="G351" s="42"/>
      <c r="H351" s="42"/>
      <c r="I351" s="42"/>
      <c r="J351" s="42"/>
      <c r="K351" s="42"/>
      <c r="L351" s="42"/>
      <c r="M351" s="42"/>
      <c r="N351" s="42"/>
    </row>
    <row r="352" spans="2:15">
      <c r="F352" s="62"/>
      <c r="G352" s="42"/>
      <c r="H352" s="42"/>
      <c r="I352" s="42"/>
      <c r="J352" s="42"/>
      <c r="K352" s="42"/>
      <c r="L352" s="42"/>
      <c r="M352" s="42"/>
      <c r="N352" s="42"/>
    </row>
    <row r="353" spans="2:15">
      <c r="F353" s="4"/>
    </row>
    <row r="354" spans="2:15" s="2" customFormat="1">
      <c r="B354" s="2" t="s">
        <v>398</v>
      </c>
      <c r="F354" s="49"/>
    </row>
    <row r="355" spans="2:15">
      <c r="F355" s="47"/>
    </row>
    <row r="356" spans="2:15">
      <c r="B356" s="3" t="s">
        <v>383</v>
      </c>
      <c r="F356" s="47"/>
    </row>
    <row r="357" spans="2:15">
      <c r="F357" s="47"/>
    </row>
    <row r="358" spans="2:15">
      <c r="B358" s="25" t="s">
        <v>277</v>
      </c>
      <c r="D358" t="s">
        <v>107</v>
      </c>
      <c r="F358" s="80">
        <f>SUM(G358:O358)</f>
        <v>46613.998864029345</v>
      </c>
      <c r="G358" s="68"/>
      <c r="H358" s="134">
        <f>'PRD OPEX AD (2009-2012)'!H287</f>
        <v>46613.998864029345</v>
      </c>
      <c r="I358" s="68"/>
      <c r="J358" s="134">
        <f>'PRD OPEX AD (2009-2012)'!J287</f>
        <v>0</v>
      </c>
      <c r="K358" s="68"/>
      <c r="L358" s="68"/>
      <c r="M358" s="68"/>
      <c r="N358" s="68"/>
      <c r="O358" s="134">
        <f>'PRD OPEX AD (2009-2012)'!O287</f>
        <v>0</v>
      </c>
    </row>
    <row r="359" spans="2:15">
      <c r="F359" s="62"/>
      <c r="G359" s="42"/>
      <c r="H359" s="42"/>
      <c r="I359" s="42"/>
      <c r="J359" s="42"/>
      <c r="K359" s="42"/>
      <c r="L359" s="42"/>
      <c r="M359" s="42"/>
      <c r="N359" s="42"/>
    </row>
    <row r="360" spans="2:15">
      <c r="F360" s="62"/>
      <c r="G360" s="42"/>
      <c r="H360" s="42"/>
      <c r="I360" s="42"/>
      <c r="J360" s="42"/>
      <c r="K360" s="42"/>
      <c r="L360" s="42"/>
      <c r="M360" s="42"/>
      <c r="N360" s="42"/>
    </row>
    <row r="361" spans="2:15">
      <c r="B361" s="261" t="s">
        <v>832</v>
      </c>
      <c r="F361" s="62"/>
      <c r="G361" s="42"/>
      <c r="H361" s="42"/>
      <c r="I361" s="42"/>
      <c r="J361" s="42"/>
      <c r="K361" s="42"/>
      <c r="L361" s="42"/>
      <c r="M361" s="42"/>
      <c r="N361" s="42"/>
    </row>
    <row r="362" spans="2:15">
      <c r="F362" s="62"/>
      <c r="G362" s="133"/>
      <c r="H362" s="42"/>
      <c r="I362" s="42"/>
      <c r="J362" s="42"/>
      <c r="K362" s="42"/>
      <c r="L362" s="42"/>
      <c r="M362" s="42"/>
      <c r="N362" s="42"/>
    </row>
    <row r="363" spans="2:15">
      <c r="B363" s="135" t="s">
        <v>384</v>
      </c>
      <c r="D363" t="s">
        <v>107</v>
      </c>
      <c r="F363" s="80">
        <f>SUM(G363:O363)</f>
        <v>0</v>
      </c>
      <c r="G363" s="38"/>
      <c r="H363" s="131"/>
      <c r="I363" s="38"/>
      <c r="J363" s="131"/>
      <c r="K363" s="38"/>
      <c r="L363" s="38"/>
      <c r="M363" s="38"/>
      <c r="N363" s="38"/>
      <c r="O363" s="131"/>
    </row>
    <row r="364" spans="2:15">
      <c r="F364" s="62"/>
      <c r="G364" s="42"/>
      <c r="H364" s="42"/>
      <c r="I364" s="42"/>
      <c r="J364" s="42"/>
      <c r="K364" s="42"/>
      <c r="L364" s="42"/>
      <c r="M364" s="42"/>
      <c r="N364" s="42"/>
    </row>
    <row r="365" spans="2:15">
      <c r="F365" s="62"/>
      <c r="G365" s="42"/>
      <c r="H365" s="42"/>
      <c r="I365" s="42"/>
      <c r="J365" s="42"/>
      <c r="K365" s="42"/>
      <c r="L365" s="42"/>
      <c r="M365" s="42"/>
      <c r="N365" s="42"/>
    </row>
    <row r="366" spans="2:15">
      <c r="B366" s="261" t="s">
        <v>831</v>
      </c>
      <c r="F366" s="62"/>
      <c r="G366" s="42"/>
      <c r="H366" s="42"/>
      <c r="I366" s="42"/>
      <c r="J366" s="42"/>
      <c r="K366" s="42"/>
      <c r="L366" s="42"/>
      <c r="M366" s="42"/>
      <c r="N366" s="42"/>
    </row>
    <row r="367" spans="2:15">
      <c r="F367" s="62"/>
      <c r="G367" s="42"/>
      <c r="H367" s="42"/>
      <c r="I367" s="42"/>
      <c r="J367" s="42"/>
      <c r="K367" s="42"/>
      <c r="L367" s="42"/>
      <c r="M367" s="42"/>
      <c r="N367" s="42"/>
    </row>
    <row r="368" spans="2:15">
      <c r="B368" s="135" t="s">
        <v>389</v>
      </c>
      <c r="D368" t="s">
        <v>107</v>
      </c>
      <c r="F368" s="80">
        <f>SUM(G368:O368)</f>
        <v>0</v>
      </c>
      <c r="G368" s="68"/>
      <c r="H368" s="131"/>
      <c r="I368" s="38"/>
      <c r="J368" s="131"/>
      <c r="K368" s="38"/>
      <c r="L368" s="38"/>
      <c r="M368" s="38"/>
      <c r="N368" s="38"/>
      <c r="O368" s="131"/>
    </row>
    <row r="369" spans="2:17">
      <c r="F369" s="62"/>
      <c r="G369" s="42"/>
      <c r="H369" s="42"/>
      <c r="I369" s="42"/>
      <c r="J369" s="42"/>
      <c r="K369" s="42"/>
      <c r="L369" s="42"/>
      <c r="M369" s="42"/>
      <c r="N369" s="42"/>
    </row>
    <row r="370" spans="2:17">
      <c r="F370" s="62"/>
      <c r="G370" s="42"/>
      <c r="H370" s="42"/>
      <c r="I370" s="42"/>
      <c r="J370" s="42"/>
      <c r="K370" s="42"/>
      <c r="L370" s="42"/>
      <c r="M370" s="42"/>
      <c r="N370" s="42"/>
    </row>
    <row r="371" spans="2:17">
      <c r="B371" s="3" t="s">
        <v>30</v>
      </c>
      <c r="F371" s="62"/>
      <c r="G371" s="42"/>
      <c r="H371" s="42"/>
      <c r="I371" s="42"/>
      <c r="J371" s="42"/>
      <c r="K371" s="42"/>
      <c r="L371" s="42"/>
      <c r="M371" s="42"/>
      <c r="N371" s="42"/>
    </row>
    <row r="372" spans="2:17">
      <c r="F372" s="62"/>
      <c r="G372" s="42"/>
      <c r="H372" s="42"/>
      <c r="I372" s="42"/>
      <c r="J372" s="42"/>
      <c r="K372" s="42"/>
      <c r="L372" s="42"/>
      <c r="M372" s="42"/>
      <c r="N372" s="42"/>
    </row>
    <row r="373" spans="2:17">
      <c r="B373" s="25" t="s">
        <v>399</v>
      </c>
      <c r="D373" t="s">
        <v>107</v>
      </c>
      <c r="F373" s="132">
        <f>SUM(G373:O373)</f>
        <v>46613.998864029345</v>
      </c>
      <c r="G373" s="68"/>
      <c r="H373" s="69">
        <f>H358+H363-H368</f>
        <v>46613.998864029345</v>
      </c>
      <c r="I373" s="68"/>
      <c r="J373" s="69">
        <f>J358+J363-J368</f>
        <v>0</v>
      </c>
      <c r="K373" s="68"/>
      <c r="L373" s="68"/>
      <c r="M373" s="68"/>
      <c r="N373" s="68"/>
      <c r="O373" s="69">
        <f>O358+O363-O368</f>
        <v>0</v>
      </c>
      <c r="Q373" s="51" t="s">
        <v>569</v>
      </c>
    </row>
    <row r="374" spans="2:17">
      <c r="F374" s="85"/>
      <c r="G374" s="42"/>
      <c r="H374" s="42"/>
      <c r="I374" s="42"/>
      <c r="J374" s="42"/>
      <c r="K374" s="42"/>
      <c r="L374" s="42"/>
      <c r="M374" s="42"/>
      <c r="N374" s="42"/>
    </row>
    <row r="375" spans="2:17">
      <c r="F375" s="4"/>
    </row>
    <row r="376" spans="2:17" s="2" customFormat="1">
      <c r="B376" s="2" t="s">
        <v>400</v>
      </c>
      <c r="F376" s="49"/>
    </row>
    <row r="377" spans="2:17">
      <c r="F377" s="47"/>
    </row>
    <row r="378" spans="2:17">
      <c r="B378" s="3" t="s">
        <v>383</v>
      </c>
      <c r="F378" s="47"/>
    </row>
    <row r="379" spans="2:17">
      <c r="F379" s="47"/>
    </row>
    <row r="380" spans="2:17">
      <c r="B380" s="25" t="s">
        <v>277</v>
      </c>
      <c r="D380" s="51" t="s">
        <v>108</v>
      </c>
      <c r="F380" s="80">
        <f>SUM(G380:O380)</f>
        <v>40283.274510725554</v>
      </c>
      <c r="G380" s="68"/>
      <c r="H380" s="134">
        <f>'PRD OPEX AD (2009-2012)'!H311</f>
        <v>40283.274510725554</v>
      </c>
      <c r="I380" s="68"/>
      <c r="J380" s="134">
        <f>'PRD OPEX AD (2009-2012)'!J311</f>
        <v>0</v>
      </c>
      <c r="K380" s="68"/>
      <c r="L380" s="68"/>
      <c r="M380" s="68"/>
      <c r="N380" s="68"/>
      <c r="O380" s="134">
        <f>'PRD OPEX AD (2009-2012)'!O311</f>
        <v>0</v>
      </c>
    </row>
    <row r="381" spans="2:17">
      <c r="F381" s="62"/>
      <c r="G381" s="42"/>
      <c r="H381" s="42"/>
      <c r="I381" s="42"/>
      <c r="J381" s="42"/>
      <c r="K381" s="42"/>
      <c r="L381" s="42"/>
      <c r="M381" s="42"/>
      <c r="N381" s="42"/>
    </row>
    <row r="382" spans="2:17">
      <c r="F382" s="62"/>
      <c r="G382" s="42"/>
      <c r="H382" s="42"/>
      <c r="I382" s="42"/>
      <c r="J382" s="42"/>
      <c r="K382" s="42"/>
      <c r="L382" s="42"/>
      <c r="M382" s="42"/>
      <c r="N382" s="42"/>
    </row>
    <row r="383" spans="2:17">
      <c r="B383" s="261" t="s">
        <v>832</v>
      </c>
      <c r="F383" s="62"/>
      <c r="G383" s="42"/>
      <c r="H383" s="42"/>
      <c r="I383" s="42"/>
      <c r="J383" s="42"/>
      <c r="K383" s="42"/>
      <c r="L383" s="42"/>
      <c r="M383" s="42"/>
      <c r="N383" s="42"/>
    </row>
    <row r="384" spans="2:17">
      <c r="F384" s="62"/>
      <c r="G384" s="133"/>
      <c r="H384" s="42"/>
      <c r="I384" s="42"/>
      <c r="J384" s="42"/>
      <c r="K384" s="42"/>
      <c r="L384" s="42"/>
      <c r="M384" s="42"/>
      <c r="N384" s="42"/>
    </row>
    <row r="385" spans="2:17">
      <c r="B385" s="135" t="s">
        <v>384</v>
      </c>
      <c r="D385" s="51" t="s">
        <v>108</v>
      </c>
      <c r="F385" s="80">
        <f>SUM(G385:O385)</f>
        <v>0</v>
      </c>
      <c r="G385" s="38"/>
      <c r="H385" s="131"/>
      <c r="I385" s="38"/>
      <c r="J385" s="131"/>
      <c r="K385" s="38"/>
      <c r="L385" s="38"/>
      <c r="M385" s="38"/>
      <c r="N385" s="38"/>
      <c r="O385" s="131"/>
    </row>
    <row r="386" spans="2:17">
      <c r="F386" s="62"/>
      <c r="G386" s="42"/>
      <c r="H386" s="42"/>
      <c r="I386" s="42"/>
      <c r="J386" s="42"/>
      <c r="K386" s="42"/>
      <c r="L386" s="42"/>
      <c r="M386" s="42"/>
      <c r="N386" s="42"/>
    </row>
    <row r="387" spans="2:17">
      <c r="F387" s="62"/>
      <c r="G387" s="42"/>
      <c r="H387" s="42"/>
      <c r="I387" s="42"/>
      <c r="J387" s="42"/>
      <c r="K387" s="42"/>
      <c r="L387" s="42"/>
      <c r="M387" s="42"/>
      <c r="N387" s="42"/>
    </row>
    <row r="388" spans="2:17">
      <c r="B388" s="261" t="s">
        <v>831</v>
      </c>
      <c r="F388" s="62"/>
      <c r="G388" s="42"/>
      <c r="H388" s="42"/>
      <c r="I388" s="42"/>
      <c r="J388" s="42"/>
      <c r="K388" s="42"/>
      <c r="L388" s="42"/>
      <c r="M388" s="42"/>
      <c r="N388" s="42"/>
    </row>
    <row r="389" spans="2:17">
      <c r="F389" s="62"/>
      <c r="G389" s="42"/>
      <c r="H389" s="42"/>
      <c r="I389" s="42"/>
      <c r="J389" s="42"/>
      <c r="K389" s="42"/>
      <c r="L389" s="42"/>
      <c r="M389" s="42"/>
      <c r="N389" s="42"/>
    </row>
    <row r="390" spans="2:17">
      <c r="B390" s="135" t="s">
        <v>389</v>
      </c>
      <c r="D390" s="51" t="s">
        <v>108</v>
      </c>
      <c r="F390" s="80">
        <f>SUM(G390:O390)</f>
        <v>0</v>
      </c>
      <c r="G390" s="68"/>
      <c r="H390" s="131"/>
      <c r="I390" s="38"/>
      <c r="J390" s="131"/>
      <c r="K390" s="38"/>
      <c r="L390" s="38"/>
      <c r="M390" s="38"/>
      <c r="N390" s="38"/>
      <c r="O390" s="131"/>
    </row>
    <row r="391" spans="2:17">
      <c r="F391" s="62"/>
      <c r="G391" s="42"/>
      <c r="H391" s="42"/>
      <c r="I391" s="42"/>
      <c r="J391" s="42"/>
      <c r="K391" s="42"/>
      <c r="L391" s="42"/>
      <c r="M391" s="42"/>
      <c r="N391" s="42"/>
    </row>
    <row r="392" spans="2:17">
      <c r="F392" s="62"/>
      <c r="G392" s="42"/>
      <c r="H392" s="42"/>
      <c r="I392" s="42"/>
      <c r="J392" s="42"/>
      <c r="K392" s="42"/>
      <c r="L392" s="42"/>
      <c r="M392" s="42"/>
      <c r="N392" s="42"/>
    </row>
    <row r="393" spans="2:17">
      <c r="B393" s="3" t="s">
        <v>30</v>
      </c>
      <c r="F393" s="62"/>
      <c r="G393" s="42"/>
      <c r="H393" s="42"/>
      <c r="I393" s="42"/>
      <c r="J393" s="42"/>
      <c r="K393" s="42"/>
      <c r="L393" s="42"/>
      <c r="M393" s="42"/>
      <c r="N393" s="42"/>
    </row>
    <row r="394" spans="2:17">
      <c r="F394" s="62"/>
      <c r="G394" s="42"/>
      <c r="H394" s="42"/>
      <c r="I394" s="42"/>
      <c r="J394" s="42"/>
      <c r="K394" s="42"/>
      <c r="L394" s="42"/>
      <c r="M394" s="42"/>
      <c r="N394" s="42"/>
    </row>
    <row r="395" spans="2:17">
      <c r="B395" s="25" t="s">
        <v>399</v>
      </c>
      <c r="D395" s="51" t="s">
        <v>108</v>
      </c>
      <c r="F395" s="132">
        <f>SUM(G395:O395)</f>
        <v>40283.274510725554</v>
      </c>
      <c r="G395" s="68"/>
      <c r="H395" s="69">
        <f>H380+H385-H390</f>
        <v>40283.274510725554</v>
      </c>
      <c r="I395" s="68"/>
      <c r="J395" s="69">
        <f>J380+J385-J390</f>
        <v>0</v>
      </c>
      <c r="K395" s="68"/>
      <c r="L395" s="68"/>
      <c r="M395" s="68"/>
      <c r="N395" s="68"/>
      <c r="O395" s="69">
        <f>O380+O385-O390</f>
        <v>0</v>
      </c>
      <c r="Q395" s="51" t="s">
        <v>569</v>
      </c>
    </row>
    <row r="396" spans="2:17">
      <c r="F396" s="85"/>
      <c r="G396" s="42"/>
      <c r="H396" s="42"/>
      <c r="I396" s="42"/>
      <c r="J396" s="42"/>
      <c r="K396" s="42"/>
      <c r="L396" s="42"/>
      <c r="M396" s="42"/>
      <c r="N396" s="42"/>
    </row>
    <row r="397" spans="2:17">
      <c r="F397" s="4"/>
    </row>
    <row r="398" spans="2:17" s="2" customFormat="1">
      <c r="B398" s="2" t="s">
        <v>401</v>
      </c>
      <c r="F398" s="49"/>
    </row>
    <row r="399" spans="2:17">
      <c r="F399" s="47"/>
    </row>
    <row r="400" spans="2:17">
      <c r="B400" s="3" t="s">
        <v>383</v>
      </c>
      <c r="F400" s="47"/>
    </row>
    <row r="401" spans="2:15">
      <c r="F401" s="47"/>
    </row>
    <row r="402" spans="2:15">
      <c r="B402" s="25" t="s">
        <v>277</v>
      </c>
      <c r="D402" s="51" t="s">
        <v>109</v>
      </c>
      <c r="F402" s="80">
        <f>SUM(G402:O402)</f>
        <v>35515.842111744787</v>
      </c>
      <c r="G402" s="68"/>
      <c r="H402" s="134">
        <f>'PRD OPEX AD (2009-2012)'!H335</f>
        <v>35500.842111744787</v>
      </c>
      <c r="I402" s="68"/>
      <c r="J402" s="134">
        <f>'PRD OPEX AD (2009-2012)'!J335</f>
        <v>15</v>
      </c>
      <c r="K402" s="68"/>
      <c r="L402" s="68"/>
      <c r="M402" s="68"/>
      <c r="N402" s="68"/>
      <c r="O402" s="134">
        <f>'PRD OPEX AD (2009-2012)'!O335</f>
        <v>0</v>
      </c>
    </row>
    <row r="403" spans="2:15">
      <c r="F403" s="62"/>
      <c r="G403" s="42"/>
      <c r="H403" s="42"/>
      <c r="I403" s="42"/>
      <c r="J403" s="42"/>
      <c r="K403" s="42"/>
      <c r="L403" s="42"/>
      <c r="M403" s="42"/>
      <c r="N403" s="42"/>
    </row>
    <row r="404" spans="2:15">
      <c r="F404" s="62"/>
      <c r="G404" s="42"/>
      <c r="H404" s="42"/>
      <c r="I404" s="42"/>
      <c r="J404" s="42"/>
      <c r="K404" s="42"/>
      <c r="L404" s="42"/>
      <c r="M404" s="42"/>
      <c r="N404" s="42"/>
    </row>
    <row r="405" spans="2:15">
      <c r="B405" s="261" t="s">
        <v>832</v>
      </c>
      <c r="F405" s="62"/>
      <c r="G405" s="42"/>
      <c r="H405" s="42"/>
      <c r="I405" s="42"/>
      <c r="J405" s="42"/>
      <c r="K405" s="42"/>
      <c r="L405" s="42"/>
      <c r="M405" s="42"/>
      <c r="N405" s="42"/>
    </row>
    <row r="406" spans="2:15">
      <c r="F406" s="62"/>
      <c r="G406" s="133"/>
      <c r="H406" s="42"/>
      <c r="I406" s="42"/>
      <c r="J406" s="42"/>
      <c r="K406" s="42"/>
      <c r="L406" s="42"/>
      <c r="M406" s="42"/>
      <c r="N406" s="42"/>
    </row>
    <row r="407" spans="2:15">
      <c r="B407" s="135" t="s">
        <v>384</v>
      </c>
      <c r="D407" s="51" t="s">
        <v>109</v>
      </c>
      <c r="F407" s="80">
        <f>SUM(G407:O407)</f>
        <v>0</v>
      </c>
      <c r="G407" s="38"/>
      <c r="H407" s="131"/>
      <c r="I407" s="38"/>
      <c r="J407" s="131"/>
      <c r="K407" s="38"/>
      <c r="L407" s="38"/>
      <c r="M407" s="38"/>
      <c r="N407" s="38"/>
      <c r="O407" s="131"/>
    </row>
    <row r="408" spans="2:15">
      <c r="F408" s="62"/>
      <c r="G408" s="42"/>
      <c r="H408" s="42"/>
      <c r="I408" s="42"/>
      <c r="J408" s="42"/>
      <c r="K408" s="42"/>
      <c r="L408" s="42"/>
      <c r="M408" s="42"/>
      <c r="N408" s="42"/>
    </row>
    <row r="409" spans="2:15">
      <c r="F409" s="62"/>
      <c r="G409" s="42"/>
      <c r="H409" s="42"/>
      <c r="I409" s="42"/>
      <c r="J409" s="42"/>
      <c r="K409" s="42"/>
      <c r="L409" s="42"/>
      <c r="M409" s="42"/>
      <c r="N409" s="42"/>
    </row>
    <row r="410" spans="2:15">
      <c r="B410" s="261" t="s">
        <v>831</v>
      </c>
      <c r="F410" s="62"/>
      <c r="G410" s="42"/>
      <c r="H410" s="42"/>
      <c r="I410" s="42"/>
      <c r="J410" s="42"/>
      <c r="K410" s="42"/>
      <c r="L410" s="42"/>
      <c r="M410" s="42"/>
      <c r="N410" s="42"/>
    </row>
    <row r="411" spans="2:15">
      <c r="F411" s="62"/>
      <c r="G411" s="42"/>
      <c r="H411" s="42"/>
      <c r="I411" s="42"/>
      <c r="J411" s="42"/>
      <c r="K411" s="42"/>
      <c r="L411" s="42"/>
      <c r="M411" s="42"/>
      <c r="N411" s="42"/>
    </row>
    <row r="412" spans="2:15">
      <c r="B412" s="135" t="s">
        <v>389</v>
      </c>
      <c r="D412" s="51" t="s">
        <v>109</v>
      </c>
      <c r="F412" s="80">
        <f>SUM(G412:O412)</f>
        <v>0</v>
      </c>
      <c r="G412" s="68"/>
      <c r="H412" s="131"/>
      <c r="I412" s="38"/>
      <c r="J412" s="131"/>
      <c r="K412" s="38"/>
      <c r="L412" s="38"/>
      <c r="M412" s="38"/>
      <c r="N412" s="38"/>
      <c r="O412" s="131"/>
    </row>
    <row r="413" spans="2:15">
      <c r="F413" s="62"/>
      <c r="G413" s="42"/>
      <c r="H413" s="42"/>
      <c r="I413" s="42"/>
      <c r="J413" s="42"/>
      <c r="K413" s="42"/>
      <c r="L413" s="42"/>
      <c r="M413" s="42"/>
      <c r="N413" s="42"/>
    </row>
    <row r="414" spans="2:15">
      <c r="F414" s="62"/>
      <c r="G414" s="42"/>
      <c r="H414" s="42"/>
      <c r="I414" s="42"/>
      <c r="J414" s="42"/>
      <c r="K414" s="42"/>
      <c r="L414" s="42"/>
      <c r="M414" s="42"/>
      <c r="N414" s="42"/>
    </row>
    <row r="415" spans="2:15">
      <c r="B415" s="3" t="s">
        <v>30</v>
      </c>
      <c r="F415" s="62"/>
      <c r="G415" s="42"/>
      <c r="H415" s="42"/>
      <c r="I415" s="42"/>
      <c r="J415" s="42"/>
      <c r="K415" s="42"/>
      <c r="L415" s="42"/>
      <c r="M415" s="42"/>
      <c r="N415" s="42"/>
    </row>
    <row r="416" spans="2:15">
      <c r="F416" s="62"/>
      <c r="G416" s="42"/>
      <c r="H416" s="42"/>
      <c r="I416" s="42"/>
      <c r="J416" s="42"/>
      <c r="K416" s="42"/>
      <c r="L416" s="42"/>
      <c r="M416" s="42"/>
      <c r="N416" s="42"/>
    </row>
    <row r="417" spans="2:17">
      <c r="B417" s="25" t="s">
        <v>399</v>
      </c>
      <c r="D417" s="51" t="s">
        <v>109</v>
      </c>
      <c r="F417" s="132">
        <f>SUM(G417:O417)</f>
        <v>35515.842111744787</v>
      </c>
      <c r="G417" s="68"/>
      <c r="H417" s="69">
        <f>H402+H407-H412</f>
        <v>35500.842111744787</v>
      </c>
      <c r="I417" s="68"/>
      <c r="J417" s="69">
        <f>J402+J407-J412</f>
        <v>15</v>
      </c>
      <c r="K417" s="68"/>
      <c r="L417" s="68"/>
      <c r="M417" s="68"/>
      <c r="N417" s="68"/>
      <c r="O417" s="69">
        <f>O402+O407-O412</f>
        <v>0</v>
      </c>
      <c r="Q417" s="51" t="s">
        <v>569</v>
      </c>
    </row>
    <row r="418" spans="2:17">
      <c r="F418" s="85"/>
      <c r="G418" s="42"/>
      <c r="H418" s="42"/>
      <c r="I418" s="42"/>
      <c r="J418" s="42"/>
      <c r="K418" s="42"/>
      <c r="L418" s="42"/>
      <c r="M418" s="42"/>
      <c r="N418" s="42"/>
    </row>
    <row r="419" spans="2:17">
      <c r="F419" s="4"/>
    </row>
    <row r="420" spans="2:17" s="2" customFormat="1">
      <c r="B420" s="2" t="s">
        <v>402</v>
      </c>
      <c r="F420" s="49"/>
    </row>
    <row r="421" spans="2:17">
      <c r="F421" s="47"/>
    </row>
    <row r="422" spans="2:17">
      <c r="B422" s="3" t="s">
        <v>383</v>
      </c>
      <c r="F422" s="47"/>
    </row>
    <row r="423" spans="2:17">
      <c r="F423" s="47"/>
    </row>
    <row r="424" spans="2:17">
      <c r="B424" s="25" t="s">
        <v>277</v>
      </c>
      <c r="D424" s="51" t="s">
        <v>110</v>
      </c>
      <c r="F424" s="80">
        <f>SUM(G424:O424)</f>
        <v>6071.3728793679484</v>
      </c>
      <c r="G424" s="68"/>
      <c r="H424" s="134">
        <f>'PRD OPEX AD (2009-2012)'!H359</f>
        <v>6056.8228793679482</v>
      </c>
      <c r="I424" s="68"/>
      <c r="J424" s="134">
        <f>'PRD OPEX AD (2009-2012)'!J359</f>
        <v>14.55</v>
      </c>
      <c r="K424" s="68"/>
      <c r="L424" s="68"/>
      <c r="M424" s="68"/>
      <c r="N424" s="68"/>
      <c r="O424" s="134">
        <f>'PRD OPEX AD (2009-2012)'!O359</f>
        <v>0</v>
      </c>
    </row>
    <row r="425" spans="2:17">
      <c r="F425" s="62"/>
      <c r="G425" s="42"/>
      <c r="H425" s="42"/>
      <c r="I425" s="42"/>
      <c r="J425" s="42"/>
      <c r="K425" s="42"/>
      <c r="L425" s="42"/>
      <c r="M425" s="42"/>
      <c r="N425" s="42"/>
    </row>
    <row r="426" spans="2:17">
      <c r="F426" s="62"/>
      <c r="G426" s="42"/>
      <c r="H426" s="42"/>
      <c r="I426" s="42"/>
      <c r="J426" s="42"/>
      <c r="K426" s="42"/>
      <c r="L426" s="42"/>
      <c r="M426" s="42"/>
      <c r="N426" s="42"/>
    </row>
    <row r="427" spans="2:17">
      <c r="B427" s="261" t="s">
        <v>832</v>
      </c>
      <c r="F427" s="62"/>
      <c r="G427" s="42"/>
      <c r="H427" s="42"/>
      <c r="I427" s="42"/>
      <c r="J427" s="42"/>
      <c r="K427" s="42"/>
      <c r="L427" s="42"/>
      <c r="M427" s="42"/>
      <c r="N427" s="42"/>
    </row>
    <row r="428" spans="2:17">
      <c r="F428" s="62"/>
      <c r="G428" s="133"/>
      <c r="H428" s="42"/>
      <c r="I428" s="42"/>
      <c r="J428" s="42"/>
      <c r="K428" s="42"/>
      <c r="L428" s="42"/>
      <c r="M428" s="42"/>
      <c r="N428" s="42"/>
    </row>
    <row r="429" spans="2:17">
      <c r="B429" s="135" t="s">
        <v>384</v>
      </c>
      <c r="D429" s="51" t="s">
        <v>110</v>
      </c>
      <c r="F429" s="80">
        <f>SUM(G429:O429)</f>
        <v>0</v>
      </c>
      <c r="G429" s="38"/>
      <c r="H429" s="131"/>
      <c r="I429" s="38"/>
      <c r="J429" s="131"/>
      <c r="K429" s="38"/>
      <c r="L429" s="38"/>
      <c r="M429" s="38"/>
      <c r="N429" s="38"/>
      <c r="O429" s="131"/>
    </row>
    <row r="430" spans="2:17">
      <c r="F430" s="62"/>
      <c r="G430" s="42"/>
      <c r="H430" s="42"/>
      <c r="I430" s="42"/>
      <c r="J430" s="42"/>
      <c r="K430" s="42"/>
      <c r="L430" s="42"/>
      <c r="M430" s="42"/>
      <c r="N430" s="42"/>
    </row>
    <row r="431" spans="2:17">
      <c r="F431" s="62"/>
      <c r="G431" s="42"/>
      <c r="H431" s="42"/>
      <c r="I431" s="42"/>
      <c r="J431" s="42"/>
      <c r="K431" s="42"/>
      <c r="L431" s="42"/>
      <c r="M431" s="42"/>
      <c r="N431" s="42"/>
    </row>
    <row r="432" spans="2:17">
      <c r="B432" s="261" t="s">
        <v>831</v>
      </c>
      <c r="F432" s="62"/>
      <c r="G432" s="42"/>
      <c r="H432" s="42"/>
      <c r="I432" s="42"/>
      <c r="J432" s="42"/>
      <c r="K432" s="42"/>
      <c r="L432" s="42"/>
      <c r="M432" s="42"/>
      <c r="N432" s="42"/>
    </row>
    <row r="433" spans="2:17">
      <c r="F433" s="62"/>
      <c r="G433" s="42"/>
      <c r="H433" s="42"/>
      <c r="I433" s="42"/>
      <c r="J433" s="42"/>
      <c r="K433" s="42"/>
      <c r="L433" s="42"/>
      <c r="M433" s="42"/>
      <c r="N433" s="42"/>
    </row>
    <row r="434" spans="2:17">
      <c r="B434" s="135" t="s">
        <v>389</v>
      </c>
      <c r="D434" s="51" t="s">
        <v>110</v>
      </c>
      <c r="F434" s="80">
        <f>SUM(G434:O434)</f>
        <v>0</v>
      </c>
      <c r="G434" s="68"/>
      <c r="H434" s="131"/>
      <c r="I434" s="38"/>
      <c r="J434" s="131"/>
      <c r="K434" s="38"/>
      <c r="L434" s="38"/>
      <c r="M434" s="38"/>
      <c r="N434" s="38"/>
      <c r="O434" s="131"/>
    </row>
    <row r="435" spans="2:17">
      <c r="F435" s="62"/>
      <c r="G435" s="42"/>
      <c r="H435" s="42"/>
      <c r="I435" s="42"/>
      <c r="J435" s="42"/>
      <c r="K435" s="42"/>
      <c r="L435" s="42"/>
      <c r="M435" s="42"/>
      <c r="N435" s="42"/>
    </row>
    <row r="436" spans="2:17">
      <c r="F436" s="62"/>
      <c r="G436" s="42"/>
      <c r="H436" s="42"/>
      <c r="I436" s="42"/>
      <c r="J436" s="42"/>
      <c r="K436" s="42"/>
      <c r="L436" s="42"/>
      <c r="M436" s="42"/>
      <c r="N436" s="42"/>
    </row>
    <row r="437" spans="2:17">
      <c r="B437" s="3" t="s">
        <v>30</v>
      </c>
      <c r="F437" s="62"/>
      <c r="G437" s="42"/>
      <c r="H437" s="42"/>
      <c r="I437" s="42"/>
      <c r="J437" s="42"/>
      <c r="K437" s="42"/>
      <c r="L437" s="42"/>
      <c r="M437" s="42"/>
      <c r="N437" s="42"/>
    </row>
    <row r="438" spans="2:17">
      <c r="F438" s="62"/>
      <c r="G438" s="42"/>
      <c r="H438" s="42"/>
      <c r="I438" s="42"/>
      <c r="J438" s="42"/>
      <c r="K438" s="42"/>
      <c r="L438" s="42"/>
      <c r="M438" s="42"/>
      <c r="N438" s="42"/>
    </row>
    <row r="439" spans="2:17">
      <c r="B439" s="25" t="s">
        <v>399</v>
      </c>
      <c r="D439" s="51" t="s">
        <v>110</v>
      </c>
      <c r="F439" s="132">
        <f>SUM(G439:O439)</f>
        <v>6071.3728793679484</v>
      </c>
      <c r="G439" s="68"/>
      <c r="H439" s="69">
        <f>H424+H429-H434</f>
        <v>6056.8228793679482</v>
      </c>
      <c r="I439" s="68"/>
      <c r="J439" s="69">
        <f>J424+J429-J434</f>
        <v>14.55</v>
      </c>
      <c r="K439" s="68"/>
      <c r="L439" s="68"/>
      <c r="M439" s="68"/>
      <c r="N439" s="68"/>
      <c r="O439" s="69">
        <f>O424+O429-O434</f>
        <v>0</v>
      </c>
      <c r="Q439" s="51" t="s">
        <v>569</v>
      </c>
    </row>
    <row r="440" spans="2:17">
      <c r="F440" s="85"/>
      <c r="G440" s="42"/>
      <c r="H440" s="42"/>
      <c r="I440" s="42"/>
      <c r="J440" s="42"/>
      <c r="K440" s="42"/>
      <c r="L440" s="42"/>
      <c r="M440" s="42"/>
      <c r="N440" s="42"/>
    </row>
    <row r="441" spans="2:17">
      <c r="F441" s="4"/>
    </row>
    <row r="442" spans="2:17">
      <c r="P442" s="27"/>
    </row>
    <row r="443" spans="2:17">
      <c r="P443" s="27"/>
    </row>
    <row r="444" spans="2:17">
      <c r="P444" s="27"/>
    </row>
    <row r="445" spans="2:17">
      <c r="P445" s="27"/>
    </row>
    <row r="446" spans="2:17">
      <c r="P446" s="27"/>
    </row>
    <row r="447" spans="2:17">
      <c r="P447" s="27"/>
    </row>
    <row r="448" spans="2:17">
      <c r="P448" s="27"/>
    </row>
    <row r="449" spans="16:16">
      <c r="P449" s="27"/>
    </row>
    <row r="450" spans="16:16">
      <c r="P450" s="27"/>
    </row>
    <row r="451" spans="16:16">
      <c r="P451" s="27"/>
    </row>
    <row r="452" spans="16:16">
      <c r="P452" s="27"/>
    </row>
    <row r="453" spans="16:16">
      <c r="P453" s="27"/>
    </row>
    <row r="454" spans="16:16">
      <c r="P454" s="27"/>
    </row>
    <row r="455" spans="16:16">
      <c r="P455" s="27"/>
    </row>
    <row r="456" spans="16:16">
      <c r="P456" s="27"/>
    </row>
    <row r="457" spans="16:16">
      <c r="P457" s="27"/>
    </row>
    <row r="458" spans="16:16">
      <c r="P458" s="27"/>
    </row>
    <row r="459" spans="16:16">
      <c r="P459" s="27"/>
    </row>
    <row r="460" spans="16:16">
      <c r="P460" s="27"/>
    </row>
    <row r="461" spans="16:16">
      <c r="P461" s="27"/>
    </row>
    <row r="462" spans="16:16">
      <c r="P462" s="27"/>
    </row>
    <row r="463" spans="16:16">
      <c r="P463" s="27"/>
    </row>
  </sheetData>
  <pageMargins left="0.75" right="0.75" top="1" bottom="1" header="0.5" footer="0.5"/>
  <pageSetup paperSize="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C99"/>
  </sheetPr>
  <dimension ref="B1:V774"/>
  <sheetViews>
    <sheetView showGridLines="0" zoomScale="85" zoomScaleNormal="85" workbookViewId="0"/>
  </sheetViews>
  <sheetFormatPr defaultRowHeight="12.75"/>
  <cols>
    <col min="1" max="1" width="2.5703125" customWidth="1"/>
    <col min="2" max="2" width="94.28515625" customWidth="1"/>
    <col min="3" max="3" width="2.5703125" customWidth="1"/>
    <col min="4" max="4" width="14.5703125" customWidth="1"/>
    <col min="5" max="5" width="2.5703125" customWidth="1"/>
    <col min="6" max="6" width="21.42578125" customWidth="1"/>
    <col min="7" max="13" width="14.85546875" customWidth="1"/>
    <col min="14" max="20" width="15.140625" customWidth="1"/>
    <col min="22" max="22" width="24" customWidth="1"/>
  </cols>
  <sheetData>
    <row r="1" spans="2:22" ht="12" customHeight="1"/>
    <row r="2" spans="2:22" s="1" customFormat="1" ht="18">
      <c r="B2" s="1" t="s">
        <v>430</v>
      </c>
      <c r="F2" s="5" t="s">
        <v>105</v>
      </c>
      <c r="G2" s="5"/>
      <c r="H2" s="5"/>
      <c r="I2" s="5"/>
      <c r="J2" s="5"/>
      <c r="K2" s="5"/>
      <c r="L2" s="5"/>
      <c r="M2" s="5"/>
      <c r="N2" s="5"/>
      <c r="O2" s="5"/>
      <c r="P2" s="5"/>
      <c r="V2" s="5" t="s">
        <v>567</v>
      </c>
    </row>
    <row r="4" spans="2:22">
      <c r="B4" t="s">
        <v>167</v>
      </c>
    </row>
    <row r="5" spans="2:22">
      <c r="B5" t="s">
        <v>168</v>
      </c>
    </row>
    <row r="6" spans="2:22">
      <c r="B6" t="s">
        <v>131</v>
      </c>
    </row>
    <row r="7" spans="2:22">
      <c r="B7" s="259" t="s">
        <v>1024</v>
      </c>
    </row>
    <row r="8" spans="2:22">
      <c r="F8" s="47"/>
    </row>
    <row r="9" spans="2:22" s="2" customFormat="1">
      <c r="B9" s="2" t="s">
        <v>33</v>
      </c>
    </row>
    <row r="11" spans="2:22">
      <c r="B11" s="51" t="s">
        <v>614</v>
      </c>
      <c r="D11" t="s">
        <v>135</v>
      </c>
      <c r="F11" s="33">
        <f>WACC!F7</f>
        <v>5.5E-2</v>
      </c>
    </row>
    <row r="12" spans="2:22">
      <c r="B12" s="51" t="s">
        <v>615</v>
      </c>
      <c r="D12" t="s">
        <v>135</v>
      </c>
      <c r="F12" s="33">
        <f>WACC!F8</f>
        <v>6.2E-2</v>
      </c>
    </row>
    <row r="13" spans="2:22">
      <c r="B13" s="51" t="s">
        <v>514</v>
      </c>
      <c r="D13" t="s">
        <v>135</v>
      </c>
      <c r="F13" s="33">
        <f>WACC!$F$9</f>
        <v>3.5999999999999997E-2</v>
      </c>
    </row>
    <row r="14" spans="2:22">
      <c r="B14" s="13"/>
      <c r="F14" s="53"/>
    </row>
    <row r="15" spans="2:22">
      <c r="B15" s="13"/>
      <c r="F15" s="53"/>
    </row>
    <row r="16" spans="2:22" s="2" customFormat="1">
      <c r="B16" s="2" t="s">
        <v>176</v>
      </c>
      <c r="F16" s="49"/>
    </row>
    <row r="17" spans="2:20">
      <c r="F17" s="47"/>
    </row>
    <row r="18" spans="2:20">
      <c r="B18" s="3" t="s">
        <v>164</v>
      </c>
      <c r="F18" s="47"/>
      <c r="G18" s="3" t="s">
        <v>96</v>
      </c>
      <c r="H18" s="3" t="s">
        <v>407</v>
      </c>
      <c r="I18" s="3" t="s">
        <v>408</v>
      </c>
      <c r="J18" s="3" t="s">
        <v>98</v>
      </c>
      <c r="K18" s="3" t="s">
        <v>409</v>
      </c>
      <c r="L18" s="3" t="s">
        <v>99</v>
      </c>
      <c r="M18" s="3" t="s">
        <v>410</v>
      </c>
      <c r="N18" s="3" t="s">
        <v>411</v>
      </c>
      <c r="O18" s="3" t="s">
        <v>100</v>
      </c>
      <c r="P18" s="3" t="s">
        <v>412</v>
      </c>
      <c r="Q18" s="3" t="s">
        <v>413</v>
      </c>
      <c r="R18" s="3" t="s">
        <v>102</v>
      </c>
      <c r="S18" s="3" t="s">
        <v>103</v>
      </c>
      <c r="T18" s="3" t="s">
        <v>414</v>
      </c>
    </row>
    <row r="19" spans="2:20">
      <c r="F19" s="47"/>
    </row>
    <row r="20" spans="2:20">
      <c r="B20" s="3" t="s">
        <v>142</v>
      </c>
      <c r="F20" s="47"/>
    </row>
    <row r="21" spans="2:20">
      <c r="B21" t="s">
        <v>143</v>
      </c>
      <c r="D21" t="s">
        <v>107</v>
      </c>
      <c r="F21" s="83">
        <f>SUM(G21:T21)</f>
        <v>0</v>
      </c>
      <c r="G21" s="39">
        <f>'Import GAW-sheet'!G14</f>
        <v>0</v>
      </c>
      <c r="H21" s="39">
        <f>'Import GAW-sheet'!H14</f>
        <v>0</v>
      </c>
      <c r="I21" s="39">
        <f>'Import GAW-sheet'!I14</f>
        <v>0</v>
      </c>
      <c r="J21" s="39">
        <f>'Import GAW-sheet'!J14</f>
        <v>0</v>
      </c>
      <c r="K21" s="39">
        <f>'Import GAW-sheet'!K14</f>
        <v>0</v>
      </c>
      <c r="L21" s="39">
        <f>'Import GAW-sheet'!L14</f>
        <v>0</v>
      </c>
      <c r="M21" s="39">
        <f>'Import GAW-sheet'!M14</f>
        <v>0</v>
      </c>
      <c r="N21" s="39">
        <f>'Import GAW-sheet'!N14</f>
        <v>0</v>
      </c>
      <c r="O21" s="39">
        <f>'Import GAW-sheet'!O14</f>
        <v>0</v>
      </c>
      <c r="P21" s="39">
        <f>'Import GAW-sheet'!P14</f>
        <v>0</v>
      </c>
      <c r="Q21" s="39">
        <f>'Import GAW-sheet'!Q14</f>
        <v>0</v>
      </c>
      <c r="R21" s="39">
        <f>'Import GAW-sheet'!R14</f>
        <v>0</v>
      </c>
      <c r="S21" s="39">
        <f>'Import GAW-sheet'!S14</f>
        <v>0</v>
      </c>
      <c r="T21" s="39">
        <f>'Import GAW-sheet'!T14</f>
        <v>0</v>
      </c>
    </row>
    <row r="22" spans="2:20">
      <c r="B22" t="s">
        <v>144</v>
      </c>
      <c r="D22" t="s">
        <v>107</v>
      </c>
      <c r="F22" s="83">
        <f>SUM(G22:T22)</f>
        <v>180973359.88408056</v>
      </c>
      <c r="G22" s="39">
        <f>'Import GAW-sheet'!G15</f>
        <v>3224059.2715849592</v>
      </c>
      <c r="H22" s="39">
        <f>'Import GAW-sheet'!H15</f>
        <v>3448497.6051113578</v>
      </c>
      <c r="I22" s="39">
        <f>'Import GAW-sheet'!I15</f>
        <v>258370.5182510812</v>
      </c>
      <c r="J22" s="39">
        <f>'Import GAW-sheet'!J15</f>
        <v>6168538.6703963624</v>
      </c>
      <c r="K22" s="39">
        <f>'Import GAW-sheet'!K15</f>
        <v>5859372.9790582675</v>
      </c>
      <c r="L22" s="39">
        <f>'Import GAW-sheet'!L15</f>
        <v>33865735.587681964</v>
      </c>
      <c r="M22" s="39">
        <f>'Import GAW-sheet'!M15</f>
        <v>6359371.6664528679</v>
      </c>
      <c r="N22" s="39">
        <f>'Import GAW-sheet'!N15</f>
        <v>7513.0657443616647</v>
      </c>
      <c r="O22" s="39">
        <f>'Import GAW-sheet'!O15</f>
        <v>57280777.304822676</v>
      </c>
      <c r="P22" s="39">
        <f>'Import GAW-sheet'!P15</f>
        <v>1050247.3170040755</v>
      </c>
      <c r="Q22" s="39">
        <f>'Import GAW-sheet'!Q15</f>
        <v>5198728.2685666634</v>
      </c>
      <c r="R22" s="39">
        <f>'Import GAW-sheet'!R15</f>
        <v>51794329.380688913</v>
      </c>
      <c r="S22" s="39">
        <f>'Import GAW-sheet'!S15</f>
        <v>5405299.0242402423</v>
      </c>
      <c r="T22" s="39">
        <f>'Import GAW-sheet'!T15</f>
        <v>1052519.2244767523</v>
      </c>
    </row>
    <row r="23" spans="2:20">
      <c r="B23" t="s">
        <v>145</v>
      </c>
      <c r="D23" t="s">
        <v>107</v>
      </c>
      <c r="F23" s="83">
        <f>SUM(G23:T23)</f>
        <v>4976245251.0216341</v>
      </c>
      <c r="G23" s="39">
        <f>'Import GAW-sheet'!G16</f>
        <v>80923887.71678248</v>
      </c>
      <c r="H23" s="39">
        <f>'Import GAW-sheet'!H16</f>
        <v>95523383.661584601</v>
      </c>
      <c r="I23" s="39">
        <f>'Import GAW-sheet'!I16</f>
        <v>10926534.897542445</v>
      </c>
      <c r="J23" s="39">
        <f>'Import GAW-sheet'!J16</f>
        <v>171485375.03701904</v>
      </c>
      <c r="K23" s="39">
        <f>'Import GAW-sheet'!K16</f>
        <v>161132756.92410219</v>
      </c>
      <c r="L23" s="39">
        <f>'Import GAW-sheet'!L16</f>
        <v>944854022.89632702</v>
      </c>
      <c r="M23" s="39">
        <f>'Import GAW-sheet'!M16</f>
        <v>201592081.82655612</v>
      </c>
      <c r="N23" s="39">
        <f>'Import GAW-sheet'!N16</f>
        <v>328847.88687608438</v>
      </c>
      <c r="O23" s="39">
        <f>'Import GAW-sheet'!O16</f>
        <v>1649686386.3788931</v>
      </c>
      <c r="P23" s="39">
        <f>'Import GAW-sheet'!P16</f>
        <v>27621504.437207177</v>
      </c>
      <c r="Q23" s="39">
        <f>'Import GAW-sheet'!Q16</f>
        <v>138286171.9438732</v>
      </c>
      <c r="R23" s="39">
        <f>'Import GAW-sheet'!R16</f>
        <v>1332819346.1934838</v>
      </c>
      <c r="S23" s="39">
        <f>'Import GAW-sheet'!S16</f>
        <v>117835518.72843735</v>
      </c>
      <c r="T23" s="39">
        <f>'Import GAW-sheet'!T16</f>
        <v>43229432.492949277</v>
      </c>
    </row>
    <row r="24" spans="2:20">
      <c r="F24" s="47"/>
      <c r="G24" s="29"/>
      <c r="H24" s="29"/>
      <c r="I24" s="29"/>
      <c r="J24" s="29"/>
      <c r="K24" s="29"/>
      <c r="L24" s="29"/>
      <c r="M24" s="29"/>
      <c r="N24" s="29"/>
    </row>
    <row r="25" spans="2:20">
      <c r="B25" s="3" t="s">
        <v>146</v>
      </c>
      <c r="F25" s="47"/>
      <c r="G25" s="29"/>
      <c r="H25" s="29"/>
      <c r="I25" s="29"/>
      <c r="J25" s="29"/>
      <c r="K25" s="29"/>
      <c r="L25" s="29"/>
      <c r="M25" s="29"/>
      <c r="N25" s="29"/>
    </row>
    <row r="26" spans="2:20">
      <c r="B26" t="s">
        <v>147</v>
      </c>
      <c r="D26" t="s">
        <v>107</v>
      </c>
      <c r="F26" s="83">
        <f>SUM(G26:T26)</f>
        <v>148389428.47245383</v>
      </c>
      <c r="G26" s="39">
        <f>'Import GAW-sheet'!G19</f>
        <v>3115000</v>
      </c>
      <c r="H26" s="39">
        <f>'Import GAW-sheet'!H19</f>
        <v>7074882</v>
      </c>
      <c r="I26" s="39">
        <f>'Import GAW-sheet'!I19</f>
        <v>0</v>
      </c>
      <c r="J26" s="39">
        <f>'Import GAW-sheet'!J19</f>
        <v>1498443.2</v>
      </c>
      <c r="K26" s="39">
        <f>'Import GAW-sheet'!K19</f>
        <v>1483355.8799999992</v>
      </c>
      <c r="L26" s="39">
        <f>'Import GAW-sheet'!L19</f>
        <v>53802219.813497603</v>
      </c>
      <c r="M26" s="39">
        <f>'Import GAW-sheet'!M19</f>
        <v>1768038.1800040149</v>
      </c>
      <c r="N26" s="39">
        <f>'Import GAW-sheet'!N19</f>
        <v>0</v>
      </c>
      <c r="O26" s="39">
        <f>'Import GAW-sheet'!O19</f>
        <v>31023193</v>
      </c>
      <c r="P26" s="39">
        <f>'Import GAW-sheet'!P19</f>
        <v>485356.69</v>
      </c>
      <c r="Q26" s="39">
        <f>'Import GAW-sheet'!Q19</f>
        <v>3488634.1775000002</v>
      </c>
      <c r="R26" s="39">
        <f>'Import GAW-sheet'!R19</f>
        <v>41982305.531452239</v>
      </c>
      <c r="S26" s="39">
        <f>'Import GAW-sheet'!S19</f>
        <v>2139000</v>
      </c>
      <c r="T26" s="39">
        <f>'Import GAW-sheet'!T19</f>
        <v>529000</v>
      </c>
    </row>
    <row r="27" spans="2:20">
      <c r="B27" t="s">
        <v>139</v>
      </c>
      <c r="D27" t="s">
        <v>107</v>
      </c>
      <c r="F27" s="83">
        <f>SUM(G27:T27)</f>
        <v>20590293.484829362</v>
      </c>
      <c r="G27" s="39">
        <f>'Import GAW-sheet'!G20</f>
        <v>177769.06395567622</v>
      </c>
      <c r="H27" s="39">
        <f>'Import GAW-sheet'!H20</f>
        <v>561389.41192135355</v>
      </c>
      <c r="I27" s="39">
        <f>'Import GAW-sheet'!I20</f>
        <v>0</v>
      </c>
      <c r="J27" s="39">
        <f>'Import GAW-sheet'!J20</f>
        <v>356961.67828274932</v>
      </c>
      <c r="K27" s="39">
        <f>'Import GAW-sheet'!K20</f>
        <v>819740.90954077768</v>
      </c>
      <c r="L27" s="39">
        <f>'Import GAW-sheet'!L20</f>
        <v>8841034.8103347979</v>
      </c>
      <c r="M27" s="39">
        <f>'Import GAW-sheet'!M20</f>
        <v>771867.77828551724</v>
      </c>
      <c r="N27" s="39">
        <f>'Import GAW-sheet'!N20</f>
        <v>0</v>
      </c>
      <c r="O27" s="39">
        <f>'Import GAW-sheet'!O20</f>
        <v>2633623.6012824052</v>
      </c>
      <c r="P27" s="39">
        <f>'Import GAW-sheet'!P20</f>
        <v>376501.5010629259</v>
      </c>
      <c r="Q27" s="39">
        <f>'Import GAW-sheet'!Q20</f>
        <v>1544387.6623473833</v>
      </c>
      <c r="R27" s="39">
        <f>'Import GAW-sheet'!R20</f>
        <v>4084914.8947330364</v>
      </c>
      <c r="S27" s="39">
        <f>'Import GAW-sheet'!S20</f>
        <v>349865.88864433765</v>
      </c>
      <c r="T27" s="39">
        <f>'Import GAW-sheet'!T20</f>
        <v>72236.284438400151</v>
      </c>
    </row>
    <row r="28" spans="2:20">
      <c r="B28" t="s">
        <v>148</v>
      </c>
      <c r="D28" t="s">
        <v>107</v>
      </c>
      <c r="F28" s="83">
        <f>SUM(G28:T28)</f>
        <v>580681410.68399858</v>
      </c>
      <c r="G28" s="39">
        <f>'Import GAW-sheet'!G21</f>
        <v>8709629.9573984798</v>
      </c>
      <c r="H28" s="39">
        <f>'Import GAW-sheet'!H21</f>
        <v>15639943.438248847</v>
      </c>
      <c r="I28" s="39">
        <f>'Import GAW-sheet'!I21</f>
        <v>0</v>
      </c>
      <c r="J28" s="39">
        <f>'Import GAW-sheet'!J21</f>
        <v>9994527.3776660152</v>
      </c>
      <c r="K28" s="39">
        <f>'Import GAW-sheet'!K21</f>
        <v>7400031.5676746368</v>
      </c>
      <c r="L28" s="39">
        <f>'Import GAW-sheet'!L21</f>
        <v>190992766.09889799</v>
      </c>
      <c r="M28" s="39">
        <f>'Import GAW-sheet'!M21</f>
        <v>4714339.5752074532</v>
      </c>
      <c r="N28" s="39">
        <f>'Import GAW-sheet'!N21</f>
        <v>0</v>
      </c>
      <c r="O28" s="39">
        <f>'Import GAW-sheet'!O21</f>
        <v>126340716.77534908</v>
      </c>
      <c r="P28" s="39">
        <f>'Import GAW-sheet'!P21</f>
        <v>2969642.7028564527</v>
      </c>
      <c r="Q28" s="39">
        <f>'Import GAW-sheet'!Q21</f>
        <v>17328259.524182606</v>
      </c>
      <c r="R28" s="39">
        <f>'Import GAW-sheet'!R21</f>
        <v>185276528.90557951</v>
      </c>
      <c r="S28" s="39">
        <f>'Import GAW-sheet'!S21</f>
        <v>10685930.329116266</v>
      </c>
      <c r="T28" s="39">
        <f>'Import GAW-sheet'!T21</f>
        <v>629094.4318212365</v>
      </c>
    </row>
    <row r="29" spans="2:20">
      <c r="F29" s="47"/>
      <c r="G29" s="29"/>
      <c r="H29" s="29"/>
      <c r="I29" s="29"/>
      <c r="J29" s="29"/>
      <c r="K29" s="29"/>
      <c r="L29" s="29"/>
      <c r="M29" s="29"/>
      <c r="N29" s="29"/>
    </row>
    <row r="30" spans="2:20">
      <c r="B30" s="3" t="s">
        <v>149</v>
      </c>
      <c r="F30" s="47"/>
      <c r="G30" s="29"/>
      <c r="H30" s="29"/>
      <c r="I30" s="29"/>
      <c r="J30" s="29"/>
      <c r="K30" s="29"/>
      <c r="L30" s="29"/>
      <c r="M30" s="29"/>
      <c r="N30" s="29"/>
    </row>
    <row r="31" spans="2:20">
      <c r="B31" t="s">
        <v>150</v>
      </c>
      <c r="D31" t="s">
        <v>107</v>
      </c>
      <c r="F31" s="83">
        <f>SUM(G31:T31)</f>
        <v>0</v>
      </c>
      <c r="G31" s="39">
        <f>'Import GAW-sheet'!G24</f>
        <v>0</v>
      </c>
      <c r="H31" s="39">
        <f>'Import GAW-sheet'!H24</f>
        <v>0</v>
      </c>
      <c r="I31" s="39">
        <f>'Import GAW-sheet'!I24</f>
        <v>0</v>
      </c>
      <c r="J31" s="39">
        <f>'Import GAW-sheet'!J24</f>
        <v>0</v>
      </c>
      <c r="K31" s="39">
        <f>'Import GAW-sheet'!K24</f>
        <v>0</v>
      </c>
      <c r="L31" s="39">
        <f>'Import GAW-sheet'!L24</f>
        <v>0</v>
      </c>
      <c r="M31" s="39">
        <f>'Import GAW-sheet'!M24</f>
        <v>0</v>
      </c>
      <c r="N31" s="39">
        <f>'Import GAW-sheet'!N24</f>
        <v>0</v>
      </c>
      <c r="O31" s="39">
        <f>'Import GAW-sheet'!O24</f>
        <v>0</v>
      </c>
      <c r="P31" s="39">
        <f>'Import GAW-sheet'!P24</f>
        <v>0</v>
      </c>
      <c r="Q31" s="39">
        <f>'Import GAW-sheet'!Q24</f>
        <v>0</v>
      </c>
      <c r="R31" s="39">
        <f>'Import GAW-sheet'!R24</f>
        <v>0</v>
      </c>
      <c r="S31" s="39">
        <f>'Import GAW-sheet'!S24</f>
        <v>0</v>
      </c>
      <c r="T31" s="39">
        <f>'Import GAW-sheet'!T24</f>
        <v>0</v>
      </c>
    </row>
    <row r="32" spans="2:20">
      <c r="B32" t="s">
        <v>151</v>
      </c>
      <c r="D32" t="s">
        <v>107</v>
      </c>
      <c r="F32" s="83">
        <f>SUM(G32:T32)</f>
        <v>3146803.7886905055</v>
      </c>
      <c r="G32" s="39">
        <f>'Import GAW-sheet'!G25</f>
        <v>771200.78743438434</v>
      </c>
      <c r="H32" s="39">
        <f>'Import GAW-sheet'!H25</f>
        <v>0</v>
      </c>
      <c r="I32" s="39">
        <f>'Import GAW-sheet'!I25</f>
        <v>0</v>
      </c>
      <c r="J32" s="39">
        <f>'Import GAW-sheet'!J25</f>
        <v>0</v>
      </c>
      <c r="K32" s="39">
        <f>'Import GAW-sheet'!K25</f>
        <v>0</v>
      </c>
      <c r="L32" s="39">
        <f>'Import GAW-sheet'!L25</f>
        <v>0</v>
      </c>
      <c r="M32" s="39">
        <f>'Import GAW-sheet'!M25</f>
        <v>796292.62166181765</v>
      </c>
      <c r="N32" s="39">
        <f>'Import GAW-sheet'!N25</f>
        <v>0</v>
      </c>
      <c r="O32" s="39">
        <f>'Import GAW-sheet'!O25</f>
        <v>0</v>
      </c>
      <c r="P32" s="39">
        <f>'Import GAW-sheet'!P25</f>
        <v>0</v>
      </c>
      <c r="Q32" s="39">
        <f>'Import GAW-sheet'!Q25</f>
        <v>1579310.3795943037</v>
      </c>
      <c r="R32" s="39">
        <f>'Import GAW-sheet'!R25</f>
        <v>0</v>
      </c>
      <c r="S32" s="39">
        <f>'Import GAW-sheet'!S25</f>
        <v>0</v>
      </c>
      <c r="T32" s="39">
        <f>'Import GAW-sheet'!T25</f>
        <v>0</v>
      </c>
    </row>
    <row r="33" spans="2:20">
      <c r="B33" t="s">
        <v>152</v>
      </c>
      <c r="D33" t="s">
        <v>107</v>
      </c>
      <c r="F33" s="83">
        <f>SUM(G33:T33)</f>
        <v>25336798.285386771</v>
      </c>
      <c r="G33" s="39">
        <f>'Import GAW-sheet'!G26</f>
        <v>771200.78743438493</v>
      </c>
      <c r="H33" s="39">
        <f>'Import GAW-sheet'!H26</f>
        <v>0</v>
      </c>
      <c r="I33" s="39">
        <f>'Import GAW-sheet'!I26</f>
        <v>0</v>
      </c>
      <c r="J33" s="39">
        <f>'Import GAW-sheet'!J26</f>
        <v>0</v>
      </c>
      <c r="K33" s="39">
        <f>'Import GAW-sheet'!K26</f>
        <v>0</v>
      </c>
      <c r="L33" s="39">
        <f>'Import GAW-sheet'!L26</f>
        <v>0</v>
      </c>
      <c r="M33" s="39">
        <f>'Import GAW-sheet'!M26</f>
        <v>10351804.081603641</v>
      </c>
      <c r="N33" s="39">
        <f>'Import GAW-sheet'!N26</f>
        <v>0</v>
      </c>
      <c r="O33" s="39">
        <f>'Import GAW-sheet'!O26</f>
        <v>0</v>
      </c>
      <c r="P33" s="39">
        <f>'Import GAW-sheet'!P26</f>
        <v>0</v>
      </c>
      <c r="Q33" s="39">
        <f>'Import GAW-sheet'!Q26</f>
        <v>14213793.416348744</v>
      </c>
      <c r="R33" s="39">
        <f>'Import GAW-sheet'!R26</f>
        <v>0</v>
      </c>
      <c r="S33" s="39">
        <f>'Import GAW-sheet'!S26</f>
        <v>0</v>
      </c>
      <c r="T33" s="39">
        <f>'Import GAW-sheet'!T26</f>
        <v>0</v>
      </c>
    </row>
    <row r="34" spans="2:20">
      <c r="F34" s="47"/>
      <c r="G34" s="29"/>
      <c r="H34" s="29"/>
      <c r="I34" s="29"/>
      <c r="J34" s="29"/>
      <c r="K34" s="29"/>
      <c r="L34" s="29"/>
      <c r="M34" s="29"/>
      <c r="N34" s="29"/>
    </row>
    <row r="35" spans="2:20">
      <c r="B35" s="3" t="s">
        <v>153</v>
      </c>
      <c r="F35" s="47"/>
      <c r="G35" s="29"/>
      <c r="H35" s="29"/>
      <c r="I35" s="29"/>
      <c r="J35" s="29"/>
      <c r="K35" s="29"/>
      <c r="L35" s="29"/>
      <c r="M35" s="29"/>
      <c r="N35" s="29"/>
    </row>
    <row r="36" spans="2:20">
      <c r="B36" t="s">
        <v>154</v>
      </c>
      <c r="D36" t="s">
        <v>107</v>
      </c>
      <c r="F36" s="83">
        <f>SUM(G36:T36)</f>
        <v>0</v>
      </c>
      <c r="G36" s="39">
        <f>'Import GAW-sheet'!G29</f>
        <v>0</v>
      </c>
      <c r="H36" s="39">
        <f>'Import GAW-sheet'!H29</f>
        <v>0</v>
      </c>
      <c r="I36" s="39">
        <f>'Import GAW-sheet'!I29</f>
        <v>0</v>
      </c>
      <c r="J36" s="39">
        <f>'Import GAW-sheet'!J29</f>
        <v>0</v>
      </c>
      <c r="K36" s="39">
        <f>'Import GAW-sheet'!K29</f>
        <v>0</v>
      </c>
      <c r="L36" s="39">
        <f>'Import GAW-sheet'!L29</f>
        <v>0</v>
      </c>
      <c r="M36" s="39">
        <f>'Import GAW-sheet'!M29</f>
        <v>0</v>
      </c>
      <c r="N36" s="39">
        <f>'Import GAW-sheet'!N29</f>
        <v>0</v>
      </c>
      <c r="O36" s="39">
        <f>'Import GAW-sheet'!O29</f>
        <v>0</v>
      </c>
      <c r="P36" s="39">
        <f>'Import GAW-sheet'!P29</f>
        <v>0</v>
      </c>
      <c r="Q36" s="39">
        <f>'Import GAW-sheet'!Q29</f>
        <v>0</v>
      </c>
      <c r="R36" s="39">
        <f>'Import GAW-sheet'!R29</f>
        <v>0</v>
      </c>
      <c r="S36" s="39">
        <f>'Import GAW-sheet'!S29</f>
        <v>0</v>
      </c>
      <c r="T36" s="39">
        <f>'Import GAW-sheet'!T29</f>
        <v>0</v>
      </c>
    </row>
    <row r="37" spans="2:20">
      <c r="B37" t="s">
        <v>155</v>
      </c>
      <c r="D37" t="s">
        <v>107</v>
      </c>
      <c r="F37" s="83">
        <f>SUM(G37:T37)</f>
        <v>0</v>
      </c>
      <c r="G37" s="39">
        <f>'Import GAW-sheet'!G30</f>
        <v>0</v>
      </c>
      <c r="H37" s="39">
        <f>'Import GAW-sheet'!H30</f>
        <v>0</v>
      </c>
      <c r="I37" s="39">
        <f>'Import GAW-sheet'!I30</f>
        <v>0</v>
      </c>
      <c r="J37" s="39">
        <f>'Import GAW-sheet'!J30</f>
        <v>0</v>
      </c>
      <c r="K37" s="39">
        <f>'Import GAW-sheet'!K30</f>
        <v>0</v>
      </c>
      <c r="L37" s="39">
        <f>'Import GAW-sheet'!L30</f>
        <v>0</v>
      </c>
      <c r="M37" s="39">
        <f>'Import GAW-sheet'!M30</f>
        <v>0</v>
      </c>
      <c r="N37" s="39">
        <f>'Import GAW-sheet'!N30</f>
        <v>0</v>
      </c>
      <c r="O37" s="39">
        <f>'Import GAW-sheet'!O30</f>
        <v>0</v>
      </c>
      <c r="P37" s="39">
        <f>'Import GAW-sheet'!P30</f>
        <v>0</v>
      </c>
      <c r="Q37" s="39">
        <f>'Import GAW-sheet'!Q30</f>
        <v>0</v>
      </c>
      <c r="R37" s="39">
        <f>'Import GAW-sheet'!R30</f>
        <v>0</v>
      </c>
      <c r="S37" s="39">
        <f>'Import GAW-sheet'!S30</f>
        <v>0</v>
      </c>
      <c r="T37" s="39">
        <f>'Import GAW-sheet'!T30</f>
        <v>0</v>
      </c>
    </row>
    <row r="38" spans="2:20">
      <c r="B38" t="s">
        <v>156</v>
      </c>
      <c r="D38" t="s">
        <v>107</v>
      </c>
      <c r="F38" s="83">
        <f>SUM(G38:T38)</f>
        <v>0</v>
      </c>
      <c r="G38" s="39">
        <f>'Import GAW-sheet'!G31</f>
        <v>0</v>
      </c>
      <c r="H38" s="39">
        <f>'Import GAW-sheet'!H31</f>
        <v>0</v>
      </c>
      <c r="I38" s="39">
        <f>'Import GAW-sheet'!I31</f>
        <v>0</v>
      </c>
      <c r="J38" s="39">
        <f>'Import GAW-sheet'!J31</f>
        <v>0</v>
      </c>
      <c r="K38" s="39">
        <f>'Import GAW-sheet'!K31</f>
        <v>0</v>
      </c>
      <c r="L38" s="39">
        <f>'Import GAW-sheet'!L31</f>
        <v>0</v>
      </c>
      <c r="M38" s="39">
        <f>'Import GAW-sheet'!M31</f>
        <v>0</v>
      </c>
      <c r="N38" s="39">
        <f>'Import GAW-sheet'!N31</f>
        <v>0</v>
      </c>
      <c r="O38" s="39">
        <f>'Import GAW-sheet'!O31</f>
        <v>0</v>
      </c>
      <c r="P38" s="39">
        <f>'Import GAW-sheet'!P31</f>
        <v>0</v>
      </c>
      <c r="Q38" s="39">
        <f>'Import GAW-sheet'!Q31</f>
        <v>0</v>
      </c>
      <c r="R38" s="39">
        <f>'Import GAW-sheet'!R31</f>
        <v>0</v>
      </c>
      <c r="S38" s="39">
        <f>'Import GAW-sheet'!S31</f>
        <v>0</v>
      </c>
      <c r="T38" s="39">
        <f>'Import GAW-sheet'!T31</f>
        <v>0</v>
      </c>
    </row>
    <row r="39" spans="2:20">
      <c r="F39" s="47"/>
      <c r="G39" s="29"/>
      <c r="H39" s="29"/>
      <c r="I39" s="29"/>
      <c r="J39" s="29"/>
      <c r="K39" s="29"/>
      <c r="L39" s="29"/>
      <c r="M39" s="29"/>
      <c r="N39" s="29"/>
    </row>
    <row r="40" spans="2:20">
      <c r="B40" s="3" t="s">
        <v>157</v>
      </c>
      <c r="F40" s="47"/>
      <c r="G40" s="29"/>
      <c r="H40" s="29"/>
      <c r="I40" s="29"/>
      <c r="J40" s="29"/>
      <c r="K40" s="29"/>
      <c r="L40" s="29"/>
      <c r="M40" s="29"/>
      <c r="N40" s="29"/>
    </row>
    <row r="41" spans="2:20">
      <c r="B41" t="s">
        <v>158</v>
      </c>
      <c r="D41" t="s">
        <v>107</v>
      </c>
      <c r="F41" s="83">
        <f>SUM(G41:T41)</f>
        <v>0</v>
      </c>
      <c r="G41" s="39">
        <f>'Import GAW-sheet'!G34</f>
        <v>0</v>
      </c>
      <c r="H41" s="39">
        <f>'Import GAW-sheet'!H34</f>
        <v>0</v>
      </c>
      <c r="I41" s="39">
        <f>'Import GAW-sheet'!I34</f>
        <v>0</v>
      </c>
      <c r="J41" s="39">
        <f>'Import GAW-sheet'!J34</f>
        <v>0</v>
      </c>
      <c r="K41" s="39">
        <f>'Import GAW-sheet'!K34</f>
        <v>0</v>
      </c>
      <c r="L41" s="39">
        <f>'Import GAW-sheet'!L34</f>
        <v>0</v>
      </c>
      <c r="M41" s="39">
        <f>'Import GAW-sheet'!M34</f>
        <v>0</v>
      </c>
      <c r="N41" s="39">
        <f>'Import GAW-sheet'!N34</f>
        <v>0</v>
      </c>
      <c r="O41" s="39">
        <f>'Import GAW-sheet'!O34</f>
        <v>0</v>
      </c>
      <c r="P41" s="39">
        <f>'Import GAW-sheet'!P34</f>
        <v>0</v>
      </c>
      <c r="Q41" s="39">
        <f>'Import GAW-sheet'!Q34</f>
        <v>0</v>
      </c>
      <c r="R41" s="39">
        <f>'Import GAW-sheet'!R34</f>
        <v>0</v>
      </c>
      <c r="S41" s="39">
        <f>'Import GAW-sheet'!S34</f>
        <v>0</v>
      </c>
      <c r="T41" s="39">
        <f>'Import GAW-sheet'!T34</f>
        <v>0</v>
      </c>
    </row>
    <row r="42" spans="2:20">
      <c r="B42" t="s">
        <v>159</v>
      </c>
      <c r="D42" t="s">
        <v>107</v>
      </c>
      <c r="F42" s="83">
        <f>SUM(G42:T42)</f>
        <v>0</v>
      </c>
      <c r="G42" s="39">
        <f>'Import GAW-sheet'!G35</f>
        <v>0</v>
      </c>
      <c r="H42" s="39">
        <f>'Import GAW-sheet'!H35</f>
        <v>0</v>
      </c>
      <c r="I42" s="39">
        <f>'Import GAW-sheet'!I35</f>
        <v>0</v>
      </c>
      <c r="J42" s="39">
        <f>'Import GAW-sheet'!J35</f>
        <v>0</v>
      </c>
      <c r="K42" s="39">
        <f>'Import GAW-sheet'!K35</f>
        <v>0</v>
      </c>
      <c r="L42" s="39">
        <f>'Import GAW-sheet'!L35</f>
        <v>0</v>
      </c>
      <c r="M42" s="39">
        <f>'Import GAW-sheet'!M35</f>
        <v>0</v>
      </c>
      <c r="N42" s="39">
        <f>'Import GAW-sheet'!N35</f>
        <v>0</v>
      </c>
      <c r="O42" s="39">
        <f>'Import GAW-sheet'!O35</f>
        <v>0</v>
      </c>
      <c r="P42" s="39">
        <f>'Import GAW-sheet'!P35</f>
        <v>0</v>
      </c>
      <c r="Q42" s="39">
        <f>'Import GAW-sheet'!Q35</f>
        <v>0</v>
      </c>
      <c r="R42" s="39">
        <f>'Import GAW-sheet'!R35</f>
        <v>0</v>
      </c>
      <c r="S42" s="39">
        <f>'Import GAW-sheet'!S35</f>
        <v>0</v>
      </c>
      <c r="T42" s="39">
        <f>'Import GAW-sheet'!T35</f>
        <v>0</v>
      </c>
    </row>
    <row r="43" spans="2:20">
      <c r="B43" t="s">
        <v>160</v>
      </c>
      <c r="D43" t="s">
        <v>107</v>
      </c>
      <c r="F43" s="83">
        <f>SUM(G43:T43)</f>
        <v>0</v>
      </c>
      <c r="G43" s="39">
        <f>'Import GAW-sheet'!G36</f>
        <v>0</v>
      </c>
      <c r="H43" s="39">
        <f>'Import GAW-sheet'!H36</f>
        <v>0</v>
      </c>
      <c r="I43" s="39">
        <f>'Import GAW-sheet'!I36</f>
        <v>0</v>
      </c>
      <c r="J43" s="39">
        <f>'Import GAW-sheet'!J36</f>
        <v>0</v>
      </c>
      <c r="K43" s="39">
        <f>'Import GAW-sheet'!K36</f>
        <v>0</v>
      </c>
      <c r="L43" s="39">
        <f>'Import GAW-sheet'!L36</f>
        <v>0</v>
      </c>
      <c r="M43" s="39">
        <f>'Import GAW-sheet'!M36</f>
        <v>0</v>
      </c>
      <c r="N43" s="39">
        <f>'Import GAW-sheet'!N36</f>
        <v>0</v>
      </c>
      <c r="O43" s="39">
        <f>'Import GAW-sheet'!O36</f>
        <v>0</v>
      </c>
      <c r="P43" s="39">
        <f>'Import GAW-sheet'!P36</f>
        <v>0</v>
      </c>
      <c r="Q43" s="39">
        <f>'Import GAW-sheet'!Q36</f>
        <v>0</v>
      </c>
      <c r="R43" s="39">
        <f>'Import GAW-sheet'!R36</f>
        <v>0</v>
      </c>
      <c r="S43" s="39">
        <f>'Import GAW-sheet'!S36</f>
        <v>0</v>
      </c>
      <c r="T43" s="39">
        <f>'Import GAW-sheet'!T36</f>
        <v>0</v>
      </c>
    </row>
    <row r="44" spans="2:20">
      <c r="F44" s="47"/>
    </row>
    <row r="45" spans="2:20">
      <c r="F45" s="47"/>
    </row>
    <row r="46" spans="2:20">
      <c r="B46" s="3" t="s">
        <v>416</v>
      </c>
      <c r="F46" s="47"/>
      <c r="G46" s="3" t="s">
        <v>96</v>
      </c>
      <c r="H46" s="3" t="s">
        <v>407</v>
      </c>
      <c r="I46" s="3" t="s">
        <v>98</v>
      </c>
      <c r="J46" s="3" t="s">
        <v>99</v>
      </c>
      <c r="K46" s="3" t="s">
        <v>100</v>
      </c>
      <c r="L46" s="3" t="s">
        <v>413</v>
      </c>
      <c r="M46" s="3" t="s">
        <v>102</v>
      </c>
      <c r="N46" s="3" t="s">
        <v>103</v>
      </c>
      <c r="O46" s="3" t="s">
        <v>197</v>
      </c>
      <c r="P46" s="55"/>
      <c r="Q46" s="55"/>
      <c r="R46" s="55"/>
      <c r="S46" s="55"/>
      <c r="T46" s="55"/>
    </row>
    <row r="47" spans="2:20">
      <c r="F47" s="47"/>
      <c r="P47" s="28"/>
      <c r="Q47" s="28"/>
      <c r="R47" s="28"/>
      <c r="S47" s="28"/>
      <c r="T47" s="28"/>
    </row>
    <row r="48" spans="2:20">
      <c r="B48" s="3" t="s">
        <v>142</v>
      </c>
      <c r="F48" s="47"/>
      <c r="P48" s="28"/>
      <c r="Q48" s="28"/>
      <c r="R48" s="28"/>
      <c r="S48" s="28"/>
      <c r="T48" s="28"/>
    </row>
    <row r="49" spans="2:20">
      <c r="B49" t="s">
        <v>143</v>
      </c>
      <c r="D49" t="s">
        <v>107</v>
      </c>
      <c r="F49" s="83">
        <f>SUM(G49:O49)</f>
        <v>0</v>
      </c>
      <c r="G49" s="39">
        <f>G21</f>
        <v>0</v>
      </c>
      <c r="H49" s="39">
        <f>H21</f>
        <v>0</v>
      </c>
      <c r="I49" s="98">
        <f>J21+K21</f>
        <v>0</v>
      </c>
      <c r="J49" s="98">
        <f>L21+M21</f>
        <v>0</v>
      </c>
      <c r="K49" s="98">
        <f>O21+P21</f>
        <v>0</v>
      </c>
      <c r="L49" s="39">
        <f>Q21</f>
        <v>0</v>
      </c>
      <c r="M49" s="39">
        <f t="shared" ref="M49:N49" si="0">R21</f>
        <v>0</v>
      </c>
      <c r="N49" s="39">
        <f t="shared" si="0"/>
        <v>0</v>
      </c>
      <c r="O49" s="39"/>
      <c r="P49" s="29"/>
      <c r="Q49" s="29"/>
      <c r="R49" s="29"/>
      <c r="S49" s="29"/>
      <c r="T49" s="29"/>
    </row>
    <row r="50" spans="2:20">
      <c r="B50" t="s">
        <v>144</v>
      </c>
      <c r="D50" t="s">
        <v>107</v>
      </c>
      <c r="F50" s="83">
        <f>SUM(G50:O50)</f>
        <v>179654957.07560837</v>
      </c>
      <c r="G50" s="39">
        <f t="shared" ref="G50:H50" si="1">G22</f>
        <v>3224059.2715849592</v>
      </c>
      <c r="H50" s="39">
        <f t="shared" si="1"/>
        <v>3448497.6051113578</v>
      </c>
      <c r="I50" s="98">
        <f t="shared" ref="I50:I51" si="2">J22+K22</f>
        <v>12027911.649454631</v>
      </c>
      <c r="J50" s="98">
        <f t="shared" ref="J50:J51" si="3">L22+M22</f>
        <v>40225107.254134834</v>
      </c>
      <c r="K50" s="98">
        <f t="shared" ref="K50:K51" si="4">O22+P22</f>
        <v>58331024.621826753</v>
      </c>
      <c r="L50" s="39">
        <f t="shared" ref="L50:L51" si="5">Q22</f>
        <v>5198728.2685666634</v>
      </c>
      <c r="M50" s="39">
        <f t="shared" ref="M50:M51" si="6">R22</f>
        <v>51794329.380688913</v>
      </c>
      <c r="N50" s="39">
        <f t="shared" ref="N50:N51" si="7">S22</f>
        <v>5405299.0242402423</v>
      </c>
      <c r="O50" s="39"/>
      <c r="P50" s="29"/>
      <c r="Q50" s="29"/>
      <c r="R50" s="29"/>
      <c r="S50" s="29"/>
      <c r="T50" s="29"/>
    </row>
    <row r="51" spans="2:20">
      <c r="B51" t="s">
        <v>145</v>
      </c>
      <c r="D51" t="s">
        <v>107</v>
      </c>
      <c r="F51" s="83">
        <f>SUM(G51:O51)</f>
        <v>4921760435.7442665</v>
      </c>
      <c r="G51" s="39">
        <f t="shared" ref="G51:H51" si="8">G23</f>
        <v>80923887.71678248</v>
      </c>
      <c r="H51" s="39">
        <f t="shared" si="8"/>
        <v>95523383.661584601</v>
      </c>
      <c r="I51" s="98">
        <f t="shared" si="2"/>
        <v>332618131.9611212</v>
      </c>
      <c r="J51" s="98">
        <f t="shared" si="3"/>
        <v>1146446104.7228832</v>
      </c>
      <c r="K51" s="98">
        <f t="shared" si="4"/>
        <v>1677307890.8161004</v>
      </c>
      <c r="L51" s="39">
        <f t="shared" si="5"/>
        <v>138286171.9438732</v>
      </c>
      <c r="M51" s="39">
        <f t="shared" si="6"/>
        <v>1332819346.1934838</v>
      </c>
      <c r="N51" s="39">
        <f t="shared" si="7"/>
        <v>117835518.72843735</v>
      </c>
      <c r="O51" s="39"/>
      <c r="P51" s="29"/>
      <c r="Q51" s="29"/>
      <c r="R51" s="29"/>
      <c r="S51" s="29"/>
      <c r="T51" s="29"/>
    </row>
    <row r="52" spans="2:20">
      <c r="F52" s="47"/>
      <c r="G52" s="29"/>
      <c r="H52" s="29"/>
      <c r="I52" s="29"/>
      <c r="J52" s="29"/>
      <c r="K52" s="29"/>
      <c r="L52" s="29"/>
      <c r="M52" s="29"/>
      <c r="N52" s="29"/>
      <c r="O52" s="29"/>
      <c r="P52" s="28"/>
      <c r="Q52" s="28"/>
      <c r="R52" s="28"/>
      <c r="S52" s="28"/>
      <c r="T52" s="28"/>
    </row>
    <row r="53" spans="2:20">
      <c r="B53" s="3" t="s">
        <v>146</v>
      </c>
      <c r="F53" s="47"/>
      <c r="G53" s="29"/>
      <c r="H53" s="29"/>
      <c r="I53" s="29"/>
      <c r="J53" s="29"/>
      <c r="K53" s="29"/>
      <c r="L53" s="29"/>
      <c r="M53" s="29"/>
      <c r="N53" s="29"/>
      <c r="O53" s="29"/>
      <c r="P53" s="28"/>
      <c r="Q53" s="28"/>
      <c r="R53" s="28"/>
      <c r="S53" s="28"/>
      <c r="T53" s="28"/>
    </row>
    <row r="54" spans="2:20">
      <c r="B54" t="s">
        <v>147</v>
      </c>
      <c r="D54" t="s">
        <v>107</v>
      </c>
      <c r="F54" s="83">
        <f>SUM(G54:O54)</f>
        <v>147860428.47245383</v>
      </c>
      <c r="G54" s="39">
        <f>G26</f>
        <v>3115000</v>
      </c>
      <c r="H54" s="39">
        <f>H26</f>
        <v>7074882</v>
      </c>
      <c r="I54" s="98">
        <f>J26+K26</f>
        <v>2981799.0799999991</v>
      </c>
      <c r="J54" s="98">
        <f>L26+M26</f>
        <v>55570257.993501619</v>
      </c>
      <c r="K54" s="98">
        <f>O26+P26</f>
        <v>31508549.690000001</v>
      </c>
      <c r="L54" s="39">
        <f>Q26</f>
        <v>3488634.1775000002</v>
      </c>
      <c r="M54" s="39">
        <f t="shared" ref="M54:M56" si="9">R26</f>
        <v>41982305.531452239</v>
      </c>
      <c r="N54" s="39">
        <f t="shared" ref="N54:N56" si="10">S26</f>
        <v>2139000</v>
      </c>
      <c r="O54" s="39"/>
      <c r="P54" s="29"/>
      <c r="Q54" s="29"/>
      <c r="R54" s="29"/>
      <c r="S54" s="29"/>
      <c r="T54" s="29"/>
    </row>
    <row r="55" spans="2:20">
      <c r="B55" t="s">
        <v>139</v>
      </c>
      <c r="D55" t="s">
        <v>107</v>
      </c>
      <c r="F55" s="83">
        <f>SUM(G55:O55)</f>
        <v>20518057.200390961</v>
      </c>
      <c r="G55" s="39">
        <f t="shared" ref="G55:H55" si="11">G27</f>
        <v>177769.06395567622</v>
      </c>
      <c r="H55" s="39">
        <f t="shared" si="11"/>
        <v>561389.41192135355</v>
      </c>
      <c r="I55" s="98">
        <f t="shared" ref="I55:I56" si="12">J27+K27</f>
        <v>1176702.5878235269</v>
      </c>
      <c r="J55" s="98">
        <f t="shared" ref="J55:J56" si="13">L27+M27</f>
        <v>9612902.5886203144</v>
      </c>
      <c r="K55" s="98">
        <f t="shared" ref="K55:K56" si="14">O27+P27</f>
        <v>3010125.1023453311</v>
      </c>
      <c r="L55" s="39">
        <f t="shared" ref="L55:L56" si="15">Q27</f>
        <v>1544387.6623473833</v>
      </c>
      <c r="M55" s="39">
        <f t="shared" si="9"/>
        <v>4084914.8947330364</v>
      </c>
      <c r="N55" s="39">
        <f t="shared" si="10"/>
        <v>349865.88864433765</v>
      </c>
      <c r="O55" s="39"/>
      <c r="P55" s="29"/>
      <c r="Q55" s="29"/>
      <c r="R55" s="29"/>
      <c r="S55" s="29"/>
      <c r="T55" s="29"/>
    </row>
    <row r="56" spans="2:20">
      <c r="B56" t="s">
        <v>148</v>
      </c>
      <c r="D56" t="s">
        <v>107</v>
      </c>
      <c r="F56" s="83">
        <f>SUM(G56:O56)</f>
        <v>580052316.25217736</v>
      </c>
      <c r="G56" s="39">
        <f t="shared" ref="G56:H56" si="16">G28</f>
        <v>8709629.9573984798</v>
      </c>
      <c r="H56" s="39">
        <f t="shared" si="16"/>
        <v>15639943.438248847</v>
      </c>
      <c r="I56" s="98">
        <f t="shared" si="12"/>
        <v>17394558.945340652</v>
      </c>
      <c r="J56" s="98">
        <f t="shared" si="13"/>
        <v>195707105.67410544</v>
      </c>
      <c r="K56" s="98">
        <f t="shared" si="14"/>
        <v>129310359.47820553</v>
      </c>
      <c r="L56" s="39">
        <f t="shared" si="15"/>
        <v>17328259.524182606</v>
      </c>
      <c r="M56" s="39">
        <f t="shared" si="9"/>
        <v>185276528.90557951</v>
      </c>
      <c r="N56" s="39">
        <f t="shared" si="10"/>
        <v>10685930.329116266</v>
      </c>
      <c r="O56" s="39"/>
      <c r="P56" s="29"/>
      <c r="Q56" s="29"/>
      <c r="R56" s="29"/>
      <c r="S56" s="29"/>
      <c r="T56" s="29"/>
    </row>
    <row r="57" spans="2:20">
      <c r="F57" s="47"/>
      <c r="G57" s="29"/>
      <c r="H57" s="29"/>
      <c r="I57" s="29"/>
      <c r="J57" s="29"/>
      <c r="K57" s="29"/>
      <c r="L57" s="29"/>
      <c r="M57" s="29"/>
      <c r="N57" s="29"/>
      <c r="O57" s="29"/>
      <c r="P57" s="28"/>
      <c r="Q57" s="28"/>
      <c r="R57" s="28"/>
      <c r="S57" s="28"/>
      <c r="T57" s="28"/>
    </row>
    <row r="58" spans="2:20">
      <c r="B58" s="3" t="s">
        <v>149</v>
      </c>
      <c r="F58" s="47"/>
      <c r="G58" s="29"/>
      <c r="H58" s="29"/>
      <c r="I58" s="29"/>
      <c r="J58" s="29"/>
      <c r="K58" s="29"/>
      <c r="L58" s="29"/>
      <c r="M58" s="29"/>
      <c r="N58" s="29"/>
      <c r="O58" s="29"/>
      <c r="P58" s="28"/>
      <c r="Q58" s="28"/>
      <c r="R58" s="28"/>
      <c r="S58" s="28"/>
      <c r="T58" s="28"/>
    </row>
    <row r="59" spans="2:20">
      <c r="B59" t="s">
        <v>150</v>
      </c>
      <c r="D59" t="s">
        <v>107</v>
      </c>
      <c r="F59" s="83">
        <f>SUM(G59:O59)</f>
        <v>0</v>
      </c>
      <c r="G59" s="39">
        <f>G31</f>
        <v>0</v>
      </c>
      <c r="H59" s="39">
        <f>H31</f>
        <v>0</v>
      </c>
      <c r="I59" s="98">
        <f>J31+K31</f>
        <v>0</v>
      </c>
      <c r="J59" s="98">
        <f>L31+M31</f>
        <v>0</v>
      </c>
      <c r="K59" s="98">
        <f>O31+P31</f>
        <v>0</v>
      </c>
      <c r="L59" s="39">
        <f>Q31</f>
        <v>0</v>
      </c>
      <c r="M59" s="39">
        <f t="shared" ref="M59:M61" si="17">R31</f>
        <v>0</v>
      </c>
      <c r="N59" s="39">
        <f t="shared" ref="N59:N61" si="18">S31</f>
        <v>0</v>
      </c>
      <c r="O59" s="39"/>
      <c r="P59" s="29"/>
      <c r="Q59" s="29"/>
      <c r="R59" s="29"/>
      <c r="S59" s="29"/>
      <c r="T59" s="29"/>
    </row>
    <row r="60" spans="2:20">
      <c r="B60" t="s">
        <v>151</v>
      </c>
      <c r="D60" t="s">
        <v>107</v>
      </c>
      <c r="F60" s="83">
        <f>SUM(G60:O60)</f>
        <v>3146803.7886905055</v>
      </c>
      <c r="G60" s="39">
        <f t="shared" ref="G60:H60" si="19">G32</f>
        <v>771200.78743438434</v>
      </c>
      <c r="H60" s="39">
        <f t="shared" si="19"/>
        <v>0</v>
      </c>
      <c r="I60" s="98">
        <f t="shared" ref="I60:I61" si="20">J32+K32</f>
        <v>0</v>
      </c>
      <c r="J60" s="98">
        <f t="shared" ref="J60:J61" si="21">L32+M32</f>
        <v>796292.62166181765</v>
      </c>
      <c r="K60" s="98">
        <f t="shared" ref="K60:K61" si="22">O32+P32</f>
        <v>0</v>
      </c>
      <c r="L60" s="39">
        <f t="shared" ref="L60:L61" si="23">Q32</f>
        <v>1579310.3795943037</v>
      </c>
      <c r="M60" s="39">
        <f t="shared" si="17"/>
        <v>0</v>
      </c>
      <c r="N60" s="39">
        <f t="shared" si="18"/>
        <v>0</v>
      </c>
      <c r="O60" s="39"/>
      <c r="P60" s="29"/>
      <c r="Q60" s="29"/>
      <c r="R60" s="29"/>
      <c r="S60" s="29"/>
      <c r="T60" s="29"/>
    </row>
    <row r="61" spans="2:20">
      <c r="B61" t="s">
        <v>152</v>
      </c>
      <c r="D61" t="s">
        <v>107</v>
      </c>
      <c r="F61" s="83">
        <f>SUM(G61:O61)</f>
        <v>25336798.285386771</v>
      </c>
      <c r="G61" s="39">
        <f t="shared" ref="G61:H61" si="24">G33</f>
        <v>771200.78743438493</v>
      </c>
      <c r="H61" s="39">
        <f t="shared" si="24"/>
        <v>0</v>
      </c>
      <c r="I61" s="98">
        <f t="shared" si="20"/>
        <v>0</v>
      </c>
      <c r="J61" s="98">
        <f t="shared" si="21"/>
        <v>10351804.081603641</v>
      </c>
      <c r="K61" s="98">
        <f t="shared" si="22"/>
        <v>0</v>
      </c>
      <c r="L61" s="39">
        <f t="shared" si="23"/>
        <v>14213793.416348744</v>
      </c>
      <c r="M61" s="39">
        <f t="shared" si="17"/>
        <v>0</v>
      </c>
      <c r="N61" s="39">
        <f t="shared" si="18"/>
        <v>0</v>
      </c>
      <c r="O61" s="39"/>
      <c r="P61" s="29"/>
      <c r="Q61" s="29"/>
      <c r="R61" s="29"/>
      <c r="S61" s="29"/>
      <c r="T61" s="29"/>
    </row>
    <row r="62" spans="2:20">
      <c r="F62" s="47"/>
      <c r="G62" s="29"/>
      <c r="H62" s="29"/>
      <c r="I62" s="29"/>
      <c r="J62" s="29"/>
      <c r="K62" s="29"/>
      <c r="L62" s="29"/>
      <c r="M62" s="29"/>
      <c r="N62" s="29"/>
      <c r="O62" s="29"/>
      <c r="P62" s="28"/>
      <c r="Q62" s="28"/>
      <c r="R62" s="28"/>
      <c r="S62" s="28"/>
      <c r="T62" s="28"/>
    </row>
    <row r="63" spans="2:20">
      <c r="B63" s="3" t="s">
        <v>153</v>
      </c>
      <c r="F63" s="47"/>
      <c r="G63" s="29"/>
      <c r="H63" s="29"/>
      <c r="I63" s="29"/>
      <c r="J63" s="29"/>
      <c r="K63" s="29"/>
      <c r="L63" s="29"/>
      <c r="M63" s="29"/>
      <c r="N63" s="29"/>
      <c r="O63" s="29"/>
      <c r="P63" s="28"/>
      <c r="Q63" s="28"/>
      <c r="R63" s="28"/>
      <c r="S63" s="28"/>
      <c r="T63" s="28"/>
    </row>
    <row r="64" spans="2:20">
      <c r="B64" t="s">
        <v>154</v>
      </c>
      <c r="D64" t="s">
        <v>107</v>
      </c>
      <c r="F64" s="83">
        <f>SUM(G64:O64)</f>
        <v>0</v>
      </c>
      <c r="G64" s="39">
        <f>G36</f>
        <v>0</v>
      </c>
      <c r="H64" s="39">
        <f>H36</f>
        <v>0</v>
      </c>
      <c r="I64" s="98">
        <f>J36+K36</f>
        <v>0</v>
      </c>
      <c r="J64" s="98">
        <f>L36+M36</f>
        <v>0</v>
      </c>
      <c r="K64" s="98">
        <f>O36+P36</f>
        <v>0</v>
      </c>
      <c r="L64" s="39">
        <f>Q36</f>
        <v>0</v>
      </c>
      <c r="M64" s="39">
        <f t="shared" ref="M64:M66" si="25">R36</f>
        <v>0</v>
      </c>
      <c r="N64" s="39">
        <f t="shared" ref="N64:N66" si="26">S36</f>
        <v>0</v>
      </c>
      <c r="O64" s="39"/>
      <c r="P64" s="29"/>
      <c r="Q64" s="29"/>
      <c r="R64" s="29"/>
      <c r="S64" s="29"/>
      <c r="T64" s="29"/>
    </row>
    <row r="65" spans="2:22">
      <c r="B65" t="s">
        <v>155</v>
      </c>
      <c r="D65" t="s">
        <v>107</v>
      </c>
      <c r="F65" s="83">
        <f>SUM(G65:O65)</f>
        <v>0</v>
      </c>
      <c r="G65" s="39">
        <f t="shared" ref="G65:H65" si="27">G37</f>
        <v>0</v>
      </c>
      <c r="H65" s="39">
        <f t="shared" si="27"/>
        <v>0</v>
      </c>
      <c r="I65" s="98">
        <f t="shared" ref="I65:I66" si="28">J37+K37</f>
        <v>0</v>
      </c>
      <c r="J65" s="98">
        <f t="shared" ref="J65:J66" si="29">L37+M37</f>
        <v>0</v>
      </c>
      <c r="K65" s="98">
        <f t="shared" ref="K65:K66" si="30">O37+P37</f>
        <v>0</v>
      </c>
      <c r="L65" s="39">
        <f t="shared" ref="L65:L66" si="31">Q37</f>
        <v>0</v>
      </c>
      <c r="M65" s="39">
        <f t="shared" si="25"/>
        <v>0</v>
      </c>
      <c r="N65" s="39">
        <f t="shared" si="26"/>
        <v>0</v>
      </c>
      <c r="O65" s="39"/>
      <c r="P65" s="29"/>
      <c r="Q65" s="29"/>
      <c r="R65" s="29"/>
      <c r="S65" s="29"/>
      <c r="T65" s="29"/>
    </row>
    <row r="66" spans="2:22">
      <c r="B66" t="s">
        <v>156</v>
      </c>
      <c r="D66" t="s">
        <v>107</v>
      </c>
      <c r="F66" s="83">
        <f>SUM(G66:O66)</f>
        <v>0</v>
      </c>
      <c r="G66" s="39">
        <f t="shared" ref="G66:H66" si="32">G38</f>
        <v>0</v>
      </c>
      <c r="H66" s="39">
        <f t="shared" si="32"/>
        <v>0</v>
      </c>
      <c r="I66" s="98">
        <f t="shared" si="28"/>
        <v>0</v>
      </c>
      <c r="J66" s="98">
        <f t="shared" si="29"/>
        <v>0</v>
      </c>
      <c r="K66" s="98">
        <f t="shared" si="30"/>
        <v>0</v>
      </c>
      <c r="L66" s="39">
        <f t="shared" si="31"/>
        <v>0</v>
      </c>
      <c r="M66" s="39">
        <f t="shared" si="25"/>
        <v>0</v>
      </c>
      <c r="N66" s="39">
        <f t="shared" si="26"/>
        <v>0</v>
      </c>
      <c r="O66" s="39"/>
      <c r="P66" s="29"/>
      <c r="Q66" s="29"/>
      <c r="R66" s="29"/>
      <c r="S66" s="29"/>
      <c r="T66" s="29"/>
    </row>
    <row r="67" spans="2:22">
      <c r="F67" s="47"/>
      <c r="G67" s="29"/>
      <c r="H67" s="29"/>
      <c r="I67" s="29"/>
      <c r="J67" s="29"/>
      <c r="K67" s="29"/>
      <c r="L67" s="29"/>
      <c r="M67" s="29"/>
      <c r="N67" s="29"/>
      <c r="O67" s="29"/>
      <c r="P67" s="28"/>
      <c r="Q67" s="28"/>
      <c r="R67" s="28"/>
      <c r="S67" s="28"/>
      <c r="T67" s="28"/>
    </row>
    <row r="68" spans="2:22">
      <c r="B68" s="3" t="s">
        <v>157</v>
      </c>
      <c r="F68" s="47"/>
      <c r="G68" s="29"/>
      <c r="H68" s="29"/>
      <c r="I68" s="29"/>
      <c r="J68" s="29"/>
      <c r="K68" s="29"/>
      <c r="L68" s="29"/>
      <c r="M68" s="29"/>
      <c r="N68" s="29"/>
      <c r="O68" s="29"/>
      <c r="P68" s="28"/>
      <c r="Q68" s="28"/>
      <c r="R68" s="28"/>
      <c r="S68" s="28"/>
      <c r="T68" s="28"/>
    </row>
    <row r="69" spans="2:22">
      <c r="B69" t="s">
        <v>158</v>
      </c>
      <c r="D69" t="s">
        <v>107</v>
      </c>
      <c r="F69" s="83">
        <f>SUM(G69:O69)</f>
        <v>0</v>
      </c>
      <c r="G69" s="39">
        <f>G41</f>
        <v>0</v>
      </c>
      <c r="H69" s="39">
        <f>H41</f>
        <v>0</v>
      </c>
      <c r="I69" s="98">
        <f>J41+K41</f>
        <v>0</v>
      </c>
      <c r="J69" s="98">
        <f>L41+M41</f>
        <v>0</v>
      </c>
      <c r="K69" s="98">
        <f>O41+P41</f>
        <v>0</v>
      </c>
      <c r="L69" s="39">
        <f>Q41</f>
        <v>0</v>
      </c>
      <c r="M69" s="39">
        <f t="shared" ref="M69:M71" si="33">R41</f>
        <v>0</v>
      </c>
      <c r="N69" s="39">
        <f t="shared" ref="N69:N71" si="34">S41</f>
        <v>0</v>
      </c>
      <c r="O69" s="39"/>
      <c r="P69" s="29"/>
      <c r="Q69" s="29"/>
      <c r="R69" s="29"/>
      <c r="S69" s="29"/>
      <c r="T69" s="29"/>
    </row>
    <row r="70" spans="2:22">
      <c r="B70" t="s">
        <v>159</v>
      </c>
      <c r="D70" t="s">
        <v>107</v>
      </c>
      <c r="F70" s="83">
        <f>SUM(G70:O70)</f>
        <v>0</v>
      </c>
      <c r="G70" s="39">
        <f t="shared" ref="G70:H70" si="35">G42</f>
        <v>0</v>
      </c>
      <c r="H70" s="39">
        <f t="shared" si="35"/>
        <v>0</v>
      </c>
      <c r="I70" s="98">
        <f t="shared" ref="I70:I71" si="36">J42+K42</f>
        <v>0</v>
      </c>
      <c r="J70" s="98">
        <f t="shared" ref="J70:J71" si="37">L42+M42</f>
        <v>0</v>
      </c>
      <c r="K70" s="98">
        <f t="shared" ref="K70:K71" si="38">O42+P42</f>
        <v>0</v>
      </c>
      <c r="L70" s="39">
        <f t="shared" ref="L70:L71" si="39">Q42</f>
        <v>0</v>
      </c>
      <c r="M70" s="39">
        <f t="shared" si="33"/>
        <v>0</v>
      </c>
      <c r="N70" s="39">
        <f t="shared" si="34"/>
        <v>0</v>
      </c>
      <c r="O70" s="39"/>
      <c r="P70" s="29"/>
      <c r="Q70" s="29"/>
      <c r="R70" s="29"/>
      <c r="S70" s="29"/>
      <c r="T70" s="29"/>
    </row>
    <row r="71" spans="2:22">
      <c r="B71" t="s">
        <v>160</v>
      </c>
      <c r="D71" t="s">
        <v>107</v>
      </c>
      <c r="F71" s="83">
        <f>SUM(G71:O71)</f>
        <v>0</v>
      </c>
      <c r="G71" s="39">
        <f t="shared" ref="G71:H71" si="40">G43</f>
        <v>0</v>
      </c>
      <c r="H71" s="39">
        <f t="shared" si="40"/>
        <v>0</v>
      </c>
      <c r="I71" s="98">
        <f t="shared" si="36"/>
        <v>0</v>
      </c>
      <c r="J71" s="98">
        <f t="shared" si="37"/>
        <v>0</v>
      </c>
      <c r="K71" s="98">
        <f t="shared" si="38"/>
        <v>0</v>
      </c>
      <c r="L71" s="39">
        <f t="shared" si="39"/>
        <v>0</v>
      </c>
      <c r="M71" s="39">
        <f t="shared" si="33"/>
        <v>0</v>
      </c>
      <c r="N71" s="39">
        <f t="shared" si="34"/>
        <v>0</v>
      </c>
      <c r="O71" s="39"/>
      <c r="P71" s="29"/>
      <c r="Q71" s="29"/>
      <c r="R71" s="29"/>
      <c r="S71" s="29"/>
      <c r="T71" s="29"/>
    </row>
    <row r="72" spans="2:22">
      <c r="F72" s="47"/>
    </row>
    <row r="73" spans="2:22">
      <c r="F73" s="47"/>
    </row>
    <row r="74" spans="2:22">
      <c r="B74" s="3" t="s">
        <v>417</v>
      </c>
      <c r="F74" s="47"/>
    </row>
    <row r="75" spans="2:22">
      <c r="F75" s="47"/>
    </row>
    <row r="76" spans="2:22">
      <c r="B76" s="3" t="s">
        <v>171</v>
      </c>
      <c r="F76" s="47"/>
    </row>
    <row r="77" spans="2:22">
      <c r="B77" t="s">
        <v>139</v>
      </c>
      <c r="D77" t="s">
        <v>107</v>
      </c>
      <c r="F77" s="83">
        <f>SUM(G77:O77)</f>
        <v>200173014.27599934</v>
      </c>
      <c r="G77" s="24">
        <f>G50+G55+G65+G70</f>
        <v>3401828.3355406355</v>
      </c>
      <c r="H77" s="24">
        <f t="shared" ref="H77:O77" si="41">H50+H55+H65+H70</f>
        <v>4009887.0170327113</v>
      </c>
      <c r="I77" s="24">
        <f t="shared" si="41"/>
        <v>13204614.237278158</v>
      </c>
      <c r="J77" s="24">
        <f t="shared" si="41"/>
        <v>49838009.842755146</v>
      </c>
      <c r="K77" s="24">
        <f t="shared" si="41"/>
        <v>61341149.724172086</v>
      </c>
      <c r="L77" s="24">
        <f t="shared" si="41"/>
        <v>6743115.9309140462</v>
      </c>
      <c r="M77" s="24">
        <f t="shared" si="41"/>
        <v>55879244.275421947</v>
      </c>
      <c r="N77" s="24">
        <f t="shared" si="41"/>
        <v>5755164.91288458</v>
      </c>
      <c r="O77" s="24">
        <f t="shared" si="41"/>
        <v>0</v>
      </c>
      <c r="V77" s="51" t="s">
        <v>570</v>
      </c>
    </row>
    <row r="78" spans="2:22">
      <c r="B78" t="s">
        <v>165</v>
      </c>
      <c r="D78" t="s">
        <v>107</v>
      </c>
      <c r="F78" s="83">
        <f>SUM(G78:O78)</f>
        <v>5501812751.9964437</v>
      </c>
      <c r="G78" s="24">
        <f>G51+G56+G66+G71</f>
        <v>89633517.674180955</v>
      </c>
      <c r="H78" s="24">
        <f t="shared" ref="H78:O78" si="42">H51+H56+H66+H71</f>
        <v>111163327.09983344</v>
      </c>
      <c r="I78" s="24">
        <f t="shared" si="42"/>
        <v>350012690.90646183</v>
      </c>
      <c r="J78" s="24">
        <f t="shared" si="42"/>
        <v>1342153210.3969886</v>
      </c>
      <c r="K78" s="24">
        <f t="shared" si="42"/>
        <v>1806618250.2943058</v>
      </c>
      <c r="L78" s="24">
        <f t="shared" si="42"/>
        <v>155614431.46805581</v>
      </c>
      <c r="M78" s="24">
        <f t="shared" si="42"/>
        <v>1518095875.0990634</v>
      </c>
      <c r="N78" s="24">
        <f t="shared" si="42"/>
        <v>128521449.05755362</v>
      </c>
      <c r="O78" s="24">
        <f t="shared" si="42"/>
        <v>0</v>
      </c>
      <c r="V78" s="51" t="s">
        <v>571</v>
      </c>
    </row>
    <row r="79" spans="2:22">
      <c r="B79" t="s">
        <v>166</v>
      </c>
      <c r="D79" t="s">
        <v>107</v>
      </c>
      <c r="F79" s="83">
        <f>SUM(G79:O79)</f>
        <v>198065259.07187191</v>
      </c>
      <c r="G79" s="24">
        <f>G78*$F$13</f>
        <v>3226806.6362705142</v>
      </c>
      <c r="H79" s="24">
        <f t="shared" ref="H79:O79" si="43">H78*$F$13</f>
        <v>4001879.7755940035</v>
      </c>
      <c r="I79" s="24">
        <f t="shared" si="43"/>
        <v>12600456.872632625</v>
      </c>
      <c r="J79" s="24">
        <f t="shared" si="43"/>
        <v>48317515.574291587</v>
      </c>
      <c r="K79" s="24">
        <f t="shared" si="43"/>
        <v>65038257.010595001</v>
      </c>
      <c r="L79" s="24">
        <f t="shared" si="43"/>
        <v>5602119.5328500085</v>
      </c>
      <c r="M79" s="24">
        <f t="shared" si="43"/>
        <v>54651451.50356628</v>
      </c>
      <c r="N79" s="24">
        <f t="shared" si="43"/>
        <v>4626772.16607193</v>
      </c>
      <c r="O79" s="24">
        <f t="shared" si="43"/>
        <v>0</v>
      </c>
      <c r="V79" s="51" t="s">
        <v>572</v>
      </c>
    </row>
    <row r="80" spans="2:22">
      <c r="B80" t="s">
        <v>169</v>
      </c>
      <c r="D80" t="s">
        <v>107</v>
      </c>
      <c r="F80" s="83">
        <f>SUM(G80:O80)</f>
        <v>398238273.34787124</v>
      </c>
      <c r="G80" s="21">
        <f>G77+G79</f>
        <v>6628634.9718111493</v>
      </c>
      <c r="H80" s="21">
        <f t="shared" ref="H80:O80" si="44">H77+H79</f>
        <v>8011766.7926267143</v>
      </c>
      <c r="I80" s="21">
        <f t="shared" si="44"/>
        <v>25805071.109910782</v>
      </c>
      <c r="J80" s="21">
        <f t="shared" si="44"/>
        <v>98155525.417046726</v>
      </c>
      <c r="K80" s="21">
        <f t="shared" si="44"/>
        <v>126379406.73476708</v>
      </c>
      <c r="L80" s="21">
        <f t="shared" si="44"/>
        <v>12345235.463764055</v>
      </c>
      <c r="M80" s="21">
        <f t="shared" si="44"/>
        <v>110530695.77898823</v>
      </c>
      <c r="N80" s="21">
        <f t="shared" si="44"/>
        <v>10381937.078956511</v>
      </c>
      <c r="O80" s="21">
        <f t="shared" si="44"/>
        <v>0</v>
      </c>
      <c r="V80" s="51" t="s">
        <v>573</v>
      </c>
    </row>
    <row r="81" spans="2:15">
      <c r="F81" s="47"/>
    </row>
    <row r="82" spans="2:15">
      <c r="B82" s="3" t="s">
        <v>172</v>
      </c>
      <c r="F82" s="47"/>
    </row>
    <row r="83" spans="2:15">
      <c r="B83" t="s">
        <v>139</v>
      </c>
      <c r="D83" t="s">
        <v>107</v>
      </c>
      <c r="F83" s="83">
        <f>SUM(G83:O83)</f>
        <v>3146803.7886905055</v>
      </c>
      <c r="G83" s="24">
        <f>G60</f>
        <v>771200.78743438434</v>
      </c>
      <c r="H83" s="24">
        <f t="shared" ref="H83:O83" si="45">H60</f>
        <v>0</v>
      </c>
      <c r="I83" s="24">
        <f t="shared" si="45"/>
        <v>0</v>
      </c>
      <c r="J83" s="24">
        <f t="shared" si="45"/>
        <v>796292.62166181765</v>
      </c>
      <c r="K83" s="24">
        <f t="shared" si="45"/>
        <v>0</v>
      </c>
      <c r="L83" s="24">
        <f t="shared" si="45"/>
        <v>1579310.3795943037</v>
      </c>
      <c r="M83" s="24">
        <f t="shared" si="45"/>
        <v>0</v>
      </c>
      <c r="N83" s="24">
        <f t="shared" si="45"/>
        <v>0</v>
      </c>
      <c r="O83" s="24">
        <f t="shared" si="45"/>
        <v>0</v>
      </c>
    </row>
    <row r="84" spans="2:15">
      <c r="B84" t="s">
        <v>165</v>
      </c>
      <c r="D84" t="s">
        <v>107</v>
      </c>
      <c r="F84" s="83">
        <f>SUM(G84:O84)</f>
        <v>25336798.285386771</v>
      </c>
      <c r="G84" s="24">
        <f>G61</f>
        <v>771200.78743438493</v>
      </c>
      <c r="H84" s="24">
        <f t="shared" ref="H84:O84" si="46">H61</f>
        <v>0</v>
      </c>
      <c r="I84" s="24">
        <f t="shared" si="46"/>
        <v>0</v>
      </c>
      <c r="J84" s="24">
        <f t="shared" si="46"/>
        <v>10351804.081603641</v>
      </c>
      <c r="K84" s="24">
        <f t="shared" si="46"/>
        <v>0</v>
      </c>
      <c r="L84" s="24">
        <f t="shared" si="46"/>
        <v>14213793.416348744</v>
      </c>
      <c r="M84" s="24">
        <f t="shared" si="46"/>
        <v>0</v>
      </c>
      <c r="N84" s="24">
        <f t="shared" si="46"/>
        <v>0</v>
      </c>
      <c r="O84" s="24">
        <f t="shared" si="46"/>
        <v>0</v>
      </c>
    </row>
    <row r="85" spans="2:15">
      <c r="B85" t="s">
        <v>166</v>
      </c>
      <c r="D85" t="s">
        <v>107</v>
      </c>
      <c r="F85" s="83">
        <f>SUM(G85:O85)</f>
        <v>912124.73827392375</v>
      </c>
      <c r="G85" s="24">
        <f>G84*$F$13</f>
        <v>27763.228347637854</v>
      </c>
      <c r="H85" s="24">
        <f t="shared" ref="H85:O85" si="47">H84*$F$13</f>
        <v>0</v>
      </c>
      <c r="I85" s="24">
        <f t="shared" si="47"/>
        <v>0</v>
      </c>
      <c r="J85" s="24">
        <f t="shared" si="47"/>
        <v>372664.94693773106</v>
      </c>
      <c r="K85" s="24">
        <f t="shared" si="47"/>
        <v>0</v>
      </c>
      <c r="L85" s="24">
        <f t="shared" si="47"/>
        <v>511696.56298855477</v>
      </c>
      <c r="M85" s="24">
        <f t="shared" si="47"/>
        <v>0</v>
      </c>
      <c r="N85" s="24">
        <f t="shared" si="47"/>
        <v>0</v>
      </c>
      <c r="O85" s="24">
        <f t="shared" si="47"/>
        <v>0</v>
      </c>
    </row>
    <row r="86" spans="2:15">
      <c r="B86" t="s">
        <v>169</v>
      </c>
      <c r="D86" t="s">
        <v>107</v>
      </c>
      <c r="F86" s="83">
        <f>SUM(G86:O86)</f>
        <v>4058928.5269644293</v>
      </c>
      <c r="G86" s="150">
        <f>G83+G85</f>
        <v>798964.01578202215</v>
      </c>
      <c r="H86" s="150">
        <f t="shared" ref="H86:O86" si="48">H83+H85</f>
        <v>0</v>
      </c>
      <c r="I86" s="150">
        <f t="shared" si="48"/>
        <v>0</v>
      </c>
      <c r="J86" s="150">
        <f t="shared" si="48"/>
        <v>1168957.5685995487</v>
      </c>
      <c r="K86" s="150">
        <f t="shared" si="48"/>
        <v>0</v>
      </c>
      <c r="L86" s="150">
        <f t="shared" si="48"/>
        <v>2091006.9425828585</v>
      </c>
      <c r="M86" s="150">
        <f t="shared" si="48"/>
        <v>0</v>
      </c>
      <c r="N86" s="150">
        <f t="shared" si="48"/>
        <v>0</v>
      </c>
      <c r="O86" s="150">
        <f t="shared" si="48"/>
        <v>0</v>
      </c>
    </row>
    <row r="87" spans="2:15">
      <c r="F87" s="47"/>
    </row>
    <row r="88" spans="2:15">
      <c r="F88" s="47"/>
    </row>
    <row r="89" spans="2:15">
      <c r="B89" s="3" t="s">
        <v>170</v>
      </c>
      <c r="F89" s="47"/>
    </row>
    <row r="90" spans="2:15">
      <c r="F90" s="47"/>
    </row>
    <row r="91" spans="2:15">
      <c r="B91" s="51" t="s">
        <v>419</v>
      </c>
      <c r="D91" t="s">
        <v>107</v>
      </c>
      <c r="F91" s="83">
        <f>SUM(G91:O91)</f>
        <v>0</v>
      </c>
      <c r="G91" s="8"/>
      <c r="H91" s="8"/>
      <c r="I91" s="8"/>
      <c r="J91" s="8"/>
      <c r="K91" s="8"/>
      <c r="L91" s="8"/>
      <c r="M91" s="8"/>
      <c r="N91" s="8"/>
      <c r="O91" s="8"/>
    </row>
    <row r="92" spans="2:15">
      <c r="B92" t="s">
        <v>173</v>
      </c>
      <c r="D92" t="s">
        <v>107</v>
      </c>
      <c r="F92" s="83">
        <f>SUM(G92:O92)</f>
        <v>0</v>
      </c>
      <c r="G92" s="97">
        <f>'PRD Ov.Opbrengst TD (2009-2012)'!G57</f>
        <v>0</v>
      </c>
      <c r="H92" s="97">
        <f>'PRD Ov.Opbrengst TD (2009-2012)'!H57</f>
        <v>0</v>
      </c>
      <c r="I92" s="97">
        <f>'PRD Ov.Opbrengst TD (2009-2012)'!I57</f>
        <v>0</v>
      </c>
      <c r="J92" s="97">
        <f>'PRD Ov.Opbrengst TD (2009-2012)'!J57</f>
        <v>0</v>
      </c>
      <c r="K92" s="97">
        <f>'PRD Ov.Opbrengst TD (2009-2012)'!K57</f>
        <v>0</v>
      </c>
      <c r="L92" s="97">
        <f>'PRD Ov.Opbrengst TD (2009-2012)'!L57</f>
        <v>0</v>
      </c>
      <c r="M92" s="97">
        <f>'PRD Ov.Opbrengst TD (2009-2012)'!M57</f>
        <v>0</v>
      </c>
      <c r="N92" s="97">
        <f>'PRD Ov.Opbrengst TD (2009-2012)'!N57</f>
        <v>0</v>
      </c>
      <c r="O92" s="97">
        <f>'PRD Ov.Opbrengst TD (2009-2012)'!O57</f>
        <v>0</v>
      </c>
    </row>
    <row r="93" spans="2:15">
      <c r="B93" t="s">
        <v>174</v>
      </c>
      <c r="D93" t="s">
        <v>107</v>
      </c>
      <c r="F93" s="83">
        <f>SUM(G93:O93)</f>
        <v>0</v>
      </c>
      <c r="G93" s="8"/>
      <c r="H93" s="8"/>
      <c r="I93" s="8"/>
      <c r="J93" s="8"/>
      <c r="K93" s="8"/>
      <c r="L93" s="8"/>
      <c r="M93" s="8"/>
      <c r="N93" s="8"/>
      <c r="O93" s="8"/>
    </row>
    <row r="94" spans="2:15">
      <c r="B94" s="13" t="s">
        <v>187</v>
      </c>
      <c r="D94" t="s">
        <v>107</v>
      </c>
      <c r="F94" s="83">
        <f>SUM(G94:O94)</f>
        <v>0</v>
      </c>
      <c r="G94" s="24">
        <f t="shared" ref="G94:O94" si="49">SUM(G91:G93)</f>
        <v>0</v>
      </c>
      <c r="H94" s="24">
        <f t="shared" si="49"/>
        <v>0</v>
      </c>
      <c r="I94" s="24">
        <f t="shared" si="49"/>
        <v>0</v>
      </c>
      <c r="J94" s="24">
        <f t="shared" si="49"/>
        <v>0</v>
      </c>
      <c r="K94" s="24">
        <f t="shared" si="49"/>
        <v>0</v>
      </c>
      <c r="L94" s="24">
        <f t="shared" si="49"/>
        <v>0</v>
      </c>
      <c r="M94" s="24">
        <f t="shared" si="49"/>
        <v>0</v>
      </c>
      <c r="N94" s="24">
        <f t="shared" si="49"/>
        <v>0</v>
      </c>
      <c r="O94" s="24">
        <f t="shared" si="49"/>
        <v>0</v>
      </c>
    </row>
    <row r="95" spans="2:15">
      <c r="F95" s="47"/>
    </row>
    <row r="96" spans="2:15">
      <c r="F96" s="47"/>
    </row>
    <row r="97" spans="2:22">
      <c r="B97" s="3" t="s">
        <v>418</v>
      </c>
      <c r="F97" s="47"/>
    </row>
    <row r="98" spans="2:22">
      <c r="F98" s="47"/>
    </row>
    <row r="99" spans="2:22">
      <c r="B99" t="s">
        <v>175</v>
      </c>
      <c r="D99" t="s">
        <v>107</v>
      </c>
      <c r="F99" s="84">
        <f>SUM(G99:O99)</f>
        <v>398238273.34787124</v>
      </c>
      <c r="G99" s="21">
        <f t="shared" ref="G99:O99" si="50">G80-G94</f>
        <v>6628634.9718111493</v>
      </c>
      <c r="H99" s="21">
        <f t="shared" si="50"/>
        <v>8011766.7926267143</v>
      </c>
      <c r="I99" s="21">
        <f t="shared" si="50"/>
        <v>25805071.109910782</v>
      </c>
      <c r="J99" s="21">
        <f t="shared" si="50"/>
        <v>98155525.417046726</v>
      </c>
      <c r="K99" s="21">
        <f t="shared" si="50"/>
        <v>126379406.73476708</v>
      </c>
      <c r="L99" s="21">
        <f t="shared" si="50"/>
        <v>12345235.463764055</v>
      </c>
      <c r="M99" s="21">
        <f t="shared" si="50"/>
        <v>110530695.77898823</v>
      </c>
      <c r="N99" s="21">
        <f t="shared" si="50"/>
        <v>10381937.078956511</v>
      </c>
      <c r="O99" s="21">
        <f t="shared" si="50"/>
        <v>0</v>
      </c>
      <c r="V99" s="51" t="s">
        <v>573</v>
      </c>
    </row>
    <row r="100" spans="2:22">
      <c r="F100" s="47"/>
    </row>
    <row r="101" spans="2:22">
      <c r="B101" s="51" t="s">
        <v>616</v>
      </c>
      <c r="D101" t="s">
        <v>107</v>
      </c>
      <c r="F101" s="84">
        <f>SUM(G101:O101)</f>
        <v>502772715.63580364</v>
      </c>
      <c r="G101" s="98">
        <f>G77+G78*$F$11-G94</f>
        <v>8331671.8076205878</v>
      </c>
      <c r="H101" s="98">
        <f t="shared" ref="H101:O101" si="51">H77+H78*$F$11-H94</f>
        <v>10123870.007523552</v>
      </c>
      <c r="I101" s="98">
        <f t="shared" si="51"/>
        <v>32455312.237133563</v>
      </c>
      <c r="J101" s="98">
        <f t="shared" si="51"/>
        <v>123656436.41458952</v>
      </c>
      <c r="K101" s="98">
        <f t="shared" si="51"/>
        <v>160705153.49035889</v>
      </c>
      <c r="L101" s="98">
        <f t="shared" si="51"/>
        <v>15301909.661657115</v>
      </c>
      <c r="M101" s="98">
        <f t="shared" si="51"/>
        <v>139374517.40587044</v>
      </c>
      <c r="N101" s="98">
        <f t="shared" si="51"/>
        <v>12823844.611050028</v>
      </c>
      <c r="O101" s="98">
        <f t="shared" si="51"/>
        <v>0</v>
      </c>
    </row>
    <row r="102" spans="2:22">
      <c r="F102" s="47"/>
    </row>
    <row r="103" spans="2:22">
      <c r="F103" s="62"/>
      <c r="G103" s="42"/>
      <c r="H103" s="42"/>
      <c r="I103" s="42"/>
      <c r="J103" s="42"/>
      <c r="K103" s="42"/>
      <c r="L103" s="42"/>
      <c r="M103" s="42"/>
      <c r="N103" s="42"/>
    </row>
    <row r="104" spans="2:22">
      <c r="B104" s="3" t="s">
        <v>421</v>
      </c>
      <c r="F104" s="47"/>
      <c r="G104" s="55"/>
      <c r="H104" s="3" t="s">
        <v>408</v>
      </c>
      <c r="I104" s="55"/>
      <c r="J104" s="3" t="s">
        <v>411</v>
      </c>
      <c r="K104" s="55"/>
      <c r="L104" s="55"/>
      <c r="M104" s="55"/>
      <c r="N104" s="55"/>
      <c r="O104" s="3" t="s">
        <v>420</v>
      </c>
      <c r="P104" s="55"/>
      <c r="Q104" s="55"/>
      <c r="R104" s="55"/>
      <c r="S104" s="55"/>
      <c r="T104" s="55"/>
    </row>
    <row r="105" spans="2:22">
      <c r="F105" s="47"/>
      <c r="G105" s="28"/>
      <c r="I105" s="28"/>
      <c r="K105" s="28"/>
      <c r="L105" s="28"/>
      <c r="M105" s="28"/>
      <c r="N105" s="28"/>
      <c r="P105" s="28"/>
      <c r="Q105" s="28"/>
      <c r="R105" s="28"/>
      <c r="S105" s="28"/>
      <c r="T105" s="28"/>
    </row>
    <row r="106" spans="2:22">
      <c r="B106" s="3" t="s">
        <v>142</v>
      </c>
      <c r="F106" s="47"/>
      <c r="G106" s="28"/>
      <c r="I106" s="28"/>
      <c r="K106" s="28"/>
      <c r="L106" s="28"/>
      <c r="M106" s="28"/>
      <c r="N106" s="28"/>
      <c r="P106" s="28"/>
      <c r="Q106" s="28"/>
      <c r="R106" s="28"/>
      <c r="S106" s="28"/>
      <c r="T106" s="28"/>
    </row>
    <row r="107" spans="2:22">
      <c r="B107" t="s">
        <v>143</v>
      </c>
      <c r="D107" t="s">
        <v>107</v>
      </c>
      <c r="F107" s="83">
        <f>SUM(G107:O107)</f>
        <v>0</v>
      </c>
      <c r="G107" s="29"/>
      <c r="H107" s="39">
        <f>I21</f>
        <v>0</v>
      </c>
      <c r="I107" s="29"/>
      <c r="J107" s="97">
        <f>N21</f>
        <v>0</v>
      </c>
      <c r="K107" s="29"/>
      <c r="L107" s="29"/>
      <c r="M107" s="29"/>
      <c r="N107" s="29"/>
      <c r="O107" s="97">
        <f>T21</f>
        <v>0</v>
      </c>
      <c r="P107" s="29"/>
      <c r="Q107" s="29"/>
      <c r="R107" s="29"/>
      <c r="S107" s="29"/>
      <c r="T107" s="29"/>
    </row>
    <row r="108" spans="2:22">
      <c r="B108" t="s">
        <v>144</v>
      </c>
      <c r="D108" t="s">
        <v>107</v>
      </c>
      <c r="F108" s="83">
        <f>SUM(G108:O108)</f>
        <v>1318402.8084721952</v>
      </c>
      <c r="G108" s="29"/>
      <c r="H108" s="39">
        <f>I22</f>
        <v>258370.5182510812</v>
      </c>
      <c r="I108" s="29"/>
      <c r="J108" s="97">
        <f>N22</f>
        <v>7513.0657443616647</v>
      </c>
      <c r="K108" s="29"/>
      <c r="L108" s="29"/>
      <c r="M108" s="29"/>
      <c r="N108" s="29"/>
      <c r="O108" s="97">
        <f>T22</f>
        <v>1052519.2244767523</v>
      </c>
      <c r="P108" s="29"/>
      <c r="Q108" s="29"/>
      <c r="R108" s="29"/>
      <c r="S108" s="29"/>
      <c r="T108" s="29"/>
    </row>
    <row r="109" spans="2:22">
      <c r="B109" t="s">
        <v>145</v>
      </c>
      <c r="D109" t="s">
        <v>107</v>
      </c>
      <c r="F109" s="83">
        <f>SUM(G109:O109)</f>
        <v>54484815.277367808</v>
      </c>
      <c r="G109" s="29"/>
      <c r="H109" s="39">
        <f>I23</f>
        <v>10926534.897542445</v>
      </c>
      <c r="I109" s="29"/>
      <c r="J109" s="97">
        <f>N23</f>
        <v>328847.88687608438</v>
      </c>
      <c r="K109" s="29"/>
      <c r="M109" s="29"/>
      <c r="N109" s="29"/>
      <c r="O109" s="97">
        <f>T23</f>
        <v>43229432.492949277</v>
      </c>
      <c r="P109" s="29"/>
      <c r="Q109" s="29"/>
      <c r="R109" s="29"/>
      <c r="S109" s="29"/>
      <c r="T109" s="29"/>
    </row>
    <row r="110" spans="2:22">
      <c r="F110" s="47"/>
      <c r="G110" s="29"/>
      <c r="H110" s="29"/>
      <c r="I110" s="29"/>
      <c r="J110" s="29"/>
      <c r="K110" s="29"/>
      <c r="M110" s="29"/>
      <c r="N110" s="29"/>
      <c r="O110" s="28"/>
      <c r="P110" s="28"/>
      <c r="Q110" s="28"/>
      <c r="R110" s="28"/>
      <c r="S110" s="28"/>
      <c r="T110" s="28"/>
    </row>
    <row r="111" spans="2:22">
      <c r="B111" s="3" t="s">
        <v>146</v>
      </c>
      <c r="F111" s="47"/>
      <c r="G111" s="29"/>
      <c r="H111" s="29"/>
      <c r="I111" s="29"/>
      <c r="J111" s="29"/>
      <c r="K111" s="29"/>
      <c r="L111" s="29"/>
      <c r="M111" s="29"/>
      <c r="N111" s="29"/>
      <c r="O111" s="28"/>
      <c r="P111" s="28"/>
      <c r="Q111" s="28"/>
      <c r="R111" s="28"/>
      <c r="S111" s="28"/>
      <c r="T111" s="28"/>
    </row>
    <row r="112" spans="2:22">
      <c r="B112" t="s">
        <v>147</v>
      </c>
      <c r="D112" t="s">
        <v>107</v>
      </c>
      <c r="F112" s="83">
        <f>SUM(G112:O112)</f>
        <v>529000</v>
      </c>
      <c r="G112" s="29"/>
      <c r="H112" s="39">
        <f>I26</f>
        <v>0</v>
      </c>
      <c r="I112" s="29"/>
      <c r="J112" s="97">
        <f>N26</f>
        <v>0</v>
      </c>
      <c r="K112" s="29"/>
      <c r="L112" s="29"/>
      <c r="M112" s="29"/>
      <c r="N112" s="29"/>
      <c r="O112" s="97">
        <f>T26</f>
        <v>529000</v>
      </c>
      <c r="P112" s="29"/>
      <c r="Q112" s="29"/>
      <c r="R112" s="29"/>
      <c r="S112" s="29"/>
      <c r="T112" s="29"/>
    </row>
    <row r="113" spans="2:20">
      <c r="B113" t="s">
        <v>139</v>
      </c>
      <c r="D113" t="s">
        <v>107</v>
      </c>
      <c r="F113" s="83">
        <f>SUM(G113:O113)</f>
        <v>72236.284438400151</v>
      </c>
      <c r="G113" s="29"/>
      <c r="H113" s="39">
        <f>I27</f>
        <v>0</v>
      </c>
      <c r="I113" s="29"/>
      <c r="J113" s="97">
        <f>N27</f>
        <v>0</v>
      </c>
      <c r="K113" s="29"/>
      <c r="L113" s="29"/>
      <c r="M113" s="29"/>
      <c r="N113" s="29"/>
      <c r="O113" s="97">
        <f>T27</f>
        <v>72236.284438400151</v>
      </c>
      <c r="P113" s="29"/>
      <c r="Q113" s="29"/>
      <c r="R113" s="29"/>
      <c r="S113" s="29"/>
      <c r="T113" s="29"/>
    </row>
    <row r="114" spans="2:20">
      <c r="B114" t="s">
        <v>148</v>
      </c>
      <c r="D114" t="s">
        <v>107</v>
      </c>
      <c r="F114" s="83">
        <f>SUM(G114:O114)</f>
        <v>629094.4318212365</v>
      </c>
      <c r="G114" s="29"/>
      <c r="H114" s="39">
        <f>I28</f>
        <v>0</v>
      </c>
      <c r="I114" s="29"/>
      <c r="J114" s="97">
        <f>N28</f>
        <v>0</v>
      </c>
      <c r="K114" s="29"/>
      <c r="L114" s="29"/>
      <c r="M114" s="29"/>
      <c r="N114" s="29"/>
      <c r="O114" s="97">
        <f>T28</f>
        <v>629094.4318212365</v>
      </c>
      <c r="P114" s="29"/>
      <c r="Q114" s="29"/>
      <c r="R114" s="29"/>
      <c r="S114" s="29"/>
      <c r="T114" s="29"/>
    </row>
    <row r="115" spans="2:20">
      <c r="F115" s="47"/>
      <c r="G115" s="29"/>
      <c r="H115" s="29"/>
      <c r="I115" s="29"/>
      <c r="J115" s="29"/>
      <c r="K115" s="29"/>
      <c r="L115" s="29"/>
      <c r="M115" s="29"/>
      <c r="N115" s="29"/>
      <c r="O115" s="28"/>
      <c r="P115" s="28"/>
      <c r="Q115" s="28"/>
      <c r="R115" s="28"/>
      <c r="S115" s="28"/>
      <c r="T115" s="28"/>
    </row>
    <row r="116" spans="2:20">
      <c r="B116" s="3" t="s">
        <v>149</v>
      </c>
      <c r="F116" s="47"/>
      <c r="G116" s="29"/>
      <c r="H116" s="29"/>
      <c r="I116" s="29"/>
      <c r="J116" s="29"/>
      <c r="K116" s="29"/>
      <c r="L116" s="29"/>
      <c r="M116" s="29"/>
      <c r="N116" s="29"/>
      <c r="O116" s="28"/>
      <c r="P116" s="28"/>
      <c r="Q116" s="28"/>
      <c r="R116" s="28"/>
      <c r="S116" s="28"/>
      <c r="T116" s="28"/>
    </row>
    <row r="117" spans="2:20">
      <c r="B117" t="s">
        <v>150</v>
      </c>
      <c r="D117" t="s">
        <v>107</v>
      </c>
      <c r="F117" s="83">
        <f>SUM(G117:O117)</f>
        <v>0</v>
      </c>
      <c r="G117" s="29"/>
      <c r="H117" s="39">
        <f>I31</f>
        <v>0</v>
      </c>
      <c r="I117" s="29"/>
      <c r="J117" s="97">
        <f>N31</f>
        <v>0</v>
      </c>
      <c r="K117" s="29"/>
      <c r="L117" s="29"/>
      <c r="M117" s="29"/>
      <c r="N117" s="29"/>
      <c r="O117" s="97">
        <f>T31</f>
        <v>0</v>
      </c>
      <c r="P117" s="29"/>
      <c r="Q117" s="29"/>
      <c r="R117" s="29"/>
      <c r="S117" s="29"/>
      <c r="T117" s="29"/>
    </row>
    <row r="118" spans="2:20">
      <c r="B118" t="s">
        <v>151</v>
      </c>
      <c r="D118" t="s">
        <v>107</v>
      </c>
      <c r="F118" s="83">
        <f>SUM(G118:O118)</f>
        <v>0</v>
      </c>
      <c r="G118" s="29"/>
      <c r="H118" s="39">
        <f>I32</f>
        <v>0</v>
      </c>
      <c r="I118" s="29"/>
      <c r="J118" s="97">
        <f>N32</f>
        <v>0</v>
      </c>
      <c r="K118" s="29"/>
      <c r="L118" s="29"/>
      <c r="M118" s="29"/>
      <c r="N118" s="29"/>
      <c r="O118" s="97">
        <f>T32</f>
        <v>0</v>
      </c>
      <c r="P118" s="29"/>
      <c r="Q118" s="29"/>
      <c r="R118" s="29"/>
      <c r="S118" s="29"/>
      <c r="T118" s="29"/>
    </row>
    <row r="119" spans="2:20">
      <c r="B119" t="s">
        <v>152</v>
      </c>
      <c r="D119" t="s">
        <v>107</v>
      </c>
      <c r="F119" s="83">
        <f>SUM(G119:O119)</f>
        <v>0</v>
      </c>
      <c r="G119" s="29"/>
      <c r="H119" s="39">
        <f>I33</f>
        <v>0</v>
      </c>
      <c r="I119" s="29"/>
      <c r="J119" s="97">
        <f>N33</f>
        <v>0</v>
      </c>
      <c r="K119" s="29"/>
      <c r="L119" s="29"/>
      <c r="M119" s="29"/>
      <c r="N119" s="29"/>
      <c r="O119" s="97">
        <f>T33</f>
        <v>0</v>
      </c>
      <c r="P119" s="29"/>
      <c r="Q119" s="29"/>
      <c r="R119" s="29"/>
      <c r="S119" s="29"/>
      <c r="T119" s="29"/>
    </row>
    <row r="120" spans="2:20">
      <c r="F120" s="47"/>
      <c r="G120" s="29"/>
      <c r="H120" s="29"/>
      <c r="I120" s="29"/>
      <c r="J120" s="29"/>
      <c r="K120" s="29"/>
      <c r="L120" s="29"/>
      <c r="M120" s="29"/>
      <c r="N120" s="29"/>
      <c r="O120" s="28"/>
      <c r="P120" s="28"/>
      <c r="Q120" s="28"/>
      <c r="R120" s="28"/>
      <c r="S120" s="28"/>
      <c r="T120" s="28"/>
    </row>
    <row r="121" spans="2:20">
      <c r="B121" s="3" t="s">
        <v>153</v>
      </c>
      <c r="F121" s="47"/>
      <c r="G121" s="29"/>
      <c r="H121" s="29"/>
      <c r="I121" s="29"/>
      <c r="J121" s="29"/>
      <c r="K121" s="29"/>
      <c r="L121" s="29"/>
      <c r="M121" s="29"/>
      <c r="N121" s="29"/>
      <c r="O121" s="28"/>
      <c r="P121" s="28"/>
      <c r="Q121" s="28"/>
      <c r="R121" s="28"/>
      <c r="S121" s="28"/>
      <c r="T121" s="28"/>
    </row>
    <row r="122" spans="2:20">
      <c r="B122" t="s">
        <v>154</v>
      </c>
      <c r="D122" t="s">
        <v>107</v>
      </c>
      <c r="F122" s="83">
        <f>SUM(G122:O122)</f>
        <v>0</v>
      </c>
      <c r="G122" s="29"/>
      <c r="H122" s="39">
        <f>I36</f>
        <v>0</v>
      </c>
      <c r="I122" s="29"/>
      <c r="J122" s="97">
        <f>N36</f>
        <v>0</v>
      </c>
      <c r="K122" s="29"/>
      <c r="L122" s="29"/>
      <c r="M122" s="29"/>
      <c r="N122" s="29"/>
      <c r="O122" s="97">
        <f>T36</f>
        <v>0</v>
      </c>
      <c r="P122" s="29"/>
      <c r="Q122" s="29"/>
      <c r="R122" s="29"/>
      <c r="S122" s="29"/>
      <c r="T122" s="29"/>
    </row>
    <row r="123" spans="2:20">
      <c r="B123" t="s">
        <v>155</v>
      </c>
      <c r="D123" t="s">
        <v>107</v>
      </c>
      <c r="F123" s="83">
        <f>SUM(G123:O123)</f>
        <v>0</v>
      </c>
      <c r="G123" s="29"/>
      <c r="H123" s="39">
        <f>I37</f>
        <v>0</v>
      </c>
      <c r="I123" s="29"/>
      <c r="J123" s="97">
        <f>N37</f>
        <v>0</v>
      </c>
      <c r="K123" s="29"/>
      <c r="L123" s="29"/>
      <c r="M123" s="29"/>
      <c r="N123" s="29"/>
      <c r="O123" s="97">
        <f>T37</f>
        <v>0</v>
      </c>
      <c r="P123" s="29"/>
      <c r="Q123" s="29"/>
      <c r="R123" s="29"/>
      <c r="S123" s="29"/>
      <c r="T123" s="29"/>
    </row>
    <row r="124" spans="2:20">
      <c r="B124" t="s">
        <v>156</v>
      </c>
      <c r="D124" t="s">
        <v>107</v>
      </c>
      <c r="F124" s="83">
        <f>SUM(G124:O124)</f>
        <v>0</v>
      </c>
      <c r="G124" s="29"/>
      <c r="H124" s="39">
        <f>I38</f>
        <v>0</v>
      </c>
      <c r="I124" s="29"/>
      <c r="J124" s="97">
        <f>N38</f>
        <v>0</v>
      </c>
      <c r="K124" s="29"/>
      <c r="L124" s="29"/>
      <c r="M124" s="29"/>
      <c r="N124" s="29"/>
      <c r="O124" s="97">
        <f>T38</f>
        <v>0</v>
      </c>
      <c r="P124" s="29"/>
      <c r="Q124" s="29"/>
      <c r="R124" s="29"/>
      <c r="S124" s="29"/>
      <c r="T124" s="29"/>
    </row>
    <row r="125" spans="2:20">
      <c r="F125" s="47"/>
      <c r="G125" s="29"/>
      <c r="H125" s="29"/>
      <c r="I125" s="29"/>
      <c r="J125" s="29"/>
      <c r="K125" s="29"/>
      <c r="L125" s="29"/>
      <c r="M125" s="29"/>
      <c r="N125" s="29"/>
      <c r="O125" s="28"/>
      <c r="P125" s="28"/>
      <c r="Q125" s="28"/>
      <c r="R125" s="28"/>
      <c r="S125" s="28"/>
      <c r="T125" s="28"/>
    </row>
    <row r="126" spans="2:20">
      <c r="B126" s="3" t="s">
        <v>157</v>
      </c>
      <c r="F126" s="47"/>
      <c r="G126" s="29"/>
      <c r="H126" s="29"/>
      <c r="I126" s="29"/>
      <c r="J126" s="29"/>
      <c r="K126" s="29"/>
      <c r="L126" s="29"/>
      <c r="M126" s="29"/>
      <c r="N126" s="29"/>
      <c r="O126" s="28"/>
      <c r="P126" s="28"/>
      <c r="Q126" s="28"/>
      <c r="R126" s="28"/>
      <c r="S126" s="28"/>
      <c r="T126" s="28"/>
    </row>
    <row r="127" spans="2:20">
      <c r="B127" t="s">
        <v>158</v>
      </c>
      <c r="D127" t="s">
        <v>107</v>
      </c>
      <c r="F127" s="83">
        <f>SUM(G127:O127)</f>
        <v>0</v>
      </c>
      <c r="G127" s="29"/>
      <c r="H127" s="39">
        <f>I41</f>
        <v>0</v>
      </c>
      <c r="I127" s="29"/>
      <c r="J127" s="97">
        <f>N41</f>
        <v>0</v>
      </c>
      <c r="K127" s="29"/>
      <c r="L127" s="29"/>
      <c r="M127" s="29"/>
      <c r="N127" s="29"/>
      <c r="O127" s="97">
        <f>T41</f>
        <v>0</v>
      </c>
      <c r="P127" s="29"/>
      <c r="Q127" s="29"/>
      <c r="R127" s="29"/>
      <c r="S127" s="29"/>
      <c r="T127" s="29"/>
    </row>
    <row r="128" spans="2:20">
      <c r="B128" t="s">
        <v>159</v>
      </c>
      <c r="D128" t="s">
        <v>107</v>
      </c>
      <c r="F128" s="83">
        <f>SUM(G128:O128)</f>
        <v>0</v>
      </c>
      <c r="G128" s="29"/>
      <c r="H128" s="39">
        <f>I42</f>
        <v>0</v>
      </c>
      <c r="I128" s="29"/>
      <c r="J128" s="97">
        <f>N42</f>
        <v>0</v>
      </c>
      <c r="K128" s="29"/>
      <c r="L128" s="29"/>
      <c r="M128" s="29"/>
      <c r="N128" s="29"/>
      <c r="O128" s="97">
        <f>T42</f>
        <v>0</v>
      </c>
      <c r="P128" s="29"/>
      <c r="Q128" s="29"/>
      <c r="R128" s="29"/>
      <c r="S128" s="29"/>
      <c r="T128" s="29"/>
    </row>
    <row r="129" spans="2:22">
      <c r="B129" t="s">
        <v>160</v>
      </c>
      <c r="D129" t="s">
        <v>107</v>
      </c>
      <c r="F129" s="83">
        <f>SUM(G129:O129)</f>
        <v>0</v>
      </c>
      <c r="G129" s="29"/>
      <c r="H129" s="39">
        <f>I43</f>
        <v>0</v>
      </c>
      <c r="I129" s="29"/>
      <c r="J129" s="97">
        <f>N43</f>
        <v>0</v>
      </c>
      <c r="K129" s="29"/>
      <c r="L129" s="29"/>
      <c r="M129" s="29"/>
      <c r="N129" s="29"/>
      <c r="O129" s="97">
        <f>T43</f>
        <v>0</v>
      </c>
      <c r="P129" s="29"/>
      <c r="Q129" s="29"/>
      <c r="R129" s="29"/>
      <c r="S129" s="29"/>
      <c r="T129" s="29"/>
    </row>
    <row r="130" spans="2:22">
      <c r="F130" s="47"/>
    </row>
    <row r="131" spans="2:22">
      <c r="F131" s="47"/>
    </row>
    <row r="132" spans="2:22">
      <c r="B132" s="3" t="s">
        <v>422</v>
      </c>
      <c r="F132" s="47"/>
    </row>
    <row r="133" spans="2:22">
      <c r="F133" s="47"/>
    </row>
    <row r="134" spans="2:22">
      <c r="B134" s="3" t="s">
        <v>425</v>
      </c>
      <c r="F134" s="47"/>
    </row>
    <row r="135" spans="2:22">
      <c r="B135" t="s">
        <v>139</v>
      </c>
      <c r="D135" t="s">
        <v>107</v>
      </c>
      <c r="F135" s="83">
        <f>SUM(G135:O135)</f>
        <v>1390639.0929105952</v>
      </c>
      <c r="G135" s="29"/>
      <c r="H135" s="24">
        <f t="shared" ref="H135" si="52">H108+H113+H123+H128</f>
        <v>258370.5182510812</v>
      </c>
      <c r="I135" s="29"/>
      <c r="J135" s="24">
        <f t="shared" ref="J135" si="53">J108+J113+J123+J128</f>
        <v>7513.0657443616647</v>
      </c>
      <c r="K135" s="29"/>
      <c r="L135" s="29"/>
      <c r="M135" s="29"/>
      <c r="N135" s="29"/>
      <c r="O135" s="24">
        <f t="shared" ref="O135" si="54">O108+O113+O123+O128</f>
        <v>1124755.5089151524</v>
      </c>
      <c r="V135" s="51" t="s">
        <v>570</v>
      </c>
    </row>
    <row r="136" spans="2:22">
      <c r="B136" t="s">
        <v>165</v>
      </c>
      <c r="D136" t="s">
        <v>107</v>
      </c>
      <c r="F136" s="83">
        <f>SUM(G136:O136)</f>
        <v>55113909.709189042</v>
      </c>
      <c r="G136" s="29"/>
      <c r="H136" s="24">
        <f t="shared" ref="H136" si="55">H109+H114+H124+H129</f>
        <v>10926534.897542445</v>
      </c>
      <c r="I136" s="29"/>
      <c r="J136" s="24">
        <f t="shared" ref="J136" si="56">J109+J114+J124+J129</f>
        <v>328847.88687608438</v>
      </c>
      <c r="K136" s="29"/>
      <c r="L136" s="29"/>
      <c r="M136" s="29"/>
      <c r="N136" s="29"/>
      <c r="O136" s="24">
        <f t="shared" ref="O136" si="57">O109+O114+O124+O129</f>
        <v>43858526.924770512</v>
      </c>
      <c r="V136" s="51" t="s">
        <v>571</v>
      </c>
    </row>
    <row r="137" spans="2:22">
      <c r="B137" t="s">
        <v>166</v>
      </c>
      <c r="D137" t="s">
        <v>107</v>
      </c>
      <c r="F137" s="83">
        <f>SUM(G137:O137)</f>
        <v>1984100.7495308053</v>
      </c>
      <c r="G137" s="29"/>
      <c r="H137" s="24">
        <f t="shared" ref="H137:J137" si="58">H136*$F$13</f>
        <v>393355.25631152798</v>
      </c>
      <c r="I137" s="29"/>
      <c r="J137" s="24">
        <f t="shared" si="58"/>
        <v>11838.523927539036</v>
      </c>
      <c r="K137" s="29"/>
      <c r="L137" s="29"/>
      <c r="M137" s="29"/>
      <c r="N137" s="29"/>
      <c r="O137" s="24">
        <f t="shared" ref="O137" si="59">O136*$F$13</f>
        <v>1578906.9692917382</v>
      </c>
      <c r="V137" s="51" t="s">
        <v>572</v>
      </c>
    </row>
    <row r="138" spans="2:22">
      <c r="B138" t="s">
        <v>169</v>
      </c>
      <c r="D138" t="s">
        <v>107</v>
      </c>
      <c r="F138" s="83">
        <f>SUM(G138:O138)</f>
        <v>3374739.8424414005</v>
      </c>
      <c r="G138" s="54"/>
      <c r="H138" s="21">
        <f t="shared" ref="H138:J138" si="60">H135+H137</f>
        <v>651725.77456260915</v>
      </c>
      <c r="I138" s="54"/>
      <c r="J138" s="21">
        <f t="shared" si="60"/>
        <v>19351.5896719007</v>
      </c>
      <c r="K138" s="54"/>
      <c r="L138" s="54"/>
      <c r="M138" s="54"/>
      <c r="N138" s="54"/>
      <c r="O138" s="21">
        <f t="shared" ref="O138" si="61">O135+O137</f>
        <v>2703662.4782068906</v>
      </c>
      <c r="V138" s="51" t="s">
        <v>573</v>
      </c>
    </row>
    <row r="139" spans="2:22">
      <c r="F139" s="47"/>
    </row>
    <row r="140" spans="2:22">
      <c r="F140" s="47"/>
    </row>
    <row r="141" spans="2:22">
      <c r="B141" s="3" t="s">
        <v>170</v>
      </c>
      <c r="F141" s="47"/>
      <c r="K141" s="28"/>
      <c r="L141" s="28"/>
      <c r="M141" s="28"/>
      <c r="N141" s="28"/>
    </row>
    <row r="142" spans="2:22">
      <c r="F142" s="47"/>
      <c r="G142" s="28"/>
      <c r="I142" s="28"/>
      <c r="K142" s="28"/>
      <c r="L142" s="28"/>
      <c r="M142" s="28"/>
      <c r="N142" s="28"/>
    </row>
    <row r="143" spans="2:22">
      <c r="B143" s="51" t="s">
        <v>427</v>
      </c>
      <c r="D143" t="s">
        <v>107</v>
      </c>
      <c r="F143" s="83">
        <f>SUM(G143:O143)</f>
        <v>0</v>
      </c>
      <c r="G143" s="29"/>
      <c r="H143" s="8"/>
      <c r="I143" s="29"/>
      <c r="J143" s="8"/>
      <c r="K143" s="29"/>
      <c r="L143" s="29"/>
      <c r="M143" s="29"/>
      <c r="N143" s="29"/>
      <c r="O143" s="8"/>
    </row>
    <row r="144" spans="2:22">
      <c r="B144" s="51" t="s">
        <v>428</v>
      </c>
      <c r="D144" t="s">
        <v>107</v>
      </c>
      <c r="F144" s="83">
        <f>SUM(G144:O144)</f>
        <v>0</v>
      </c>
      <c r="G144" s="29"/>
      <c r="H144" s="8"/>
      <c r="I144" s="29"/>
      <c r="J144" s="8"/>
      <c r="K144" s="29"/>
      <c r="L144" s="29"/>
      <c r="M144" s="29"/>
      <c r="N144" s="29"/>
      <c r="O144" s="8"/>
    </row>
    <row r="145" spans="2:22">
      <c r="B145" s="51" t="s">
        <v>429</v>
      </c>
      <c r="D145" t="s">
        <v>107</v>
      </c>
      <c r="F145" s="83">
        <f>SUM(G145:O145)</f>
        <v>0</v>
      </c>
      <c r="G145" s="29"/>
      <c r="H145" s="8"/>
      <c r="I145" s="29"/>
      <c r="J145" s="8"/>
      <c r="K145" s="29"/>
      <c r="L145" s="29"/>
      <c r="M145" s="29"/>
      <c r="N145" s="29"/>
      <c r="O145" s="8"/>
    </row>
    <row r="146" spans="2:22">
      <c r="B146" s="51" t="s">
        <v>426</v>
      </c>
      <c r="D146" t="s">
        <v>107</v>
      </c>
      <c r="F146" s="83">
        <f>SUM(G146:O146)</f>
        <v>0</v>
      </c>
      <c r="G146" s="29"/>
      <c r="H146" s="24">
        <f>SUM(H143:H145)</f>
        <v>0</v>
      </c>
      <c r="I146" s="29"/>
      <c r="J146" s="24">
        <f>SUM(J143:J145)</f>
        <v>0</v>
      </c>
      <c r="K146" s="29"/>
      <c r="L146" s="29"/>
      <c r="M146" s="29"/>
      <c r="N146" s="29"/>
      <c r="O146" s="24">
        <f>SUM(O143:O145)</f>
        <v>0</v>
      </c>
    </row>
    <row r="147" spans="2:22">
      <c r="F147" s="47"/>
      <c r="G147" s="28"/>
      <c r="I147" s="28"/>
      <c r="K147" s="28"/>
      <c r="L147" s="28"/>
      <c r="M147" s="28"/>
      <c r="N147" s="28"/>
    </row>
    <row r="148" spans="2:22">
      <c r="F148" s="47"/>
      <c r="G148" s="28"/>
      <c r="I148" s="28"/>
      <c r="K148" s="28"/>
      <c r="L148" s="28"/>
      <c r="M148" s="28"/>
      <c r="N148" s="28"/>
    </row>
    <row r="149" spans="2:22">
      <c r="B149" s="3" t="s">
        <v>423</v>
      </c>
      <c r="F149" s="47"/>
      <c r="G149" s="28"/>
      <c r="I149" s="28"/>
      <c r="K149" s="28"/>
      <c r="L149" s="28"/>
      <c r="M149" s="28"/>
      <c r="N149" s="28"/>
    </row>
    <row r="150" spans="2:22">
      <c r="F150" s="47"/>
      <c r="G150" s="28"/>
      <c r="I150" s="28"/>
      <c r="K150" s="28"/>
      <c r="L150" s="28"/>
      <c r="M150" s="28"/>
      <c r="N150" s="28"/>
    </row>
    <row r="151" spans="2:22">
      <c r="B151" s="51" t="s">
        <v>424</v>
      </c>
      <c r="D151" t="s">
        <v>107</v>
      </c>
      <c r="F151" s="84">
        <f>SUM(G151:O151)</f>
        <v>3374739.8424414005</v>
      </c>
      <c r="G151" s="54"/>
      <c r="H151" s="21">
        <f>H138-H146</f>
        <v>651725.77456260915</v>
      </c>
      <c r="I151" s="54"/>
      <c r="J151" s="21">
        <f>J138-J146</f>
        <v>19351.5896719007</v>
      </c>
      <c r="K151" s="54"/>
      <c r="L151" s="54"/>
      <c r="M151" s="54"/>
      <c r="N151" s="54"/>
      <c r="O151" s="21">
        <f>O138-O146</f>
        <v>2703662.4782068906</v>
      </c>
      <c r="V151" s="51" t="s">
        <v>573</v>
      </c>
    </row>
    <row r="152" spans="2:22">
      <c r="F152" s="47"/>
    </row>
    <row r="153" spans="2:22">
      <c r="F153" s="62"/>
      <c r="G153" s="42"/>
      <c r="H153" s="42"/>
      <c r="I153" s="42"/>
      <c r="J153" s="42"/>
      <c r="K153" s="42"/>
      <c r="L153" s="42"/>
      <c r="M153" s="42"/>
      <c r="N153" s="42"/>
    </row>
    <row r="154" spans="2:22" s="2" customFormat="1">
      <c r="B154" s="2" t="s">
        <v>177</v>
      </c>
      <c r="F154" s="49"/>
    </row>
    <row r="155" spans="2:22">
      <c r="F155" s="47"/>
    </row>
    <row r="156" spans="2:22">
      <c r="B156" s="3" t="s">
        <v>164</v>
      </c>
      <c r="F156" s="47"/>
      <c r="G156" s="3" t="s">
        <v>96</v>
      </c>
      <c r="H156" s="3" t="s">
        <v>407</v>
      </c>
      <c r="I156" s="3" t="s">
        <v>408</v>
      </c>
      <c r="J156" s="3" t="s">
        <v>98</v>
      </c>
      <c r="K156" s="3" t="s">
        <v>409</v>
      </c>
      <c r="L156" s="3" t="s">
        <v>99</v>
      </c>
      <c r="M156" s="3" t="s">
        <v>410</v>
      </c>
      <c r="N156" s="3" t="s">
        <v>411</v>
      </c>
      <c r="O156" s="3" t="s">
        <v>100</v>
      </c>
      <c r="P156" s="3" t="s">
        <v>412</v>
      </c>
      <c r="Q156" s="3" t="s">
        <v>413</v>
      </c>
      <c r="R156" s="3" t="s">
        <v>102</v>
      </c>
      <c r="S156" s="3" t="s">
        <v>103</v>
      </c>
      <c r="T156" s="3" t="s">
        <v>414</v>
      </c>
    </row>
    <row r="157" spans="2:22">
      <c r="F157" s="47"/>
    </row>
    <row r="158" spans="2:22">
      <c r="B158" s="3" t="s">
        <v>142</v>
      </c>
      <c r="F158" s="47"/>
    </row>
    <row r="159" spans="2:22">
      <c r="B159" t="s">
        <v>143</v>
      </c>
      <c r="D159" t="s">
        <v>108</v>
      </c>
      <c r="F159" s="83">
        <f>SUM(G159:T159)</f>
        <v>0</v>
      </c>
      <c r="G159" s="39">
        <f>'Import GAW-sheet'!G72</f>
        <v>0</v>
      </c>
      <c r="H159" s="39">
        <f>'Import GAW-sheet'!H72</f>
        <v>0</v>
      </c>
      <c r="I159" s="39">
        <f>'Import GAW-sheet'!I72</f>
        <v>0</v>
      </c>
      <c r="J159" s="39">
        <f>'Import GAW-sheet'!J72</f>
        <v>0</v>
      </c>
      <c r="K159" s="39">
        <f>'Import GAW-sheet'!K72</f>
        <v>0</v>
      </c>
      <c r="L159" s="39">
        <f>'Import GAW-sheet'!L72</f>
        <v>0</v>
      </c>
      <c r="M159" s="39">
        <f>'Import GAW-sheet'!M72</f>
        <v>0</v>
      </c>
      <c r="N159" s="39">
        <f>'Import GAW-sheet'!N72</f>
        <v>0</v>
      </c>
      <c r="O159" s="39">
        <f>'Import GAW-sheet'!O72</f>
        <v>0</v>
      </c>
      <c r="P159" s="39">
        <f>'Import GAW-sheet'!P72</f>
        <v>0</v>
      </c>
      <c r="Q159" s="39">
        <f>'Import GAW-sheet'!Q72</f>
        <v>0</v>
      </c>
      <c r="R159" s="39">
        <f>'Import GAW-sheet'!R72</f>
        <v>0</v>
      </c>
      <c r="S159" s="39">
        <f>'Import GAW-sheet'!S72</f>
        <v>0</v>
      </c>
      <c r="T159" s="39">
        <f>'Import GAW-sheet'!T72</f>
        <v>0</v>
      </c>
    </row>
    <row r="160" spans="2:22">
      <c r="B160" t="s">
        <v>144</v>
      </c>
      <c r="D160" t="s">
        <v>108</v>
      </c>
      <c r="F160" s="83">
        <f>SUM(G160:T160)</f>
        <v>181516279.96373275</v>
      </c>
      <c r="G160" s="39">
        <f>'Import GAW-sheet'!G73</f>
        <v>3233731.4493997139</v>
      </c>
      <c r="H160" s="39">
        <f>'Import GAW-sheet'!H73</f>
        <v>3458843.0979266912</v>
      </c>
      <c r="I160" s="39">
        <f>'Import GAW-sheet'!I73</f>
        <v>259145.62980583444</v>
      </c>
      <c r="J160" s="39">
        <f>'Import GAW-sheet'!J73</f>
        <v>6187044.2864075508</v>
      </c>
      <c r="K160" s="39">
        <f>'Import GAW-sheet'!K73</f>
        <v>5876951.0979954414</v>
      </c>
      <c r="L160" s="39">
        <f>'Import GAW-sheet'!L73</f>
        <v>33967332.794445001</v>
      </c>
      <c r="M160" s="39">
        <f>'Import GAW-sheet'!M73</f>
        <v>6378449.7814522265</v>
      </c>
      <c r="N160" s="39">
        <f>'Import GAW-sheet'!N73</f>
        <v>7535.6049415947491</v>
      </c>
      <c r="O160" s="39">
        <f>'Import GAW-sheet'!O73</f>
        <v>57452619.636737138</v>
      </c>
      <c r="P160" s="39">
        <f>'Import GAW-sheet'!P73</f>
        <v>1053398.0589550876</v>
      </c>
      <c r="Q160" s="39">
        <f>'Import GAW-sheet'!Q73</f>
        <v>5214324.453372363</v>
      </c>
      <c r="R160" s="39">
        <f>'Import GAW-sheet'!R73</f>
        <v>51949712.368830971</v>
      </c>
      <c r="S160" s="39">
        <f>'Import GAW-sheet'!S73</f>
        <v>5421514.9213129627</v>
      </c>
      <c r="T160" s="39">
        <f>'Import GAW-sheet'!T73</f>
        <v>1055676.7821501824</v>
      </c>
    </row>
    <row r="161" spans="2:20">
      <c r="B161" t="s">
        <v>145</v>
      </c>
      <c r="D161" t="s">
        <v>108</v>
      </c>
      <c r="F161" s="83">
        <f>SUM(G161:T161)</f>
        <v>4809657706.8109665</v>
      </c>
      <c r="G161" s="39">
        <f>'Import GAW-sheet'!G74</f>
        <v>77932927.930533096</v>
      </c>
      <c r="H161" s="39">
        <f>'Import GAW-sheet'!H74</f>
        <v>92351110.714642644</v>
      </c>
      <c r="I161" s="39">
        <f>'Import GAW-sheet'!I74</f>
        <v>10700168.872429239</v>
      </c>
      <c r="J161" s="39">
        <f>'Import GAW-sheet'!J74</f>
        <v>165812786.87572256</v>
      </c>
      <c r="K161" s="39">
        <f>'Import GAW-sheet'!K74</f>
        <v>155739204.09687901</v>
      </c>
      <c r="L161" s="39">
        <f>'Import GAW-sheet'!L74</f>
        <v>913721252.17057097</v>
      </c>
      <c r="M161" s="39">
        <f>'Import GAW-sheet'!M74</f>
        <v>195818408.29058355</v>
      </c>
      <c r="N161" s="39">
        <f>'Import GAW-sheet'!N74</f>
        <v>322298.82559511787</v>
      </c>
      <c r="O161" s="39">
        <f>'Import GAW-sheet'!O74</f>
        <v>1597182825.9012926</v>
      </c>
      <c r="P161" s="39">
        <f>'Import GAW-sheet'!P74</f>
        <v>26650970.89156371</v>
      </c>
      <c r="Q161" s="39">
        <f>'Import GAW-sheet'!Q74</f>
        <v>133486706.00633243</v>
      </c>
      <c r="R161" s="39">
        <f>'Import GAW-sheet'!R74</f>
        <v>1284868091.8632336</v>
      </c>
      <c r="S161" s="39">
        <f>'Import GAW-sheet'!S74</f>
        <v>112767510.36330968</v>
      </c>
      <c r="T161" s="39">
        <f>'Import GAW-sheet'!T74</f>
        <v>42303444.008277938</v>
      </c>
    </row>
    <row r="162" spans="2:20">
      <c r="F162" s="47"/>
      <c r="G162" s="29"/>
      <c r="H162" s="29"/>
      <c r="I162" s="29"/>
      <c r="J162" s="29"/>
      <c r="K162" s="29"/>
      <c r="L162" s="29"/>
      <c r="M162" s="29"/>
      <c r="N162" s="29"/>
    </row>
    <row r="163" spans="2:20">
      <c r="B163" s="3" t="s">
        <v>146</v>
      </c>
      <c r="F163" s="47"/>
      <c r="G163" s="29"/>
      <c r="H163" s="29"/>
      <c r="I163" s="29"/>
      <c r="J163" s="29"/>
      <c r="K163" s="29"/>
      <c r="L163" s="29"/>
      <c r="M163" s="29"/>
      <c r="N163" s="29"/>
    </row>
    <row r="164" spans="2:20">
      <c r="B164" t="s">
        <v>147</v>
      </c>
      <c r="D164" t="s">
        <v>108</v>
      </c>
      <c r="F164" s="83">
        <f>SUM(G164:T164)</f>
        <v>174477491.85196072</v>
      </c>
      <c r="G164" s="39">
        <f>'Import GAW-sheet'!G77</f>
        <v>2712000</v>
      </c>
      <c r="H164" s="39">
        <f>'Import GAW-sheet'!H77</f>
        <v>3588427.69</v>
      </c>
      <c r="I164" s="39">
        <f>'Import GAW-sheet'!I77</f>
        <v>0</v>
      </c>
      <c r="J164" s="39">
        <f>'Import GAW-sheet'!J77</f>
        <v>530489.13570999994</v>
      </c>
      <c r="K164" s="39">
        <f>'Import GAW-sheet'!K77</f>
        <v>636628.82173499966</v>
      </c>
      <c r="L164" s="39">
        <f>'Import GAW-sheet'!L77</f>
        <v>60751836.299999997</v>
      </c>
      <c r="M164" s="39">
        <f>'Import GAW-sheet'!M77</f>
        <v>3032030.2800039914</v>
      </c>
      <c r="N164" s="39">
        <f>'Import GAW-sheet'!N77</f>
        <v>0</v>
      </c>
      <c r="O164" s="39">
        <f>'Import GAW-sheet'!O77</f>
        <v>44785840</v>
      </c>
      <c r="P164" s="39">
        <f>'Import GAW-sheet'!P77</f>
        <v>-14725.247764999993</v>
      </c>
      <c r="Q164" s="39">
        <f>'Import GAW-sheet'!Q77</f>
        <v>5669353.9375000009</v>
      </c>
      <c r="R164" s="39">
        <f>'Import GAW-sheet'!R77</f>
        <v>50384610.934776731</v>
      </c>
      <c r="S164" s="39">
        <f>'Import GAW-sheet'!S77</f>
        <v>2351000</v>
      </c>
      <c r="T164" s="39">
        <f>'Import GAW-sheet'!T77</f>
        <v>50000</v>
      </c>
    </row>
    <row r="165" spans="2:20">
      <c r="B165" t="s">
        <v>139</v>
      </c>
      <c r="D165" t="s">
        <v>108</v>
      </c>
      <c r="F165" s="83">
        <f>SUM(G165:T165)</f>
        <v>25670789.160365853</v>
      </c>
      <c r="G165" s="39">
        <f>'Import GAW-sheet'!G78</f>
        <v>241557.26104653312</v>
      </c>
      <c r="H165" s="39">
        <f>'Import GAW-sheet'!H78</f>
        <v>997855.07443641056</v>
      </c>
      <c r="I165" s="39">
        <f>'Import GAW-sheet'!I78</f>
        <v>0</v>
      </c>
      <c r="J165" s="39">
        <f>'Import GAW-sheet'!J78</f>
        <v>431200.47857707477</v>
      </c>
      <c r="K165" s="39">
        <f>'Import GAW-sheet'!K78</f>
        <v>853018.37645182665</v>
      </c>
      <c r="L165" s="39">
        <f>'Import GAW-sheet'!L78</f>
        <v>11129426.152742147</v>
      </c>
      <c r="M165" s="39">
        <f>'Import GAW-sheet'!M78</f>
        <v>865521.77257154556</v>
      </c>
      <c r="N165" s="39">
        <f>'Import GAW-sheet'!N78</f>
        <v>0</v>
      </c>
      <c r="O165" s="39">
        <f>'Import GAW-sheet'!O78</f>
        <v>3505235.3880228302</v>
      </c>
      <c r="P165" s="39">
        <f>'Import GAW-sheet'!P78</f>
        <v>382058.92685318534</v>
      </c>
      <c r="Q165" s="39">
        <f>'Import GAW-sheet'!Q78</f>
        <v>1645060.8744839123</v>
      </c>
      <c r="R165" s="39">
        <f>'Import GAW-sheet'!R78</f>
        <v>5104516.2319274992</v>
      </c>
      <c r="S165" s="39">
        <f>'Import GAW-sheet'!S78</f>
        <v>409672.91632481304</v>
      </c>
      <c r="T165" s="39">
        <f>'Import GAW-sheet'!T78</f>
        <v>105665.70692807896</v>
      </c>
    </row>
    <row r="166" spans="2:20">
      <c r="B166" t="s">
        <v>148</v>
      </c>
      <c r="D166" t="s">
        <v>108</v>
      </c>
      <c r="F166" s="83">
        <f>SUM(G166:T166)</f>
        <v>731248425.60764575</v>
      </c>
      <c r="G166" s="39">
        <f>'Import GAW-sheet'!G79</f>
        <v>11206201.586224141</v>
      </c>
      <c r="H166" s="39">
        <f>'Import GAW-sheet'!H79</f>
        <v>18277435.884127185</v>
      </c>
      <c r="I166" s="39">
        <f>'Import GAW-sheet'!I79</f>
        <v>0</v>
      </c>
      <c r="J166" s="39">
        <f>'Import GAW-sheet'!J79</f>
        <v>10123799.616931938</v>
      </c>
      <c r="K166" s="39">
        <f>'Import GAW-sheet'!K79</f>
        <v>7205842.1076608328</v>
      </c>
      <c r="L166" s="39">
        <f>'Import GAW-sheet'!L79</f>
        <v>241188154.54445255</v>
      </c>
      <c r="M166" s="39">
        <f>'Import GAW-sheet'!M79</f>
        <v>6894991.1013655216</v>
      </c>
      <c r="N166" s="39">
        <f>'Import GAW-sheet'!N79</f>
        <v>0</v>
      </c>
      <c r="O166" s="39">
        <f>'Import GAW-sheet'!O79</f>
        <v>168018611.53765273</v>
      </c>
      <c r="P166" s="39">
        <f>'Import GAW-sheet'!P79</f>
        <v>2581767.4563468364</v>
      </c>
      <c r="Q166" s="39">
        <f>'Import GAW-sheet'!Q79</f>
        <v>21404537.365771241</v>
      </c>
      <c r="R166" s="39">
        <f>'Import GAW-sheet'!R79</f>
        <v>231112453.19514546</v>
      </c>
      <c r="S166" s="39">
        <f>'Import GAW-sheet'!S79</f>
        <v>12659315.2037788</v>
      </c>
      <c r="T166" s="39">
        <f>'Import GAW-sheet'!T79</f>
        <v>575316.00818862126</v>
      </c>
    </row>
    <row r="167" spans="2:20">
      <c r="F167" s="47"/>
      <c r="G167" s="29"/>
      <c r="H167" s="29"/>
      <c r="I167" s="29"/>
      <c r="J167" s="29"/>
      <c r="K167" s="29"/>
      <c r="L167" s="29"/>
      <c r="M167" s="29"/>
      <c r="N167" s="29"/>
    </row>
    <row r="168" spans="2:20">
      <c r="B168" s="3" t="s">
        <v>149</v>
      </c>
      <c r="F168" s="47"/>
      <c r="G168" s="29"/>
      <c r="H168" s="29"/>
      <c r="I168" s="29"/>
      <c r="J168" s="29"/>
      <c r="K168" s="29"/>
      <c r="L168" s="29"/>
      <c r="M168" s="29"/>
      <c r="N168" s="29"/>
    </row>
    <row r="169" spans="2:20">
      <c r="B169" t="s">
        <v>150</v>
      </c>
      <c r="D169" t="s">
        <v>108</v>
      </c>
      <c r="F169" s="83">
        <f>SUM(G169:T169)</f>
        <v>0</v>
      </c>
      <c r="G169" s="39">
        <f>'Import GAW-sheet'!G82</f>
        <v>0</v>
      </c>
      <c r="H169" s="39">
        <f>'Import GAW-sheet'!H82</f>
        <v>0</v>
      </c>
      <c r="I169" s="39">
        <f>'Import GAW-sheet'!I82</f>
        <v>0</v>
      </c>
      <c r="J169" s="39">
        <f>'Import GAW-sheet'!J82</f>
        <v>0</v>
      </c>
      <c r="K169" s="39">
        <f>'Import GAW-sheet'!K82</f>
        <v>0</v>
      </c>
      <c r="L169" s="39">
        <f>'Import GAW-sheet'!L82</f>
        <v>0</v>
      </c>
      <c r="M169" s="39">
        <f>'Import GAW-sheet'!M82</f>
        <v>0</v>
      </c>
      <c r="N169" s="39">
        <f>'Import GAW-sheet'!N82</f>
        <v>0</v>
      </c>
      <c r="O169" s="39">
        <f>'Import GAW-sheet'!O82</f>
        <v>0</v>
      </c>
      <c r="P169" s="39">
        <f>'Import GAW-sheet'!P82</f>
        <v>0</v>
      </c>
      <c r="Q169" s="39">
        <f>'Import GAW-sheet'!Q82</f>
        <v>0</v>
      </c>
      <c r="R169" s="39">
        <f>'Import GAW-sheet'!R82</f>
        <v>0</v>
      </c>
      <c r="S169" s="39">
        <f>'Import GAW-sheet'!S82</f>
        <v>0</v>
      </c>
      <c r="T169" s="39">
        <f>'Import GAW-sheet'!T82</f>
        <v>0</v>
      </c>
    </row>
    <row r="170" spans="2:20">
      <c r="B170" t="s">
        <v>151</v>
      </c>
      <c r="D170" t="s">
        <v>108</v>
      </c>
      <c r="F170" s="83">
        <f>SUM(G170:T170)</f>
        <v>3156244.2000565771</v>
      </c>
      <c r="G170" s="39">
        <f>'Import GAW-sheet'!G83</f>
        <v>773514.38979668741</v>
      </c>
      <c r="H170" s="39">
        <f>'Import GAW-sheet'!H83</f>
        <v>0</v>
      </c>
      <c r="I170" s="39">
        <f>'Import GAW-sheet'!I83</f>
        <v>0</v>
      </c>
      <c r="J170" s="39">
        <f>'Import GAW-sheet'!J83</f>
        <v>0</v>
      </c>
      <c r="K170" s="39">
        <f>'Import GAW-sheet'!K83</f>
        <v>0</v>
      </c>
      <c r="L170" s="39">
        <f>'Import GAW-sheet'!L83</f>
        <v>0</v>
      </c>
      <c r="M170" s="39">
        <f>'Import GAW-sheet'!M83</f>
        <v>798681.49952680303</v>
      </c>
      <c r="N170" s="39">
        <f>'Import GAW-sheet'!N83</f>
        <v>0</v>
      </c>
      <c r="O170" s="39">
        <f>'Import GAW-sheet'!O83</f>
        <v>0</v>
      </c>
      <c r="P170" s="39">
        <f>'Import GAW-sheet'!P83</f>
        <v>0</v>
      </c>
      <c r="Q170" s="39">
        <f>'Import GAW-sheet'!Q83</f>
        <v>1584048.3107330864</v>
      </c>
      <c r="R170" s="39">
        <f>'Import GAW-sheet'!R83</f>
        <v>0</v>
      </c>
      <c r="S170" s="39">
        <f>'Import GAW-sheet'!S83</f>
        <v>0</v>
      </c>
      <c r="T170" s="39">
        <f>'Import GAW-sheet'!T83</f>
        <v>0</v>
      </c>
    </row>
    <row r="171" spans="2:20">
      <c r="B171" t="s">
        <v>152</v>
      </c>
      <c r="D171" t="s">
        <v>108</v>
      </c>
      <c r="F171" s="83">
        <f>SUM(G171:T171)</f>
        <v>22256564.480186351</v>
      </c>
      <c r="G171" s="39">
        <f>'Import GAW-sheet'!G84</f>
        <v>6.3569503860669369E-10</v>
      </c>
      <c r="H171" s="39">
        <f>'Import GAW-sheet'!H84</f>
        <v>0</v>
      </c>
      <c r="I171" s="39">
        <f>'Import GAW-sheet'!I84</f>
        <v>0</v>
      </c>
      <c r="J171" s="39">
        <f>'Import GAW-sheet'!J84</f>
        <v>0</v>
      </c>
      <c r="K171" s="39">
        <f>'Import GAW-sheet'!K84</f>
        <v>0</v>
      </c>
      <c r="L171" s="39">
        <f>'Import GAW-sheet'!L84</f>
        <v>0</v>
      </c>
      <c r="M171" s="39">
        <f>'Import GAW-sheet'!M84</f>
        <v>9584177.9943216499</v>
      </c>
      <c r="N171" s="39">
        <f>'Import GAW-sheet'!N84</f>
        <v>0</v>
      </c>
      <c r="O171" s="39">
        <f>'Import GAW-sheet'!O84</f>
        <v>0</v>
      </c>
      <c r="P171" s="39">
        <f>'Import GAW-sheet'!P84</f>
        <v>0</v>
      </c>
      <c r="Q171" s="39">
        <f>'Import GAW-sheet'!Q84</f>
        <v>12672386.485864703</v>
      </c>
      <c r="R171" s="39">
        <f>'Import GAW-sheet'!R84</f>
        <v>0</v>
      </c>
      <c r="S171" s="39">
        <f>'Import GAW-sheet'!S84</f>
        <v>0</v>
      </c>
      <c r="T171" s="39">
        <f>'Import GAW-sheet'!T84</f>
        <v>0</v>
      </c>
    </row>
    <row r="172" spans="2:20">
      <c r="F172" s="47"/>
      <c r="G172" s="29"/>
      <c r="H172" s="29"/>
      <c r="I172" s="29"/>
      <c r="J172" s="29"/>
      <c r="K172" s="29"/>
      <c r="L172" s="29"/>
      <c r="M172" s="29"/>
      <c r="N172" s="29"/>
    </row>
    <row r="173" spans="2:20">
      <c r="B173" s="3" t="s">
        <v>153</v>
      </c>
      <c r="F173" s="47"/>
      <c r="G173" s="29"/>
      <c r="H173" s="29"/>
      <c r="I173" s="29"/>
      <c r="J173" s="29"/>
      <c r="K173" s="29"/>
      <c r="L173" s="29"/>
      <c r="M173" s="29"/>
      <c r="N173" s="29"/>
    </row>
    <row r="174" spans="2:20">
      <c r="B174" t="s">
        <v>154</v>
      </c>
      <c r="D174" t="s">
        <v>108</v>
      </c>
      <c r="F174" s="83">
        <f>SUM(G174:T174)</f>
        <v>0</v>
      </c>
      <c r="G174" s="39">
        <f>'Import GAW-sheet'!G87</f>
        <v>0</v>
      </c>
      <c r="H174" s="39">
        <f>'Import GAW-sheet'!H87</f>
        <v>0</v>
      </c>
      <c r="I174" s="39">
        <f>'Import GAW-sheet'!I87</f>
        <v>0</v>
      </c>
      <c r="J174" s="39">
        <f>'Import GAW-sheet'!J87</f>
        <v>0</v>
      </c>
      <c r="K174" s="39">
        <f>'Import GAW-sheet'!K87</f>
        <v>0</v>
      </c>
      <c r="L174" s="39">
        <f>'Import GAW-sheet'!L87</f>
        <v>0</v>
      </c>
      <c r="M174" s="39">
        <f>'Import GAW-sheet'!M87</f>
        <v>0</v>
      </c>
      <c r="N174" s="39">
        <f>'Import GAW-sheet'!N87</f>
        <v>0</v>
      </c>
      <c r="O174" s="39">
        <f>'Import GAW-sheet'!O87</f>
        <v>0</v>
      </c>
      <c r="P174" s="39">
        <f>'Import GAW-sheet'!P87</f>
        <v>0</v>
      </c>
      <c r="Q174" s="39">
        <f>'Import GAW-sheet'!Q87</f>
        <v>0</v>
      </c>
      <c r="R174" s="39">
        <f>'Import GAW-sheet'!R87</f>
        <v>0</v>
      </c>
      <c r="S174" s="39">
        <f>'Import GAW-sheet'!S87</f>
        <v>0</v>
      </c>
      <c r="T174" s="39">
        <f>'Import GAW-sheet'!T87</f>
        <v>0</v>
      </c>
    </row>
    <row r="175" spans="2:20">
      <c r="B175" t="s">
        <v>155</v>
      </c>
      <c r="D175" t="s">
        <v>108</v>
      </c>
      <c r="F175" s="83">
        <f>SUM(G175:T175)</f>
        <v>0</v>
      </c>
      <c r="G175" s="39">
        <f>'Import GAW-sheet'!G88</f>
        <v>0</v>
      </c>
      <c r="H175" s="39">
        <f>'Import GAW-sheet'!H88</f>
        <v>0</v>
      </c>
      <c r="I175" s="39">
        <f>'Import GAW-sheet'!I88</f>
        <v>0</v>
      </c>
      <c r="J175" s="39">
        <f>'Import GAW-sheet'!J88</f>
        <v>0</v>
      </c>
      <c r="K175" s="39">
        <f>'Import GAW-sheet'!K88</f>
        <v>0</v>
      </c>
      <c r="L175" s="39">
        <f>'Import GAW-sheet'!L88</f>
        <v>0</v>
      </c>
      <c r="M175" s="39">
        <f>'Import GAW-sheet'!M88</f>
        <v>0</v>
      </c>
      <c r="N175" s="39">
        <f>'Import GAW-sheet'!N88</f>
        <v>0</v>
      </c>
      <c r="O175" s="39">
        <f>'Import GAW-sheet'!O88</f>
        <v>0</v>
      </c>
      <c r="P175" s="39">
        <f>'Import GAW-sheet'!P88</f>
        <v>0</v>
      </c>
      <c r="Q175" s="39">
        <f>'Import GAW-sheet'!Q88</f>
        <v>0</v>
      </c>
      <c r="R175" s="39">
        <f>'Import GAW-sheet'!R88</f>
        <v>0</v>
      </c>
      <c r="S175" s="39">
        <f>'Import GAW-sheet'!S88</f>
        <v>0</v>
      </c>
      <c r="T175" s="39">
        <f>'Import GAW-sheet'!T88</f>
        <v>0</v>
      </c>
    </row>
    <row r="176" spans="2:20">
      <c r="B176" t="s">
        <v>156</v>
      </c>
      <c r="D176" t="s">
        <v>108</v>
      </c>
      <c r="F176" s="83">
        <f>SUM(G176:T176)</f>
        <v>0</v>
      </c>
      <c r="G176" s="39">
        <f>'Import GAW-sheet'!G89</f>
        <v>0</v>
      </c>
      <c r="H176" s="39">
        <f>'Import GAW-sheet'!H89</f>
        <v>0</v>
      </c>
      <c r="I176" s="39">
        <f>'Import GAW-sheet'!I89</f>
        <v>0</v>
      </c>
      <c r="J176" s="39">
        <f>'Import GAW-sheet'!J89</f>
        <v>0</v>
      </c>
      <c r="K176" s="39">
        <f>'Import GAW-sheet'!K89</f>
        <v>0</v>
      </c>
      <c r="L176" s="39">
        <f>'Import GAW-sheet'!L89</f>
        <v>0</v>
      </c>
      <c r="M176" s="39">
        <f>'Import GAW-sheet'!M89</f>
        <v>0</v>
      </c>
      <c r="N176" s="39">
        <f>'Import GAW-sheet'!N89</f>
        <v>0</v>
      </c>
      <c r="O176" s="39">
        <f>'Import GAW-sheet'!O89</f>
        <v>0</v>
      </c>
      <c r="P176" s="39">
        <f>'Import GAW-sheet'!P89</f>
        <v>0</v>
      </c>
      <c r="Q176" s="39">
        <f>'Import GAW-sheet'!Q89</f>
        <v>0</v>
      </c>
      <c r="R176" s="39">
        <f>'Import GAW-sheet'!R89</f>
        <v>0</v>
      </c>
      <c r="S176" s="39">
        <f>'Import GAW-sheet'!S89</f>
        <v>0</v>
      </c>
      <c r="T176" s="39">
        <f>'Import GAW-sheet'!T89</f>
        <v>0</v>
      </c>
    </row>
    <row r="177" spans="2:20">
      <c r="F177" s="47"/>
      <c r="G177" s="29"/>
      <c r="H177" s="29"/>
      <c r="I177" s="29"/>
      <c r="J177" s="29"/>
      <c r="K177" s="29"/>
      <c r="L177" s="29"/>
      <c r="M177" s="29"/>
      <c r="N177" s="29"/>
    </row>
    <row r="178" spans="2:20">
      <c r="B178" s="3" t="s">
        <v>157</v>
      </c>
      <c r="F178" s="47"/>
      <c r="G178" s="29"/>
      <c r="H178" s="29"/>
      <c r="I178" s="29"/>
      <c r="J178" s="29"/>
      <c r="K178" s="29"/>
      <c r="L178" s="29"/>
      <c r="M178" s="29"/>
      <c r="N178" s="29"/>
    </row>
    <row r="179" spans="2:20">
      <c r="B179" t="s">
        <v>158</v>
      </c>
      <c r="D179" t="s">
        <v>108</v>
      </c>
      <c r="F179" s="83">
        <f>SUM(G179:T179)</f>
        <v>0</v>
      </c>
      <c r="G179" s="39">
        <f>'Import GAW-sheet'!G92</f>
        <v>0</v>
      </c>
      <c r="H179" s="39">
        <f>'Import GAW-sheet'!H92</f>
        <v>0</v>
      </c>
      <c r="I179" s="39">
        <f>'Import GAW-sheet'!I92</f>
        <v>0</v>
      </c>
      <c r="J179" s="39">
        <f>'Import GAW-sheet'!J92</f>
        <v>0</v>
      </c>
      <c r="K179" s="39">
        <f>'Import GAW-sheet'!K92</f>
        <v>0</v>
      </c>
      <c r="L179" s="39">
        <f>'Import GAW-sheet'!L92</f>
        <v>0</v>
      </c>
      <c r="M179" s="39">
        <f>'Import GAW-sheet'!M92</f>
        <v>0</v>
      </c>
      <c r="N179" s="39">
        <f>'Import GAW-sheet'!N92</f>
        <v>0</v>
      </c>
      <c r="O179" s="39">
        <f>'Import GAW-sheet'!O92</f>
        <v>0</v>
      </c>
      <c r="P179" s="39">
        <f>'Import GAW-sheet'!P92</f>
        <v>0</v>
      </c>
      <c r="Q179" s="39">
        <f>'Import GAW-sheet'!Q92</f>
        <v>0</v>
      </c>
      <c r="R179" s="39">
        <f>'Import GAW-sheet'!R92</f>
        <v>0</v>
      </c>
      <c r="S179" s="39">
        <f>'Import GAW-sheet'!S92</f>
        <v>0</v>
      </c>
      <c r="T179" s="39">
        <f>'Import GAW-sheet'!T92</f>
        <v>0</v>
      </c>
    </row>
    <row r="180" spans="2:20">
      <c r="B180" t="s">
        <v>159</v>
      </c>
      <c r="D180" t="s">
        <v>108</v>
      </c>
      <c r="F180" s="83">
        <f>SUM(G180:T180)</f>
        <v>0</v>
      </c>
      <c r="G180" s="39">
        <f>'Import GAW-sheet'!G93</f>
        <v>0</v>
      </c>
      <c r="H180" s="39">
        <f>'Import GAW-sheet'!H93</f>
        <v>0</v>
      </c>
      <c r="I180" s="39">
        <f>'Import GAW-sheet'!I93</f>
        <v>0</v>
      </c>
      <c r="J180" s="39">
        <f>'Import GAW-sheet'!J93</f>
        <v>0</v>
      </c>
      <c r="K180" s="39">
        <f>'Import GAW-sheet'!K93</f>
        <v>0</v>
      </c>
      <c r="L180" s="39">
        <f>'Import GAW-sheet'!L93</f>
        <v>0</v>
      </c>
      <c r="M180" s="39">
        <f>'Import GAW-sheet'!M93</f>
        <v>0</v>
      </c>
      <c r="N180" s="39">
        <f>'Import GAW-sheet'!N93</f>
        <v>0</v>
      </c>
      <c r="O180" s="39">
        <f>'Import GAW-sheet'!O93</f>
        <v>0</v>
      </c>
      <c r="P180" s="39">
        <f>'Import GAW-sheet'!P93</f>
        <v>0</v>
      </c>
      <c r="Q180" s="39">
        <f>'Import GAW-sheet'!Q93</f>
        <v>0</v>
      </c>
      <c r="R180" s="39">
        <f>'Import GAW-sheet'!R93</f>
        <v>0</v>
      </c>
      <c r="S180" s="39">
        <f>'Import GAW-sheet'!S93</f>
        <v>0</v>
      </c>
      <c r="T180" s="39">
        <f>'Import GAW-sheet'!T93</f>
        <v>0</v>
      </c>
    </row>
    <row r="181" spans="2:20">
      <c r="B181" t="s">
        <v>160</v>
      </c>
      <c r="D181" t="s">
        <v>108</v>
      </c>
      <c r="F181" s="83">
        <f>SUM(G181:T181)</f>
        <v>0</v>
      </c>
      <c r="G181" s="39">
        <f>'Import GAW-sheet'!G94</f>
        <v>0</v>
      </c>
      <c r="H181" s="39">
        <f>'Import GAW-sheet'!H94</f>
        <v>0</v>
      </c>
      <c r="I181" s="39">
        <f>'Import GAW-sheet'!I94</f>
        <v>0</v>
      </c>
      <c r="J181" s="39">
        <f>'Import GAW-sheet'!J94</f>
        <v>0</v>
      </c>
      <c r="K181" s="39">
        <f>'Import GAW-sheet'!K94</f>
        <v>0</v>
      </c>
      <c r="L181" s="39">
        <f>'Import GAW-sheet'!L94</f>
        <v>0</v>
      </c>
      <c r="M181" s="39">
        <f>'Import GAW-sheet'!M94</f>
        <v>0</v>
      </c>
      <c r="N181" s="39">
        <f>'Import GAW-sheet'!N94</f>
        <v>0</v>
      </c>
      <c r="O181" s="39">
        <f>'Import GAW-sheet'!O94</f>
        <v>0</v>
      </c>
      <c r="P181" s="39">
        <f>'Import GAW-sheet'!P94</f>
        <v>0</v>
      </c>
      <c r="Q181" s="39">
        <f>'Import GAW-sheet'!Q94</f>
        <v>0</v>
      </c>
      <c r="R181" s="39">
        <f>'Import GAW-sheet'!R94</f>
        <v>0</v>
      </c>
      <c r="S181" s="39">
        <f>'Import GAW-sheet'!S94</f>
        <v>0</v>
      </c>
      <c r="T181" s="39">
        <f>'Import GAW-sheet'!T94</f>
        <v>0</v>
      </c>
    </row>
    <row r="182" spans="2:20">
      <c r="F182" s="47"/>
    </row>
    <row r="183" spans="2:20">
      <c r="F183" s="47"/>
    </row>
    <row r="184" spans="2:20">
      <c r="B184" s="3" t="s">
        <v>416</v>
      </c>
      <c r="F184" s="47"/>
      <c r="G184" s="3" t="s">
        <v>96</v>
      </c>
      <c r="H184" s="3" t="s">
        <v>407</v>
      </c>
      <c r="I184" s="3" t="s">
        <v>98</v>
      </c>
      <c r="J184" s="3" t="s">
        <v>99</v>
      </c>
      <c r="K184" s="3" t="s">
        <v>100</v>
      </c>
      <c r="L184" s="3" t="s">
        <v>413</v>
      </c>
      <c r="M184" s="3" t="s">
        <v>102</v>
      </c>
      <c r="N184" s="3" t="s">
        <v>103</v>
      </c>
      <c r="O184" s="3" t="s">
        <v>197</v>
      </c>
      <c r="P184" s="55"/>
      <c r="Q184" s="55"/>
      <c r="R184" s="55"/>
      <c r="S184" s="55"/>
      <c r="T184" s="55"/>
    </row>
    <row r="185" spans="2:20">
      <c r="F185" s="47"/>
      <c r="P185" s="28"/>
      <c r="Q185" s="28"/>
      <c r="R185" s="28"/>
      <c r="S185" s="28"/>
      <c r="T185" s="28"/>
    </row>
    <row r="186" spans="2:20">
      <c r="B186" s="3" t="s">
        <v>142</v>
      </c>
      <c r="F186" s="47"/>
      <c r="P186" s="28"/>
      <c r="Q186" s="28"/>
      <c r="R186" s="28"/>
      <c r="S186" s="28"/>
      <c r="T186" s="28"/>
    </row>
    <row r="187" spans="2:20">
      <c r="B187" t="s">
        <v>143</v>
      </c>
      <c r="D187" t="s">
        <v>108</v>
      </c>
      <c r="F187" s="83">
        <f>SUM(G187:O187)</f>
        <v>0</v>
      </c>
      <c r="G187" s="39">
        <f>G159</f>
        <v>0</v>
      </c>
      <c r="H187" s="39">
        <f>H159</f>
        <v>0</v>
      </c>
      <c r="I187" s="98">
        <f>J159+K159</f>
        <v>0</v>
      </c>
      <c r="J187" s="98">
        <f>L159+M159</f>
        <v>0</v>
      </c>
      <c r="K187" s="98">
        <f>O159+P159</f>
        <v>0</v>
      </c>
      <c r="L187" s="39">
        <f>Q159</f>
        <v>0</v>
      </c>
      <c r="M187" s="39">
        <f t="shared" ref="M187:M189" si="62">R159</f>
        <v>0</v>
      </c>
      <c r="N187" s="39">
        <f t="shared" ref="N187:N189" si="63">S159</f>
        <v>0</v>
      </c>
      <c r="O187" s="39"/>
      <c r="P187" s="29"/>
      <c r="Q187" s="29"/>
      <c r="R187" s="29"/>
      <c r="S187" s="29"/>
      <c r="T187" s="29"/>
    </row>
    <row r="188" spans="2:20">
      <c r="B188" t="s">
        <v>144</v>
      </c>
      <c r="D188" t="s">
        <v>108</v>
      </c>
      <c r="F188" s="83">
        <f>SUM(G188:O188)</f>
        <v>180193921.94683513</v>
      </c>
      <c r="G188" s="39">
        <f t="shared" ref="G188:H188" si="64">G160</f>
        <v>3233731.4493997139</v>
      </c>
      <c r="H188" s="39">
        <f t="shared" si="64"/>
        <v>3458843.0979266912</v>
      </c>
      <c r="I188" s="98">
        <f t="shared" ref="I188:I189" si="65">J160+K160</f>
        <v>12063995.384402992</v>
      </c>
      <c r="J188" s="98">
        <f t="shared" ref="J188:J189" si="66">L160+M160</f>
        <v>40345782.575897224</v>
      </c>
      <c r="K188" s="98">
        <f t="shared" ref="K188:K189" si="67">O160+P160</f>
        <v>58506017.695692226</v>
      </c>
      <c r="L188" s="39">
        <f t="shared" ref="L188:L189" si="68">Q160</f>
        <v>5214324.453372363</v>
      </c>
      <c r="M188" s="39">
        <f t="shared" si="62"/>
        <v>51949712.368830971</v>
      </c>
      <c r="N188" s="39">
        <f t="shared" si="63"/>
        <v>5421514.9213129627</v>
      </c>
      <c r="O188" s="39"/>
      <c r="P188" s="29"/>
      <c r="Q188" s="29"/>
      <c r="R188" s="29"/>
      <c r="S188" s="29"/>
      <c r="T188" s="29"/>
    </row>
    <row r="189" spans="2:20">
      <c r="B189" t="s">
        <v>145</v>
      </c>
      <c r="D189" t="s">
        <v>108</v>
      </c>
      <c r="F189" s="83">
        <f>SUM(G189:O189)</f>
        <v>4756331795.1046638</v>
      </c>
      <c r="G189" s="39">
        <f t="shared" ref="G189:H189" si="69">G161</f>
        <v>77932927.930533096</v>
      </c>
      <c r="H189" s="39">
        <f t="shared" si="69"/>
        <v>92351110.714642644</v>
      </c>
      <c r="I189" s="98">
        <f t="shared" si="65"/>
        <v>321551990.97260153</v>
      </c>
      <c r="J189" s="98">
        <f t="shared" si="66"/>
        <v>1109539660.4611545</v>
      </c>
      <c r="K189" s="98">
        <f t="shared" si="67"/>
        <v>1623833796.7928562</v>
      </c>
      <c r="L189" s="39">
        <f t="shared" si="68"/>
        <v>133486706.00633243</v>
      </c>
      <c r="M189" s="39">
        <f t="shared" si="62"/>
        <v>1284868091.8632336</v>
      </c>
      <c r="N189" s="39">
        <f t="shared" si="63"/>
        <v>112767510.36330968</v>
      </c>
      <c r="O189" s="39"/>
      <c r="P189" s="29"/>
      <c r="Q189" s="29"/>
      <c r="R189" s="29"/>
      <c r="S189" s="29"/>
      <c r="T189" s="29"/>
    </row>
    <row r="190" spans="2:20">
      <c r="F190" s="47"/>
      <c r="G190" s="29"/>
      <c r="H190" s="29"/>
      <c r="I190" s="29"/>
      <c r="J190" s="29"/>
      <c r="K190" s="29"/>
      <c r="L190" s="29"/>
      <c r="M190" s="29"/>
      <c r="N190" s="29"/>
      <c r="O190" s="29"/>
      <c r="P190" s="28"/>
      <c r="Q190" s="28"/>
      <c r="R190" s="28"/>
      <c r="S190" s="28"/>
      <c r="T190" s="28"/>
    </row>
    <row r="191" spans="2:20">
      <c r="B191" s="3" t="s">
        <v>146</v>
      </c>
      <c r="F191" s="47"/>
      <c r="G191" s="29"/>
      <c r="H191" s="29"/>
      <c r="I191" s="29"/>
      <c r="J191" s="29"/>
      <c r="K191" s="29"/>
      <c r="L191" s="29"/>
      <c r="M191" s="29"/>
      <c r="N191" s="29"/>
      <c r="O191" s="29"/>
      <c r="P191" s="28"/>
      <c r="Q191" s="28"/>
      <c r="R191" s="28"/>
      <c r="S191" s="28"/>
      <c r="T191" s="28"/>
    </row>
    <row r="192" spans="2:20">
      <c r="B192" t="s">
        <v>147</v>
      </c>
      <c r="D192" t="s">
        <v>108</v>
      </c>
      <c r="F192" s="83">
        <f>SUM(G192:O192)</f>
        <v>174427491.85196072</v>
      </c>
      <c r="G192" s="39">
        <f>G164</f>
        <v>2712000</v>
      </c>
      <c r="H192" s="39">
        <f>H164</f>
        <v>3588427.69</v>
      </c>
      <c r="I192" s="98">
        <f>J164+K164</f>
        <v>1167117.9574449996</v>
      </c>
      <c r="J192" s="98">
        <f>L164+M164</f>
        <v>63783866.580003992</v>
      </c>
      <c r="K192" s="98">
        <f>O164+P164</f>
        <v>44771114.752235003</v>
      </c>
      <c r="L192" s="39">
        <f>Q164</f>
        <v>5669353.9375000009</v>
      </c>
      <c r="M192" s="39">
        <f t="shared" ref="M192:M194" si="70">R164</f>
        <v>50384610.934776731</v>
      </c>
      <c r="N192" s="39">
        <f t="shared" ref="N192:N194" si="71">S164</f>
        <v>2351000</v>
      </c>
      <c r="O192" s="39"/>
      <c r="P192" s="29"/>
      <c r="Q192" s="29"/>
      <c r="R192" s="29"/>
      <c r="S192" s="29"/>
      <c r="T192" s="29"/>
    </row>
    <row r="193" spans="2:20">
      <c r="B193" t="s">
        <v>139</v>
      </c>
      <c r="D193" t="s">
        <v>108</v>
      </c>
      <c r="F193" s="83">
        <f>SUM(G193:O193)</f>
        <v>25565123.453437779</v>
      </c>
      <c r="G193" s="39">
        <f t="shared" ref="G193:H193" si="72">G165</f>
        <v>241557.26104653312</v>
      </c>
      <c r="H193" s="39">
        <f t="shared" si="72"/>
        <v>997855.07443641056</v>
      </c>
      <c r="I193" s="98">
        <f t="shared" ref="I193:I194" si="73">J165+K165</f>
        <v>1284218.8550289015</v>
      </c>
      <c r="J193" s="98">
        <f t="shared" ref="J193:J194" si="74">L165+M165</f>
        <v>11994947.925313693</v>
      </c>
      <c r="K193" s="98">
        <f t="shared" ref="K193:K194" si="75">O165+P165</f>
        <v>3887294.3148760158</v>
      </c>
      <c r="L193" s="39">
        <f t="shared" ref="L193:L194" si="76">Q165</f>
        <v>1645060.8744839123</v>
      </c>
      <c r="M193" s="39">
        <f t="shared" si="70"/>
        <v>5104516.2319274992</v>
      </c>
      <c r="N193" s="39">
        <f t="shared" si="71"/>
        <v>409672.91632481304</v>
      </c>
      <c r="O193" s="39"/>
      <c r="P193" s="29"/>
      <c r="Q193" s="29"/>
      <c r="R193" s="29"/>
      <c r="S193" s="29"/>
      <c r="T193" s="29"/>
    </row>
    <row r="194" spans="2:20">
      <c r="B194" t="s">
        <v>148</v>
      </c>
      <c r="D194" t="s">
        <v>108</v>
      </c>
      <c r="F194" s="83">
        <f>SUM(G194:O194)</f>
        <v>730673109.59945714</v>
      </c>
      <c r="G194" s="39">
        <f t="shared" ref="G194:H194" si="77">G166</f>
        <v>11206201.586224141</v>
      </c>
      <c r="H194" s="39">
        <f t="shared" si="77"/>
        <v>18277435.884127185</v>
      </c>
      <c r="I194" s="98">
        <f t="shared" si="73"/>
        <v>17329641.724592771</v>
      </c>
      <c r="J194" s="98">
        <f t="shared" si="74"/>
        <v>248083145.64581805</v>
      </c>
      <c r="K194" s="98">
        <f t="shared" si="75"/>
        <v>170600378.99399957</v>
      </c>
      <c r="L194" s="39">
        <f t="shared" si="76"/>
        <v>21404537.365771241</v>
      </c>
      <c r="M194" s="39">
        <f t="shared" si="70"/>
        <v>231112453.19514546</v>
      </c>
      <c r="N194" s="39">
        <f t="shared" si="71"/>
        <v>12659315.2037788</v>
      </c>
      <c r="O194" s="39"/>
      <c r="P194" s="29"/>
      <c r="Q194" s="29"/>
      <c r="R194" s="29"/>
      <c r="S194" s="29"/>
      <c r="T194" s="29"/>
    </row>
    <row r="195" spans="2:20">
      <c r="F195" s="47"/>
      <c r="G195" s="29"/>
      <c r="H195" s="29"/>
      <c r="I195" s="29"/>
      <c r="J195" s="29"/>
      <c r="K195" s="29"/>
      <c r="L195" s="29"/>
      <c r="M195" s="29"/>
      <c r="N195" s="29"/>
      <c r="O195" s="29"/>
      <c r="P195" s="28"/>
      <c r="Q195" s="28"/>
      <c r="R195" s="28"/>
      <c r="S195" s="28"/>
      <c r="T195" s="28"/>
    </row>
    <row r="196" spans="2:20">
      <c r="B196" s="3" t="s">
        <v>149</v>
      </c>
      <c r="F196" s="47"/>
      <c r="G196" s="29"/>
      <c r="H196" s="29"/>
      <c r="I196" s="29"/>
      <c r="J196" s="29"/>
      <c r="K196" s="29"/>
      <c r="L196" s="29"/>
      <c r="M196" s="29"/>
      <c r="N196" s="29"/>
      <c r="O196" s="29"/>
      <c r="P196" s="28"/>
      <c r="Q196" s="28"/>
      <c r="R196" s="28"/>
      <c r="S196" s="28"/>
      <c r="T196" s="28"/>
    </row>
    <row r="197" spans="2:20">
      <c r="B197" t="s">
        <v>150</v>
      </c>
      <c r="D197" t="s">
        <v>108</v>
      </c>
      <c r="F197" s="83">
        <f>SUM(G197:O197)</f>
        <v>0</v>
      </c>
      <c r="G197" s="39">
        <f>G169</f>
        <v>0</v>
      </c>
      <c r="H197" s="39">
        <f>H169</f>
        <v>0</v>
      </c>
      <c r="I197" s="98">
        <f>J169+K169</f>
        <v>0</v>
      </c>
      <c r="J197" s="98">
        <f>L169+M169</f>
        <v>0</v>
      </c>
      <c r="K197" s="98">
        <f>O169+P169</f>
        <v>0</v>
      </c>
      <c r="L197" s="39">
        <f>Q169</f>
        <v>0</v>
      </c>
      <c r="M197" s="39">
        <f t="shared" ref="M197:M199" si="78">R169</f>
        <v>0</v>
      </c>
      <c r="N197" s="39">
        <f t="shared" ref="N197:N199" si="79">S169</f>
        <v>0</v>
      </c>
      <c r="O197" s="39"/>
      <c r="P197" s="29"/>
      <c r="Q197" s="29"/>
      <c r="R197" s="29"/>
      <c r="S197" s="29"/>
      <c r="T197" s="29"/>
    </row>
    <row r="198" spans="2:20">
      <c r="B198" t="s">
        <v>151</v>
      </c>
      <c r="D198" t="s">
        <v>108</v>
      </c>
      <c r="F198" s="83">
        <f>SUM(G198:O198)</f>
        <v>3156244.2000565771</v>
      </c>
      <c r="G198" s="39">
        <f t="shared" ref="G198:H198" si="80">G170</f>
        <v>773514.38979668741</v>
      </c>
      <c r="H198" s="39">
        <f t="shared" si="80"/>
        <v>0</v>
      </c>
      <c r="I198" s="98">
        <f t="shared" ref="I198:I199" si="81">J170+K170</f>
        <v>0</v>
      </c>
      <c r="J198" s="98">
        <f t="shared" ref="J198:J199" si="82">L170+M170</f>
        <v>798681.49952680303</v>
      </c>
      <c r="K198" s="98">
        <f t="shared" ref="K198:K199" si="83">O170+P170</f>
        <v>0</v>
      </c>
      <c r="L198" s="39">
        <f t="shared" ref="L198:L199" si="84">Q170</f>
        <v>1584048.3107330864</v>
      </c>
      <c r="M198" s="39">
        <f t="shared" si="78"/>
        <v>0</v>
      </c>
      <c r="N198" s="39">
        <f t="shared" si="79"/>
        <v>0</v>
      </c>
      <c r="O198" s="39"/>
      <c r="P198" s="29"/>
      <c r="Q198" s="29"/>
      <c r="R198" s="29"/>
      <c r="S198" s="29"/>
      <c r="T198" s="29"/>
    </row>
    <row r="199" spans="2:20">
      <c r="B199" t="s">
        <v>152</v>
      </c>
      <c r="D199" t="s">
        <v>108</v>
      </c>
      <c r="F199" s="83">
        <f>SUM(G199:O199)</f>
        <v>22256564.480186351</v>
      </c>
      <c r="G199" s="39">
        <f t="shared" ref="G199:H199" si="85">G171</f>
        <v>6.3569503860669369E-10</v>
      </c>
      <c r="H199" s="39">
        <f t="shared" si="85"/>
        <v>0</v>
      </c>
      <c r="I199" s="98">
        <f t="shared" si="81"/>
        <v>0</v>
      </c>
      <c r="J199" s="98">
        <f t="shared" si="82"/>
        <v>9584177.9943216499</v>
      </c>
      <c r="K199" s="98">
        <f t="shared" si="83"/>
        <v>0</v>
      </c>
      <c r="L199" s="39">
        <f t="shared" si="84"/>
        <v>12672386.485864703</v>
      </c>
      <c r="M199" s="39">
        <f t="shared" si="78"/>
        <v>0</v>
      </c>
      <c r="N199" s="39">
        <f t="shared" si="79"/>
        <v>0</v>
      </c>
      <c r="O199" s="39"/>
      <c r="P199" s="29"/>
      <c r="Q199" s="29"/>
      <c r="R199" s="29"/>
      <c r="S199" s="29"/>
      <c r="T199" s="29"/>
    </row>
    <row r="200" spans="2:20">
      <c r="F200" s="47"/>
      <c r="G200" s="29"/>
      <c r="H200" s="29"/>
      <c r="I200" s="29"/>
      <c r="J200" s="29"/>
      <c r="K200" s="29"/>
      <c r="L200" s="29"/>
      <c r="M200" s="29"/>
      <c r="N200" s="29"/>
      <c r="O200" s="29"/>
      <c r="P200" s="28"/>
      <c r="Q200" s="28"/>
      <c r="R200" s="28"/>
      <c r="S200" s="28"/>
      <c r="T200" s="28"/>
    </row>
    <row r="201" spans="2:20">
      <c r="B201" s="3" t="s">
        <v>153</v>
      </c>
      <c r="F201" s="47"/>
      <c r="G201" s="29"/>
      <c r="H201" s="29"/>
      <c r="I201" s="29"/>
      <c r="J201" s="29"/>
      <c r="K201" s="29"/>
      <c r="L201" s="29"/>
      <c r="M201" s="29"/>
      <c r="N201" s="29"/>
      <c r="O201" s="29"/>
      <c r="P201" s="28"/>
      <c r="Q201" s="28"/>
      <c r="R201" s="28"/>
      <c r="S201" s="28"/>
      <c r="T201" s="28"/>
    </row>
    <row r="202" spans="2:20">
      <c r="B202" t="s">
        <v>154</v>
      </c>
      <c r="D202" t="s">
        <v>108</v>
      </c>
      <c r="F202" s="83">
        <f>SUM(G202:O202)</f>
        <v>0</v>
      </c>
      <c r="G202" s="39">
        <f>G174</f>
        <v>0</v>
      </c>
      <c r="H202" s="39">
        <f>H174</f>
        <v>0</v>
      </c>
      <c r="I202" s="98">
        <f>J174+K174</f>
        <v>0</v>
      </c>
      <c r="J202" s="98">
        <f>L174+M174</f>
        <v>0</v>
      </c>
      <c r="K202" s="98">
        <f>O174+P174</f>
        <v>0</v>
      </c>
      <c r="L202" s="39">
        <f>Q174</f>
        <v>0</v>
      </c>
      <c r="M202" s="39">
        <f t="shared" ref="M202:M204" si="86">R174</f>
        <v>0</v>
      </c>
      <c r="N202" s="39">
        <f t="shared" ref="N202:N204" si="87">S174</f>
        <v>0</v>
      </c>
      <c r="O202" s="39"/>
      <c r="P202" s="29"/>
      <c r="Q202" s="29"/>
      <c r="R202" s="29"/>
      <c r="S202" s="29"/>
      <c r="T202" s="29"/>
    </row>
    <row r="203" spans="2:20">
      <c r="B203" t="s">
        <v>155</v>
      </c>
      <c r="D203" t="s">
        <v>108</v>
      </c>
      <c r="F203" s="83">
        <f>SUM(G203:O203)</f>
        <v>0</v>
      </c>
      <c r="G203" s="39">
        <f t="shared" ref="G203:H203" si="88">G175</f>
        <v>0</v>
      </c>
      <c r="H203" s="39">
        <f t="shared" si="88"/>
        <v>0</v>
      </c>
      <c r="I203" s="98">
        <f t="shared" ref="I203:I204" si="89">J175+K175</f>
        <v>0</v>
      </c>
      <c r="J203" s="98">
        <f t="shared" ref="J203:J204" si="90">L175+M175</f>
        <v>0</v>
      </c>
      <c r="K203" s="98">
        <f t="shared" ref="K203:K204" si="91">O175+P175</f>
        <v>0</v>
      </c>
      <c r="L203" s="39">
        <f t="shared" ref="L203:L204" si="92">Q175</f>
        <v>0</v>
      </c>
      <c r="M203" s="39">
        <f t="shared" si="86"/>
        <v>0</v>
      </c>
      <c r="N203" s="39">
        <f t="shared" si="87"/>
        <v>0</v>
      </c>
      <c r="O203" s="39"/>
      <c r="P203" s="29"/>
      <c r="Q203" s="29"/>
      <c r="R203" s="29"/>
      <c r="S203" s="29"/>
      <c r="T203" s="29"/>
    </row>
    <row r="204" spans="2:20">
      <c r="B204" t="s">
        <v>156</v>
      </c>
      <c r="D204" t="s">
        <v>108</v>
      </c>
      <c r="F204" s="83">
        <f>SUM(G204:O204)</f>
        <v>0</v>
      </c>
      <c r="G204" s="39">
        <f t="shared" ref="G204:H204" si="93">G176</f>
        <v>0</v>
      </c>
      <c r="H204" s="39">
        <f t="shared" si="93"/>
        <v>0</v>
      </c>
      <c r="I204" s="98">
        <f t="shared" si="89"/>
        <v>0</v>
      </c>
      <c r="J204" s="98">
        <f t="shared" si="90"/>
        <v>0</v>
      </c>
      <c r="K204" s="98">
        <f t="shared" si="91"/>
        <v>0</v>
      </c>
      <c r="L204" s="39">
        <f t="shared" si="92"/>
        <v>0</v>
      </c>
      <c r="M204" s="39">
        <f t="shared" si="86"/>
        <v>0</v>
      </c>
      <c r="N204" s="39">
        <f t="shared" si="87"/>
        <v>0</v>
      </c>
      <c r="O204" s="39"/>
      <c r="P204" s="29"/>
      <c r="Q204" s="29"/>
      <c r="R204" s="29"/>
      <c r="S204" s="29"/>
      <c r="T204" s="29"/>
    </row>
    <row r="205" spans="2:20">
      <c r="F205" s="47"/>
      <c r="G205" s="29"/>
      <c r="H205" s="29"/>
      <c r="I205" s="29"/>
      <c r="J205" s="29"/>
      <c r="K205" s="29"/>
      <c r="L205" s="29"/>
      <c r="M205" s="29"/>
      <c r="N205" s="29"/>
      <c r="O205" s="29"/>
      <c r="P205" s="28"/>
      <c r="Q205" s="28"/>
      <c r="R205" s="28"/>
      <c r="S205" s="28"/>
      <c r="T205" s="28"/>
    </row>
    <row r="206" spans="2:20">
      <c r="B206" s="3" t="s">
        <v>157</v>
      </c>
      <c r="F206" s="47"/>
      <c r="G206" s="29"/>
      <c r="H206" s="29"/>
      <c r="I206" s="29"/>
      <c r="J206" s="29"/>
      <c r="K206" s="29"/>
      <c r="L206" s="29"/>
      <c r="M206" s="29"/>
      <c r="N206" s="29"/>
      <c r="O206" s="29"/>
      <c r="P206" s="28"/>
      <c r="Q206" s="28"/>
      <c r="R206" s="28"/>
      <c r="S206" s="28"/>
      <c r="T206" s="28"/>
    </row>
    <row r="207" spans="2:20">
      <c r="B207" t="s">
        <v>158</v>
      </c>
      <c r="D207" t="s">
        <v>108</v>
      </c>
      <c r="F207" s="83">
        <f>SUM(G207:O207)</f>
        <v>0</v>
      </c>
      <c r="G207" s="39">
        <f>G179</f>
        <v>0</v>
      </c>
      <c r="H207" s="39">
        <f>H179</f>
        <v>0</v>
      </c>
      <c r="I207" s="98">
        <f>J179+K179</f>
        <v>0</v>
      </c>
      <c r="J207" s="98">
        <f>L179+M179</f>
        <v>0</v>
      </c>
      <c r="K207" s="98">
        <f>O179+P179</f>
        <v>0</v>
      </c>
      <c r="L207" s="39">
        <f>Q179</f>
        <v>0</v>
      </c>
      <c r="M207" s="39">
        <f t="shared" ref="M207:M209" si="94">R179</f>
        <v>0</v>
      </c>
      <c r="N207" s="39">
        <f t="shared" ref="N207:N209" si="95">S179</f>
        <v>0</v>
      </c>
      <c r="O207" s="39"/>
      <c r="P207" s="29"/>
      <c r="Q207" s="29"/>
      <c r="R207" s="29"/>
      <c r="S207" s="29"/>
      <c r="T207" s="29"/>
    </row>
    <row r="208" spans="2:20">
      <c r="B208" t="s">
        <v>159</v>
      </c>
      <c r="D208" t="s">
        <v>108</v>
      </c>
      <c r="F208" s="83">
        <f>SUM(G208:O208)</f>
        <v>0</v>
      </c>
      <c r="G208" s="39">
        <f t="shared" ref="G208:H208" si="96">G180</f>
        <v>0</v>
      </c>
      <c r="H208" s="39">
        <f t="shared" si="96"/>
        <v>0</v>
      </c>
      <c r="I208" s="98">
        <f t="shared" ref="I208:I209" si="97">J180+K180</f>
        <v>0</v>
      </c>
      <c r="J208" s="98">
        <f t="shared" ref="J208:J209" si="98">L180+M180</f>
        <v>0</v>
      </c>
      <c r="K208" s="98">
        <f t="shared" ref="K208:K209" si="99">O180+P180</f>
        <v>0</v>
      </c>
      <c r="L208" s="39">
        <f t="shared" ref="L208:L209" si="100">Q180</f>
        <v>0</v>
      </c>
      <c r="M208" s="39">
        <f t="shared" si="94"/>
        <v>0</v>
      </c>
      <c r="N208" s="39">
        <f t="shared" si="95"/>
        <v>0</v>
      </c>
      <c r="O208" s="39"/>
      <c r="P208" s="29"/>
      <c r="Q208" s="29"/>
      <c r="R208" s="29"/>
      <c r="S208" s="29"/>
      <c r="T208" s="29"/>
    </row>
    <row r="209" spans="2:22">
      <c r="B209" t="s">
        <v>160</v>
      </c>
      <c r="D209" t="s">
        <v>108</v>
      </c>
      <c r="F209" s="83">
        <f>SUM(G209:O209)</f>
        <v>0</v>
      </c>
      <c r="G209" s="39">
        <f t="shared" ref="G209:H209" si="101">G181</f>
        <v>0</v>
      </c>
      <c r="H209" s="39">
        <f t="shared" si="101"/>
        <v>0</v>
      </c>
      <c r="I209" s="98">
        <f t="shared" si="97"/>
        <v>0</v>
      </c>
      <c r="J209" s="98">
        <f t="shared" si="98"/>
        <v>0</v>
      </c>
      <c r="K209" s="98">
        <f t="shared" si="99"/>
        <v>0</v>
      </c>
      <c r="L209" s="39">
        <f t="shared" si="100"/>
        <v>0</v>
      </c>
      <c r="M209" s="39">
        <f t="shared" si="94"/>
        <v>0</v>
      </c>
      <c r="N209" s="39">
        <f t="shared" si="95"/>
        <v>0</v>
      </c>
      <c r="O209" s="39"/>
      <c r="P209" s="29"/>
      <c r="Q209" s="29"/>
      <c r="R209" s="29"/>
      <c r="S209" s="29"/>
      <c r="T209" s="29"/>
    </row>
    <row r="210" spans="2:22">
      <c r="F210" s="47"/>
    </row>
    <row r="211" spans="2:22">
      <c r="F211" s="47"/>
    </row>
    <row r="212" spans="2:22">
      <c r="B212" s="3" t="s">
        <v>417</v>
      </c>
      <c r="F212" s="47"/>
    </row>
    <row r="213" spans="2:22">
      <c r="F213" s="47"/>
    </row>
    <row r="214" spans="2:22">
      <c r="B214" s="3" t="s">
        <v>171</v>
      </c>
      <c r="F214" s="47"/>
    </row>
    <row r="215" spans="2:22">
      <c r="B215" t="s">
        <v>139</v>
      </c>
      <c r="D215" t="s">
        <v>108</v>
      </c>
      <c r="F215" s="83">
        <f>SUM(G215:O215)</f>
        <v>205759045.40027291</v>
      </c>
      <c r="G215" s="24">
        <f>G188+G193+G203+G208</f>
        <v>3475288.7104462469</v>
      </c>
      <c r="H215" s="24">
        <f t="shared" ref="H215:O215" si="102">H188+H193+H203+H208</f>
        <v>4456698.1723631015</v>
      </c>
      <c r="I215" s="24">
        <f t="shared" si="102"/>
        <v>13348214.239431893</v>
      </c>
      <c r="J215" s="24">
        <f t="shared" si="102"/>
        <v>52340730.501210913</v>
      </c>
      <c r="K215" s="24">
        <f t="shared" si="102"/>
        <v>62393312.010568239</v>
      </c>
      <c r="L215" s="24">
        <f t="shared" si="102"/>
        <v>6859385.3278562753</v>
      </c>
      <c r="M215" s="24">
        <f t="shared" si="102"/>
        <v>57054228.600758471</v>
      </c>
      <c r="N215" s="24">
        <f t="shared" si="102"/>
        <v>5831187.8376377756</v>
      </c>
      <c r="O215" s="24">
        <f t="shared" si="102"/>
        <v>0</v>
      </c>
      <c r="V215" s="51" t="s">
        <v>570</v>
      </c>
    </row>
    <row r="216" spans="2:22">
      <c r="B216" t="s">
        <v>165</v>
      </c>
      <c r="D216" t="s">
        <v>108</v>
      </c>
      <c r="F216" s="83">
        <f>SUM(G216:O216)</f>
        <v>5487004904.7041206</v>
      </c>
      <c r="G216" s="24">
        <f>G189+G194+G204+G209</f>
        <v>89139129.516757235</v>
      </c>
      <c r="H216" s="24">
        <f t="shared" ref="H216:O216" si="103">H189+H194+H204+H209</f>
        <v>110628546.59876983</v>
      </c>
      <c r="I216" s="24">
        <f t="shared" si="103"/>
        <v>338881632.69719428</v>
      </c>
      <c r="J216" s="24">
        <f t="shared" si="103"/>
        <v>1357622806.1069725</v>
      </c>
      <c r="K216" s="24">
        <f t="shared" si="103"/>
        <v>1794434175.7868557</v>
      </c>
      <c r="L216" s="24">
        <f t="shared" si="103"/>
        <v>154891243.37210366</v>
      </c>
      <c r="M216" s="24">
        <f t="shared" si="103"/>
        <v>1515980545.0583789</v>
      </c>
      <c r="N216" s="24">
        <f t="shared" si="103"/>
        <v>125426825.56708848</v>
      </c>
      <c r="O216" s="24">
        <f t="shared" si="103"/>
        <v>0</v>
      </c>
      <c r="V216" s="51" t="s">
        <v>571</v>
      </c>
    </row>
    <row r="217" spans="2:22">
      <c r="B217" t="s">
        <v>166</v>
      </c>
      <c r="D217" t="s">
        <v>108</v>
      </c>
      <c r="F217" s="83">
        <f>SUM(G217:O217)</f>
        <v>197532176.56934831</v>
      </c>
      <c r="G217" s="24">
        <f>G216*$F$13</f>
        <v>3209008.66260326</v>
      </c>
      <c r="H217" s="24">
        <f t="shared" ref="H217" si="104">H216*$F$13</f>
        <v>3982627.6775557133</v>
      </c>
      <c r="I217" s="24">
        <f t="shared" ref="I217" si="105">I216*$F$13</f>
        <v>12199738.777098993</v>
      </c>
      <c r="J217" s="24">
        <f t="shared" ref="J217" si="106">J216*$F$13</f>
        <v>48874421.019851007</v>
      </c>
      <c r="K217" s="24">
        <f t="shared" ref="K217" si="107">K216*$F$13</f>
        <v>64599630.328326799</v>
      </c>
      <c r="L217" s="24">
        <f t="shared" ref="L217" si="108">L216*$F$13</f>
        <v>5576084.761395731</v>
      </c>
      <c r="M217" s="24">
        <f t="shared" ref="M217" si="109">M216*$F$13</f>
        <v>54575299.622101635</v>
      </c>
      <c r="N217" s="24">
        <f t="shared" ref="N217" si="110">N216*$F$13</f>
        <v>4515365.7204151852</v>
      </c>
      <c r="O217" s="24">
        <f t="shared" ref="O217" si="111">O216*$F$13</f>
        <v>0</v>
      </c>
      <c r="V217" s="51" t="s">
        <v>572</v>
      </c>
    </row>
    <row r="218" spans="2:22">
      <c r="B218" t="s">
        <v>169</v>
      </c>
      <c r="D218" t="s">
        <v>108</v>
      </c>
      <c r="F218" s="83">
        <f>SUM(G218:O218)</f>
        <v>403291221.96962124</v>
      </c>
      <c r="G218" s="21">
        <f>G215+G217</f>
        <v>6684297.3730495069</v>
      </c>
      <c r="H218" s="21">
        <f t="shared" ref="H218" si="112">H215+H217</f>
        <v>8439325.8499188144</v>
      </c>
      <c r="I218" s="21">
        <f t="shared" ref="I218" si="113">I215+I217</f>
        <v>25547953.016530886</v>
      </c>
      <c r="J218" s="21">
        <f t="shared" ref="J218" si="114">J215+J217</f>
        <v>101215151.52106193</v>
      </c>
      <c r="K218" s="21">
        <f t="shared" ref="K218" si="115">K215+K217</f>
        <v>126992942.33889504</v>
      </c>
      <c r="L218" s="21">
        <f t="shared" ref="L218" si="116">L215+L217</f>
        <v>12435470.089252006</v>
      </c>
      <c r="M218" s="21">
        <f t="shared" ref="M218" si="117">M215+M217</f>
        <v>111629528.2228601</v>
      </c>
      <c r="N218" s="21">
        <f t="shared" ref="N218" si="118">N215+N217</f>
        <v>10346553.558052961</v>
      </c>
      <c r="O218" s="21">
        <f t="shared" ref="O218" si="119">O215+O217</f>
        <v>0</v>
      </c>
      <c r="V218" s="51" t="s">
        <v>573</v>
      </c>
    </row>
    <row r="219" spans="2:22">
      <c r="F219" s="47"/>
    </row>
    <row r="220" spans="2:22">
      <c r="B220" s="3" t="s">
        <v>172</v>
      </c>
      <c r="F220" s="47"/>
    </row>
    <row r="221" spans="2:22">
      <c r="B221" t="s">
        <v>139</v>
      </c>
      <c r="D221" t="s">
        <v>108</v>
      </c>
      <c r="F221" s="83">
        <f>SUM(G221:O221)</f>
        <v>3156244.2000565771</v>
      </c>
      <c r="G221" s="24">
        <f>G198</f>
        <v>773514.38979668741</v>
      </c>
      <c r="H221" s="24">
        <f t="shared" ref="H221:O221" si="120">H198</f>
        <v>0</v>
      </c>
      <c r="I221" s="24">
        <f t="shared" si="120"/>
        <v>0</v>
      </c>
      <c r="J221" s="24">
        <f t="shared" si="120"/>
        <v>798681.49952680303</v>
      </c>
      <c r="K221" s="24">
        <f t="shared" si="120"/>
        <v>0</v>
      </c>
      <c r="L221" s="24">
        <f t="shared" si="120"/>
        <v>1584048.3107330864</v>
      </c>
      <c r="M221" s="24">
        <f t="shared" si="120"/>
        <v>0</v>
      </c>
      <c r="N221" s="24">
        <f t="shared" si="120"/>
        <v>0</v>
      </c>
      <c r="O221" s="24">
        <f t="shared" si="120"/>
        <v>0</v>
      </c>
    </row>
    <row r="222" spans="2:22">
      <c r="B222" t="s">
        <v>165</v>
      </c>
      <c r="D222" t="s">
        <v>108</v>
      </c>
      <c r="F222" s="83">
        <f>SUM(G222:O222)</f>
        <v>22256564.480186351</v>
      </c>
      <c r="G222" s="24">
        <f>G199</f>
        <v>6.3569503860669369E-10</v>
      </c>
      <c r="H222" s="24">
        <f t="shared" ref="H222:O222" si="121">H199</f>
        <v>0</v>
      </c>
      <c r="I222" s="24">
        <f t="shared" si="121"/>
        <v>0</v>
      </c>
      <c r="J222" s="24">
        <f t="shared" si="121"/>
        <v>9584177.9943216499</v>
      </c>
      <c r="K222" s="24">
        <f t="shared" si="121"/>
        <v>0</v>
      </c>
      <c r="L222" s="24">
        <f t="shared" si="121"/>
        <v>12672386.485864703</v>
      </c>
      <c r="M222" s="24">
        <f t="shared" si="121"/>
        <v>0</v>
      </c>
      <c r="N222" s="24">
        <f t="shared" si="121"/>
        <v>0</v>
      </c>
      <c r="O222" s="24">
        <f t="shared" si="121"/>
        <v>0</v>
      </c>
    </row>
    <row r="223" spans="2:22">
      <c r="B223" t="s">
        <v>166</v>
      </c>
      <c r="D223" t="s">
        <v>108</v>
      </c>
      <c r="F223" s="83">
        <f>SUM(G223:O223)</f>
        <v>801236.32128670858</v>
      </c>
      <c r="G223" s="24">
        <f>G222*$F$13</f>
        <v>2.2885021389840971E-11</v>
      </c>
      <c r="H223" s="24">
        <f t="shared" ref="H223" si="122">H222*$F$13</f>
        <v>0</v>
      </c>
      <c r="I223" s="24">
        <f t="shared" ref="I223" si="123">I222*$F$13</f>
        <v>0</v>
      </c>
      <c r="J223" s="24">
        <f t="shared" ref="J223" si="124">J222*$F$13</f>
        <v>345030.40779557935</v>
      </c>
      <c r="K223" s="24">
        <f t="shared" ref="K223" si="125">K222*$F$13</f>
        <v>0</v>
      </c>
      <c r="L223" s="24">
        <f t="shared" ref="L223" si="126">L222*$F$13</f>
        <v>456205.91349112923</v>
      </c>
      <c r="M223" s="24">
        <f t="shared" ref="M223" si="127">M222*$F$13</f>
        <v>0</v>
      </c>
      <c r="N223" s="24">
        <f t="shared" ref="N223" si="128">N222*$F$13</f>
        <v>0</v>
      </c>
      <c r="O223" s="24">
        <f t="shared" ref="O223" si="129">O222*$F$13</f>
        <v>0</v>
      </c>
    </row>
    <row r="224" spans="2:22">
      <c r="B224" t="s">
        <v>169</v>
      </c>
      <c r="D224" t="s">
        <v>108</v>
      </c>
      <c r="F224" s="83">
        <f>SUM(G224:O224)</f>
        <v>3957480.5213432852</v>
      </c>
      <c r="G224" s="150">
        <f>G221+G223</f>
        <v>773514.38979668741</v>
      </c>
      <c r="H224" s="150">
        <f t="shared" ref="H224" si="130">H221+H223</f>
        <v>0</v>
      </c>
      <c r="I224" s="150">
        <f t="shared" ref="I224" si="131">I221+I223</f>
        <v>0</v>
      </c>
      <c r="J224" s="150">
        <f t="shared" ref="J224" si="132">J221+J223</f>
        <v>1143711.9073223823</v>
      </c>
      <c r="K224" s="150">
        <f t="shared" ref="K224" si="133">K221+K223</f>
        <v>0</v>
      </c>
      <c r="L224" s="150">
        <f t="shared" ref="L224" si="134">L221+L223</f>
        <v>2040254.2242242156</v>
      </c>
      <c r="M224" s="150">
        <f t="shared" ref="M224" si="135">M221+M223</f>
        <v>0</v>
      </c>
      <c r="N224" s="150">
        <f t="shared" ref="N224" si="136">N221+N223</f>
        <v>0</v>
      </c>
      <c r="O224" s="150">
        <f t="shared" ref="O224" si="137">O221+O223</f>
        <v>0</v>
      </c>
    </row>
    <row r="225" spans="2:22">
      <c r="F225" s="47"/>
    </row>
    <row r="226" spans="2:22">
      <c r="F226" s="47"/>
    </row>
    <row r="227" spans="2:22">
      <c r="B227" s="3" t="s">
        <v>170</v>
      </c>
      <c r="F227" s="47"/>
    </row>
    <row r="228" spans="2:22">
      <c r="F228" s="47"/>
    </row>
    <row r="229" spans="2:22">
      <c r="B229" s="51" t="s">
        <v>419</v>
      </c>
      <c r="D229" t="s">
        <v>108</v>
      </c>
      <c r="F229" s="83">
        <f>SUM(G229:O229)</f>
        <v>0</v>
      </c>
      <c r="G229" s="8"/>
      <c r="H229" s="8"/>
      <c r="I229" s="8"/>
      <c r="J229" s="8"/>
      <c r="K229" s="8"/>
      <c r="L229" s="8"/>
      <c r="M229" s="8"/>
      <c r="N229" s="8"/>
      <c r="O229" s="8"/>
    </row>
    <row r="230" spans="2:22">
      <c r="B230" t="s">
        <v>173</v>
      </c>
      <c r="D230" t="s">
        <v>108</v>
      </c>
      <c r="F230" s="83">
        <f>SUM(G230:O230)</f>
        <v>0</v>
      </c>
      <c r="G230" s="97">
        <f>'PRD Ov.Opbrengst TD (2009-2012)'!G106</f>
        <v>0</v>
      </c>
      <c r="H230" s="97">
        <f>'PRD Ov.Opbrengst TD (2009-2012)'!H106</f>
        <v>0</v>
      </c>
      <c r="I230" s="97">
        <f>'PRD Ov.Opbrengst TD (2009-2012)'!I106</f>
        <v>0</v>
      </c>
      <c r="J230" s="97">
        <f>'PRD Ov.Opbrengst TD (2009-2012)'!J106</f>
        <v>0</v>
      </c>
      <c r="K230" s="97">
        <f>'PRD Ov.Opbrengst TD (2009-2012)'!K106</f>
        <v>0</v>
      </c>
      <c r="L230" s="97">
        <f>'PRD Ov.Opbrengst TD (2009-2012)'!L106</f>
        <v>0</v>
      </c>
      <c r="M230" s="97">
        <f>'PRD Ov.Opbrengst TD (2009-2012)'!M106</f>
        <v>0</v>
      </c>
      <c r="N230" s="97">
        <f>'PRD Ov.Opbrengst TD (2009-2012)'!N106</f>
        <v>0</v>
      </c>
      <c r="O230" s="97">
        <f>'PRD Ov.Opbrengst TD (2009-2012)'!O106</f>
        <v>0</v>
      </c>
    </row>
    <row r="231" spans="2:22">
      <c r="B231" t="s">
        <v>174</v>
      </c>
      <c r="D231" t="s">
        <v>108</v>
      </c>
      <c r="F231" s="83">
        <f>SUM(G231:O231)</f>
        <v>0</v>
      </c>
      <c r="G231" s="8"/>
      <c r="H231" s="8"/>
      <c r="I231" s="8"/>
      <c r="J231" s="8"/>
      <c r="K231" s="8"/>
      <c r="L231" s="8"/>
      <c r="M231" s="8"/>
      <c r="N231" s="8"/>
      <c r="O231" s="8"/>
    </row>
    <row r="232" spans="2:22">
      <c r="B232" s="13" t="s">
        <v>187</v>
      </c>
      <c r="D232" t="s">
        <v>108</v>
      </c>
      <c r="F232" s="83">
        <f>SUM(G232:O232)</f>
        <v>0</v>
      </c>
      <c r="G232" s="24">
        <f t="shared" ref="G232:O232" si="138">SUM(G229:G231)</f>
        <v>0</v>
      </c>
      <c r="H232" s="24">
        <f t="shared" si="138"/>
        <v>0</v>
      </c>
      <c r="I232" s="24">
        <f t="shared" si="138"/>
        <v>0</v>
      </c>
      <c r="J232" s="24">
        <f t="shared" si="138"/>
        <v>0</v>
      </c>
      <c r="K232" s="24">
        <f t="shared" si="138"/>
        <v>0</v>
      </c>
      <c r="L232" s="24">
        <f t="shared" si="138"/>
        <v>0</v>
      </c>
      <c r="M232" s="24">
        <f t="shared" si="138"/>
        <v>0</v>
      </c>
      <c r="N232" s="24">
        <f t="shared" si="138"/>
        <v>0</v>
      </c>
      <c r="O232" s="24">
        <f t="shared" si="138"/>
        <v>0</v>
      </c>
      <c r="V232" s="51"/>
    </row>
    <row r="233" spans="2:22">
      <c r="F233" s="47"/>
    </row>
    <row r="234" spans="2:22">
      <c r="F234" s="47"/>
    </row>
    <row r="235" spans="2:22">
      <c r="B235" s="3" t="s">
        <v>418</v>
      </c>
      <c r="F235" s="47"/>
    </row>
    <row r="236" spans="2:22">
      <c r="F236" s="47"/>
    </row>
    <row r="237" spans="2:22">
      <c r="B237" t="s">
        <v>175</v>
      </c>
      <c r="D237" t="s">
        <v>108</v>
      </c>
      <c r="F237" s="84">
        <f>SUM(G237:O237)</f>
        <v>403291221.96962124</v>
      </c>
      <c r="G237" s="21">
        <f t="shared" ref="G237:O237" si="139">G218-G232</f>
        <v>6684297.3730495069</v>
      </c>
      <c r="H237" s="21">
        <f t="shared" si="139"/>
        <v>8439325.8499188144</v>
      </c>
      <c r="I237" s="21">
        <f t="shared" si="139"/>
        <v>25547953.016530886</v>
      </c>
      <c r="J237" s="21">
        <f t="shared" si="139"/>
        <v>101215151.52106193</v>
      </c>
      <c r="K237" s="21">
        <f t="shared" si="139"/>
        <v>126992942.33889504</v>
      </c>
      <c r="L237" s="21">
        <f t="shared" si="139"/>
        <v>12435470.089252006</v>
      </c>
      <c r="M237" s="21">
        <f t="shared" si="139"/>
        <v>111629528.2228601</v>
      </c>
      <c r="N237" s="21">
        <f t="shared" si="139"/>
        <v>10346553.558052961</v>
      </c>
      <c r="O237" s="21">
        <f t="shared" si="139"/>
        <v>0</v>
      </c>
      <c r="V237" s="51" t="s">
        <v>573</v>
      </c>
    </row>
    <row r="238" spans="2:22">
      <c r="F238" s="47"/>
    </row>
    <row r="239" spans="2:22">
      <c r="B239" s="51" t="s">
        <v>616</v>
      </c>
      <c r="D239" t="s">
        <v>108</v>
      </c>
      <c r="F239" s="84">
        <f>SUM(G239:O239)</f>
        <v>507544315.15899956</v>
      </c>
      <c r="G239" s="98">
        <f>G215+G216*$F$11-G232</f>
        <v>8377940.8338678945</v>
      </c>
      <c r="H239" s="98">
        <f t="shared" ref="H239:O239" si="140">H215+H216*$F$11-H232</f>
        <v>10541268.235295441</v>
      </c>
      <c r="I239" s="98">
        <f t="shared" si="140"/>
        <v>31986704.03777758</v>
      </c>
      <c r="J239" s="98">
        <f t="shared" si="140"/>
        <v>127009984.8370944</v>
      </c>
      <c r="K239" s="98">
        <f t="shared" si="140"/>
        <v>161087191.67884532</v>
      </c>
      <c r="L239" s="98">
        <f t="shared" si="140"/>
        <v>15378403.713321976</v>
      </c>
      <c r="M239" s="98">
        <f t="shared" si="140"/>
        <v>140433158.5789693</v>
      </c>
      <c r="N239" s="98">
        <f t="shared" si="140"/>
        <v>12729663.243827641</v>
      </c>
      <c r="O239" s="98">
        <f t="shared" si="140"/>
        <v>0</v>
      </c>
    </row>
    <row r="240" spans="2:22">
      <c r="B240" s="51" t="s">
        <v>619</v>
      </c>
      <c r="D240" t="s">
        <v>108</v>
      </c>
      <c r="F240" s="84">
        <f>SUM(G240:O240)</f>
        <v>526748832.32546401</v>
      </c>
      <c r="G240" s="98">
        <f>G215+G216*AVERAGE($F$11,$F$12)-G232</f>
        <v>8689927.7871765457</v>
      </c>
      <c r="H240" s="98">
        <f t="shared" ref="H240:O240" si="141">H215+H216*AVERAGE($F$11,$F$12)-H232</f>
        <v>10928468.148391135</v>
      </c>
      <c r="I240" s="98">
        <f t="shared" si="141"/>
        <v>33172789.752217755</v>
      </c>
      <c r="J240" s="98">
        <f t="shared" si="141"/>
        <v>131761664.6584688</v>
      </c>
      <c r="K240" s="98">
        <f t="shared" si="141"/>
        <v>167367711.2940993</v>
      </c>
      <c r="L240" s="98">
        <f t="shared" si="141"/>
        <v>15920523.06512434</v>
      </c>
      <c r="M240" s="98">
        <f t="shared" si="141"/>
        <v>145739090.48667362</v>
      </c>
      <c r="N240" s="98">
        <f t="shared" si="141"/>
        <v>13168657.133312453</v>
      </c>
      <c r="O240" s="98">
        <f t="shared" si="141"/>
        <v>0</v>
      </c>
    </row>
    <row r="241" spans="2:20">
      <c r="F241" s="47"/>
    </row>
    <row r="242" spans="2:20" s="258" customFormat="1">
      <c r="B242" s="78" t="s">
        <v>757</v>
      </c>
      <c r="D242" s="258" t="s">
        <v>108</v>
      </c>
      <c r="F242" s="84">
        <f>SUM(G242:O242)</f>
        <v>545953349.49192834</v>
      </c>
      <c r="G242" s="98">
        <f>G215+G216*$F$12-G232</f>
        <v>9001914.7404851951</v>
      </c>
      <c r="H242" s="98">
        <f t="shared" ref="H242:O242" si="142">H215+H216*$F$12-H232</f>
        <v>11315668.061486831</v>
      </c>
      <c r="I242" s="98">
        <f t="shared" si="142"/>
        <v>34358875.466657937</v>
      </c>
      <c r="J242" s="98">
        <f t="shared" si="142"/>
        <v>136513344.4798432</v>
      </c>
      <c r="K242" s="98">
        <f t="shared" si="142"/>
        <v>173648230.90935329</v>
      </c>
      <c r="L242" s="98">
        <f t="shared" si="142"/>
        <v>16462642.416926701</v>
      </c>
      <c r="M242" s="98">
        <f t="shared" si="142"/>
        <v>151045022.39437798</v>
      </c>
      <c r="N242" s="98">
        <f t="shared" si="142"/>
        <v>13607651.02279726</v>
      </c>
      <c r="O242" s="98">
        <f t="shared" si="142"/>
        <v>0</v>
      </c>
    </row>
    <row r="243" spans="2:20" s="258" customFormat="1">
      <c r="B243" s="78" t="s">
        <v>758</v>
      </c>
      <c r="D243" s="258" t="s">
        <v>108</v>
      </c>
      <c r="F243" s="84">
        <f>SUM(G243:O243)</f>
        <v>4536151.1978281308</v>
      </c>
      <c r="G243" s="98">
        <f>G221+G222*$F$12</f>
        <v>773514.38979668741</v>
      </c>
      <c r="H243" s="98">
        <f t="shared" ref="H243:O243" si="143">H221+H222*$F$12</f>
        <v>0</v>
      </c>
      <c r="I243" s="98">
        <f t="shared" si="143"/>
        <v>0</v>
      </c>
      <c r="J243" s="98">
        <f t="shared" si="143"/>
        <v>1392900.5351747454</v>
      </c>
      <c r="K243" s="98">
        <f t="shared" si="143"/>
        <v>0</v>
      </c>
      <c r="L243" s="98">
        <f t="shared" si="143"/>
        <v>2369736.2728566979</v>
      </c>
      <c r="M243" s="98">
        <f t="shared" si="143"/>
        <v>0</v>
      </c>
      <c r="N243" s="98">
        <f t="shared" si="143"/>
        <v>0</v>
      </c>
      <c r="O243" s="98">
        <f t="shared" si="143"/>
        <v>0</v>
      </c>
    </row>
    <row r="244" spans="2:20" s="258" customFormat="1">
      <c r="F244" s="47"/>
    </row>
    <row r="245" spans="2:20">
      <c r="F245" s="62"/>
      <c r="G245" s="42"/>
      <c r="H245" s="42"/>
      <c r="I245" s="42"/>
      <c r="J245" s="42"/>
      <c r="K245" s="42"/>
      <c r="L245" s="42"/>
      <c r="M245" s="42"/>
      <c r="N245" s="42"/>
    </row>
    <row r="246" spans="2:20">
      <c r="B246" s="3" t="s">
        <v>421</v>
      </c>
      <c r="F246" s="47"/>
      <c r="G246" s="55"/>
      <c r="H246" s="3" t="s">
        <v>408</v>
      </c>
      <c r="I246" s="55"/>
      <c r="J246" s="3" t="s">
        <v>411</v>
      </c>
      <c r="K246" s="55"/>
      <c r="L246" s="55"/>
      <c r="M246" s="55"/>
      <c r="N246" s="55"/>
      <c r="O246" s="3" t="s">
        <v>420</v>
      </c>
      <c r="P246" s="55"/>
      <c r="Q246" s="55"/>
      <c r="R246" s="55"/>
      <c r="S246" s="55"/>
      <c r="T246" s="55"/>
    </row>
    <row r="247" spans="2:20">
      <c r="F247" s="47"/>
      <c r="G247" s="28"/>
      <c r="I247" s="28"/>
      <c r="K247" s="28"/>
      <c r="L247" s="28"/>
      <c r="M247" s="28"/>
      <c r="N247" s="28"/>
      <c r="P247" s="28"/>
      <c r="Q247" s="28"/>
      <c r="R247" s="28"/>
      <c r="S247" s="28"/>
      <c r="T247" s="28"/>
    </row>
    <row r="248" spans="2:20">
      <c r="B248" s="3" t="s">
        <v>142</v>
      </c>
      <c r="F248" s="47"/>
      <c r="G248" s="28"/>
      <c r="I248" s="28"/>
      <c r="K248" s="28"/>
      <c r="L248" s="28"/>
      <c r="M248" s="28"/>
      <c r="N248" s="28"/>
      <c r="P248" s="28"/>
      <c r="Q248" s="28"/>
      <c r="R248" s="28"/>
      <c r="S248" s="28"/>
      <c r="T248" s="28"/>
    </row>
    <row r="249" spans="2:20">
      <c r="B249" t="s">
        <v>143</v>
      </c>
      <c r="D249" t="s">
        <v>108</v>
      </c>
      <c r="F249" s="83">
        <f>SUM(G249:O249)</f>
        <v>0</v>
      </c>
      <c r="G249" s="29"/>
      <c r="H249" s="39">
        <f>I159</f>
        <v>0</v>
      </c>
      <c r="I249" s="29"/>
      <c r="J249" s="97">
        <f>N159</f>
        <v>0</v>
      </c>
      <c r="K249" s="29"/>
      <c r="L249" s="29"/>
      <c r="M249" s="29"/>
      <c r="N249" s="29"/>
      <c r="O249" s="97">
        <f>T159</f>
        <v>0</v>
      </c>
      <c r="P249" s="29"/>
      <c r="Q249" s="29"/>
      <c r="R249" s="29"/>
      <c r="S249" s="29"/>
      <c r="T249" s="29"/>
    </row>
    <row r="250" spans="2:20">
      <c r="B250" t="s">
        <v>144</v>
      </c>
      <c r="D250" t="s">
        <v>108</v>
      </c>
      <c r="F250" s="83">
        <f>SUM(G250:O250)</f>
        <v>1322358.0168976116</v>
      </c>
      <c r="G250" s="29"/>
      <c r="H250" s="39">
        <f>I160</f>
        <v>259145.62980583444</v>
      </c>
      <c r="I250" s="29"/>
      <c r="J250" s="97">
        <f>N160</f>
        <v>7535.6049415947491</v>
      </c>
      <c r="K250" s="29"/>
      <c r="L250" s="29"/>
      <c r="M250" s="29"/>
      <c r="N250" s="29"/>
      <c r="O250" s="97">
        <f>T160</f>
        <v>1055676.7821501824</v>
      </c>
      <c r="P250" s="29"/>
      <c r="Q250" s="29"/>
      <c r="R250" s="29"/>
      <c r="S250" s="29"/>
      <c r="T250" s="29"/>
    </row>
    <row r="251" spans="2:20">
      <c r="B251" t="s">
        <v>145</v>
      </c>
      <c r="D251" t="s">
        <v>108</v>
      </c>
      <c r="F251" s="83">
        <f>SUM(G251:O251)</f>
        <v>53325911.706302293</v>
      </c>
      <c r="G251" s="29"/>
      <c r="H251" s="39">
        <f>I161</f>
        <v>10700168.872429239</v>
      </c>
      <c r="I251" s="29"/>
      <c r="J251" s="97">
        <f>N161</f>
        <v>322298.82559511787</v>
      </c>
      <c r="K251" s="29"/>
      <c r="L251" s="29"/>
      <c r="M251" s="29"/>
      <c r="N251" s="29"/>
      <c r="O251" s="97">
        <f>T161</f>
        <v>42303444.008277938</v>
      </c>
      <c r="P251" s="29"/>
      <c r="Q251" s="29"/>
      <c r="R251" s="29"/>
      <c r="S251" s="29"/>
      <c r="T251" s="29"/>
    </row>
    <row r="252" spans="2:20">
      <c r="F252" s="47"/>
      <c r="G252" s="29"/>
      <c r="H252" s="29"/>
      <c r="I252" s="29"/>
      <c r="J252" s="29"/>
      <c r="K252" s="29"/>
      <c r="L252" s="29"/>
      <c r="M252" s="29"/>
      <c r="N252" s="29"/>
      <c r="O252" s="28"/>
      <c r="P252" s="28"/>
      <c r="Q252" s="28"/>
      <c r="R252" s="28"/>
      <c r="S252" s="28"/>
      <c r="T252" s="28"/>
    </row>
    <row r="253" spans="2:20">
      <c r="B253" s="3" t="s">
        <v>146</v>
      </c>
      <c r="F253" s="47"/>
      <c r="G253" s="29"/>
      <c r="H253" s="29"/>
      <c r="I253" s="29"/>
      <c r="J253" s="29"/>
      <c r="K253" s="29"/>
      <c r="L253" s="29"/>
      <c r="M253" s="29"/>
      <c r="N253" s="29"/>
      <c r="O253" s="28"/>
      <c r="P253" s="28"/>
      <c r="Q253" s="28"/>
      <c r="R253" s="28"/>
      <c r="S253" s="28"/>
      <c r="T253" s="28"/>
    </row>
    <row r="254" spans="2:20">
      <c r="B254" t="s">
        <v>147</v>
      </c>
      <c r="D254" t="s">
        <v>108</v>
      </c>
      <c r="F254" s="83">
        <f>SUM(G254:O254)</f>
        <v>50000</v>
      </c>
      <c r="G254" s="29"/>
      <c r="H254" s="39">
        <f>I164</f>
        <v>0</v>
      </c>
      <c r="I254" s="29"/>
      <c r="J254" s="97">
        <f>N164</f>
        <v>0</v>
      </c>
      <c r="K254" s="29"/>
      <c r="L254" s="29"/>
      <c r="M254" s="29"/>
      <c r="N254" s="29"/>
      <c r="O254" s="97">
        <f>T164</f>
        <v>50000</v>
      </c>
      <c r="P254" s="29"/>
      <c r="Q254" s="29"/>
      <c r="R254" s="29"/>
      <c r="S254" s="29"/>
      <c r="T254" s="29"/>
    </row>
    <row r="255" spans="2:20">
      <c r="B255" t="s">
        <v>139</v>
      </c>
      <c r="D255" t="s">
        <v>108</v>
      </c>
      <c r="F255" s="83">
        <f>SUM(G255:O255)</f>
        <v>105665.70692807896</v>
      </c>
      <c r="G255" s="29"/>
      <c r="H255" s="39">
        <f>I165</f>
        <v>0</v>
      </c>
      <c r="I255" s="29"/>
      <c r="J255" s="97">
        <f>N165</f>
        <v>0</v>
      </c>
      <c r="K255" s="29"/>
      <c r="L255" s="29"/>
      <c r="M255" s="29"/>
      <c r="N255" s="29"/>
      <c r="O255" s="97">
        <f>T165</f>
        <v>105665.70692807896</v>
      </c>
      <c r="P255" s="29"/>
      <c r="Q255" s="29"/>
      <c r="R255" s="29"/>
      <c r="S255" s="29"/>
      <c r="T255" s="29"/>
    </row>
    <row r="256" spans="2:20">
      <c r="B256" t="s">
        <v>148</v>
      </c>
      <c r="D256" t="s">
        <v>108</v>
      </c>
      <c r="F256" s="83">
        <f>SUM(G256:O256)</f>
        <v>575316.00818862126</v>
      </c>
      <c r="G256" s="29"/>
      <c r="H256" s="39">
        <f>I166</f>
        <v>0</v>
      </c>
      <c r="I256" s="29"/>
      <c r="J256" s="97">
        <f>N166</f>
        <v>0</v>
      </c>
      <c r="K256" s="29"/>
      <c r="L256" s="29"/>
      <c r="M256" s="29"/>
      <c r="N256" s="29"/>
      <c r="O256" s="97">
        <f>T166</f>
        <v>575316.00818862126</v>
      </c>
      <c r="P256" s="29"/>
      <c r="Q256" s="29"/>
      <c r="R256" s="29"/>
      <c r="S256" s="29"/>
      <c r="T256" s="29"/>
    </row>
    <row r="257" spans="2:20">
      <c r="F257" s="47"/>
      <c r="G257" s="29"/>
      <c r="H257" s="29"/>
      <c r="I257" s="29"/>
      <c r="J257" s="29"/>
      <c r="K257" s="29"/>
      <c r="L257" s="29"/>
      <c r="M257" s="29"/>
      <c r="N257" s="29"/>
      <c r="O257" s="28"/>
      <c r="P257" s="28"/>
      <c r="Q257" s="28"/>
      <c r="R257" s="28"/>
      <c r="S257" s="28"/>
      <c r="T257" s="28"/>
    </row>
    <row r="258" spans="2:20">
      <c r="B258" s="3" t="s">
        <v>149</v>
      </c>
      <c r="F258" s="47"/>
      <c r="G258" s="29"/>
      <c r="H258" s="29"/>
      <c r="I258" s="29"/>
      <c r="J258" s="29"/>
      <c r="K258" s="29"/>
      <c r="L258" s="29"/>
      <c r="M258" s="29"/>
      <c r="N258" s="29"/>
      <c r="O258" s="28"/>
      <c r="P258" s="28"/>
      <c r="Q258" s="28"/>
      <c r="R258" s="28"/>
      <c r="S258" s="28"/>
      <c r="T258" s="28"/>
    </row>
    <row r="259" spans="2:20">
      <c r="B259" t="s">
        <v>150</v>
      </c>
      <c r="D259" t="s">
        <v>108</v>
      </c>
      <c r="F259" s="83">
        <f>SUM(G259:O259)</f>
        <v>0</v>
      </c>
      <c r="G259" s="29"/>
      <c r="H259" s="39">
        <f>I169</f>
        <v>0</v>
      </c>
      <c r="I259" s="29"/>
      <c r="J259" s="97">
        <f>N169</f>
        <v>0</v>
      </c>
      <c r="K259" s="29"/>
      <c r="L259" s="29"/>
      <c r="M259" s="29"/>
      <c r="N259" s="29"/>
      <c r="O259" s="97">
        <f>T169</f>
        <v>0</v>
      </c>
      <c r="P259" s="29"/>
      <c r="Q259" s="29"/>
      <c r="R259" s="29"/>
      <c r="S259" s="29"/>
      <c r="T259" s="29"/>
    </row>
    <row r="260" spans="2:20">
      <c r="B260" t="s">
        <v>151</v>
      </c>
      <c r="D260" t="s">
        <v>108</v>
      </c>
      <c r="F260" s="83">
        <f>SUM(G260:O260)</f>
        <v>0</v>
      </c>
      <c r="G260" s="29"/>
      <c r="H260" s="39">
        <f>I170</f>
        <v>0</v>
      </c>
      <c r="I260" s="29"/>
      <c r="J260" s="97">
        <f>N170</f>
        <v>0</v>
      </c>
      <c r="K260" s="29"/>
      <c r="L260" s="29"/>
      <c r="M260" s="29"/>
      <c r="N260" s="29"/>
      <c r="O260" s="97">
        <f>T170</f>
        <v>0</v>
      </c>
      <c r="P260" s="29"/>
      <c r="Q260" s="29"/>
      <c r="R260" s="29"/>
      <c r="S260" s="29"/>
      <c r="T260" s="29"/>
    </row>
    <row r="261" spans="2:20">
      <c r="B261" t="s">
        <v>152</v>
      </c>
      <c r="D261" t="s">
        <v>108</v>
      </c>
      <c r="F261" s="83">
        <f>SUM(G261:O261)</f>
        <v>0</v>
      </c>
      <c r="G261" s="29"/>
      <c r="H261" s="39">
        <f>I171</f>
        <v>0</v>
      </c>
      <c r="I261" s="29"/>
      <c r="J261" s="97">
        <f>N171</f>
        <v>0</v>
      </c>
      <c r="K261" s="29"/>
      <c r="L261" s="29"/>
      <c r="M261" s="29"/>
      <c r="N261" s="29"/>
      <c r="O261" s="97">
        <f>T171</f>
        <v>0</v>
      </c>
      <c r="P261" s="29"/>
      <c r="Q261" s="29"/>
      <c r="R261" s="29"/>
      <c r="S261" s="29"/>
      <c r="T261" s="29"/>
    </row>
    <row r="262" spans="2:20">
      <c r="F262" s="47"/>
      <c r="G262" s="29"/>
      <c r="H262" s="29"/>
      <c r="I262" s="29"/>
      <c r="J262" s="29"/>
      <c r="K262" s="29"/>
      <c r="L262" s="29"/>
      <c r="M262" s="29"/>
      <c r="N262" s="29"/>
      <c r="O262" s="28"/>
      <c r="P262" s="28"/>
      <c r="Q262" s="28"/>
      <c r="R262" s="28"/>
      <c r="S262" s="28"/>
      <c r="T262" s="28"/>
    </row>
    <row r="263" spans="2:20">
      <c r="B263" s="3" t="s">
        <v>153</v>
      </c>
      <c r="F263" s="47"/>
      <c r="G263" s="29"/>
      <c r="H263" s="29"/>
      <c r="I263" s="29"/>
      <c r="J263" s="29"/>
      <c r="K263" s="29"/>
      <c r="L263" s="29"/>
      <c r="M263" s="29"/>
      <c r="N263" s="29"/>
      <c r="O263" s="28"/>
      <c r="P263" s="28"/>
      <c r="Q263" s="28"/>
      <c r="R263" s="28"/>
      <c r="S263" s="28"/>
      <c r="T263" s="28"/>
    </row>
    <row r="264" spans="2:20">
      <c r="B264" t="s">
        <v>154</v>
      </c>
      <c r="D264" t="s">
        <v>108</v>
      </c>
      <c r="F264" s="83">
        <f>SUM(G264:O264)</f>
        <v>0</v>
      </c>
      <c r="G264" s="29"/>
      <c r="H264" s="39">
        <f>I174</f>
        <v>0</v>
      </c>
      <c r="I264" s="29"/>
      <c r="J264" s="97">
        <f>N174</f>
        <v>0</v>
      </c>
      <c r="K264" s="29"/>
      <c r="L264" s="29"/>
      <c r="M264" s="29"/>
      <c r="N264" s="29"/>
      <c r="O264" s="97">
        <f>T174</f>
        <v>0</v>
      </c>
      <c r="P264" s="29"/>
      <c r="Q264" s="29"/>
      <c r="R264" s="29"/>
      <c r="S264" s="29"/>
      <c r="T264" s="29"/>
    </row>
    <row r="265" spans="2:20">
      <c r="B265" t="s">
        <v>155</v>
      </c>
      <c r="D265" t="s">
        <v>108</v>
      </c>
      <c r="F265" s="83">
        <f>SUM(G265:O265)</f>
        <v>0</v>
      </c>
      <c r="G265" s="29"/>
      <c r="H265" s="39">
        <f>I175</f>
        <v>0</v>
      </c>
      <c r="I265" s="29"/>
      <c r="J265" s="97">
        <f>N175</f>
        <v>0</v>
      </c>
      <c r="K265" s="29"/>
      <c r="L265" s="29"/>
      <c r="M265" s="29"/>
      <c r="N265" s="29"/>
      <c r="O265" s="97">
        <f>T175</f>
        <v>0</v>
      </c>
      <c r="P265" s="29"/>
      <c r="Q265" s="29"/>
      <c r="R265" s="29"/>
      <c r="S265" s="29"/>
      <c r="T265" s="29"/>
    </row>
    <row r="266" spans="2:20">
      <c r="B266" t="s">
        <v>156</v>
      </c>
      <c r="D266" t="s">
        <v>108</v>
      </c>
      <c r="F266" s="83">
        <f>SUM(G266:O266)</f>
        <v>0</v>
      </c>
      <c r="G266" s="29"/>
      <c r="H266" s="39">
        <f>I176</f>
        <v>0</v>
      </c>
      <c r="I266" s="29"/>
      <c r="J266" s="97">
        <f>N176</f>
        <v>0</v>
      </c>
      <c r="K266" s="29"/>
      <c r="L266" s="29"/>
      <c r="M266" s="29"/>
      <c r="N266" s="29"/>
      <c r="O266" s="97">
        <f>T176</f>
        <v>0</v>
      </c>
      <c r="P266" s="29"/>
      <c r="Q266" s="29"/>
      <c r="R266" s="29"/>
      <c r="S266" s="29"/>
      <c r="T266" s="29"/>
    </row>
    <row r="267" spans="2:20">
      <c r="F267" s="47"/>
      <c r="G267" s="29"/>
      <c r="H267" s="29"/>
      <c r="I267" s="29"/>
      <c r="J267" s="29"/>
      <c r="K267" s="29"/>
      <c r="L267" s="29"/>
      <c r="M267" s="29"/>
      <c r="N267" s="29"/>
      <c r="O267" s="28"/>
      <c r="P267" s="28"/>
      <c r="Q267" s="28"/>
      <c r="R267" s="28"/>
      <c r="S267" s="28"/>
      <c r="T267" s="28"/>
    </row>
    <row r="268" spans="2:20">
      <c r="B268" s="3" t="s">
        <v>157</v>
      </c>
      <c r="F268" s="47"/>
      <c r="G268" s="29"/>
      <c r="H268" s="29"/>
      <c r="I268" s="29"/>
      <c r="J268" s="29"/>
      <c r="K268" s="29"/>
      <c r="L268" s="29"/>
      <c r="M268" s="29"/>
      <c r="N268" s="29"/>
      <c r="O268" s="28"/>
      <c r="P268" s="28"/>
      <c r="Q268" s="28"/>
      <c r="R268" s="28"/>
      <c r="S268" s="28"/>
      <c r="T268" s="28"/>
    </row>
    <row r="269" spans="2:20">
      <c r="B269" t="s">
        <v>158</v>
      </c>
      <c r="D269" t="s">
        <v>108</v>
      </c>
      <c r="F269" s="83">
        <f>SUM(G269:O269)</f>
        <v>0</v>
      </c>
      <c r="G269" s="29"/>
      <c r="H269" s="39">
        <f>I179</f>
        <v>0</v>
      </c>
      <c r="I269" s="29"/>
      <c r="J269" s="97">
        <f>N179</f>
        <v>0</v>
      </c>
      <c r="K269" s="29"/>
      <c r="L269" s="29"/>
      <c r="M269" s="29"/>
      <c r="N269" s="29"/>
      <c r="O269" s="97">
        <f>T179</f>
        <v>0</v>
      </c>
      <c r="P269" s="29"/>
      <c r="Q269" s="29"/>
      <c r="R269" s="29"/>
      <c r="S269" s="29"/>
      <c r="T269" s="29"/>
    </row>
    <row r="270" spans="2:20">
      <c r="B270" t="s">
        <v>159</v>
      </c>
      <c r="D270" t="s">
        <v>108</v>
      </c>
      <c r="F270" s="83">
        <f>SUM(G270:O270)</f>
        <v>0</v>
      </c>
      <c r="G270" s="29"/>
      <c r="H270" s="39">
        <f>I180</f>
        <v>0</v>
      </c>
      <c r="I270" s="29"/>
      <c r="J270" s="97">
        <f>N180</f>
        <v>0</v>
      </c>
      <c r="K270" s="29"/>
      <c r="L270" s="29"/>
      <c r="M270" s="29"/>
      <c r="N270" s="29"/>
      <c r="O270" s="97">
        <f>T180</f>
        <v>0</v>
      </c>
      <c r="P270" s="29"/>
      <c r="Q270" s="29"/>
      <c r="R270" s="29"/>
      <c r="S270" s="29"/>
      <c r="T270" s="29"/>
    </row>
    <row r="271" spans="2:20">
      <c r="B271" t="s">
        <v>160</v>
      </c>
      <c r="D271" t="s">
        <v>108</v>
      </c>
      <c r="F271" s="83">
        <f>SUM(G271:O271)</f>
        <v>0</v>
      </c>
      <c r="G271" s="29"/>
      <c r="H271" s="39">
        <f>I181</f>
        <v>0</v>
      </c>
      <c r="I271" s="29"/>
      <c r="J271" s="97">
        <f>N181</f>
        <v>0</v>
      </c>
      <c r="K271" s="29"/>
      <c r="L271" s="29"/>
      <c r="M271" s="29"/>
      <c r="N271" s="29"/>
      <c r="O271" s="97">
        <f>T181</f>
        <v>0</v>
      </c>
      <c r="P271" s="29"/>
      <c r="Q271" s="29"/>
      <c r="R271" s="29"/>
      <c r="S271" s="29"/>
      <c r="T271" s="29"/>
    </row>
    <row r="272" spans="2:20">
      <c r="F272" s="47"/>
    </row>
    <row r="273" spans="2:22">
      <c r="F273" s="47"/>
    </row>
    <row r="274" spans="2:22">
      <c r="B274" s="3" t="s">
        <v>422</v>
      </c>
      <c r="F274" s="47"/>
    </row>
    <row r="275" spans="2:22">
      <c r="F275" s="47"/>
    </row>
    <row r="276" spans="2:22">
      <c r="B276" s="3" t="s">
        <v>425</v>
      </c>
      <c r="F276" s="47"/>
    </row>
    <row r="277" spans="2:22">
      <c r="B277" t="s">
        <v>139</v>
      </c>
      <c r="D277" t="s">
        <v>108</v>
      </c>
      <c r="F277" s="83">
        <f>SUM(G277:O277)</f>
        <v>1428023.7238256906</v>
      </c>
      <c r="G277" s="29"/>
      <c r="H277" s="24">
        <f t="shared" ref="H277:H278" si="144">H250+H255+H265+H270</f>
        <v>259145.62980583444</v>
      </c>
      <c r="I277" s="29"/>
      <c r="J277" s="24">
        <f t="shared" ref="J277:J278" si="145">J250+J255+J265+J270</f>
        <v>7535.6049415947491</v>
      </c>
      <c r="K277" s="29"/>
      <c r="L277" s="29"/>
      <c r="M277" s="29"/>
      <c r="N277" s="29"/>
      <c r="O277" s="24">
        <f t="shared" ref="O277:O278" si="146">O250+O255+O265+O270</f>
        <v>1161342.4890782614</v>
      </c>
      <c r="V277" s="51" t="s">
        <v>570</v>
      </c>
    </row>
    <row r="278" spans="2:22">
      <c r="B278" t="s">
        <v>165</v>
      </c>
      <c r="D278" t="s">
        <v>108</v>
      </c>
      <c r="F278" s="83">
        <f>SUM(G278:O278)</f>
        <v>53901227.714490913</v>
      </c>
      <c r="G278" s="29"/>
      <c r="H278" s="24">
        <f t="shared" si="144"/>
        <v>10700168.872429239</v>
      </c>
      <c r="I278" s="29"/>
      <c r="J278" s="24">
        <f t="shared" si="145"/>
        <v>322298.82559511787</v>
      </c>
      <c r="K278" s="29"/>
      <c r="L278" s="29"/>
      <c r="M278" s="29"/>
      <c r="N278" s="29"/>
      <c r="O278" s="24">
        <f t="shared" si="146"/>
        <v>42878760.016466558</v>
      </c>
      <c r="V278" s="51" t="s">
        <v>571</v>
      </c>
    </row>
    <row r="279" spans="2:22">
      <c r="B279" t="s">
        <v>166</v>
      </c>
      <c r="D279" t="s">
        <v>108</v>
      </c>
      <c r="F279" s="83">
        <f>SUM(G279:O279)</f>
        <v>1940444.1977216727</v>
      </c>
      <c r="G279" s="29"/>
      <c r="H279" s="24">
        <f t="shared" ref="H279" si="147">H278*$F$13</f>
        <v>385206.07940745255</v>
      </c>
      <c r="I279" s="29"/>
      <c r="J279" s="24">
        <f t="shared" ref="J279" si="148">J278*$F$13</f>
        <v>11602.757721424243</v>
      </c>
      <c r="K279" s="29"/>
      <c r="L279" s="29"/>
      <c r="M279" s="29"/>
      <c r="N279" s="29"/>
      <c r="O279" s="24">
        <f t="shared" ref="O279" si="149">O278*$F$13</f>
        <v>1543635.360592796</v>
      </c>
      <c r="V279" s="51" t="s">
        <v>572</v>
      </c>
    </row>
    <row r="280" spans="2:22">
      <c r="B280" t="s">
        <v>169</v>
      </c>
      <c r="D280" t="s">
        <v>108</v>
      </c>
      <c r="F280" s="83">
        <f>SUM(G280:O280)</f>
        <v>3368467.9215473635</v>
      </c>
      <c r="G280" s="54"/>
      <c r="H280" s="21">
        <f t="shared" ref="H280" si="150">H277+H279</f>
        <v>644351.70921328699</v>
      </c>
      <c r="I280" s="54"/>
      <c r="J280" s="21">
        <f t="shared" ref="J280" si="151">J277+J279</f>
        <v>19138.36266301899</v>
      </c>
      <c r="K280" s="54"/>
      <c r="L280" s="54"/>
      <c r="M280" s="54"/>
      <c r="N280" s="54"/>
      <c r="O280" s="21">
        <f t="shared" ref="O280" si="152">O277+O279</f>
        <v>2704977.8496710574</v>
      </c>
      <c r="V280" s="51" t="s">
        <v>573</v>
      </c>
    </row>
    <row r="281" spans="2:22">
      <c r="F281" s="47"/>
    </row>
    <row r="282" spans="2:22">
      <c r="F282" s="47"/>
    </row>
    <row r="283" spans="2:22">
      <c r="B283" s="3" t="s">
        <v>170</v>
      </c>
      <c r="F283" s="47"/>
      <c r="K283" s="28"/>
      <c r="L283" s="28"/>
      <c r="M283" s="28"/>
      <c r="N283" s="28"/>
    </row>
    <row r="284" spans="2:22">
      <c r="F284" s="47"/>
      <c r="G284" s="28"/>
      <c r="I284" s="28"/>
      <c r="K284" s="28"/>
      <c r="L284" s="28"/>
      <c r="M284" s="28"/>
      <c r="N284" s="28"/>
    </row>
    <row r="285" spans="2:22">
      <c r="B285" s="51" t="s">
        <v>427</v>
      </c>
      <c r="D285" t="s">
        <v>108</v>
      </c>
      <c r="F285" s="83">
        <f>SUM(G285:O285)</f>
        <v>0</v>
      </c>
      <c r="G285" s="29"/>
      <c r="H285" s="8"/>
      <c r="I285" s="29"/>
      <c r="J285" s="8"/>
      <c r="K285" s="29"/>
      <c r="L285" s="29"/>
      <c r="M285" s="29"/>
      <c r="N285" s="29"/>
      <c r="O285" s="8"/>
    </row>
    <row r="286" spans="2:22">
      <c r="B286" s="51" t="s">
        <v>428</v>
      </c>
      <c r="D286" t="s">
        <v>108</v>
      </c>
      <c r="F286" s="83">
        <f>SUM(G286:O286)</f>
        <v>0</v>
      </c>
      <c r="G286" s="29"/>
      <c r="H286" s="8"/>
      <c r="I286" s="29"/>
      <c r="J286" s="8"/>
      <c r="K286" s="29"/>
      <c r="L286" s="29"/>
      <c r="M286" s="29"/>
      <c r="N286" s="29"/>
      <c r="O286" s="8"/>
    </row>
    <row r="287" spans="2:22">
      <c r="B287" s="51" t="s">
        <v>429</v>
      </c>
      <c r="D287" t="s">
        <v>108</v>
      </c>
      <c r="F287" s="83">
        <f>SUM(G287:O287)</f>
        <v>0</v>
      </c>
      <c r="G287" s="29"/>
      <c r="H287" s="8"/>
      <c r="I287" s="29"/>
      <c r="J287" s="8"/>
      <c r="K287" s="29"/>
      <c r="L287" s="29"/>
      <c r="M287" s="29"/>
      <c r="N287" s="29"/>
      <c r="O287" s="8"/>
    </row>
    <row r="288" spans="2:22">
      <c r="B288" s="51" t="s">
        <v>426</v>
      </c>
      <c r="D288" t="s">
        <v>108</v>
      </c>
      <c r="F288" s="83">
        <f>SUM(G288:O288)</f>
        <v>0</v>
      </c>
      <c r="G288" s="29"/>
      <c r="H288" s="24">
        <f>SUM(H285:H287)</f>
        <v>0</v>
      </c>
      <c r="I288" s="29"/>
      <c r="J288" s="24">
        <f>SUM(J285:J287)</f>
        <v>0</v>
      </c>
      <c r="K288" s="29"/>
      <c r="L288" s="29"/>
      <c r="M288" s="29"/>
      <c r="N288" s="29"/>
      <c r="O288" s="24">
        <f>SUM(O285:O287)</f>
        <v>0</v>
      </c>
    </row>
    <row r="289" spans="2:22">
      <c r="F289" s="47"/>
      <c r="G289" s="28"/>
      <c r="I289" s="28"/>
      <c r="K289" s="28"/>
      <c r="L289" s="28"/>
      <c r="M289" s="28"/>
      <c r="N289" s="28"/>
    </row>
    <row r="290" spans="2:22">
      <c r="F290" s="47"/>
      <c r="G290" s="28"/>
      <c r="I290" s="28"/>
      <c r="K290" s="28"/>
      <c r="L290" s="28"/>
      <c r="M290" s="28"/>
      <c r="N290" s="28"/>
    </row>
    <row r="291" spans="2:22">
      <c r="B291" s="3" t="s">
        <v>423</v>
      </c>
      <c r="F291" s="47"/>
      <c r="G291" s="28"/>
      <c r="I291" s="28"/>
      <c r="K291" s="28"/>
      <c r="L291" s="28"/>
      <c r="M291" s="28"/>
      <c r="N291" s="28"/>
    </row>
    <row r="292" spans="2:22">
      <c r="F292" s="47"/>
      <c r="G292" s="28"/>
      <c r="I292" s="28"/>
      <c r="K292" s="28"/>
      <c r="L292" s="28"/>
      <c r="M292" s="28"/>
      <c r="N292" s="28"/>
    </row>
    <row r="293" spans="2:22">
      <c r="B293" s="51" t="s">
        <v>424</v>
      </c>
      <c r="D293" t="s">
        <v>108</v>
      </c>
      <c r="F293" s="84">
        <f>SUM(G293:O293)</f>
        <v>3368467.9215473635</v>
      </c>
      <c r="G293" s="54"/>
      <c r="H293" s="21">
        <f>H280-H288</f>
        <v>644351.70921328699</v>
      </c>
      <c r="I293" s="54"/>
      <c r="J293" s="21">
        <f>J280-J288</f>
        <v>19138.36266301899</v>
      </c>
      <c r="K293" s="54"/>
      <c r="L293" s="54"/>
      <c r="M293" s="54"/>
      <c r="N293" s="54"/>
      <c r="O293" s="21">
        <f>O280-O288</f>
        <v>2704977.8496710574</v>
      </c>
      <c r="V293" s="51" t="s">
        <v>573</v>
      </c>
    </row>
    <row r="294" spans="2:22" s="258" customFormat="1">
      <c r="F294" s="47"/>
    </row>
    <row r="295" spans="2:22" s="258" customFormat="1">
      <c r="B295" s="78" t="s">
        <v>759</v>
      </c>
      <c r="D295" s="258" t="s">
        <v>108</v>
      </c>
      <c r="F295" s="84">
        <f>SUM(G295:O295)</f>
        <v>4769899.8421241269</v>
      </c>
      <c r="H295" s="98">
        <f>H277+H278*$F$12-H288</f>
        <v>922556.09989644727</v>
      </c>
      <c r="J295" s="98">
        <f>J277+J278*$F$12-J288</f>
        <v>27518.132128492056</v>
      </c>
      <c r="O295" s="98">
        <f>O277+O278*$F$12-O288</f>
        <v>3819825.6100991881</v>
      </c>
    </row>
    <row r="296" spans="2:22">
      <c r="F296" s="47"/>
    </row>
    <row r="297" spans="2:22">
      <c r="F297" s="62"/>
      <c r="G297" s="42"/>
      <c r="H297" s="42"/>
      <c r="I297" s="42"/>
      <c r="J297" s="42"/>
      <c r="K297" s="42"/>
      <c r="L297" s="42"/>
      <c r="M297" s="42"/>
      <c r="N297" s="42"/>
    </row>
    <row r="298" spans="2:22" s="2" customFormat="1">
      <c r="B298" s="2" t="s">
        <v>178</v>
      </c>
      <c r="F298" s="49"/>
    </row>
    <row r="299" spans="2:22">
      <c r="F299" s="47"/>
    </row>
    <row r="300" spans="2:22">
      <c r="B300" s="3" t="s">
        <v>164</v>
      </c>
      <c r="F300" s="47"/>
      <c r="G300" s="3" t="s">
        <v>96</v>
      </c>
      <c r="H300" s="3" t="s">
        <v>407</v>
      </c>
      <c r="I300" s="3" t="s">
        <v>408</v>
      </c>
      <c r="J300" s="3" t="s">
        <v>98</v>
      </c>
      <c r="K300" s="3" t="s">
        <v>409</v>
      </c>
      <c r="L300" s="3" t="s">
        <v>99</v>
      </c>
      <c r="M300" s="3" t="s">
        <v>410</v>
      </c>
      <c r="N300" s="3" t="s">
        <v>411</v>
      </c>
      <c r="O300" s="3" t="s">
        <v>100</v>
      </c>
      <c r="P300" s="3" t="s">
        <v>412</v>
      </c>
      <c r="Q300" s="3" t="s">
        <v>413</v>
      </c>
      <c r="R300" s="3" t="s">
        <v>102</v>
      </c>
      <c r="S300" s="3" t="s">
        <v>103</v>
      </c>
      <c r="T300" s="3" t="s">
        <v>414</v>
      </c>
    </row>
    <row r="301" spans="2:22">
      <c r="F301" s="47"/>
    </row>
    <row r="302" spans="2:22">
      <c r="B302" s="3" t="s">
        <v>142</v>
      </c>
      <c r="F302" s="47"/>
    </row>
    <row r="303" spans="2:22">
      <c r="B303" t="s">
        <v>143</v>
      </c>
      <c r="D303" t="s">
        <v>109</v>
      </c>
      <c r="F303" s="83">
        <f>SUM(G303:T303)</f>
        <v>0</v>
      </c>
      <c r="G303" s="39">
        <f>'Import GAW-sheet'!G130</f>
        <v>0</v>
      </c>
      <c r="H303" s="39">
        <f>'Import GAW-sheet'!H130</f>
        <v>0</v>
      </c>
      <c r="I303" s="39">
        <f>'Import GAW-sheet'!I130</f>
        <v>0</v>
      </c>
      <c r="J303" s="39">
        <f>'Import GAW-sheet'!J130</f>
        <v>0</v>
      </c>
      <c r="K303" s="39">
        <f>'Import GAW-sheet'!K130</f>
        <v>0</v>
      </c>
      <c r="L303" s="39">
        <f>'Import GAW-sheet'!L130</f>
        <v>0</v>
      </c>
      <c r="M303" s="39">
        <f>'Import GAW-sheet'!M130</f>
        <v>0</v>
      </c>
      <c r="N303" s="39">
        <f>'Import GAW-sheet'!N130</f>
        <v>0</v>
      </c>
      <c r="O303" s="39">
        <f>'Import GAW-sheet'!O130</f>
        <v>0</v>
      </c>
      <c r="P303" s="39">
        <f>'Import GAW-sheet'!P130</f>
        <v>0</v>
      </c>
      <c r="Q303" s="39">
        <f>'Import GAW-sheet'!Q130</f>
        <v>0</v>
      </c>
      <c r="R303" s="39">
        <f>'Import GAW-sheet'!R130</f>
        <v>0</v>
      </c>
      <c r="S303" s="39">
        <f>'Import GAW-sheet'!S130</f>
        <v>0</v>
      </c>
      <c r="T303" s="39">
        <f>'Import GAW-sheet'!T130</f>
        <v>0</v>
      </c>
    </row>
    <row r="304" spans="2:22">
      <c r="B304" t="s">
        <v>144</v>
      </c>
      <c r="D304" t="s">
        <v>109</v>
      </c>
      <c r="F304" s="83">
        <f>SUM(G304:T304)</f>
        <v>184239024.16318873</v>
      </c>
      <c r="G304" s="39">
        <f>'Import GAW-sheet'!G131</f>
        <v>3282237.421140709</v>
      </c>
      <c r="H304" s="39">
        <f>'Import GAW-sheet'!H131</f>
        <v>3510725.7443955913</v>
      </c>
      <c r="I304" s="39">
        <f>'Import GAW-sheet'!I131</f>
        <v>263032.81425292196</v>
      </c>
      <c r="J304" s="39">
        <f>'Import GAW-sheet'!J131</f>
        <v>6279849.9507036628</v>
      </c>
      <c r="K304" s="39">
        <f>'Import GAW-sheet'!K131</f>
        <v>5965105.3644653726</v>
      </c>
      <c r="L304" s="39">
        <f>'Import GAW-sheet'!L131</f>
        <v>34476842.786361672</v>
      </c>
      <c r="M304" s="39">
        <f>'Import GAW-sheet'!M131</f>
        <v>6474126.5281740082</v>
      </c>
      <c r="N304" s="39">
        <f>'Import GAW-sheet'!N131</f>
        <v>7648.6390157186697</v>
      </c>
      <c r="O304" s="39">
        <f>'Import GAW-sheet'!O131</f>
        <v>58314408.931288183</v>
      </c>
      <c r="P304" s="39">
        <f>'Import GAW-sheet'!P131</f>
        <v>1069199.0298394137</v>
      </c>
      <c r="Q304" s="39">
        <f>'Import GAW-sheet'!Q131</f>
        <v>5292539.3201729478</v>
      </c>
      <c r="R304" s="39">
        <f>'Import GAW-sheet'!R131</f>
        <v>52728958.05436343</v>
      </c>
      <c r="S304" s="39">
        <f>'Import GAW-sheet'!S131</f>
        <v>5502837.6451326562</v>
      </c>
      <c r="T304" s="39">
        <f>'Import GAW-sheet'!T131</f>
        <v>1071511.9338824351</v>
      </c>
    </row>
    <row r="305" spans="2:20">
      <c r="B305" t="s">
        <v>145</v>
      </c>
      <c r="D305" t="s">
        <v>109</v>
      </c>
      <c r="F305" s="83">
        <f>SUM(G305:T305)</f>
        <v>4697563548.2499428</v>
      </c>
      <c r="G305" s="39">
        <f>'Import GAW-sheet'!G132</f>
        <v>75819684.428350374</v>
      </c>
      <c r="H305" s="39">
        <f>'Import GAW-sheet'!H132</f>
        <v>90225651.630966678</v>
      </c>
      <c r="I305" s="39">
        <f>'Import GAW-sheet'!I132</f>
        <v>10597638.591262756</v>
      </c>
      <c r="J305" s="39">
        <f>'Import GAW-sheet'!J132</f>
        <v>162020128.72815472</v>
      </c>
      <c r="K305" s="39">
        <f>'Import GAW-sheet'!K132</f>
        <v>152110186.79386675</v>
      </c>
      <c r="L305" s="39">
        <f>'Import GAW-sheet'!L132</f>
        <v>892950228.16676772</v>
      </c>
      <c r="M305" s="39">
        <f>'Import GAW-sheet'!M132</f>
        <v>192281557.88676831</v>
      </c>
      <c r="N305" s="39">
        <f>'Import GAW-sheet'!N132</f>
        <v>319484.66896332591</v>
      </c>
      <c r="O305" s="39">
        <f>'Import GAW-sheet'!O132</f>
        <v>1562826159.3585236</v>
      </c>
      <c r="P305" s="39">
        <f>'Import GAW-sheet'!P132</f>
        <v>25981536.425097745</v>
      </c>
      <c r="Q305" s="39">
        <f>'Import GAW-sheet'!Q132</f>
        <v>130196467.27625446</v>
      </c>
      <c r="R305" s="39">
        <f>'Import GAW-sheet'!R132</f>
        <v>1251412155.1868186</v>
      </c>
      <c r="S305" s="39">
        <f>'Import GAW-sheet'!S132</f>
        <v>108956185.37362663</v>
      </c>
      <c r="T305" s="39">
        <f>'Import GAW-sheet'!T132</f>
        <v>41866483.73451966</v>
      </c>
    </row>
    <row r="306" spans="2:20">
      <c r="F306" s="47"/>
      <c r="G306" s="29"/>
      <c r="H306" s="29"/>
      <c r="I306" s="29"/>
      <c r="J306" s="29"/>
      <c r="K306" s="29"/>
      <c r="L306" s="29"/>
      <c r="M306" s="29"/>
      <c r="N306" s="29"/>
    </row>
    <row r="307" spans="2:20">
      <c r="B307" s="3" t="s">
        <v>146</v>
      </c>
      <c r="F307" s="47"/>
      <c r="G307" s="29"/>
      <c r="H307" s="29"/>
      <c r="I307" s="29"/>
      <c r="J307" s="29"/>
      <c r="K307" s="29"/>
      <c r="L307" s="29"/>
      <c r="M307" s="29"/>
      <c r="N307" s="29"/>
    </row>
    <row r="308" spans="2:20">
      <c r="B308" t="s">
        <v>147</v>
      </c>
      <c r="D308" t="s">
        <v>109</v>
      </c>
      <c r="F308" s="83">
        <f>SUM(G308:T308)</f>
        <v>213872529.98067707</v>
      </c>
      <c r="G308" s="39">
        <f>'Import GAW-sheet'!G135</f>
        <v>2330953.17</v>
      </c>
      <c r="H308" s="39">
        <f>'Import GAW-sheet'!H135</f>
        <v>3685919.9047984867</v>
      </c>
      <c r="I308" s="39">
        <f>'Import GAW-sheet'!I135</f>
        <v>0</v>
      </c>
      <c r="J308" s="39">
        <f>'Import GAW-sheet'!J135</f>
        <v>2396579.1436693151</v>
      </c>
      <c r="K308" s="39">
        <f>'Import GAW-sheet'!K135</f>
        <v>0</v>
      </c>
      <c r="L308" s="39">
        <f>'Import GAW-sheet'!L135</f>
        <v>73602190.249999985</v>
      </c>
      <c r="M308" s="39">
        <f>'Import GAW-sheet'!M135</f>
        <v>3587995.1900000037</v>
      </c>
      <c r="N308" s="39">
        <f>'Import GAW-sheet'!N135</f>
        <v>0</v>
      </c>
      <c r="O308" s="39">
        <f>'Import GAW-sheet'!O135</f>
        <v>62410583.522282146</v>
      </c>
      <c r="P308" s="39">
        <f>'Import GAW-sheet'!P135</f>
        <v>0</v>
      </c>
      <c r="Q308" s="39">
        <f>'Import GAW-sheet'!Q135</f>
        <v>2660843.8711937498</v>
      </c>
      <c r="R308" s="39">
        <f>'Import GAW-sheet'!R135</f>
        <v>58352823.68534705</v>
      </c>
      <c r="S308" s="39">
        <f>'Import GAW-sheet'!S135</f>
        <v>4743044.2433863636</v>
      </c>
      <c r="T308" s="39">
        <f>'Import GAW-sheet'!T135</f>
        <v>101597</v>
      </c>
    </row>
    <row r="309" spans="2:20">
      <c r="B309" t="s">
        <v>139</v>
      </c>
      <c r="D309" t="s">
        <v>109</v>
      </c>
      <c r="F309" s="83">
        <f>SUM(G309:T309)</f>
        <v>31778936.58160774</v>
      </c>
      <c r="G309" s="39">
        <f>'Import GAW-sheet'!G136</f>
        <v>305265.02271475631</v>
      </c>
      <c r="H309" s="39">
        <f>'Import GAW-sheet'!H136</f>
        <v>1222323.0941418961</v>
      </c>
      <c r="I309" s="39">
        <f>'Import GAW-sheet'!I136</f>
        <v>0</v>
      </c>
      <c r="J309" s="39">
        <f>'Import GAW-sheet'!J136</f>
        <v>479851.02819581894</v>
      </c>
      <c r="K309" s="39">
        <f>'Import GAW-sheet'!K136</f>
        <v>872470.77043635584</v>
      </c>
      <c r="L309" s="39">
        <f>'Import GAW-sheet'!L136</f>
        <v>14286440.363023289</v>
      </c>
      <c r="M309" s="39">
        <f>'Import GAW-sheet'!M136</f>
        <v>793520.97122835985</v>
      </c>
      <c r="N309" s="39">
        <f>'Import GAW-sheet'!N136</f>
        <v>0</v>
      </c>
      <c r="O309" s="39">
        <f>'Import GAW-sheet'!O136</f>
        <v>4751748.5233660182</v>
      </c>
      <c r="P309" s="39">
        <f>'Import GAW-sheet'!P136</f>
        <v>387164.78559422033</v>
      </c>
      <c r="Q309" s="39">
        <f>'Import GAW-sheet'!Q136</f>
        <v>1628935.5433666261</v>
      </c>
      <c r="R309" s="39">
        <f>'Import GAW-sheet'!R136</f>
        <v>6370549.551764613</v>
      </c>
      <c r="S309" s="39">
        <f>'Import GAW-sheet'!S136</f>
        <v>565220.11627625721</v>
      </c>
      <c r="T309" s="39">
        <f>'Import GAW-sheet'!T136</f>
        <v>115446.81149952534</v>
      </c>
    </row>
    <row r="310" spans="2:20">
      <c r="B310" t="s">
        <v>148</v>
      </c>
      <c r="D310" t="s">
        <v>109</v>
      </c>
      <c r="F310" s="83">
        <f>SUM(G310:T310)</f>
        <v>924310745.39082968</v>
      </c>
      <c r="G310" s="39">
        <f>'Import GAW-sheet'!G137</f>
        <v>13399982.757302746</v>
      </c>
      <c r="H310" s="39">
        <f>'Import GAW-sheet'!H137</f>
        <v>21015194.233045682</v>
      </c>
      <c r="I310" s="39">
        <f>'Import GAW-sheet'!I137</f>
        <v>0</v>
      </c>
      <c r="J310" s="39">
        <f>'Import GAW-sheet'!J137</f>
        <v>12192384.726659412</v>
      </c>
      <c r="K310" s="39">
        <f>'Import GAW-sheet'!K137</f>
        <v>6441458.9688393883</v>
      </c>
      <c r="L310" s="39">
        <f>'Import GAW-sheet'!L137</f>
        <v>304121726.74959606</v>
      </c>
      <c r="M310" s="39">
        <f>'Import GAW-sheet'!M137</f>
        <v>9792890.1866576485</v>
      </c>
      <c r="N310" s="39">
        <f>'Import GAW-sheet'!N137</f>
        <v>0</v>
      </c>
      <c r="O310" s="39">
        <f>'Import GAW-sheet'!O137</f>
        <v>228197725.70963335</v>
      </c>
      <c r="P310" s="39">
        <f>'Import GAW-sheet'!P137</f>
        <v>2233329.1825978179</v>
      </c>
      <c r="Q310" s="39">
        <f>'Import GAW-sheet'!Q137</f>
        <v>22757513.75408493</v>
      </c>
      <c r="R310" s="39">
        <f>'Import GAW-sheet'!R137</f>
        <v>286561414.1266551</v>
      </c>
      <c r="S310" s="39">
        <f>'Import GAW-sheet'!S137</f>
        <v>17027029.058945589</v>
      </c>
      <c r="T310" s="39">
        <f>'Import GAW-sheet'!T137</f>
        <v>570095.93681192514</v>
      </c>
    </row>
    <row r="311" spans="2:20">
      <c r="F311" s="47"/>
      <c r="G311" s="29"/>
      <c r="H311" s="29"/>
      <c r="I311" s="29"/>
      <c r="J311" s="29"/>
      <c r="K311" s="29"/>
      <c r="L311" s="29"/>
      <c r="M311" s="29"/>
      <c r="N311" s="29"/>
    </row>
    <row r="312" spans="2:20">
      <c r="B312" s="3" t="s">
        <v>149</v>
      </c>
      <c r="F312" s="47"/>
      <c r="G312" s="29"/>
      <c r="H312" s="29"/>
      <c r="I312" s="29"/>
      <c r="J312" s="29"/>
      <c r="K312" s="29"/>
      <c r="L312" s="29"/>
      <c r="M312" s="29"/>
      <c r="N312" s="29"/>
    </row>
    <row r="313" spans="2:20">
      <c r="B313" t="s">
        <v>150</v>
      </c>
      <c r="D313" t="s">
        <v>109</v>
      </c>
      <c r="F313" s="83">
        <f>SUM(G313:T313)</f>
        <v>0</v>
      </c>
      <c r="G313" s="39">
        <f>'Import GAW-sheet'!G140</f>
        <v>0</v>
      </c>
      <c r="H313" s="39">
        <f>'Import GAW-sheet'!H140</f>
        <v>0</v>
      </c>
      <c r="I313" s="39">
        <f>'Import GAW-sheet'!I140</f>
        <v>0</v>
      </c>
      <c r="J313" s="39">
        <f>'Import GAW-sheet'!J140</f>
        <v>0</v>
      </c>
      <c r="K313" s="39">
        <f>'Import GAW-sheet'!K140</f>
        <v>0</v>
      </c>
      <c r="L313" s="39">
        <f>'Import GAW-sheet'!L140</f>
        <v>0</v>
      </c>
      <c r="M313" s="39">
        <f>'Import GAW-sheet'!M140</f>
        <v>0</v>
      </c>
      <c r="N313" s="39">
        <f>'Import GAW-sheet'!N140</f>
        <v>0</v>
      </c>
      <c r="O313" s="39">
        <f>'Import GAW-sheet'!O140</f>
        <v>0</v>
      </c>
      <c r="P313" s="39">
        <f>'Import GAW-sheet'!P140</f>
        <v>0</v>
      </c>
      <c r="Q313" s="39">
        <f>'Import GAW-sheet'!Q140</f>
        <v>0</v>
      </c>
      <c r="R313" s="39">
        <f>'Import GAW-sheet'!R140</f>
        <v>0</v>
      </c>
      <c r="S313" s="39">
        <f>'Import GAW-sheet'!S140</f>
        <v>0</v>
      </c>
      <c r="T313" s="39">
        <f>'Import GAW-sheet'!T140</f>
        <v>0</v>
      </c>
    </row>
    <row r="314" spans="2:20">
      <c r="B314" t="s">
        <v>151</v>
      </c>
      <c r="D314" t="s">
        <v>109</v>
      </c>
      <c r="F314" s="83">
        <f>SUM(G314:T314)</f>
        <v>2418470.7574137882</v>
      </c>
      <c r="G314" s="39">
        <f>'Import GAW-sheet'!G141</f>
        <v>6.9732407017010231E-10</v>
      </c>
      <c r="H314" s="39">
        <f>'Import GAW-sheet'!H141</f>
        <v>0</v>
      </c>
      <c r="I314" s="39">
        <f>'Import GAW-sheet'!I141</f>
        <v>0</v>
      </c>
      <c r="J314" s="39">
        <f>'Import GAW-sheet'!J141</f>
        <v>0</v>
      </c>
      <c r="K314" s="39">
        <f>'Import GAW-sheet'!K141</f>
        <v>0</v>
      </c>
      <c r="L314" s="39">
        <f>'Import GAW-sheet'!L141</f>
        <v>0</v>
      </c>
      <c r="M314" s="39">
        <f>'Import GAW-sheet'!M141</f>
        <v>810661.72201970499</v>
      </c>
      <c r="N314" s="39">
        <f>'Import GAW-sheet'!N141</f>
        <v>0</v>
      </c>
      <c r="O314" s="39">
        <f>'Import GAW-sheet'!O141</f>
        <v>0</v>
      </c>
      <c r="P314" s="39">
        <f>'Import GAW-sheet'!P141</f>
        <v>0</v>
      </c>
      <c r="Q314" s="39">
        <f>'Import GAW-sheet'!Q141</f>
        <v>1607809.0353940825</v>
      </c>
      <c r="R314" s="39">
        <f>'Import GAW-sheet'!R141</f>
        <v>0</v>
      </c>
      <c r="S314" s="39">
        <f>'Import GAW-sheet'!S141</f>
        <v>0</v>
      </c>
      <c r="T314" s="39">
        <f>'Import GAW-sheet'!T141</f>
        <v>0</v>
      </c>
    </row>
    <row r="315" spans="2:20">
      <c r="B315" t="s">
        <v>152</v>
      </c>
      <c r="D315" t="s">
        <v>109</v>
      </c>
      <c r="F315" s="83">
        <f>SUM(G315:T315)</f>
        <v>20171942.189975355</v>
      </c>
      <c r="G315" s="39">
        <f>'Import GAW-sheet'!G142</f>
        <v>-5.2093605984308331E-11</v>
      </c>
      <c r="H315" s="39">
        <f>'Import GAW-sheet'!H142</f>
        <v>0</v>
      </c>
      <c r="I315" s="39">
        <f>'Import GAW-sheet'!I142</f>
        <v>0</v>
      </c>
      <c r="J315" s="39">
        <f>'Import GAW-sheet'!J142</f>
        <v>0</v>
      </c>
      <c r="K315" s="39">
        <f>'Import GAW-sheet'!K142</f>
        <v>0</v>
      </c>
      <c r="L315" s="39">
        <f>'Import GAW-sheet'!L142</f>
        <v>0</v>
      </c>
      <c r="M315" s="39">
        <f>'Import GAW-sheet'!M142</f>
        <v>8917278.942216767</v>
      </c>
      <c r="N315" s="39">
        <f>'Import GAW-sheet'!N142</f>
        <v>0</v>
      </c>
      <c r="O315" s="39">
        <f>'Import GAW-sheet'!O142</f>
        <v>0</v>
      </c>
      <c r="P315" s="39">
        <f>'Import GAW-sheet'!P142</f>
        <v>0</v>
      </c>
      <c r="Q315" s="39">
        <f>'Import GAW-sheet'!Q142</f>
        <v>11254663.247758588</v>
      </c>
      <c r="R315" s="39">
        <f>'Import GAW-sheet'!R142</f>
        <v>0</v>
      </c>
      <c r="S315" s="39">
        <f>'Import GAW-sheet'!S142</f>
        <v>0</v>
      </c>
      <c r="T315" s="39">
        <f>'Import GAW-sheet'!T142</f>
        <v>0</v>
      </c>
    </row>
    <row r="316" spans="2:20">
      <c r="F316" s="47"/>
      <c r="G316" s="29"/>
      <c r="H316" s="29"/>
      <c r="I316" s="29"/>
      <c r="J316" s="29"/>
      <c r="K316" s="29"/>
      <c r="L316" s="29"/>
      <c r="M316" s="29"/>
      <c r="N316" s="29"/>
    </row>
    <row r="317" spans="2:20">
      <c r="B317" s="3" t="s">
        <v>153</v>
      </c>
      <c r="F317" s="47"/>
      <c r="G317" s="29"/>
      <c r="H317" s="29"/>
      <c r="I317" s="29"/>
      <c r="J317" s="29"/>
      <c r="K317" s="29"/>
      <c r="L317" s="29"/>
      <c r="M317" s="29"/>
      <c r="N317" s="29"/>
    </row>
    <row r="318" spans="2:20">
      <c r="B318" t="s">
        <v>154</v>
      </c>
      <c r="D318" t="s">
        <v>109</v>
      </c>
      <c r="F318" s="83">
        <f>SUM(G318:T318)</f>
        <v>0</v>
      </c>
      <c r="G318" s="39">
        <f>'Import GAW-sheet'!G145</f>
        <v>0</v>
      </c>
      <c r="H318" s="39">
        <f>'Import GAW-sheet'!H145</f>
        <v>0</v>
      </c>
      <c r="I318" s="39">
        <f>'Import GAW-sheet'!I145</f>
        <v>0</v>
      </c>
      <c r="J318" s="39">
        <f>'Import GAW-sheet'!J145</f>
        <v>0</v>
      </c>
      <c r="K318" s="39">
        <f>'Import GAW-sheet'!K145</f>
        <v>0</v>
      </c>
      <c r="L318" s="39">
        <f>'Import GAW-sheet'!L145</f>
        <v>0</v>
      </c>
      <c r="M318" s="39">
        <f>'Import GAW-sheet'!M145</f>
        <v>0</v>
      </c>
      <c r="N318" s="39">
        <f>'Import GAW-sheet'!N145</f>
        <v>0</v>
      </c>
      <c r="O318" s="39">
        <f>'Import GAW-sheet'!O145</f>
        <v>0</v>
      </c>
      <c r="P318" s="39">
        <f>'Import GAW-sheet'!P145</f>
        <v>0</v>
      </c>
      <c r="Q318" s="39">
        <f>'Import GAW-sheet'!Q145</f>
        <v>0</v>
      </c>
      <c r="R318" s="39">
        <f>'Import GAW-sheet'!R145</f>
        <v>0</v>
      </c>
      <c r="S318" s="39">
        <f>'Import GAW-sheet'!S145</f>
        <v>0</v>
      </c>
      <c r="T318" s="39">
        <f>'Import GAW-sheet'!T145</f>
        <v>0</v>
      </c>
    </row>
    <row r="319" spans="2:20">
      <c r="B319" t="s">
        <v>155</v>
      </c>
      <c r="D319" t="s">
        <v>109</v>
      </c>
      <c r="F319" s="83">
        <f>SUM(G319:T319)</f>
        <v>0</v>
      </c>
      <c r="G319" s="39">
        <f>'Import GAW-sheet'!G146</f>
        <v>0</v>
      </c>
      <c r="H319" s="39">
        <f>'Import GAW-sheet'!H146</f>
        <v>0</v>
      </c>
      <c r="I319" s="39">
        <f>'Import GAW-sheet'!I146</f>
        <v>0</v>
      </c>
      <c r="J319" s="39">
        <f>'Import GAW-sheet'!J146</f>
        <v>0</v>
      </c>
      <c r="K319" s="39">
        <f>'Import GAW-sheet'!K146</f>
        <v>0</v>
      </c>
      <c r="L319" s="39">
        <f>'Import GAW-sheet'!L146</f>
        <v>0</v>
      </c>
      <c r="M319" s="39">
        <f>'Import GAW-sheet'!M146</f>
        <v>0</v>
      </c>
      <c r="N319" s="39">
        <f>'Import GAW-sheet'!N146</f>
        <v>0</v>
      </c>
      <c r="O319" s="39">
        <f>'Import GAW-sheet'!O146</f>
        <v>0</v>
      </c>
      <c r="P319" s="39">
        <f>'Import GAW-sheet'!P146</f>
        <v>0</v>
      </c>
      <c r="Q319" s="39">
        <f>'Import GAW-sheet'!Q146</f>
        <v>0</v>
      </c>
      <c r="R319" s="39">
        <f>'Import GAW-sheet'!R146</f>
        <v>0</v>
      </c>
      <c r="S319" s="39">
        <f>'Import GAW-sheet'!S146</f>
        <v>0</v>
      </c>
      <c r="T319" s="39">
        <f>'Import GAW-sheet'!T146</f>
        <v>0</v>
      </c>
    </row>
    <row r="320" spans="2:20">
      <c r="B320" t="s">
        <v>156</v>
      </c>
      <c r="D320" t="s">
        <v>109</v>
      </c>
      <c r="F320" s="83">
        <f>SUM(G320:T320)</f>
        <v>0</v>
      </c>
      <c r="G320" s="39">
        <f>'Import GAW-sheet'!G147</f>
        <v>0</v>
      </c>
      <c r="H320" s="39">
        <f>'Import GAW-sheet'!H147</f>
        <v>0</v>
      </c>
      <c r="I320" s="39">
        <f>'Import GAW-sheet'!I147</f>
        <v>0</v>
      </c>
      <c r="J320" s="39">
        <f>'Import GAW-sheet'!J147</f>
        <v>0</v>
      </c>
      <c r="K320" s="39">
        <f>'Import GAW-sheet'!K147</f>
        <v>0</v>
      </c>
      <c r="L320" s="39">
        <f>'Import GAW-sheet'!L147</f>
        <v>0</v>
      </c>
      <c r="M320" s="39">
        <f>'Import GAW-sheet'!M147</f>
        <v>0</v>
      </c>
      <c r="N320" s="39">
        <f>'Import GAW-sheet'!N147</f>
        <v>0</v>
      </c>
      <c r="O320" s="39">
        <f>'Import GAW-sheet'!O147</f>
        <v>0</v>
      </c>
      <c r="P320" s="39">
        <f>'Import GAW-sheet'!P147</f>
        <v>0</v>
      </c>
      <c r="Q320" s="39">
        <f>'Import GAW-sheet'!Q147</f>
        <v>0</v>
      </c>
      <c r="R320" s="39">
        <f>'Import GAW-sheet'!R147</f>
        <v>0</v>
      </c>
      <c r="S320" s="39">
        <f>'Import GAW-sheet'!S147</f>
        <v>0</v>
      </c>
      <c r="T320" s="39">
        <f>'Import GAW-sheet'!T147</f>
        <v>0</v>
      </c>
    </row>
    <row r="321" spans="2:20">
      <c r="F321" s="47"/>
      <c r="G321" s="29"/>
      <c r="H321" s="29"/>
      <c r="I321" s="29"/>
      <c r="J321" s="29"/>
      <c r="K321" s="29"/>
      <c r="L321" s="29"/>
      <c r="M321" s="29"/>
      <c r="N321" s="29"/>
    </row>
    <row r="322" spans="2:20">
      <c r="B322" s="3" t="s">
        <v>157</v>
      </c>
      <c r="F322" s="47"/>
      <c r="G322" s="29"/>
      <c r="H322" s="29"/>
      <c r="I322" s="29"/>
      <c r="J322" s="29"/>
      <c r="K322" s="29"/>
      <c r="L322" s="29"/>
      <c r="M322" s="29"/>
      <c r="N322" s="29"/>
    </row>
    <row r="323" spans="2:20">
      <c r="B323" t="s">
        <v>158</v>
      </c>
      <c r="D323" t="s">
        <v>109</v>
      </c>
      <c r="F323" s="83">
        <f>SUM(G323:T323)</f>
        <v>0</v>
      </c>
      <c r="G323" s="39">
        <f>'Import GAW-sheet'!G150</f>
        <v>0</v>
      </c>
      <c r="H323" s="39">
        <f>'Import GAW-sheet'!H150</f>
        <v>0</v>
      </c>
      <c r="I323" s="39">
        <f>'Import GAW-sheet'!I150</f>
        <v>0</v>
      </c>
      <c r="J323" s="39">
        <f>'Import GAW-sheet'!J150</f>
        <v>0</v>
      </c>
      <c r="K323" s="39">
        <f>'Import GAW-sheet'!K150</f>
        <v>0</v>
      </c>
      <c r="L323" s="39">
        <f>'Import GAW-sheet'!L150</f>
        <v>0</v>
      </c>
      <c r="M323" s="39">
        <f>'Import GAW-sheet'!M150</f>
        <v>0</v>
      </c>
      <c r="N323" s="39">
        <f>'Import GAW-sheet'!N150</f>
        <v>0</v>
      </c>
      <c r="O323" s="39">
        <f>'Import GAW-sheet'!O150</f>
        <v>0</v>
      </c>
      <c r="P323" s="39">
        <f>'Import GAW-sheet'!P150</f>
        <v>0</v>
      </c>
      <c r="Q323" s="39">
        <f>'Import GAW-sheet'!Q150</f>
        <v>0</v>
      </c>
      <c r="R323" s="39">
        <f>'Import GAW-sheet'!R150</f>
        <v>0</v>
      </c>
      <c r="S323" s="39">
        <f>'Import GAW-sheet'!S150</f>
        <v>0</v>
      </c>
      <c r="T323" s="39">
        <f>'Import GAW-sheet'!T150</f>
        <v>0</v>
      </c>
    </row>
    <row r="324" spans="2:20">
      <c r="B324" t="s">
        <v>159</v>
      </c>
      <c r="D324" t="s">
        <v>109</v>
      </c>
      <c r="F324" s="83">
        <f>SUM(G324:T324)</f>
        <v>0</v>
      </c>
      <c r="G324" s="39">
        <f>'Import GAW-sheet'!G151</f>
        <v>0</v>
      </c>
      <c r="H324" s="39">
        <f>'Import GAW-sheet'!H151</f>
        <v>0</v>
      </c>
      <c r="I324" s="39">
        <f>'Import GAW-sheet'!I151</f>
        <v>0</v>
      </c>
      <c r="J324" s="39">
        <f>'Import GAW-sheet'!J151</f>
        <v>0</v>
      </c>
      <c r="K324" s="39">
        <f>'Import GAW-sheet'!K151</f>
        <v>0</v>
      </c>
      <c r="L324" s="39">
        <f>'Import GAW-sheet'!L151</f>
        <v>0</v>
      </c>
      <c r="M324" s="39">
        <f>'Import GAW-sheet'!M151</f>
        <v>0</v>
      </c>
      <c r="N324" s="39">
        <f>'Import GAW-sheet'!N151</f>
        <v>0</v>
      </c>
      <c r="O324" s="39">
        <f>'Import GAW-sheet'!O151</f>
        <v>0</v>
      </c>
      <c r="P324" s="39">
        <f>'Import GAW-sheet'!P151</f>
        <v>0</v>
      </c>
      <c r="Q324" s="39">
        <f>'Import GAW-sheet'!Q151</f>
        <v>0</v>
      </c>
      <c r="R324" s="39">
        <f>'Import GAW-sheet'!R151</f>
        <v>0</v>
      </c>
      <c r="S324" s="39">
        <f>'Import GAW-sheet'!S151</f>
        <v>0</v>
      </c>
      <c r="T324" s="39">
        <f>'Import GAW-sheet'!T151</f>
        <v>0</v>
      </c>
    </row>
    <row r="325" spans="2:20">
      <c r="B325" t="s">
        <v>160</v>
      </c>
      <c r="D325" t="s">
        <v>109</v>
      </c>
      <c r="F325" s="83">
        <f>SUM(G325:T325)</f>
        <v>0</v>
      </c>
      <c r="G325" s="39">
        <f>'Import GAW-sheet'!G152</f>
        <v>0</v>
      </c>
      <c r="H325" s="39">
        <f>'Import GAW-sheet'!H152</f>
        <v>0</v>
      </c>
      <c r="I325" s="39">
        <f>'Import GAW-sheet'!I152</f>
        <v>0</v>
      </c>
      <c r="J325" s="39">
        <f>'Import GAW-sheet'!J152</f>
        <v>0</v>
      </c>
      <c r="K325" s="39">
        <f>'Import GAW-sheet'!K152</f>
        <v>0</v>
      </c>
      <c r="L325" s="39">
        <f>'Import GAW-sheet'!L152</f>
        <v>0</v>
      </c>
      <c r="M325" s="39">
        <f>'Import GAW-sheet'!M152</f>
        <v>0</v>
      </c>
      <c r="N325" s="39">
        <f>'Import GAW-sheet'!N152</f>
        <v>0</v>
      </c>
      <c r="O325" s="39">
        <f>'Import GAW-sheet'!O152</f>
        <v>0</v>
      </c>
      <c r="P325" s="39">
        <f>'Import GAW-sheet'!P152</f>
        <v>0</v>
      </c>
      <c r="Q325" s="39">
        <f>'Import GAW-sheet'!Q152</f>
        <v>0</v>
      </c>
      <c r="R325" s="39">
        <f>'Import GAW-sheet'!R152</f>
        <v>0</v>
      </c>
      <c r="S325" s="39">
        <f>'Import GAW-sheet'!S152</f>
        <v>0</v>
      </c>
      <c r="T325" s="39">
        <f>'Import GAW-sheet'!T152</f>
        <v>0</v>
      </c>
    </row>
    <row r="326" spans="2:20">
      <c r="F326" s="47"/>
    </row>
    <row r="327" spans="2:20">
      <c r="F327" s="47"/>
    </row>
    <row r="328" spans="2:20">
      <c r="B328" s="3" t="s">
        <v>416</v>
      </c>
      <c r="F328" s="47"/>
      <c r="G328" s="3" t="s">
        <v>96</v>
      </c>
      <c r="H328" s="3" t="s">
        <v>407</v>
      </c>
      <c r="I328" s="3" t="s">
        <v>98</v>
      </c>
      <c r="J328" s="3" t="s">
        <v>99</v>
      </c>
      <c r="K328" s="3" t="s">
        <v>100</v>
      </c>
      <c r="L328" s="3" t="s">
        <v>413</v>
      </c>
      <c r="M328" s="3" t="s">
        <v>102</v>
      </c>
      <c r="N328" s="3" t="s">
        <v>103</v>
      </c>
      <c r="O328" s="3" t="s">
        <v>197</v>
      </c>
      <c r="P328" s="55"/>
      <c r="Q328" s="55"/>
      <c r="R328" s="55"/>
      <c r="S328" s="55"/>
      <c r="T328" s="55"/>
    </row>
    <row r="329" spans="2:20">
      <c r="F329" s="47"/>
      <c r="P329" s="28"/>
      <c r="Q329" s="28"/>
      <c r="R329" s="28"/>
      <c r="S329" s="28"/>
      <c r="T329" s="28"/>
    </row>
    <row r="330" spans="2:20">
      <c r="B330" s="3" t="s">
        <v>142</v>
      </c>
      <c r="F330" s="47"/>
      <c r="P330" s="28"/>
      <c r="Q330" s="28"/>
      <c r="R330" s="28"/>
      <c r="S330" s="28"/>
      <c r="T330" s="28"/>
    </row>
    <row r="331" spans="2:20">
      <c r="B331" t="s">
        <v>143</v>
      </c>
      <c r="D331" t="s">
        <v>109</v>
      </c>
      <c r="F331" s="83">
        <f>SUM(G331:O331)</f>
        <v>0</v>
      </c>
      <c r="G331" s="39">
        <f>G303</f>
        <v>0</v>
      </c>
      <c r="H331" s="39">
        <f>H303</f>
        <v>0</v>
      </c>
      <c r="I331" s="98">
        <f>J303+K303</f>
        <v>0</v>
      </c>
      <c r="J331" s="98">
        <f>L303+M303</f>
        <v>0</v>
      </c>
      <c r="K331" s="98">
        <f>O303+P303</f>
        <v>0</v>
      </c>
      <c r="L331" s="39">
        <f>Q303</f>
        <v>0</v>
      </c>
      <c r="M331" s="39">
        <f t="shared" ref="M331:M333" si="153">R303</f>
        <v>0</v>
      </c>
      <c r="N331" s="39">
        <f t="shared" ref="N331:N333" si="154">S303</f>
        <v>0</v>
      </c>
      <c r="O331" s="39"/>
      <c r="P331" s="29"/>
      <c r="Q331" s="29"/>
      <c r="R331" s="29"/>
      <c r="S331" s="29"/>
      <c r="T331" s="29"/>
    </row>
    <row r="332" spans="2:20">
      <c r="B332" t="s">
        <v>144</v>
      </c>
      <c r="D332" t="s">
        <v>109</v>
      </c>
      <c r="F332" s="83">
        <f>SUM(G332:O332)</f>
        <v>182896830.77603763</v>
      </c>
      <c r="G332" s="39">
        <f t="shared" ref="G332:H332" si="155">G304</f>
        <v>3282237.421140709</v>
      </c>
      <c r="H332" s="39">
        <f t="shared" si="155"/>
        <v>3510725.7443955913</v>
      </c>
      <c r="I332" s="98">
        <f t="shared" ref="I332:I333" si="156">J304+K304</f>
        <v>12244955.315169036</v>
      </c>
      <c r="J332" s="98">
        <f t="shared" ref="J332:J333" si="157">L304+M304</f>
        <v>40950969.314535677</v>
      </c>
      <c r="K332" s="98">
        <f t="shared" ref="K332:K333" si="158">O304+P304</f>
        <v>59383607.961127594</v>
      </c>
      <c r="L332" s="39">
        <f t="shared" ref="L332:L333" si="159">Q304</f>
        <v>5292539.3201729478</v>
      </c>
      <c r="M332" s="39">
        <f t="shared" si="153"/>
        <v>52728958.05436343</v>
      </c>
      <c r="N332" s="39">
        <f t="shared" si="154"/>
        <v>5502837.6451326562</v>
      </c>
      <c r="O332" s="39"/>
      <c r="P332" s="29"/>
      <c r="Q332" s="29"/>
      <c r="R332" s="29"/>
      <c r="S332" s="29"/>
      <c r="T332" s="29"/>
    </row>
    <row r="333" spans="2:20">
      <c r="B333" t="s">
        <v>145</v>
      </c>
      <c r="D333" t="s">
        <v>109</v>
      </c>
      <c r="F333" s="83">
        <f>SUM(G333:O333)</f>
        <v>4644779941.2551956</v>
      </c>
      <c r="G333" s="39">
        <f t="shared" ref="G333:H333" si="160">G305</f>
        <v>75819684.428350374</v>
      </c>
      <c r="H333" s="39">
        <f t="shared" si="160"/>
        <v>90225651.630966678</v>
      </c>
      <c r="I333" s="98">
        <f t="shared" si="156"/>
        <v>314130315.52202147</v>
      </c>
      <c r="J333" s="98">
        <f t="shared" si="157"/>
        <v>1085231786.0535359</v>
      </c>
      <c r="K333" s="98">
        <f t="shared" si="158"/>
        <v>1588807695.7836213</v>
      </c>
      <c r="L333" s="39">
        <f t="shared" si="159"/>
        <v>130196467.27625446</v>
      </c>
      <c r="M333" s="39">
        <f t="shared" si="153"/>
        <v>1251412155.1868186</v>
      </c>
      <c r="N333" s="39">
        <f t="shared" si="154"/>
        <v>108956185.37362663</v>
      </c>
      <c r="O333" s="39"/>
      <c r="P333" s="29"/>
      <c r="Q333" s="29"/>
      <c r="R333" s="29"/>
      <c r="S333" s="29"/>
      <c r="T333" s="29"/>
    </row>
    <row r="334" spans="2:20">
      <c r="F334" s="47"/>
      <c r="G334" s="29"/>
      <c r="H334" s="29"/>
      <c r="I334" s="29"/>
      <c r="J334" s="29"/>
      <c r="K334" s="29"/>
      <c r="L334" s="29"/>
      <c r="M334" s="29"/>
      <c r="N334" s="29"/>
      <c r="O334" s="29"/>
      <c r="P334" s="28"/>
      <c r="Q334" s="28"/>
      <c r="R334" s="28"/>
      <c r="S334" s="28"/>
      <c r="T334" s="28"/>
    </row>
    <row r="335" spans="2:20">
      <c r="B335" s="3" t="s">
        <v>146</v>
      </c>
      <c r="F335" s="47"/>
      <c r="G335" s="29"/>
      <c r="H335" s="29"/>
      <c r="I335" s="29"/>
      <c r="J335" s="29"/>
      <c r="K335" s="29"/>
      <c r="L335" s="29"/>
      <c r="M335" s="29"/>
      <c r="N335" s="29"/>
      <c r="O335" s="29"/>
      <c r="P335" s="28"/>
      <c r="Q335" s="28"/>
      <c r="R335" s="28"/>
      <c r="S335" s="28"/>
      <c r="T335" s="28"/>
    </row>
    <row r="336" spans="2:20">
      <c r="B336" t="s">
        <v>147</v>
      </c>
      <c r="D336" t="s">
        <v>109</v>
      </c>
      <c r="F336" s="83">
        <f>SUM(G336:O336)</f>
        <v>213770932.98067707</v>
      </c>
      <c r="G336" s="39">
        <f>G308</f>
        <v>2330953.17</v>
      </c>
      <c r="H336" s="39">
        <f>H308</f>
        <v>3685919.9047984867</v>
      </c>
      <c r="I336" s="98">
        <f>J308+K308</f>
        <v>2396579.1436693151</v>
      </c>
      <c r="J336" s="98">
        <f>L308+M308</f>
        <v>77190185.439999983</v>
      </c>
      <c r="K336" s="98">
        <f>O308+P308</f>
        <v>62410583.522282146</v>
      </c>
      <c r="L336" s="39">
        <f>Q308</f>
        <v>2660843.8711937498</v>
      </c>
      <c r="M336" s="39">
        <f t="shared" ref="M336:M338" si="161">R308</f>
        <v>58352823.68534705</v>
      </c>
      <c r="N336" s="39">
        <f t="shared" ref="N336:N338" si="162">S308</f>
        <v>4743044.2433863636</v>
      </c>
      <c r="O336" s="39"/>
      <c r="P336" s="29"/>
      <c r="Q336" s="29"/>
      <c r="R336" s="29"/>
      <c r="S336" s="29"/>
      <c r="T336" s="29"/>
    </row>
    <row r="337" spans="2:20">
      <c r="B337" t="s">
        <v>139</v>
      </c>
      <c r="D337" t="s">
        <v>109</v>
      </c>
      <c r="F337" s="83">
        <f>SUM(G337:O337)</f>
        <v>31663489.770108208</v>
      </c>
      <c r="G337" s="39">
        <f t="shared" ref="G337:H337" si="163">G309</f>
        <v>305265.02271475631</v>
      </c>
      <c r="H337" s="39">
        <f t="shared" si="163"/>
        <v>1222323.0941418961</v>
      </c>
      <c r="I337" s="98">
        <f t="shared" ref="I337:I338" si="164">J309+K309</f>
        <v>1352321.7986321747</v>
      </c>
      <c r="J337" s="98">
        <f t="shared" ref="J337:J338" si="165">L309+M309</f>
        <v>15079961.334251648</v>
      </c>
      <c r="K337" s="98">
        <f t="shared" ref="K337:K338" si="166">O309+P309</f>
        <v>5138913.3089602385</v>
      </c>
      <c r="L337" s="39">
        <f t="shared" ref="L337:L338" si="167">Q309</f>
        <v>1628935.5433666261</v>
      </c>
      <c r="M337" s="39">
        <f t="shared" si="161"/>
        <v>6370549.551764613</v>
      </c>
      <c r="N337" s="39">
        <f t="shared" si="162"/>
        <v>565220.11627625721</v>
      </c>
      <c r="O337" s="39"/>
      <c r="P337" s="29"/>
      <c r="Q337" s="29"/>
      <c r="R337" s="29"/>
      <c r="S337" s="29"/>
      <c r="T337" s="29"/>
    </row>
    <row r="338" spans="2:20">
      <c r="B338" t="s">
        <v>148</v>
      </c>
      <c r="D338" t="s">
        <v>109</v>
      </c>
      <c r="F338" s="83">
        <f>SUM(G338:O338)</f>
        <v>923740649.45401764</v>
      </c>
      <c r="G338" s="39">
        <f t="shared" ref="G338:H338" si="168">G310</f>
        <v>13399982.757302746</v>
      </c>
      <c r="H338" s="39">
        <f t="shared" si="168"/>
        <v>21015194.233045682</v>
      </c>
      <c r="I338" s="98">
        <f t="shared" si="164"/>
        <v>18633843.695498802</v>
      </c>
      <c r="J338" s="98">
        <f t="shared" si="165"/>
        <v>313914616.93625373</v>
      </c>
      <c r="K338" s="98">
        <f t="shared" si="166"/>
        <v>230431054.89223117</v>
      </c>
      <c r="L338" s="39">
        <f t="shared" si="167"/>
        <v>22757513.75408493</v>
      </c>
      <c r="M338" s="39">
        <f t="shared" si="161"/>
        <v>286561414.1266551</v>
      </c>
      <c r="N338" s="39">
        <f t="shared" si="162"/>
        <v>17027029.058945589</v>
      </c>
      <c r="O338" s="39"/>
      <c r="P338" s="29"/>
      <c r="Q338" s="29"/>
      <c r="R338" s="29"/>
      <c r="S338" s="29"/>
      <c r="T338" s="29"/>
    </row>
    <row r="339" spans="2:20">
      <c r="F339" s="47"/>
      <c r="G339" s="29"/>
      <c r="H339" s="29"/>
      <c r="I339" s="29"/>
      <c r="J339" s="29"/>
      <c r="K339" s="29"/>
      <c r="L339" s="29"/>
      <c r="M339" s="29"/>
      <c r="N339" s="29"/>
      <c r="O339" s="29"/>
      <c r="P339" s="28"/>
      <c r="Q339" s="28"/>
      <c r="R339" s="28"/>
      <c r="S339" s="28"/>
      <c r="T339" s="28"/>
    </row>
    <row r="340" spans="2:20">
      <c r="B340" s="3" t="s">
        <v>149</v>
      </c>
      <c r="F340" s="47"/>
      <c r="G340" s="29"/>
      <c r="H340" s="29"/>
      <c r="I340" s="29"/>
      <c r="J340" s="29"/>
      <c r="K340" s="29"/>
      <c r="L340" s="29"/>
      <c r="M340" s="29"/>
      <c r="N340" s="29"/>
      <c r="O340" s="29"/>
      <c r="P340" s="28"/>
      <c r="Q340" s="28"/>
      <c r="R340" s="28"/>
      <c r="S340" s="28"/>
      <c r="T340" s="28"/>
    </row>
    <row r="341" spans="2:20">
      <c r="B341" t="s">
        <v>150</v>
      </c>
      <c r="D341" t="s">
        <v>109</v>
      </c>
      <c r="F341" s="83">
        <f>SUM(G341:O341)</f>
        <v>0</v>
      </c>
      <c r="G341" s="39">
        <f>G313</f>
        <v>0</v>
      </c>
      <c r="H341" s="39">
        <f>H313</f>
        <v>0</v>
      </c>
      <c r="I341" s="98">
        <f>J313+K313</f>
        <v>0</v>
      </c>
      <c r="J341" s="98">
        <f>L313+M313</f>
        <v>0</v>
      </c>
      <c r="K341" s="98">
        <f>O313+P313</f>
        <v>0</v>
      </c>
      <c r="L341" s="39">
        <f>Q313</f>
        <v>0</v>
      </c>
      <c r="M341" s="39">
        <f t="shared" ref="M341:M343" si="169">R313</f>
        <v>0</v>
      </c>
      <c r="N341" s="39">
        <f t="shared" ref="N341:N343" si="170">S313</f>
        <v>0</v>
      </c>
      <c r="O341" s="39"/>
      <c r="P341" s="29"/>
      <c r="Q341" s="29"/>
      <c r="R341" s="29"/>
      <c r="S341" s="29"/>
      <c r="T341" s="29"/>
    </row>
    <row r="342" spans="2:20">
      <c r="B342" t="s">
        <v>151</v>
      </c>
      <c r="D342" t="s">
        <v>109</v>
      </c>
      <c r="F342" s="83">
        <f>SUM(G342:O342)</f>
        <v>2418470.7574137882</v>
      </c>
      <c r="G342" s="39">
        <f t="shared" ref="G342:H342" si="171">G314</f>
        <v>6.9732407017010231E-10</v>
      </c>
      <c r="H342" s="39">
        <f t="shared" si="171"/>
        <v>0</v>
      </c>
      <c r="I342" s="98">
        <f t="shared" ref="I342:I343" si="172">J314+K314</f>
        <v>0</v>
      </c>
      <c r="J342" s="98">
        <f t="shared" ref="J342:J343" si="173">L314+M314</f>
        <v>810661.72201970499</v>
      </c>
      <c r="K342" s="98">
        <f t="shared" ref="K342:K343" si="174">O314+P314</f>
        <v>0</v>
      </c>
      <c r="L342" s="39">
        <f t="shared" ref="L342:L343" si="175">Q314</f>
        <v>1607809.0353940825</v>
      </c>
      <c r="M342" s="39">
        <f t="shared" si="169"/>
        <v>0</v>
      </c>
      <c r="N342" s="39">
        <f t="shared" si="170"/>
        <v>0</v>
      </c>
      <c r="O342" s="39"/>
      <c r="P342" s="29"/>
      <c r="Q342" s="29"/>
      <c r="R342" s="29"/>
      <c r="S342" s="29"/>
      <c r="T342" s="29"/>
    </row>
    <row r="343" spans="2:20">
      <c r="B343" t="s">
        <v>152</v>
      </c>
      <c r="D343" t="s">
        <v>109</v>
      </c>
      <c r="F343" s="83">
        <f>SUM(G343:O343)</f>
        <v>20171942.189975355</v>
      </c>
      <c r="G343" s="39">
        <f t="shared" ref="G343:H343" si="176">G315</f>
        <v>-5.2093605984308331E-11</v>
      </c>
      <c r="H343" s="39">
        <f t="shared" si="176"/>
        <v>0</v>
      </c>
      <c r="I343" s="98">
        <f t="shared" si="172"/>
        <v>0</v>
      </c>
      <c r="J343" s="98">
        <f t="shared" si="173"/>
        <v>8917278.942216767</v>
      </c>
      <c r="K343" s="98">
        <f t="shared" si="174"/>
        <v>0</v>
      </c>
      <c r="L343" s="39">
        <f t="shared" si="175"/>
        <v>11254663.247758588</v>
      </c>
      <c r="M343" s="39">
        <f t="shared" si="169"/>
        <v>0</v>
      </c>
      <c r="N343" s="39">
        <f t="shared" si="170"/>
        <v>0</v>
      </c>
      <c r="O343" s="39"/>
      <c r="P343" s="29"/>
      <c r="Q343" s="29"/>
      <c r="R343" s="29"/>
      <c r="S343" s="29"/>
      <c r="T343" s="29"/>
    </row>
    <row r="344" spans="2:20">
      <c r="F344" s="47"/>
      <c r="G344" s="29"/>
      <c r="H344" s="29"/>
      <c r="I344" s="29"/>
      <c r="J344" s="29"/>
      <c r="K344" s="29"/>
      <c r="L344" s="29"/>
      <c r="M344" s="29"/>
      <c r="N344" s="29"/>
      <c r="O344" s="29"/>
      <c r="P344" s="28"/>
      <c r="Q344" s="28"/>
      <c r="R344" s="28"/>
      <c r="S344" s="28"/>
      <c r="T344" s="28"/>
    </row>
    <row r="345" spans="2:20">
      <c r="B345" s="3" t="s">
        <v>153</v>
      </c>
      <c r="F345" s="47"/>
      <c r="G345" s="29"/>
      <c r="H345" s="29"/>
      <c r="I345" s="29"/>
      <c r="J345" s="29"/>
      <c r="K345" s="29"/>
      <c r="L345" s="29"/>
      <c r="M345" s="29"/>
      <c r="N345" s="29"/>
      <c r="O345" s="29"/>
      <c r="P345" s="28"/>
      <c r="Q345" s="28"/>
      <c r="R345" s="28"/>
      <c r="S345" s="28"/>
      <c r="T345" s="28"/>
    </row>
    <row r="346" spans="2:20">
      <c r="B346" t="s">
        <v>154</v>
      </c>
      <c r="D346" t="s">
        <v>109</v>
      </c>
      <c r="F346" s="83">
        <f>SUM(G346:O346)</f>
        <v>0</v>
      </c>
      <c r="G346" s="39">
        <f>G318</f>
        <v>0</v>
      </c>
      <c r="H346" s="39">
        <f>H318</f>
        <v>0</v>
      </c>
      <c r="I346" s="98">
        <f>J318+K318</f>
        <v>0</v>
      </c>
      <c r="J346" s="98">
        <f>L318+M318</f>
        <v>0</v>
      </c>
      <c r="K346" s="98">
        <f>O318+P318</f>
        <v>0</v>
      </c>
      <c r="L346" s="39">
        <f>Q318</f>
        <v>0</v>
      </c>
      <c r="M346" s="39">
        <f t="shared" ref="M346:M348" si="177">R318</f>
        <v>0</v>
      </c>
      <c r="N346" s="39">
        <f t="shared" ref="N346:N348" si="178">S318</f>
        <v>0</v>
      </c>
      <c r="O346" s="39"/>
      <c r="P346" s="29"/>
      <c r="Q346" s="29"/>
      <c r="R346" s="29"/>
      <c r="S346" s="29"/>
      <c r="T346" s="29"/>
    </row>
    <row r="347" spans="2:20">
      <c r="B347" t="s">
        <v>155</v>
      </c>
      <c r="D347" t="s">
        <v>109</v>
      </c>
      <c r="F347" s="83">
        <f>SUM(G347:O347)</f>
        <v>0</v>
      </c>
      <c r="G347" s="39">
        <f t="shared" ref="G347:H347" si="179">G319</f>
        <v>0</v>
      </c>
      <c r="H347" s="39">
        <f t="shared" si="179"/>
        <v>0</v>
      </c>
      <c r="I347" s="98">
        <f t="shared" ref="I347:I348" si="180">J319+K319</f>
        <v>0</v>
      </c>
      <c r="J347" s="98">
        <f t="shared" ref="J347:J348" si="181">L319+M319</f>
        <v>0</v>
      </c>
      <c r="K347" s="98">
        <f t="shared" ref="K347:K348" si="182">O319+P319</f>
        <v>0</v>
      </c>
      <c r="L347" s="39">
        <f t="shared" ref="L347:L348" si="183">Q319</f>
        <v>0</v>
      </c>
      <c r="M347" s="39">
        <f t="shared" si="177"/>
        <v>0</v>
      </c>
      <c r="N347" s="39">
        <f t="shared" si="178"/>
        <v>0</v>
      </c>
      <c r="O347" s="39"/>
      <c r="P347" s="29"/>
      <c r="Q347" s="29"/>
      <c r="R347" s="29"/>
      <c r="S347" s="29"/>
      <c r="T347" s="29"/>
    </row>
    <row r="348" spans="2:20">
      <c r="B348" t="s">
        <v>156</v>
      </c>
      <c r="D348" t="s">
        <v>109</v>
      </c>
      <c r="F348" s="83">
        <f>SUM(G348:O348)</f>
        <v>0</v>
      </c>
      <c r="G348" s="39">
        <f t="shared" ref="G348:H348" si="184">G320</f>
        <v>0</v>
      </c>
      <c r="H348" s="39">
        <f t="shared" si="184"/>
        <v>0</v>
      </c>
      <c r="I348" s="98">
        <f t="shared" si="180"/>
        <v>0</v>
      </c>
      <c r="J348" s="98">
        <f t="shared" si="181"/>
        <v>0</v>
      </c>
      <c r="K348" s="98">
        <f t="shared" si="182"/>
        <v>0</v>
      </c>
      <c r="L348" s="39">
        <f t="shared" si="183"/>
        <v>0</v>
      </c>
      <c r="M348" s="39">
        <f t="shared" si="177"/>
        <v>0</v>
      </c>
      <c r="N348" s="39">
        <f t="shared" si="178"/>
        <v>0</v>
      </c>
      <c r="O348" s="39"/>
      <c r="P348" s="29"/>
      <c r="Q348" s="29"/>
      <c r="R348" s="29"/>
      <c r="S348" s="29"/>
      <c r="T348" s="29"/>
    </row>
    <row r="349" spans="2:20">
      <c r="F349" s="47"/>
      <c r="G349" s="29"/>
      <c r="H349" s="29"/>
      <c r="I349" s="29"/>
      <c r="J349" s="29"/>
      <c r="K349" s="29"/>
      <c r="L349" s="29"/>
      <c r="M349" s="29"/>
      <c r="N349" s="29"/>
      <c r="O349" s="29"/>
      <c r="P349" s="28"/>
      <c r="Q349" s="28"/>
      <c r="R349" s="28"/>
      <c r="S349" s="28"/>
      <c r="T349" s="28"/>
    </row>
    <row r="350" spans="2:20">
      <c r="B350" s="3" t="s">
        <v>157</v>
      </c>
      <c r="F350" s="47"/>
      <c r="G350" s="29"/>
      <c r="H350" s="29"/>
      <c r="I350" s="29"/>
      <c r="J350" s="29"/>
      <c r="K350" s="29"/>
      <c r="L350" s="29"/>
      <c r="M350" s="29"/>
      <c r="N350" s="29"/>
      <c r="O350" s="29"/>
      <c r="P350" s="28"/>
      <c r="Q350" s="28"/>
      <c r="R350" s="28"/>
      <c r="S350" s="28"/>
      <c r="T350" s="28"/>
    </row>
    <row r="351" spans="2:20">
      <c r="B351" t="s">
        <v>158</v>
      </c>
      <c r="D351" t="s">
        <v>109</v>
      </c>
      <c r="F351" s="83">
        <f>SUM(G351:O351)</f>
        <v>0</v>
      </c>
      <c r="G351" s="39">
        <f>G323</f>
        <v>0</v>
      </c>
      <c r="H351" s="39">
        <f>H323</f>
        <v>0</v>
      </c>
      <c r="I351" s="98">
        <f>J323+K323</f>
        <v>0</v>
      </c>
      <c r="J351" s="98">
        <f>L323+M323</f>
        <v>0</v>
      </c>
      <c r="K351" s="98">
        <f>O323+P323</f>
        <v>0</v>
      </c>
      <c r="L351" s="39">
        <f>Q323</f>
        <v>0</v>
      </c>
      <c r="M351" s="39">
        <f t="shared" ref="M351:M353" si="185">R323</f>
        <v>0</v>
      </c>
      <c r="N351" s="39">
        <f t="shared" ref="N351:N353" si="186">S323</f>
        <v>0</v>
      </c>
      <c r="O351" s="39"/>
      <c r="P351" s="29"/>
      <c r="Q351" s="29"/>
      <c r="R351" s="29"/>
      <c r="S351" s="29"/>
      <c r="T351" s="29"/>
    </row>
    <row r="352" spans="2:20">
      <c r="B352" t="s">
        <v>159</v>
      </c>
      <c r="D352" t="s">
        <v>109</v>
      </c>
      <c r="F352" s="83">
        <f>SUM(G352:O352)</f>
        <v>0</v>
      </c>
      <c r="G352" s="39">
        <f t="shared" ref="G352:H352" si="187">G324</f>
        <v>0</v>
      </c>
      <c r="H352" s="39">
        <f t="shared" si="187"/>
        <v>0</v>
      </c>
      <c r="I352" s="98">
        <f t="shared" ref="I352:I353" si="188">J324+K324</f>
        <v>0</v>
      </c>
      <c r="J352" s="98">
        <f t="shared" ref="J352:J353" si="189">L324+M324</f>
        <v>0</v>
      </c>
      <c r="K352" s="98">
        <f t="shared" ref="K352:K353" si="190">O324+P324</f>
        <v>0</v>
      </c>
      <c r="L352" s="39">
        <f t="shared" ref="L352:L353" si="191">Q324</f>
        <v>0</v>
      </c>
      <c r="M352" s="39">
        <f t="shared" si="185"/>
        <v>0</v>
      </c>
      <c r="N352" s="39">
        <f t="shared" si="186"/>
        <v>0</v>
      </c>
      <c r="O352" s="39"/>
      <c r="P352" s="29"/>
      <c r="Q352" s="29"/>
      <c r="R352" s="29"/>
      <c r="S352" s="29"/>
      <c r="T352" s="29"/>
    </row>
    <row r="353" spans="2:22">
      <c r="B353" t="s">
        <v>160</v>
      </c>
      <c r="D353" t="s">
        <v>109</v>
      </c>
      <c r="F353" s="83">
        <f>SUM(G353:O353)</f>
        <v>0</v>
      </c>
      <c r="G353" s="39">
        <f t="shared" ref="G353:H353" si="192">G325</f>
        <v>0</v>
      </c>
      <c r="H353" s="39">
        <f t="shared" si="192"/>
        <v>0</v>
      </c>
      <c r="I353" s="98">
        <f t="shared" si="188"/>
        <v>0</v>
      </c>
      <c r="J353" s="98">
        <f t="shared" si="189"/>
        <v>0</v>
      </c>
      <c r="K353" s="98">
        <f t="shared" si="190"/>
        <v>0</v>
      </c>
      <c r="L353" s="39">
        <f t="shared" si="191"/>
        <v>0</v>
      </c>
      <c r="M353" s="39">
        <f t="shared" si="185"/>
        <v>0</v>
      </c>
      <c r="N353" s="39">
        <f t="shared" si="186"/>
        <v>0</v>
      </c>
      <c r="O353" s="39"/>
      <c r="P353" s="29"/>
      <c r="Q353" s="29"/>
      <c r="R353" s="29"/>
      <c r="S353" s="29"/>
      <c r="T353" s="29"/>
    </row>
    <row r="354" spans="2:22">
      <c r="F354" s="47"/>
    </row>
    <row r="355" spans="2:22">
      <c r="F355" s="47"/>
    </row>
    <row r="356" spans="2:22">
      <c r="B356" s="3" t="s">
        <v>417</v>
      </c>
      <c r="F356" s="47"/>
    </row>
    <row r="357" spans="2:22">
      <c r="F357" s="47"/>
    </row>
    <row r="358" spans="2:22">
      <c r="B358" s="3" t="s">
        <v>171</v>
      </c>
      <c r="F358" s="47"/>
    </row>
    <row r="359" spans="2:22">
      <c r="B359" t="s">
        <v>139</v>
      </c>
      <c r="D359" t="s">
        <v>109</v>
      </c>
      <c r="F359" s="83">
        <f>SUM(G359:O359)</f>
        <v>214560320.54614586</v>
      </c>
      <c r="G359" s="24">
        <f>G332+G337+G347+G352</f>
        <v>3587502.4438554654</v>
      </c>
      <c r="H359" s="24">
        <f t="shared" ref="H359:O359" si="193">H332+H337+H347+H352</f>
        <v>4733048.8385374872</v>
      </c>
      <c r="I359" s="24">
        <f t="shared" si="193"/>
        <v>13597277.113801211</v>
      </c>
      <c r="J359" s="24">
        <f t="shared" si="193"/>
        <v>56030930.648787327</v>
      </c>
      <c r="K359" s="24">
        <f t="shared" si="193"/>
        <v>64522521.270087831</v>
      </c>
      <c r="L359" s="24">
        <f t="shared" si="193"/>
        <v>6921474.8635395737</v>
      </c>
      <c r="M359" s="24">
        <f t="shared" si="193"/>
        <v>59099507.606128044</v>
      </c>
      <c r="N359" s="24">
        <f t="shared" si="193"/>
        <v>6068057.7614089139</v>
      </c>
      <c r="O359" s="24">
        <f t="shared" si="193"/>
        <v>0</v>
      </c>
      <c r="V359" s="51" t="s">
        <v>570</v>
      </c>
    </row>
    <row r="360" spans="2:22">
      <c r="B360" t="s">
        <v>165</v>
      </c>
      <c r="D360" t="s">
        <v>109</v>
      </c>
      <c r="F360" s="83">
        <f>SUM(G360:O360)</f>
        <v>5568520590.7092133</v>
      </c>
      <c r="G360" s="24">
        <f>G333+G338+G348+G353</f>
        <v>89219667.18565312</v>
      </c>
      <c r="H360" s="24">
        <f t="shared" ref="H360:O360" si="194">H333+H338+H348+H353</f>
        <v>111240845.86401236</v>
      </c>
      <c r="I360" s="24">
        <f t="shared" si="194"/>
        <v>332764159.2175203</v>
      </c>
      <c r="J360" s="24">
        <f t="shared" si="194"/>
        <v>1399146402.9897897</v>
      </c>
      <c r="K360" s="24">
        <f t="shared" si="194"/>
        <v>1819238750.6758525</v>
      </c>
      <c r="L360" s="24">
        <f t="shared" si="194"/>
        <v>152953981.03033939</v>
      </c>
      <c r="M360" s="24">
        <f t="shared" si="194"/>
        <v>1537973569.3134737</v>
      </c>
      <c r="N360" s="24">
        <f t="shared" si="194"/>
        <v>125983214.43257222</v>
      </c>
      <c r="O360" s="24">
        <f t="shared" si="194"/>
        <v>0</v>
      </c>
      <c r="V360" s="51" t="s">
        <v>571</v>
      </c>
    </row>
    <row r="361" spans="2:22">
      <c r="B361" t="s">
        <v>166</v>
      </c>
      <c r="D361" t="s">
        <v>109</v>
      </c>
      <c r="F361" s="83">
        <f>SUM(G361:O361)</f>
        <v>200466741.26553166</v>
      </c>
      <c r="G361" s="24">
        <f>G360*$F$13</f>
        <v>3211908.0186835122</v>
      </c>
      <c r="H361" s="24">
        <f t="shared" ref="H361" si="195">H360*$F$13</f>
        <v>4004670.4511044445</v>
      </c>
      <c r="I361" s="24">
        <f t="shared" ref="I361" si="196">I360*$F$13</f>
        <v>11979509.731830729</v>
      </c>
      <c r="J361" s="24">
        <f t="shared" ref="J361" si="197">J360*$F$13</f>
        <v>50369270.507632427</v>
      </c>
      <c r="K361" s="24">
        <f t="shared" ref="K361" si="198">K360*$F$13</f>
        <v>65492595.024330683</v>
      </c>
      <c r="L361" s="24">
        <f t="shared" ref="L361" si="199">L360*$F$13</f>
        <v>5506343.3170922175</v>
      </c>
      <c r="M361" s="24">
        <f t="shared" ref="M361" si="200">M360*$F$13</f>
        <v>55367048.495285049</v>
      </c>
      <c r="N361" s="24">
        <f t="shared" ref="N361" si="201">N360*$F$13</f>
        <v>4535395.719572599</v>
      </c>
      <c r="O361" s="24">
        <f t="shared" ref="O361" si="202">O360*$F$13</f>
        <v>0</v>
      </c>
      <c r="V361" s="51" t="s">
        <v>572</v>
      </c>
    </row>
    <row r="362" spans="2:22">
      <c r="B362" t="s">
        <v>169</v>
      </c>
      <c r="D362" t="s">
        <v>109</v>
      </c>
      <c r="F362" s="83">
        <f>SUM(G362:O362)</f>
        <v>415027061.81167752</v>
      </c>
      <c r="G362" s="21">
        <f>G359+G361</f>
        <v>6799410.4625389781</v>
      </c>
      <c r="H362" s="21">
        <f t="shared" ref="H362" si="203">H359+H361</f>
        <v>8737719.2896419317</v>
      </c>
      <c r="I362" s="21">
        <f t="shared" ref="I362" si="204">I359+I361</f>
        <v>25576786.845631942</v>
      </c>
      <c r="J362" s="21">
        <f t="shared" ref="J362" si="205">J359+J361</f>
        <v>106400201.15641975</v>
      </c>
      <c r="K362" s="21">
        <f t="shared" ref="K362" si="206">K359+K361</f>
        <v>130015116.29441851</v>
      </c>
      <c r="L362" s="21">
        <f t="shared" ref="L362" si="207">L359+L361</f>
        <v>12427818.18063179</v>
      </c>
      <c r="M362" s="21">
        <f t="shared" ref="M362" si="208">M359+M361</f>
        <v>114466556.1014131</v>
      </c>
      <c r="N362" s="21">
        <f t="shared" ref="N362" si="209">N359+N361</f>
        <v>10603453.480981514</v>
      </c>
      <c r="O362" s="21">
        <f t="shared" ref="O362" si="210">O359+O361</f>
        <v>0</v>
      </c>
      <c r="V362" s="51" t="s">
        <v>573</v>
      </c>
    </row>
    <row r="363" spans="2:22">
      <c r="F363" s="47"/>
    </row>
    <row r="364" spans="2:22">
      <c r="B364" s="3" t="s">
        <v>172</v>
      </c>
      <c r="F364" s="47"/>
    </row>
    <row r="365" spans="2:22">
      <c r="B365" t="s">
        <v>139</v>
      </c>
      <c r="D365" t="s">
        <v>109</v>
      </c>
      <c r="F365" s="83">
        <f>SUM(G365:O365)</f>
        <v>2418470.7574137882</v>
      </c>
      <c r="G365" s="24">
        <f>G342</f>
        <v>6.9732407017010231E-10</v>
      </c>
      <c r="H365" s="24">
        <f t="shared" ref="H365:O365" si="211">H342</f>
        <v>0</v>
      </c>
      <c r="I365" s="24">
        <f t="shared" si="211"/>
        <v>0</v>
      </c>
      <c r="J365" s="24">
        <f t="shared" si="211"/>
        <v>810661.72201970499</v>
      </c>
      <c r="K365" s="24">
        <f t="shared" si="211"/>
        <v>0</v>
      </c>
      <c r="L365" s="24">
        <f t="shared" si="211"/>
        <v>1607809.0353940825</v>
      </c>
      <c r="M365" s="24">
        <f t="shared" si="211"/>
        <v>0</v>
      </c>
      <c r="N365" s="24">
        <f t="shared" si="211"/>
        <v>0</v>
      </c>
      <c r="O365" s="24">
        <f t="shared" si="211"/>
        <v>0</v>
      </c>
    </row>
    <row r="366" spans="2:22">
      <c r="B366" t="s">
        <v>165</v>
      </c>
      <c r="D366" t="s">
        <v>109</v>
      </c>
      <c r="F366" s="83">
        <f>SUM(G366:O366)</f>
        <v>20171942.189975355</v>
      </c>
      <c r="G366" s="24">
        <f>G343</f>
        <v>-5.2093605984308331E-11</v>
      </c>
      <c r="H366" s="24">
        <f t="shared" ref="H366:O366" si="212">H343</f>
        <v>0</v>
      </c>
      <c r="I366" s="24">
        <f t="shared" si="212"/>
        <v>0</v>
      </c>
      <c r="J366" s="24">
        <f t="shared" si="212"/>
        <v>8917278.942216767</v>
      </c>
      <c r="K366" s="24">
        <f t="shared" si="212"/>
        <v>0</v>
      </c>
      <c r="L366" s="24">
        <f t="shared" si="212"/>
        <v>11254663.247758588</v>
      </c>
      <c r="M366" s="24">
        <f t="shared" si="212"/>
        <v>0</v>
      </c>
      <c r="N366" s="24">
        <f t="shared" si="212"/>
        <v>0</v>
      </c>
      <c r="O366" s="24">
        <f t="shared" si="212"/>
        <v>0</v>
      </c>
    </row>
    <row r="367" spans="2:22">
      <c r="B367" t="s">
        <v>166</v>
      </c>
      <c r="D367" t="s">
        <v>109</v>
      </c>
      <c r="F367" s="83">
        <f>SUM(G367:O367)</f>
        <v>726189.91883911274</v>
      </c>
      <c r="G367" s="24">
        <f>G366*$F$13</f>
        <v>-1.8753698154351E-12</v>
      </c>
      <c r="H367" s="24">
        <f t="shared" ref="H367" si="213">H366*$F$13</f>
        <v>0</v>
      </c>
      <c r="I367" s="24">
        <f t="shared" ref="I367" si="214">I366*$F$13</f>
        <v>0</v>
      </c>
      <c r="J367" s="24">
        <f t="shared" ref="J367" si="215">J366*$F$13</f>
        <v>321022.0419198036</v>
      </c>
      <c r="K367" s="24">
        <f t="shared" ref="K367" si="216">K366*$F$13</f>
        <v>0</v>
      </c>
      <c r="L367" s="24">
        <f t="shared" ref="L367" si="217">L366*$F$13</f>
        <v>405167.87691930914</v>
      </c>
      <c r="M367" s="24">
        <f t="shared" ref="M367" si="218">M366*$F$13</f>
        <v>0</v>
      </c>
      <c r="N367" s="24">
        <f t="shared" ref="N367" si="219">N366*$F$13</f>
        <v>0</v>
      </c>
      <c r="O367" s="24">
        <f t="shared" ref="O367" si="220">O366*$F$13</f>
        <v>0</v>
      </c>
    </row>
    <row r="368" spans="2:22">
      <c r="B368" t="s">
        <v>169</v>
      </c>
      <c r="D368" t="s">
        <v>109</v>
      </c>
      <c r="F368" s="83">
        <f>SUM(G368:O368)</f>
        <v>3144660.6762529011</v>
      </c>
      <c r="G368" s="150">
        <f>G365+G367</f>
        <v>6.9544870035466724E-10</v>
      </c>
      <c r="H368" s="150">
        <f t="shared" ref="H368" si="221">H365+H367</f>
        <v>0</v>
      </c>
      <c r="I368" s="150">
        <f t="shared" ref="I368" si="222">I365+I367</f>
        <v>0</v>
      </c>
      <c r="J368" s="150">
        <f t="shared" ref="J368" si="223">J365+J367</f>
        <v>1131683.7639395087</v>
      </c>
      <c r="K368" s="150">
        <f t="shared" ref="K368" si="224">K365+K367</f>
        <v>0</v>
      </c>
      <c r="L368" s="150">
        <f t="shared" ref="L368" si="225">L365+L367</f>
        <v>2012976.9123133917</v>
      </c>
      <c r="M368" s="150">
        <f t="shared" ref="M368" si="226">M365+M367</f>
        <v>0</v>
      </c>
      <c r="N368" s="150">
        <f t="shared" ref="N368" si="227">N365+N367</f>
        <v>0</v>
      </c>
      <c r="O368" s="150">
        <f t="shared" ref="O368" si="228">O365+O367</f>
        <v>0</v>
      </c>
    </row>
    <row r="369" spans="2:22">
      <c r="F369" s="47"/>
    </row>
    <row r="370" spans="2:22">
      <c r="F370" s="47"/>
    </row>
    <row r="371" spans="2:22">
      <c r="B371" s="3" t="s">
        <v>170</v>
      </c>
      <c r="F371" s="47"/>
    </row>
    <row r="372" spans="2:22">
      <c r="F372" s="47"/>
    </row>
    <row r="373" spans="2:22">
      <c r="B373" s="51" t="s">
        <v>419</v>
      </c>
      <c r="D373" t="s">
        <v>109</v>
      </c>
      <c r="F373" s="83">
        <f>SUM(G373:O373)</f>
        <v>0</v>
      </c>
      <c r="G373" s="8"/>
      <c r="H373" s="8"/>
      <c r="I373" s="8"/>
      <c r="J373" s="8"/>
      <c r="K373" s="8"/>
      <c r="L373" s="8"/>
      <c r="M373" s="8"/>
      <c r="N373" s="8"/>
      <c r="O373" s="8"/>
    </row>
    <row r="374" spans="2:22">
      <c r="B374" t="s">
        <v>173</v>
      </c>
      <c r="D374" t="s">
        <v>109</v>
      </c>
      <c r="F374" s="83">
        <f>SUM(G374:O374)</f>
        <v>54584.01306896552</v>
      </c>
      <c r="G374" s="97">
        <f>'PRD Ov.Opbrengst TD (2009-2012)'!G155</f>
        <v>0</v>
      </c>
      <c r="H374" s="97">
        <f>'PRD Ov.Opbrengst TD (2009-2012)'!H155</f>
        <v>0</v>
      </c>
      <c r="I374" s="97">
        <f>'PRD Ov.Opbrengst TD (2009-2012)'!I155</f>
        <v>50435.862068965514</v>
      </c>
      <c r="J374" s="97">
        <f>'PRD Ov.Opbrengst TD (2009-2012)'!J155</f>
        <v>1502.1959999999999</v>
      </c>
      <c r="K374" s="97">
        <f>'PRD Ov.Opbrengst TD (2009-2012)'!K155</f>
        <v>0</v>
      </c>
      <c r="L374" s="97">
        <f>'PRD Ov.Opbrengst TD (2009-2012)'!L155</f>
        <v>2645.9549999999999</v>
      </c>
      <c r="M374" s="97">
        <f>'PRD Ov.Opbrengst TD (2009-2012)'!M155</f>
        <v>0</v>
      </c>
      <c r="N374" s="97">
        <f>'PRD Ov.Opbrengst TD (2009-2012)'!N155</f>
        <v>0</v>
      </c>
      <c r="O374" s="97">
        <f>'PRD Ov.Opbrengst TD (2009-2012)'!O155</f>
        <v>0</v>
      </c>
    </row>
    <row r="375" spans="2:22">
      <c r="B375" t="s">
        <v>174</v>
      </c>
      <c r="D375" t="s">
        <v>109</v>
      </c>
      <c r="F375" s="83">
        <f>SUM(G375:O375)</f>
        <v>0</v>
      </c>
      <c r="G375" s="8"/>
      <c r="H375" s="8"/>
      <c r="I375" s="8"/>
      <c r="J375" s="8"/>
      <c r="K375" s="8"/>
      <c r="L375" s="8"/>
      <c r="M375" s="8"/>
      <c r="N375" s="8"/>
      <c r="O375" s="8"/>
    </row>
    <row r="376" spans="2:22">
      <c r="B376" s="13" t="s">
        <v>187</v>
      </c>
      <c r="D376" t="s">
        <v>109</v>
      </c>
      <c r="F376" s="83">
        <f>SUM(G376:O376)</f>
        <v>54584.01306896552</v>
      </c>
      <c r="G376" s="24">
        <f t="shared" ref="G376:O376" si="229">SUM(G373:G375)</f>
        <v>0</v>
      </c>
      <c r="H376" s="24">
        <f t="shared" si="229"/>
        <v>0</v>
      </c>
      <c r="I376" s="24">
        <f t="shared" si="229"/>
        <v>50435.862068965514</v>
      </c>
      <c r="J376" s="24">
        <f t="shared" si="229"/>
        <v>1502.1959999999999</v>
      </c>
      <c r="K376" s="24">
        <f t="shared" si="229"/>
        <v>0</v>
      </c>
      <c r="L376" s="24">
        <f t="shared" si="229"/>
        <v>2645.9549999999999</v>
      </c>
      <c r="M376" s="24">
        <f t="shared" si="229"/>
        <v>0</v>
      </c>
      <c r="N376" s="24">
        <f t="shared" si="229"/>
        <v>0</v>
      </c>
      <c r="O376" s="24">
        <f t="shared" si="229"/>
        <v>0</v>
      </c>
    </row>
    <row r="377" spans="2:22">
      <c r="F377" s="47"/>
    </row>
    <row r="378" spans="2:22">
      <c r="F378" s="47"/>
    </row>
    <row r="379" spans="2:22">
      <c r="B379" s="3" t="s">
        <v>418</v>
      </c>
      <c r="F379" s="47"/>
    </row>
    <row r="380" spans="2:22">
      <c r="F380" s="47"/>
    </row>
    <row r="381" spans="2:22">
      <c r="B381" t="s">
        <v>175</v>
      </c>
      <c r="D381" t="s">
        <v>109</v>
      </c>
      <c r="F381" s="84">
        <f>SUM(G381:O381)</f>
        <v>414972477.7986086</v>
      </c>
      <c r="G381" s="21">
        <f t="shared" ref="G381:O381" si="230">G362-G376</f>
        <v>6799410.4625389781</v>
      </c>
      <c r="H381" s="21">
        <f t="shared" si="230"/>
        <v>8737719.2896419317</v>
      </c>
      <c r="I381" s="21">
        <f t="shared" si="230"/>
        <v>25526350.983562976</v>
      </c>
      <c r="J381" s="21">
        <f t="shared" si="230"/>
        <v>106398698.96041976</v>
      </c>
      <c r="K381" s="21">
        <f t="shared" si="230"/>
        <v>130015116.29441851</v>
      </c>
      <c r="L381" s="21">
        <f t="shared" si="230"/>
        <v>12425172.22563179</v>
      </c>
      <c r="M381" s="21">
        <f t="shared" si="230"/>
        <v>114466556.1014131</v>
      </c>
      <c r="N381" s="21">
        <f t="shared" si="230"/>
        <v>10603453.480981514</v>
      </c>
      <c r="O381" s="21">
        <f t="shared" si="230"/>
        <v>0</v>
      </c>
      <c r="V381" s="51" t="s">
        <v>573</v>
      </c>
    </row>
    <row r="382" spans="2:22">
      <c r="F382" s="47"/>
    </row>
    <row r="383" spans="2:22">
      <c r="B383" s="51" t="s">
        <v>619</v>
      </c>
      <c r="D383" t="s">
        <v>109</v>
      </c>
      <c r="F383" s="84">
        <f>SUM(G383:O383)</f>
        <v>540264191.08956587</v>
      </c>
      <c r="G383" s="98">
        <f>G359+G360*AVERAGE($F$11,$F$12)-G376</f>
        <v>8806852.9742161725</v>
      </c>
      <c r="H383" s="98">
        <f t="shared" ref="H383:O383" si="231">H359+H360*AVERAGE($F$11,$F$12)-H376</f>
        <v>11240638.321582209</v>
      </c>
      <c r="I383" s="98">
        <f t="shared" si="231"/>
        <v>33013544.565957181</v>
      </c>
      <c r="J383" s="98">
        <f t="shared" si="231"/>
        <v>137879493.02769002</v>
      </c>
      <c r="K383" s="98">
        <f t="shared" si="231"/>
        <v>170947988.18462521</v>
      </c>
      <c r="L383" s="98">
        <f t="shared" si="231"/>
        <v>15866636.798814429</v>
      </c>
      <c r="M383" s="98">
        <f t="shared" si="231"/>
        <v>149070961.41096625</v>
      </c>
      <c r="N383" s="98">
        <f t="shared" si="231"/>
        <v>13438075.805714387</v>
      </c>
      <c r="O383" s="98">
        <f t="shared" si="231"/>
        <v>0</v>
      </c>
    </row>
    <row r="384" spans="2:22">
      <c r="B384" s="51" t="s">
        <v>617</v>
      </c>
      <c r="D384" t="s">
        <v>109</v>
      </c>
      <c r="F384" s="84">
        <f>SUM(G384:O384)</f>
        <v>559754013.15704811</v>
      </c>
      <c r="G384" s="98">
        <f>G359+G360*$F$12-G376</f>
        <v>9119121.809365958</v>
      </c>
      <c r="H384" s="98">
        <f t="shared" ref="H384:O384" si="232">H359+H360*$F$12-H376</f>
        <v>11629981.282106254</v>
      </c>
      <c r="I384" s="98">
        <f t="shared" si="232"/>
        <v>34178219.123218507</v>
      </c>
      <c r="J384" s="98">
        <f t="shared" si="232"/>
        <v>142776505.43815428</v>
      </c>
      <c r="K384" s="98">
        <f t="shared" si="232"/>
        <v>177315323.81199068</v>
      </c>
      <c r="L384" s="98">
        <f t="shared" si="232"/>
        <v>16401975.732420614</v>
      </c>
      <c r="M384" s="98">
        <f t="shared" si="232"/>
        <v>154453868.90356341</v>
      </c>
      <c r="N384" s="98">
        <f t="shared" si="232"/>
        <v>13879017.056228392</v>
      </c>
      <c r="O384" s="98">
        <f t="shared" si="232"/>
        <v>0</v>
      </c>
    </row>
    <row r="385" spans="2:20" s="258" customFormat="1">
      <c r="F385" s="47"/>
    </row>
    <row r="386" spans="2:20" s="258" customFormat="1">
      <c r="B386" s="78" t="s">
        <v>757</v>
      </c>
      <c r="D386" s="258" t="s">
        <v>109</v>
      </c>
      <c r="F386" s="84">
        <f>SUM(G386:O386)</f>
        <v>559754013.15704811</v>
      </c>
      <c r="G386" s="98">
        <f>G359+G360*$F$12-G376</f>
        <v>9119121.809365958</v>
      </c>
      <c r="H386" s="98">
        <f t="shared" ref="H386:O386" si="233">H359+H360*$F$12-H376</f>
        <v>11629981.282106254</v>
      </c>
      <c r="I386" s="98">
        <f t="shared" si="233"/>
        <v>34178219.123218507</v>
      </c>
      <c r="J386" s="98">
        <f t="shared" si="233"/>
        <v>142776505.43815428</v>
      </c>
      <c r="K386" s="98">
        <f t="shared" si="233"/>
        <v>177315323.81199068</v>
      </c>
      <c r="L386" s="98">
        <f t="shared" si="233"/>
        <v>16401975.732420614</v>
      </c>
      <c r="M386" s="98">
        <f t="shared" si="233"/>
        <v>154453868.90356341</v>
      </c>
      <c r="N386" s="98">
        <f t="shared" si="233"/>
        <v>13879017.056228392</v>
      </c>
      <c r="O386" s="98">
        <f t="shared" si="233"/>
        <v>0</v>
      </c>
    </row>
    <row r="387" spans="2:20" s="258" customFormat="1">
      <c r="B387" s="78" t="s">
        <v>758</v>
      </c>
      <c r="D387" s="258" t="s">
        <v>109</v>
      </c>
      <c r="F387" s="84">
        <f>SUM(G387:O387)</f>
        <v>3669131.1731922599</v>
      </c>
      <c r="G387" s="98">
        <f>G365+G366*$F$12</f>
        <v>6.9409426659907517E-10</v>
      </c>
      <c r="H387" s="98">
        <f t="shared" ref="H387:O387" si="234">H365+H366*$F$12</f>
        <v>0</v>
      </c>
      <c r="I387" s="98">
        <f t="shared" si="234"/>
        <v>0</v>
      </c>
      <c r="J387" s="98">
        <f t="shared" si="234"/>
        <v>1363533.0164371445</v>
      </c>
      <c r="K387" s="98">
        <f t="shared" si="234"/>
        <v>0</v>
      </c>
      <c r="L387" s="98">
        <f t="shared" si="234"/>
        <v>2305598.1567551149</v>
      </c>
      <c r="M387" s="98">
        <f t="shared" si="234"/>
        <v>0</v>
      </c>
      <c r="N387" s="98">
        <f t="shared" si="234"/>
        <v>0</v>
      </c>
      <c r="O387" s="98">
        <f t="shared" si="234"/>
        <v>0</v>
      </c>
    </row>
    <row r="388" spans="2:20">
      <c r="F388" s="47"/>
    </row>
    <row r="389" spans="2:20">
      <c r="F389" s="62"/>
      <c r="G389" s="42"/>
      <c r="H389" s="42"/>
      <c r="I389" s="42"/>
      <c r="J389" s="42"/>
      <c r="K389" s="42"/>
      <c r="L389" s="42"/>
      <c r="M389" s="42"/>
      <c r="N389" s="42"/>
    </row>
    <row r="390" spans="2:20">
      <c r="B390" s="3" t="s">
        <v>421</v>
      </c>
      <c r="F390" s="47"/>
      <c r="G390" s="55"/>
      <c r="H390" s="3" t="s">
        <v>408</v>
      </c>
      <c r="I390" s="55"/>
      <c r="J390" s="3" t="s">
        <v>411</v>
      </c>
      <c r="K390" s="55"/>
      <c r="L390" s="55"/>
      <c r="M390" s="55"/>
      <c r="N390" s="55"/>
      <c r="O390" s="3" t="s">
        <v>420</v>
      </c>
      <c r="P390" s="55"/>
      <c r="Q390" s="55"/>
      <c r="R390" s="55"/>
      <c r="S390" s="55"/>
      <c r="T390" s="55"/>
    </row>
    <row r="391" spans="2:20">
      <c r="F391" s="47"/>
      <c r="G391" s="28"/>
      <c r="I391" s="28"/>
      <c r="K391" s="28"/>
      <c r="L391" s="28"/>
      <c r="M391" s="28"/>
      <c r="N391" s="28"/>
      <c r="P391" s="28"/>
      <c r="Q391" s="28"/>
      <c r="R391" s="28"/>
      <c r="S391" s="28"/>
      <c r="T391" s="28"/>
    </row>
    <row r="392" spans="2:20">
      <c r="B392" s="3" t="s">
        <v>142</v>
      </c>
      <c r="F392" s="47"/>
      <c r="G392" s="28"/>
      <c r="I392" s="28"/>
      <c r="K392" s="28"/>
      <c r="L392" s="28"/>
      <c r="M392" s="28"/>
      <c r="N392" s="28"/>
      <c r="P392" s="28"/>
      <c r="Q392" s="28"/>
      <c r="R392" s="28"/>
      <c r="S392" s="28"/>
      <c r="T392" s="28"/>
    </row>
    <row r="393" spans="2:20">
      <c r="B393" t="s">
        <v>143</v>
      </c>
      <c r="D393" t="s">
        <v>109</v>
      </c>
      <c r="F393" s="83">
        <f>SUM(G393:O393)</f>
        <v>0</v>
      </c>
      <c r="G393" s="29"/>
      <c r="H393" s="39">
        <f>I303</f>
        <v>0</v>
      </c>
      <c r="I393" s="29"/>
      <c r="J393" s="97">
        <f>N303</f>
        <v>0</v>
      </c>
      <c r="K393" s="29"/>
      <c r="L393" s="29"/>
      <c r="M393" s="29"/>
      <c r="N393" s="29"/>
      <c r="O393" s="97">
        <f>T303</f>
        <v>0</v>
      </c>
      <c r="P393" s="29"/>
      <c r="Q393" s="29"/>
      <c r="R393" s="29"/>
      <c r="S393" s="29"/>
      <c r="T393" s="29"/>
    </row>
    <row r="394" spans="2:20">
      <c r="B394" t="s">
        <v>144</v>
      </c>
      <c r="D394" t="s">
        <v>109</v>
      </c>
      <c r="F394" s="83">
        <f>SUM(G394:O394)</f>
        <v>1342193.3871510758</v>
      </c>
      <c r="G394" s="29"/>
      <c r="H394" s="39">
        <f>I304</f>
        <v>263032.81425292196</v>
      </c>
      <c r="I394" s="29"/>
      <c r="J394" s="97">
        <f>N304</f>
        <v>7648.6390157186697</v>
      </c>
      <c r="K394" s="29"/>
      <c r="L394" s="29"/>
      <c r="M394" s="29"/>
      <c r="N394" s="29"/>
      <c r="O394" s="97">
        <f>T304</f>
        <v>1071511.9338824351</v>
      </c>
      <c r="P394" s="29"/>
      <c r="Q394" s="29"/>
      <c r="R394" s="29"/>
      <c r="S394" s="29"/>
      <c r="T394" s="29"/>
    </row>
    <row r="395" spans="2:20">
      <c r="B395" t="s">
        <v>145</v>
      </c>
      <c r="D395" t="s">
        <v>109</v>
      </c>
      <c r="F395" s="83">
        <f>SUM(G395:O395)</f>
        <v>52783606.994745746</v>
      </c>
      <c r="G395" s="29"/>
      <c r="H395" s="39">
        <f>I305</f>
        <v>10597638.591262756</v>
      </c>
      <c r="I395" s="29"/>
      <c r="J395" s="97">
        <f>N305</f>
        <v>319484.66896332591</v>
      </c>
      <c r="K395" s="29"/>
      <c r="L395" s="29"/>
      <c r="M395" s="29"/>
      <c r="N395" s="29"/>
      <c r="O395" s="97">
        <f>T305</f>
        <v>41866483.73451966</v>
      </c>
      <c r="P395" s="29"/>
      <c r="Q395" s="29"/>
      <c r="R395" s="29"/>
      <c r="S395" s="29"/>
      <c r="T395" s="29"/>
    </row>
    <row r="396" spans="2:20">
      <c r="F396" s="47"/>
      <c r="G396" s="29"/>
      <c r="H396" s="29"/>
      <c r="I396" s="29"/>
      <c r="J396" s="29"/>
      <c r="K396" s="29"/>
      <c r="L396" s="29"/>
      <c r="M396" s="29"/>
      <c r="N396" s="29"/>
      <c r="O396" s="28"/>
      <c r="P396" s="28"/>
      <c r="Q396" s="28"/>
      <c r="R396" s="28"/>
      <c r="S396" s="28"/>
      <c r="T396" s="28"/>
    </row>
    <row r="397" spans="2:20">
      <c r="B397" s="3" t="s">
        <v>146</v>
      </c>
      <c r="F397" s="47"/>
      <c r="G397" s="29"/>
      <c r="H397" s="29"/>
      <c r="I397" s="29"/>
      <c r="J397" s="29"/>
      <c r="K397" s="29"/>
      <c r="L397" s="29"/>
      <c r="M397" s="29"/>
      <c r="N397" s="29"/>
      <c r="O397" s="28"/>
      <c r="P397" s="28"/>
      <c r="Q397" s="28"/>
      <c r="R397" s="28"/>
      <c r="S397" s="28"/>
      <c r="T397" s="28"/>
    </row>
    <row r="398" spans="2:20">
      <c r="B398" t="s">
        <v>147</v>
      </c>
      <c r="D398" t="s">
        <v>109</v>
      </c>
      <c r="F398" s="83">
        <f>SUM(G398:O398)</f>
        <v>101597</v>
      </c>
      <c r="G398" s="29"/>
      <c r="H398" s="39">
        <f>I308</f>
        <v>0</v>
      </c>
      <c r="I398" s="29"/>
      <c r="J398" s="97">
        <f>N308</f>
        <v>0</v>
      </c>
      <c r="K398" s="29"/>
      <c r="L398" s="29"/>
      <c r="M398" s="29"/>
      <c r="N398" s="29"/>
      <c r="O398" s="97">
        <f>T308</f>
        <v>101597</v>
      </c>
      <c r="P398" s="29"/>
      <c r="Q398" s="29"/>
      <c r="R398" s="29"/>
      <c r="S398" s="29"/>
      <c r="T398" s="29"/>
    </row>
    <row r="399" spans="2:20">
      <c r="B399" t="s">
        <v>139</v>
      </c>
      <c r="D399" t="s">
        <v>109</v>
      </c>
      <c r="F399" s="83">
        <f>SUM(G399:O399)</f>
        <v>115446.81149952534</v>
      </c>
      <c r="G399" s="29"/>
      <c r="H399" s="39">
        <f>I309</f>
        <v>0</v>
      </c>
      <c r="I399" s="29"/>
      <c r="J399" s="97">
        <f>N309</f>
        <v>0</v>
      </c>
      <c r="K399" s="29"/>
      <c r="L399" s="29"/>
      <c r="M399" s="29"/>
      <c r="N399" s="29"/>
      <c r="O399" s="97">
        <f>T309</f>
        <v>115446.81149952534</v>
      </c>
      <c r="P399" s="29"/>
      <c r="Q399" s="29"/>
      <c r="R399" s="29"/>
      <c r="S399" s="29"/>
      <c r="T399" s="29"/>
    </row>
    <row r="400" spans="2:20">
      <c r="B400" t="s">
        <v>148</v>
      </c>
      <c r="D400" t="s">
        <v>109</v>
      </c>
      <c r="F400" s="83">
        <f>SUM(G400:O400)</f>
        <v>570095.93681192514</v>
      </c>
      <c r="G400" s="29"/>
      <c r="H400" s="39">
        <f>I310</f>
        <v>0</v>
      </c>
      <c r="I400" s="29"/>
      <c r="J400" s="97">
        <f>N310</f>
        <v>0</v>
      </c>
      <c r="K400" s="29"/>
      <c r="L400" s="29"/>
      <c r="M400" s="29"/>
      <c r="N400" s="29"/>
      <c r="O400" s="97">
        <f>T310</f>
        <v>570095.93681192514</v>
      </c>
      <c r="P400" s="29"/>
      <c r="Q400" s="29"/>
      <c r="R400" s="29"/>
      <c r="S400" s="29"/>
      <c r="T400" s="29"/>
    </row>
    <row r="401" spans="2:20">
      <c r="F401" s="47"/>
      <c r="G401" s="29"/>
      <c r="H401" s="29"/>
      <c r="I401" s="29"/>
      <c r="J401" s="29"/>
      <c r="K401" s="29"/>
      <c r="L401" s="29"/>
      <c r="M401" s="29"/>
      <c r="N401" s="29"/>
      <c r="O401" s="28"/>
      <c r="P401" s="28"/>
      <c r="Q401" s="28"/>
      <c r="R401" s="28"/>
      <c r="S401" s="28"/>
      <c r="T401" s="28"/>
    </row>
    <row r="402" spans="2:20">
      <c r="B402" s="3" t="s">
        <v>149</v>
      </c>
      <c r="F402" s="47"/>
      <c r="G402" s="29"/>
      <c r="H402" s="29"/>
      <c r="I402" s="29"/>
      <c r="J402" s="29"/>
      <c r="K402" s="29"/>
      <c r="L402" s="29"/>
      <c r="M402" s="29"/>
      <c r="N402" s="29"/>
      <c r="O402" s="28"/>
      <c r="P402" s="28"/>
      <c r="Q402" s="28"/>
      <c r="R402" s="28"/>
      <c r="S402" s="28"/>
      <c r="T402" s="28"/>
    </row>
    <row r="403" spans="2:20">
      <c r="B403" t="s">
        <v>150</v>
      </c>
      <c r="D403" t="s">
        <v>109</v>
      </c>
      <c r="F403" s="83">
        <f>SUM(G403:O403)</f>
        <v>0</v>
      </c>
      <c r="G403" s="29"/>
      <c r="H403" s="39">
        <f>I313</f>
        <v>0</v>
      </c>
      <c r="I403" s="29"/>
      <c r="J403" s="97">
        <f>N313</f>
        <v>0</v>
      </c>
      <c r="K403" s="29"/>
      <c r="L403" s="29"/>
      <c r="M403" s="29"/>
      <c r="N403" s="29"/>
      <c r="O403" s="97">
        <f>T313</f>
        <v>0</v>
      </c>
      <c r="P403" s="29"/>
      <c r="Q403" s="29"/>
      <c r="R403" s="29"/>
      <c r="S403" s="29"/>
      <c r="T403" s="29"/>
    </row>
    <row r="404" spans="2:20">
      <c r="B404" t="s">
        <v>151</v>
      </c>
      <c r="D404" t="s">
        <v>109</v>
      </c>
      <c r="F404" s="83">
        <f>SUM(G404:O404)</f>
        <v>0</v>
      </c>
      <c r="G404" s="29"/>
      <c r="H404" s="39">
        <f>I314</f>
        <v>0</v>
      </c>
      <c r="I404" s="29"/>
      <c r="J404" s="97">
        <f>N314</f>
        <v>0</v>
      </c>
      <c r="K404" s="29"/>
      <c r="L404" s="29"/>
      <c r="M404" s="29"/>
      <c r="N404" s="29"/>
      <c r="O404" s="97">
        <f>T314</f>
        <v>0</v>
      </c>
      <c r="P404" s="29"/>
      <c r="Q404" s="29"/>
      <c r="R404" s="29"/>
      <c r="S404" s="29"/>
      <c r="T404" s="29"/>
    </row>
    <row r="405" spans="2:20">
      <c r="B405" t="s">
        <v>152</v>
      </c>
      <c r="D405" t="s">
        <v>109</v>
      </c>
      <c r="F405" s="83">
        <f>SUM(G405:O405)</f>
        <v>0</v>
      </c>
      <c r="G405" s="29"/>
      <c r="H405" s="39">
        <f>I315</f>
        <v>0</v>
      </c>
      <c r="I405" s="29"/>
      <c r="J405" s="97">
        <f>N315</f>
        <v>0</v>
      </c>
      <c r="K405" s="29"/>
      <c r="L405" s="29"/>
      <c r="M405" s="29"/>
      <c r="N405" s="29"/>
      <c r="O405" s="97">
        <f>T315</f>
        <v>0</v>
      </c>
      <c r="P405" s="29"/>
      <c r="Q405" s="29"/>
      <c r="R405" s="29"/>
      <c r="S405" s="29"/>
      <c r="T405" s="29"/>
    </row>
    <row r="406" spans="2:20">
      <c r="F406" s="47"/>
      <c r="G406" s="29"/>
      <c r="H406" s="29"/>
      <c r="I406" s="29"/>
      <c r="J406" s="29"/>
      <c r="K406" s="29"/>
      <c r="L406" s="29"/>
      <c r="M406" s="29"/>
      <c r="N406" s="29"/>
      <c r="O406" s="28"/>
      <c r="P406" s="28"/>
      <c r="Q406" s="28"/>
      <c r="R406" s="28"/>
      <c r="S406" s="28"/>
      <c r="T406" s="28"/>
    </row>
    <row r="407" spans="2:20">
      <c r="B407" s="3" t="s">
        <v>153</v>
      </c>
      <c r="F407" s="47"/>
      <c r="G407" s="29"/>
      <c r="H407" s="29"/>
      <c r="I407" s="29"/>
      <c r="J407" s="29"/>
      <c r="K407" s="29"/>
      <c r="L407" s="29"/>
      <c r="M407" s="29"/>
      <c r="N407" s="29"/>
      <c r="O407" s="28"/>
      <c r="P407" s="28"/>
      <c r="Q407" s="28"/>
      <c r="R407" s="28"/>
      <c r="S407" s="28"/>
      <c r="T407" s="28"/>
    </row>
    <row r="408" spans="2:20">
      <c r="B408" t="s">
        <v>154</v>
      </c>
      <c r="D408" t="s">
        <v>109</v>
      </c>
      <c r="F408" s="83">
        <f>SUM(G408:O408)</f>
        <v>0</v>
      </c>
      <c r="G408" s="29"/>
      <c r="H408" s="39">
        <f>I318</f>
        <v>0</v>
      </c>
      <c r="I408" s="29"/>
      <c r="J408" s="97">
        <f>N318</f>
        <v>0</v>
      </c>
      <c r="K408" s="29"/>
      <c r="L408" s="29"/>
      <c r="M408" s="29"/>
      <c r="N408" s="29"/>
      <c r="O408" s="97">
        <f>T318</f>
        <v>0</v>
      </c>
      <c r="P408" s="29"/>
      <c r="Q408" s="29"/>
      <c r="R408" s="29"/>
      <c r="S408" s="29"/>
      <c r="T408" s="29"/>
    </row>
    <row r="409" spans="2:20">
      <c r="B409" t="s">
        <v>155</v>
      </c>
      <c r="D409" t="s">
        <v>109</v>
      </c>
      <c r="F409" s="83">
        <f>SUM(G409:O409)</f>
        <v>0</v>
      </c>
      <c r="G409" s="29"/>
      <c r="H409" s="39">
        <f>I319</f>
        <v>0</v>
      </c>
      <c r="I409" s="29"/>
      <c r="J409" s="97">
        <f>N319</f>
        <v>0</v>
      </c>
      <c r="K409" s="29"/>
      <c r="L409" s="29"/>
      <c r="M409" s="29"/>
      <c r="N409" s="29"/>
      <c r="O409" s="97">
        <f>T319</f>
        <v>0</v>
      </c>
      <c r="P409" s="29"/>
      <c r="Q409" s="29"/>
      <c r="R409" s="29"/>
      <c r="S409" s="29"/>
      <c r="T409" s="29"/>
    </row>
    <row r="410" spans="2:20">
      <c r="B410" t="s">
        <v>156</v>
      </c>
      <c r="D410" t="s">
        <v>109</v>
      </c>
      <c r="F410" s="83">
        <f>SUM(G410:O410)</f>
        <v>0</v>
      </c>
      <c r="G410" s="29"/>
      <c r="H410" s="39">
        <f>I320</f>
        <v>0</v>
      </c>
      <c r="I410" s="29"/>
      <c r="J410" s="97">
        <f>N320</f>
        <v>0</v>
      </c>
      <c r="K410" s="29"/>
      <c r="L410" s="29"/>
      <c r="M410" s="29"/>
      <c r="N410" s="29"/>
      <c r="O410" s="97">
        <f>T320</f>
        <v>0</v>
      </c>
      <c r="P410" s="29"/>
      <c r="Q410" s="29"/>
      <c r="R410" s="29"/>
      <c r="S410" s="29"/>
      <c r="T410" s="29"/>
    </row>
    <row r="411" spans="2:20">
      <c r="F411" s="47"/>
      <c r="G411" s="29"/>
      <c r="H411" s="29"/>
      <c r="I411" s="29"/>
      <c r="J411" s="29"/>
      <c r="K411" s="29"/>
      <c r="L411" s="29"/>
      <c r="M411" s="29"/>
      <c r="N411" s="29"/>
      <c r="O411" s="28"/>
      <c r="P411" s="28"/>
      <c r="Q411" s="28"/>
      <c r="R411" s="28"/>
      <c r="S411" s="28"/>
      <c r="T411" s="28"/>
    </row>
    <row r="412" spans="2:20">
      <c r="B412" s="3" t="s">
        <v>157</v>
      </c>
      <c r="F412" s="47"/>
      <c r="G412" s="29"/>
      <c r="H412" s="29"/>
      <c r="I412" s="29"/>
      <c r="J412" s="29"/>
      <c r="K412" s="29"/>
      <c r="L412" s="29"/>
      <c r="M412" s="29"/>
      <c r="N412" s="29"/>
      <c r="O412" s="28"/>
      <c r="P412" s="28"/>
      <c r="Q412" s="28"/>
      <c r="R412" s="28"/>
      <c r="S412" s="28"/>
      <c r="T412" s="28"/>
    </row>
    <row r="413" spans="2:20">
      <c r="B413" t="s">
        <v>158</v>
      </c>
      <c r="D413" t="s">
        <v>109</v>
      </c>
      <c r="F413" s="83">
        <f>SUM(G413:O413)</f>
        <v>0</v>
      </c>
      <c r="G413" s="29"/>
      <c r="H413" s="39">
        <f>I323</f>
        <v>0</v>
      </c>
      <c r="I413" s="29"/>
      <c r="J413" s="97">
        <f>N323</f>
        <v>0</v>
      </c>
      <c r="K413" s="29"/>
      <c r="L413" s="29"/>
      <c r="M413" s="29"/>
      <c r="N413" s="29"/>
      <c r="O413" s="97">
        <f>T323</f>
        <v>0</v>
      </c>
      <c r="P413" s="29"/>
      <c r="Q413" s="29"/>
      <c r="R413" s="29"/>
      <c r="S413" s="29"/>
      <c r="T413" s="29"/>
    </row>
    <row r="414" spans="2:20">
      <c r="B414" t="s">
        <v>159</v>
      </c>
      <c r="D414" t="s">
        <v>109</v>
      </c>
      <c r="F414" s="83">
        <f>SUM(G414:O414)</f>
        <v>0</v>
      </c>
      <c r="G414" s="29"/>
      <c r="H414" s="39">
        <f>I324</f>
        <v>0</v>
      </c>
      <c r="I414" s="29"/>
      <c r="J414" s="97">
        <f>N324</f>
        <v>0</v>
      </c>
      <c r="K414" s="29"/>
      <c r="L414" s="29"/>
      <c r="M414" s="29"/>
      <c r="N414" s="29"/>
      <c r="O414" s="97">
        <f>T324</f>
        <v>0</v>
      </c>
      <c r="P414" s="29"/>
      <c r="Q414" s="29"/>
      <c r="R414" s="29"/>
      <c r="S414" s="29"/>
      <c r="T414" s="29"/>
    </row>
    <row r="415" spans="2:20">
      <c r="B415" t="s">
        <v>160</v>
      </c>
      <c r="D415" t="s">
        <v>109</v>
      </c>
      <c r="F415" s="83">
        <f>SUM(G415:O415)</f>
        <v>0</v>
      </c>
      <c r="G415" s="29"/>
      <c r="H415" s="39">
        <f>I325</f>
        <v>0</v>
      </c>
      <c r="I415" s="29"/>
      <c r="J415" s="97">
        <f>N325</f>
        <v>0</v>
      </c>
      <c r="K415" s="29"/>
      <c r="L415" s="29"/>
      <c r="M415" s="29"/>
      <c r="N415" s="29"/>
      <c r="O415" s="97">
        <f>T325</f>
        <v>0</v>
      </c>
      <c r="P415" s="29"/>
      <c r="Q415" s="29"/>
      <c r="R415" s="29"/>
      <c r="S415" s="29"/>
      <c r="T415" s="29"/>
    </row>
    <row r="416" spans="2:20">
      <c r="F416" s="47"/>
    </row>
    <row r="417" spans="2:22">
      <c r="F417" s="47"/>
    </row>
    <row r="418" spans="2:22">
      <c r="B418" s="3" t="s">
        <v>422</v>
      </c>
      <c r="F418" s="47"/>
    </row>
    <row r="419" spans="2:22">
      <c r="F419" s="47"/>
    </row>
    <row r="420" spans="2:22">
      <c r="B420" s="3" t="s">
        <v>425</v>
      </c>
      <c r="F420" s="47"/>
    </row>
    <row r="421" spans="2:22">
      <c r="B421" t="s">
        <v>139</v>
      </c>
      <c r="D421" t="s">
        <v>109</v>
      </c>
      <c r="F421" s="83">
        <f>SUM(G421:O421)</f>
        <v>1457640.1986506011</v>
      </c>
      <c r="G421" s="29"/>
      <c r="H421" s="24">
        <f t="shared" ref="H421:H422" si="235">H394+H399+H409+H414</f>
        <v>263032.81425292196</v>
      </c>
      <c r="I421" s="29"/>
      <c r="J421" s="24">
        <f t="shared" ref="J421:J422" si="236">J394+J399+J409+J414</f>
        <v>7648.6390157186697</v>
      </c>
      <c r="K421" s="29"/>
      <c r="L421" s="29"/>
      <c r="M421" s="29"/>
      <c r="N421" s="29"/>
      <c r="O421" s="24">
        <f t="shared" ref="O421:O422" si="237">O394+O399+O409+O414</f>
        <v>1186958.7453819604</v>
      </c>
      <c r="V421" s="51" t="s">
        <v>570</v>
      </c>
    </row>
    <row r="422" spans="2:22">
      <c r="B422" t="s">
        <v>165</v>
      </c>
      <c r="D422" t="s">
        <v>109</v>
      </c>
      <c r="F422" s="83">
        <f>SUM(G422:O422)</f>
        <v>53353702.93155767</v>
      </c>
      <c r="G422" s="29"/>
      <c r="H422" s="24">
        <f t="shared" si="235"/>
        <v>10597638.591262756</v>
      </c>
      <c r="I422" s="29"/>
      <c r="J422" s="24">
        <f t="shared" si="236"/>
        <v>319484.66896332591</v>
      </c>
      <c r="K422" s="29"/>
      <c r="L422" s="29"/>
      <c r="M422" s="29"/>
      <c r="N422" s="29"/>
      <c r="O422" s="24">
        <f t="shared" si="237"/>
        <v>42436579.671331584</v>
      </c>
      <c r="V422" s="51" t="s">
        <v>571</v>
      </c>
    </row>
    <row r="423" spans="2:22">
      <c r="B423" t="s">
        <v>166</v>
      </c>
      <c r="D423" t="s">
        <v>109</v>
      </c>
      <c r="F423" s="83">
        <f>SUM(G423:O423)</f>
        <v>1920733.305536076</v>
      </c>
      <c r="G423" s="29"/>
      <c r="H423" s="24">
        <f t="shared" ref="H423" si="238">H422*$F$13</f>
        <v>381514.98928545916</v>
      </c>
      <c r="I423" s="29"/>
      <c r="J423" s="24">
        <f t="shared" ref="J423" si="239">J422*$F$13</f>
        <v>11501.448082679732</v>
      </c>
      <c r="K423" s="29"/>
      <c r="L423" s="29"/>
      <c r="M423" s="29"/>
      <c r="N423" s="29"/>
      <c r="O423" s="24">
        <f t="shared" ref="O423" si="240">O422*$F$13</f>
        <v>1527716.868167937</v>
      </c>
      <c r="V423" s="51" t="s">
        <v>572</v>
      </c>
    </row>
    <row r="424" spans="2:22">
      <c r="B424" t="s">
        <v>169</v>
      </c>
      <c r="D424" t="s">
        <v>109</v>
      </c>
      <c r="F424" s="83">
        <f>SUM(G424:O424)</f>
        <v>3378373.5041866768</v>
      </c>
      <c r="G424" s="54"/>
      <c r="H424" s="21">
        <f t="shared" ref="H424" si="241">H421+H423</f>
        <v>644547.80353838112</v>
      </c>
      <c r="I424" s="54"/>
      <c r="J424" s="21">
        <f t="shared" ref="J424" si="242">J421+J423</f>
        <v>19150.087098398402</v>
      </c>
      <c r="K424" s="54"/>
      <c r="L424" s="54"/>
      <c r="M424" s="54"/>
      <c r="N424" s="54"/>
      <c r="O424" s="21">
        <f t="shared" ref="O424" si="243">O421+O423</f>
        <v>2714675.6135498974</v>
      </c>
      <c r="V424" s="51" t="s">
        <v>573</v>
      </c>
    </row>
    <row r="425" spans="2:22">
      <c r="F425" s="47"/>
    </row>
    <row r="426" spans="2:22">
      <c r="F426" s="47"/>
    </row>
    <row r="427" spans="2:22">
      <c r="B427" s="3" t="s">
        <v>170</v>
      </c>
      <c r="F427" s="47"/>
      <c r="K427" s="28"/>
      <c r="L427" s="28"/>
      <c r="M427" s="28"/>
      <c r="N427" s="28"/>
    </row>
    <row r="428" spans="2:22">
      <c r="F428" s="47"/>
      <c r="G428" s="28"/>
      <c r="I428" s="28"/>
      <c r="K428" s="28"/>
      <c r="L428" s="28"/>
      <c r="M428" s="28"/>
      <c r="N428" s="28"/>
    </row>
    <row r="429" spans="2:22">
      <c r="B429" s="51" t="s">
        <v>427</v>
      </c>
      <c r="D429" t="s">
        <v>109</v>
      </c>
      <c r="F429" s="83">
        <f>SUM(G429:O429)</f>
        <v>0</v>
      </c>
      <c r="G429" s="29"/>
      <c r="H429" s="8"/>
      <c r="I429" s="29"/>
      <c r="J429" s="8"/>
      <c r="K429" s="29"/>
      <c r="L429" s="29"/>
      <c r="M429" s="29"/>
      <c r="N429" s="29"/>
      <c r="O429" s="8"/>
    </row>
    <row r="430" spans="2:22">
      <c r="B430" s="51" t="s">
        <v>428</v>
      </c>
      <c r="D430" t="s">
        <v>109</v>
      </c>
      <c r="F430" s="83">
        <f>SUM(G430:O430)</f>
        <v>0</v>
      </c>
      <c r="G430" s="29"/>
      <c r="H430" s="8"/>
      <c r="I430" s="29"/>
      <c r="J430" s="8"/>
      <c r="K430" s="29"/>
      <c r="L430" s="29"/>
      <c r="M430" s="29"/>
      <c r="N430" s="29"/>
      <c r="O430" s="8"/>
    </row>
    <row r="431" spans="2:22">
      <c r="B431" s="51" t="s">
        <v>429</v>
      </c>
      <c r="D431" t="s">
        <v>109</v>
      </c>
      <c r="F431" s="83">
        <f>SUM(G431:O431)</f>
        <v>0</v>
      </c>
      <c r="G431" s="29"/>
      <c r="H431" s="8"/>
      <c r="I431" s="29"/>
      <c r="J431" s="8"/>
      <c r="K431" s="29"/>
      <c r="L431" s="29"/>
      <c r="M431" s="29"/>
      <c r="N431" s="29"/>
      <c r="O431" s="8"/>
    </row>
    <row r="432" spans="2:22">
      <c r="B432" s="51" t="s">
        <v>426</v>
      </c>
      <c r="D432" t="s">
        <v>109</v>
      </c>
      <c r="F432" s="83">
        <f>SUM(G432:O432)</f>
        <v>0</v>
      </c>
      <c r="G432" s="29"/>
      <c r="H432" s="24">
        <f>SUM(H429:H431)</f>
        <v>0</v>
      </c>
      <c r="I432" s="29"/>
      <c r="J432" s="24">
        <f>SUM(J429:J431)</f>
        <v>0</v>
      </c>
      <c r="K432" s="29"/>
      <c r="L432" s="29"/>
      <c r="M432" s="29"/>
      <c r="N432" s="29"/>
      <c r="O432" s="24">
        <f>SUM(O429:O431)</f>
        <v>0</v>
      </c>
    </row>
    <row r="433" spans="2:22">
      <c r="F433" s="47"/>
      <c r="G433" s="28"/>
      <c r="I433" s="28"/>
      <c r="K433" s="28"/>
      <c r="L433" s="28"/>
      <c r="M433" s="28"/>
      <c r="N433" s="28"/>
    </row>
    <row r="434" spans="2:22">
      <c r="F434" s="47"/>
      <c r="G434" s="28"/>
      <c r="I434" s="28"/>
      <c r="K434" s="28"/>
      <c r="L434" s="28"/>
      <c r="M434" s="28"/>
      <c r="N434" s="28"/>
    </row>
    <row r="435" spans="2:22">
      <c r="B435" s="3" t="s">
        <v>423</v>
      </c>
      <c r="F435" s="47"/>
      <c r="G435" s="28"/>
      <c r="I435" s="28"/>
      <c r="K435" s="28"/>
      <c r="L435" s="28"/>
      <c r="M435" s="28"/>
      <c r="N435" s="28"/>
    </row>
    <row r="436" spans="2:22">
      <c r="F436" s="47"/>
      <c r="G436" s="28"/>
      <c r="I436" s="28"/>
      <c r="K436" s="28"/>
      <c r="L436" s="28"/>
      <c r="M436" s="28"/>
      <c r="N436" s="28"/>
    </row>
    <row r="437" spans="2:22">
      <c r="B437" s="51" t="s">
        <v>424</v>
      </c>
      <c r="D437" t="s">
        <v>109</v>
      </c>
      <c r="F437" s="84">
        <f>SUM(G437:O437)</f>
        <v>3378373.5041866768</v>
      </c>
      <c r="G437" s="54"/>
      <c r="H437" s="21">
        <f>H424-H432</f>
        <v>644547.80353838112</v>
      </c>
      <c r="I437" s="54"/>
      <c r="J437" s="21">
        <f>J424-J432</f>
        <v>19150.087098398402</v>
      </c>
      <c r="K437" s="54"/>
      <c r="L437" s="54"/>
      <c r="M437" s="54"/>
      <c r="N437" s="54"/>
      <c r="O437" s="21">
        <f>O424-O432</f>
        <v>2714675.6135498974</v>
      </c>
      <c r="V437" s="51" t="s">
        <v>573</v>
      </c>
    </row>
    <row r="438" spans="2:22" s="258" customFormat="1">
      <c r="F438" s="47"/>
    </row>
    <row r="439" spans="2:22" s="258" customFormat="1">
      <c r="B439" s="78" t="s">
        <v>759</v>
      </c>
      <c r="D439" s="258" t="s">
        <v>109</v>
      </c>
      <c r="F439" s="84">
        <f>SUM(G439:O439)</f>
        <v>4765569.7804071764</v>
      </c>
      <c r="H439" s="98">
        <f>H421+H422*$F$12-H432</f>
        <v>920086.40691121283</v>
      </c>
      <c r="J439" s="98">
        <f>J421+J422*$F$12-J432</f>
        <v>27456.688491444875</v>
      </c>
      <c r="O439" s="98">
        <f>O421+O422*$F$12-O432</f>
        <v>3818026.6850045184</v>
      </c>
    </row>
    <row r="440" spans="2:22">
      <c r="F440" s="47"/>
    </row>
    <row r="441" spans="2:22">
      <c r="F441" s="62"/>
      <c r="G441" s="42"/>
      <c r="H441" s="42"/>
      <c r="I441" s="42"/>
      <c r="J441" s="42"/>
      <c r="K441" s="42"/>
      <c r="L441" s="42"/>
      <c r="M441" s="42"/>
      <c r="N441" s="42"/>
    </row>
    <row r="442" spans="2:22" s="2" customFormat="1">
      <c r="B442" s="2" t="s">
        <v>179</v>
      </c>
      <c r="F442" s="49"/>
    </row>
    <row r="443" spans="2:22">
      <c r="F443" s="47"/>
    </row>
    <row r="444" spans="2:22">
      <c r="B444" s="3" t="s">
        <v>164</v>
      </c>
      <c r="F444" s="47"/>
      <c r="G444" s="3" t="s">
        <v>96</v>
      </c>
      <c r="H444" s="3" t="s">
        <v>407</v>
      </c>
      <c r="I444" s="3" t="s">
        <v>408</v>
      </c>
      <c r="J444" s="3" t="s">
        <v>98</v>
      </c>
      <c r="K444" s="3" t="s">
        <v>409</v>
      </c>
      <c r="L444" s="3" t="s">
        <v>99</v>
      </c>
      <c r="M444" s="3" t="s">
        <v>410</v>
      </c>
      <c r="N444" s="3" t="s">
        <v>411</v>
      </c>
      <c r="O444" s="3" t="s">
        <v>100</v>
      </c>
      <c r="P444" s="3" t="s">
        <v>412</v>
      </c>
      <c r="Q444" s="3" t="s">
        <v>413</v>
      </c>
      <c r="R444" s="3" t="s">
        <v>102</v>
      </c>
      <c r="S444" s="3" t="s">
        <v>103</v>
      </c>
      <c r="T444" s="3" t="s">
        <v>414</v>
      </c>
    </row>
    <row r="445" spans="2:22">
      <c r="F445" s="47"/>
    </row>
    <row r="446" spans="2:22">
      <c r="B446" s="3" t="s">
        <v>142</v>
      </c>
      <c r="F446" s="47"/>
    </row>
    <row r="447" spans="2:22">
      <c r="B447" t="s">
        <v>143</v>
      </c>
      <c r="D447" t="s">
        <v>110</v>
      </c>
      <c r="F447" s="83">
        <f>SUM(G447:T447)</f>
        <v>0</v>
      </c>
      <c r="G447" s="39">
        <f>'Import GAW-sheet'!G188</f>
        <v>0</v>
      </c>
      <c r="H447" s="39">
        <f>'Import GAW-sheet'!H188</f>
        <v>0</v>
      </c>
      <c r="I447" s="39">
        <f>'Import GAW-sheet'!I188</f>
        <v>0</v>
      </c>
      <c r="J447" s="39">
        <f>'Import GAW-sheet'!J188</f>
        <v>0</v>
      </c>
      <c r="K447" s="39">
        <f>'Import GAW-sheet'!K188</f>
        <v>0</v>
      </c>
      <c r="L447" s="39">
        <f>'Import GAW-sheet'!L188</f>
        <v>0</v>
      </c>
      <c r="M447" s="39">
        <f>'Import GAW-sheet'!M188</f>
        <v>0</v>
      </c>
      <c r="N447" s="39">
        <f>'Import GAW-sheet'!N188</f>
        <v>0</v>
      </c>
      <c r="O447" s="39">
        <f>'Import GAW-sheet'!O188</f>
        <v>0</v>
      </c>
      <c r="P447" s="39">
        <f>'Import GAW-sheet'!P188</f>
        <v>0</v>
      </c>
      <c r="Q447" s="39">
        <f>'Import GAW-sheet'!Q188</f>
        <v>0</v>
      </c>
      <c r="R447" s="39">
        <f>'Import GAW-sheet'!R188</f>
        <v>0</v>
      </c>
      <c r="S447" s="39">
        <f>'Import GAW-sheet'!S188</f>
        <v>0</v>
      </c>
      <c r="T447" s="39">
        <f>'Import GAW-sheet'!T188</f>
        <v>0</v>
      </c>
    </row>
    <row r="448" spans="2:22">
      <c r="B448" t="s">
        <v>144</v>
      </c>
      <c r="D448" t="s">
        <v>110</v>
      </c>
      <c r="F448" s="83">
        <f>SUM(G448:T448)</f>
        <v>189029238.79143164</v>
      </c>
      <c r="G448" s="39">
        <f>'Import GAW-sheet'!G189</f>
        <v>3367575.5940903677</v>
      </c>
      <c r="H448" s="39">
        <f>'Import GAW-sheet'!H189</f>
        <v>3602004.6137498766</v>
      </c>
      <c r="I448" s="39">
        <f>'Import GAW-sheet'!I189</f>
        <v>269871.66742349794</v>
      </c>
      <c r="J448" s="39">
        <f>'Import GAW-sheet'!J189</f>
        <v>6443126.0494219586</v>
      </c>
      <c r="K448" s="39">
        <f>'Import GAW-sheet'!K189</f>
        <v>6120198.1039414722</v>
      </c>
      <c r="L448" s="39">
        <f>'Import GAW-sheet'!L189</f>
        <v>35373240.698807083</v>
      </c>
      <c r="M448" s="39">
        <f>'Import GAW-sheet'!M189</f>
        <v>6642453.8179065334</v>
      </c>
      <c r="N448" s="39">
        <f>'Import GAW-sheet'!N189</f>
        <v>7847.5036301273558</v>
      </c>
      <c r="O448" s="39">
        <f>'Import GAW-sheet'!O189</f>
        <v>59830583.563501686</v>
      </c>
      <c r="P448" s="39">
        <f>'Import GAW-sheet'!P189</f>
        <v>1096998.2046152386</v>
      </c>
      <c r="Q448" s="39">
        <f>'Import GAW-sheet'!Q189</f>
        <v>5430145.3424974447</v>
      </c>
      <c r="R448" s="39">
        <f>'Import GAW-sheet'!R189</f>
        <v>54099910.963776879</v>
      </c>
      <c r="S448" s="39">
        <f>'Import GAW-sheet'!S189</f>
        <v>5645911.4239061056</v>
      </c>
      <c r="T448" s="39">
        <f>'Import GAW-sheet'!T189</f>
        <v>1099371.2441633786</v>
      </c>
    </row>
    <row r="449" spans="2:20">
      <c r="B449" t="s">
        <v>145</v>
      </c>
      <c r="D449" t="s">
        <v>110</v>
      </c>
      <c r="F449" s="83">
        <f>SUM(G449:T449)</f>
        <v>4630670961.7130079</v>
      </c>
      <c r="G449" s="39">
        <f>'Import GAW-sheet'!G190</f>
        <v>74423420.629397124</v>
      </c>
      <c r="H449" s="39">
        <f>'Import GAW-sheet'!H190</f>
        <v>88969513.959621936</v>
      </c>
      <c r="I449" s="39">
        <f>'Import GAW-sheet'!I190</f>
        <v>10603305.527212091</v>
      </c>
      <c r="J449" s="39">
        <f>'Import GAW-sheet'!J190</f>
        <v>159789526.02566484</v>
      </c>
      <c r="K449" s="39">
        <f>'Import GAW-sheet'!K190</f>
        <v>149944853.54656583</v>
      </c>
      <c r="L449" s="39">
        <f>'Import GAW-sheet'!L190</f>
        <v>880793693.40029681</v>
      </c>
      <c r="M449" s="39">
        <f>'Import GAW-sheet'!M190</f>
        <v>190638424.57391778</v>
      </c>
      <c r="N449" s="39">
        <f>'Import GAW-sheet'!N190</f>
        <v>319943.766726245</v>
      </c>
      <c r="O449" s="39">
        <f>'Import GAW-sheet'!O190</f>
        <v>1543629055.9383438</v>
      </c>
      <c r="P449" s="39">
        <f>'Import GAW-sheet'!P190</f>
        <v>25560058.167535052</v>
      </c>
      <c r="Q449" s="39">
        <f>'Import GAW-sheet'!Q190</f>
        <v>128151430.08293965</v>
      </c>
      <c r="R449" s="39">
        <f>'Import GAW-sheet'!R190</f>
        <v>1229848960.2578993</v>
      </c>
      <c r="S449" s="39">
        <f>'Import GAW-sheet'!S190</f>
        <v>106143134.76943482</v>
      </c>
      <c r="T449" s="39">
        <f>'Import GAW-sheet'!T190</f>
        <v>41855641.067453787</v>
      </c>
    </row>
    <row r="450" spans="2:20">
      <c r="F450" s="47"/>
      <c r="G450" s="29"/>
      <c r="H450" s="29"/>
      <c r="I450" s="29"/>
      <c r="J450" s="29"/>
      <c r="K450" s="29"/>
      <c r="L450" s="29"/>
      <c r="M450" s="29"/>
      <c r="N450" s="29"/>
    </row>
    <row r="451" spans="2:20">
      <c r="B451" s="3" t="s">
        <v>146</v>
      </c>
      <c r="F451" s="47"/>
      <c r="G451" s="29"/>
      <c r="H451" s="29"/>
      <c r="I451" s="29"/>
      <c r="J451" s="29"/>
      <c r="K451" s="29"/>
      <c r="L451" s="29"/>
      <c r="M451" s="29"/>
      <c r="N451" s="29"/>
    </row>
    <row r="452" spans="2:20">
      <c r="B452" t="s">
        <v>147</v>
      </c>
      <c r="D452" t="s">
        <v>110</v>
      </c>
      <c r="F452" s="83">
        <f>SUM(G452:T452)</f>
        <v>259290855.18847868</v>
      </c>
      <c r="G452" s="39">
        <f>'Import GAW-sheet'!G193</f>
        <v>3440115</v>
      </c>
      <c r="H452" s="39">
        <f>'Import GAW-sheet'!H193</f>
        <v>4727088</v>
      </c>
      <c r="I452" s="39">
        <f>'Import GAW-sheet'!I193</f>
        <v>0</v>
      </c>
      <c r="J452" s="39">
        <f>'Import GAW-sheet'!J193</f>
        <v>6234415.2732950002</v>
      </c>
      <c r="K452" s="39">
        <f>'Import GAW-sheet'!K193</f>
        <v>0</v>
      </c>
      <c r="L452" s="39">
        <f>'Import GAW-sheet'!L193</f>
        <v>91268887</v>
      </c>
      <c r="M452" s="39">
        <f>'Import GAW-sheet'!M193</f>
        <v>0</v>
      </c>
      <c r="N452" s="39">
        <f>'Import GAW-sheet'!N193</f>
        <v>0</v>
      </c>
      <c r="O452" s="39">
        <f>'Import GAW-sheet'!O193</f>
        <v>84360196.430153251</v>
      </c>
      <c r="P452" s="39">
        <f>'Import GAW-sheet'!P193</f>
        <v>0</v>
      </c>
      <c r="Q452" s="39">
        <f>'Import GAW-sheet'!Q193</f>
        <v>3723813</v>
      </c>
      <c r="R452" s="39">
        <f>'Import GAW-sheet'!R193</f>
        <v>61809884.57</v>
      </c>
      <c r="S452" s="39">
        <f>'Import GAW-sheet'!S193</f>
        <v>3672995.915030458</v>
      </c>
      <c r="T452" s="39">
        <f>'Import GAW-sheet'!T193</f>
        <v>53460</v>
      </c>
    </row>
    <row r="453" spans="2:20">
      <c r="B453" t="s">
        <v>139</v>
      </c>
      <c r="D453" t="s">
        <v>110</v>
      </c>
      <c r="F453" s="83">
        <f>SUM(G453:T453)</f>
        <v>39140800.728786267</v>
      </c>
      <c r="G453" s="39">
        <f>'Import GAW-sheet'!G194</f>
        <v>383916.61776680459</v>
      </c>
      <c r="H453" s="39">
        <f>'Import GAW-sheet'!H194</f>
        <v>1288005.9851915871</v>
      </c>
      <c r="I453" s="39">
        <f>'Import GAW-sheet'!I194</f>
        <v>0</v>
      </c>
      <c r="J453" s="39">
        <f>'Import GAW-sheet'!J194</f>
        <v>884915.94162723236</v>
      </c>
      <c r="K453" s="39">
        <f>'Import GAW-sheet'!K194</f>
        <v>652188.63281520549</v>
      </c>
      <c r="L453" s="39">
        <f>'Import GAW-sheet'!L194</f>
        <v>18105261.585795108</v>
      </c>
      <c r="M453" s="39">
        <f>'Import GAW-sheet'!M194</f>
        <v>709591.99147328164</v>
      </c>
      <c r="N453" s="39">
        <f>'Import GAW-sheet'!N194</f>
        <v>0</v>
      </c>
      <c r="O453" s="39">
        <f>'Import GAW-sheet'!O194</f>
        <v>6533264.695102172</v>
      </c>
      <c r="P453" s="39">
        <f>'Import GAW-sheet'!P194</f>
        <v>251853.3574269716</v>
      </c>
      <c r="Q453" s="39">
        <f>'Import GAW-sheet'!Q194</f>
        <v>1553592.2423121228</v>
      </c>
      <c r="R453" s="39">
        <f>'Import GAW-sheet'!R194</f>
        <v>7895178.6630628239</v>
      </c>
      <c r="S453" s="39">
        <f>'Import GAW-sheet'!S194</f>
        <v>758514.27612084569</v>
      </c>
      <c r="T453" s="39">
        <f>'Import GAW-sheet'!T194</f>
        <v>124516.74009211175</v>
      </c>
    </row>
    <row r="454" spans="2:20">
      <c r="B454" t="s">
        <v>148</v>
      </c>
      <c r="D454" t="s">
        <v>110</v>
      </c>
      <c r="F454" s="83">
        <f>SUM(G454:T454)</f>
        <v>1168492879.230684</v>
      </c>
      <c r="G454" s="39">
        <f>'Import GAW-sheet'!G195</f>
        <v>16804580.691225812</v>
      </c>
      <c r="H454" s="39">
        <f>'Import GAW-sheet'!H195</f>
        <v>25000671.297913276</v>
      </c>
      <c r="I454" s="39">
        <f>'Import GAW-sheet'!I195</f>
        <v>0</v>
      </c>
      <c r="J454" s="39">
        <f>'Import GAW-sheet'!J195</f>
        <v>17858886.061220326</v>
      </c>
      <c r="K454" s="39">
        <f>'Import GAW-sheet'!K195</f>
        <v>5956748.2692140071</v>
      </c>
      <c r="L454" s="39">
        <f>'Import GAW-sheet'!L195</f>
        <v>385192517.05929047</v>
      </c>
      <c r="M454" s="39">
        <f>'Import GAW-sheet'!M195</f>
        <v>9337913.3400374632</v>
      </c>
      <c r="N454" s="39">
        <f>'Import GAW-sheet'!N195</f>
        <v>0</v>
      </c>
      <c r="O454" s="39">
        <f>'Import GAW-sheet'!O195</f>
        <v>311957798.31313527</v>
      </c>
      <c r="P454" s="39">
        <f>'Import GAW-sheet'!P195</f>
        <v>2039542.3839183899</v>
      </c>
      <c r="Q454" s="39">
        <f>'Import GAW-sheet'!Q195</f>
        <v>25519429.869379018</v>
      </c>
      <c r="R454" s="39">
        <f>'Import GAW-sheet'!R195</f>
        <v>347926716.80088526</v>
      </c>
      <c r="S454" s="39">
        <f>'Import GAW-sheet'!S195</f>
        <v>20384213.453387786</v>
      </c>
      <c r="T454" s="39">
        <f>'Import GAW-sheet'!T195</f>
        <v>513861.69107692339</v>
      </c>
    </row>
    <row r="455" spans="2:20">
      <c r="F455" s="47"/>
      <c r="G455" s="29"/>
      <c r="H455" s="29"/>
      <c r="I455" s="29"/>
      <c r="J455" s="29"/>
      <c r="K455" s="29"/>
      <c r="L455" s="29"/>
      <c r="M455" s="29"/>
      <c r="N455" s="29"/>
    </row>
    <row r="456" spans="2:20">
      <c r="B456" s="3" t="s">
        <v>149</v>
      </c>
      <c r="F456" s="47"/>
      <c r="G456" s="29"/>
      <c r="H456" s="29"/>
      <c r="I456" s="29"/>
      <c r="J456" s="29"/>
      <c r="K456" s="29"/>
      <c r="L456" s="29"/>
      <c r="M456" s="29"/>
      <c r="N456" s="29"/>
    </row>
    <row r="457" spans="2:20">
      <c r="B457" t="s">
        <v>150</v>
      </c>
      <c r="D457" t="s">
        <v>110</v>
      </c>
      <c r="F457" s="83">
        <f>SUM(G457:T457)</f>
        <v>0</v>
      </c>
      <c r="G457" s="39">
        <f>'Import GAW-sheet'!G198</f>
        <v>0</v>
      </c>
      <c r="H457" s="39">
        <f>'Import GAW-sheet'!H198</f>
        <v>0</v>
      </c>
      <c r="I457" s="39">
        <f>'Import GAW-sheet'!I198</f>
        <v>0</v>
      </c>
      <c r="J457" s="39">
        <f>'Import GAW-sheet'!J198</f>
        <v>0</v>
      </c>
      <c r="K457" s="39">
        <f>'Import GAW-sheet'!K198</f>
        <v>0</v>
      </c>
      <c r="L457" s="39">
        <f>'Import GAW-sheet'!L198</f>
        <v>0</v>
      </c>
      <c r="M457" s="39">
        <f>'Import GAW-sheet'!M198</f>
        <v>0</v>
      </c>
      <c r="N457" s="39">
        <f>'Import GAW-sheet'!N198</f>
        <v>0</v>
      </c>
      <c r="O457" s="39">
        <f>'Import GAW-sheet'!O198</f>
        <v>0</v>
      </c>
      <c r="P457" s="39">
        <f>'Import GAW-sheet'!P198</f>
        <v>0</v>
      </c>
      <c r="Q457" s="39">
        <f>'Import GAW-sheet'!Q198</f>
        <v>0</v>
      </c>
      <c r="R457" s="39">
        <f>'Import GAW-sheet'!R198</f>
        <v>0</v>
      </c>
      <c r="S457" s="39">
        <f>'Import GAW-sheet'!S198</f>
        <v>0</v>
      </c>
      <c r="T457" s="39">
        <f>'Import GAW-sheet'!T198</f>
        <v>0</v>
      </c>
    </row>
    <row r="458" spans="2:20">
      <c r="B458" t="s">
        <v>151</v>
      </c>
      <c r="D458" t="s">
        <v>110</v>
      </c>
      <c r="F458" s="83">
        <f>SUM(G458:T458)</f>
        <v>2481350.9971065461</v>
      </c>
      <c r="G458" s="39">
        <f>'Import GAW-sheet'!G199</f>
        <v>0</v>
      </c>
      <c r="H458" s="39">
        <f>'Import GAW-sheet'!H199</f>
        <v>0</v>
      </c>
      <c r="I458" s="39">
        <f>'Import GAW-sheet'!I199</f>
        <v>0</v>
      </c>
      <c r="J458" s="39">
        <f>'Import GAW-sheet'!J199</f>
        <v>0</v>
      </c>
      <c r="K458" s="39">
        <f>'Import GAW-sheet'!K199</f>
        <v>0</v>
      </c>
      <c r="L458" s="39">
        <f>'Import GAW-sheet'!L199</f>
        <v>0</v>
      </c>
      <c r="M458" s="39">
        <f>'Import GAW-sheet'!M199</f>
        <v>831738.9267922173</v>
      </c>
      <c r="N458" s="39">
        <f>'Import GAW-sheet'!N199</f>
        <v>0</v>
      </c>
      <c r="O458" s="39">
        <f>'Import GAW-sheet'!O199</f>
        <v>0</v>
      </c>
      <c r="P458" s="39">
        <f>'Import GAW-sheet'!P199</f>
        <v>0</v>
      </c>
      <c r="Q458" s="39">
        <f>'Import GAW-sheet'!Q199</f>
        <v>1649612.0703143289</v>
      </c>
      <c r="R458" s="39">
        <f>'Import GAW-sheet'!R199</f>
        <v>0</v>
      </c>
      <c r="S458" s="39">
        <f>'Import GAW-sheet'!S199</f>
        <v>0</v>
      </c>
      <c r="T458" s="39">
        <f>'Import GAW-sheet'!T199</f>
        <v>0</v>
      </c>
    </row>
    <row r="459" spans="2:20">
      <c r="B459" t="s">
        <v>152</v>
      </c>
      <c r="D459" t="s">
        <v>110</v>
      </c>
      <c r="F459" s="83">
        <f>SUM(G459:T459)</f>
        <v>18215061.689808168</v>
      </c>
      <c r="G459" s="39">
        <f>'Import GAW-sheet'!G200</f>
        <v>-5.3448039739900352E-11</v>
      </c>
      <c r="H459" s="39">
        <f>'Import GAW-sheet'!H200</f>
        <v>0</v>
      </c>
      <c r="I459" s="39">
        <f>'Import GAW-sheet'!I200</f>
        <v>0</v>
      </c>
      <c r="J459" s="39">
        <f>'Import GAW-sheet'!J200</f>
        <v>0</v>
      </c>
      <c r="K459" s="39">
        <f>'Import GAW-sheet'!K200</f>
        <v>0</v>
      </c>
      <c r="L459" s="39">
        <f>'Import GAW-sheet'!L200</f>
        <v>0</v>
      </c>
      <c r="M459" s="39">
        <f>'Import GAW-sheet'!M200</f>
        <v>8317389.2679221872</v>
      </c>
      <c r="N459" s="39">
        <f>'Import GAW-sheet'!N200</f>
        <v>0</v>
      </c>
      <c r="O459" s="39">
        <f>'Import GAW-sheet'!O200</f>
        <v>0</v>
      </c>
      <c r="P459" s="39">
        <f>'Import GAW-sheet'!P200</f>
        <v>0</v>
      </c>
      <c r="Q459" s="39">
        <f>'Import GAW-sheet'!Q200</f>
        <v>9897672.4218859822</v>
      </c>
      <c r="R459" s="39">
        <f>'Import GAW-sheet'!R200</f>
        <v>0</v>
      </c>
      <c r="S459" s="39">
        <f>'Import GAW-sheet'!S200</f>
        <v>0</v>
      </c>
      <c r="T459" s="39">
        <f>'Import GAW-sheet'!T200</f>
        <v>0</v>
      </c>
    </row>
    <row r="460" spans="2:20">
      <c r="F460" s="47"/>
      <c r="G460" s="29"/>
      <c r="H460" s="29"/>
      <c r="I460" s="29"/>
      <c r="J460" s="29"/>
      <c r="K460" s="29"/>
      <c r="L460" s="29"/>
      <c r="M460" s="29"/>
      <c r="N460" s="29"/>
    </row>
    <row r="461" spans="2:20">
      <c r="B461" s="3" t="s">
        <v>153</v>
      </c>
      <c r="F461" s="47"/>
      <c r="G461" s="29"/>
      <c r="H461" s="29"/>
      <c r="I461" s="29"/>
      <c r="J461" s="29"/>
      <c r="K461" s="29"/>
      <c r="L461" s="29"/>
      <c r="M461" s="29"/>
      <c r="N461" s="29"/>
    </row>
    <row r="462" spans="2:20">
      <c r="B462" t="s">
        <v>154</v>
      </c>
      <c r="D462" t="s">
        <v>110</v>
      </c>
      <c r="F462" s="83">
        <f>SUM(G462:T462)</f>
        <v>0</v>
      </c>
      <c r="G462" s="39">
        <f>'Import GAW-sheet'!G203</f>
        <v>0</v>
      </c>
      <c r="H462" s="39">
        <f>'Import GAW-sheet'!H203</f>
        <v>0</v>
      </c>
      <c r="I462" s="39">
        <f>'Import GAW-sheet'!I203</f>
        <v>0</v>
      </c>
      <c r="J462" s="39">
        <f>'Import GAW-sheet'!J203</f>
        <v>0</v>
      </c>
      <c r="K462" s="39">
        <f>'Import GAW-sheet'!K203</f>
        <v>0</v>
      </c>
      <c r="L462" s="39">
        <f>'Import GAW-sheet'!L203</f>
        <v>0</v>
      </c>
      <c r="M462" s="39">
        <f>'Import GAW-sheet'!M203</f>
        <v>0</v>
      </c>
      <c r="N462" s="39">
        <f>'Import GAW-sheet'!N203</f>
        <v>0</v>
      </c>
      <c r="O462" s="39">
        <f>'Import GAW-sheet'!O203</f>
        <v>0</v>
      </c>
      <c r="P462" s="39">
        <f>'Import GAW-sheet'!P203</f>
        <v>0</v>
      </c>
      <c r="Q462" s="39">
        <f>'Import GAW-sheet'!Q203</f>
        <v>0</v>
      </c>
      <c r="R462" s="39">
        <f>'Import GAW-sheet'!R203</f>
        <v>0</v>
      </c>
      <c r="S462" s="39">
        <f>'Import GAW-sheet'!S203</f>
        <v>0</v>
      </c>
      <c r="T462" s="39">
        <f>'Import GAW-sheet'!T203</f>
        <v>0</v>
      </c>
    </row>
    <row r="463" spans="2:20">
      <c r="B463" t="s">
        <v>155</v>
      </c>
      <c r="D463" t="s">
        <v>110</v>
      </c>
      <c r="F463" s="83">
        <f>SUM(G463:T463)</f>
        <v>0</v>
      </c>
      <c r="G463" s="39">
        <f>'Import GAW-sheet'!G204</f>
        <v>0</v>
      </c>
      <c r="H463" s="39">
        <f>'Import GAW-sheet'!H204</f>
        <v>0</v>
      </c>
      <c r="I463" s="39">
        <f>'Import GAW-sheet'!I204</f>
        <v>0</v>
      </c>
      <c r="J463" s="39">
        <f>'Import GAW-sheet'!J204</f>
        <v>0</v>
      </c>
      <c r="K463" s="39">
        <f>'Import GAW-sheet'!K204</f>
        <v>0</v>
      </c>
      <c r="L463" s="39">
        <f>'Import GAW-sheet'!L204</f>
        <v>0</v>
      </c>
      <c r="M463" s="39">
        <f>'Import GAW-sheet'!M204</f>
        <v>0</v>
      </c>
      <c r="N463" s="39">
        <f>'Import GAW-sheet'!N204</f>
        <v>0</v>
      </c>
      <c r="O463" s="39">
        <f>'Import GAW-sheet'!O204</f>
        <v>0</v>
      </c>
      <c r="P463" s="39">
        <f>'Import GAW-sheet'!P204</f>
        <v>0</v>
      </c>
      <c r="Q463" s="39">
        <f>'Import GAW-sheet'!Q204</f>
        <v>0</v>
      </c>
      <c r="R463" s="39">
        <f>'Import GAW-sheet'!R204</f>
        <v>0</v>
      </c>
      <c r="S463" s="39">
        <f>'Import GAW-sheet'!S204</f>
        <v>0</v>
      </c>
      <c r="T463" s="39">
        <f>'Import GAW-sheet'!T204</f>
        <v>0</v>
      </c>
    </row>
    <row r="464" spans="2:20">
      <c r="B464" t="s">
        <v>156</v>
      </c>
      <c r="D464" t="s">
        <v>110</v>
      </c>
      <c r="F464" s="83">
        <f>SUM(G464:T464)</f>
        <v>0</v>
      </c>
      <c r="G464" s="39">
        <f>'Import GAW-sheet'!G205</f>
        <v>0</v>
      </c>
      <c r="H464" s="39">
        <f>'Import GAW-sheet'!H205</f>
        <v>0</v>
      </c>
      <c r="I464" s="39">
        <f>'Import GAW-sheet'!I205</f>
        <v>0</v>
      </c>
      <c r="J464" s="39">
        <f>'Import GAW-sheet'!J205</f>
        <v>0</v>
      </c>
      <c r="K464" s="39">
        <f>'Import GAW-sheet'!K205</f>
        <v>0</v>
      </c>
      <c r="L464" s="39">
        <f>'Import GAW-sheet'!L205</f>
        <v>0</v>
      </c>
      <c r="M464" s="39">
        <f>'Import GAW-sheet'!M205</f>
        <v>0</v>
      </c>
      <c r="N464" s="39">
        <f>'Import GAW-sheet'!N205</f>
        <v>0</v>
      </c>
      <c r="O464" s="39">
        <f>'Import GAW-sheet'!O205</f>
        <v>0</v>
      </c>
      <c r="P464" s="39">
        <f>'Import GAW-sheet'!P205</f>
        <v>0</v>
      </c>
      <c r="Q464" s="39">
        <f>'Import GAW-sheet'!Q205</f>
        <v>0</v>
      </c>
      <c r="R464" s="39">
        <f>'Import GAW-sheet'!R205</f>
        <v>0</v>
      </c>
      <c r="S464" s="39">
        <f>'Import GAW-sheet'!S205</f>
        <v>0</v>
      </c>
      <c r="T464" s="39">
        <f>'Import GAW-sheet'!T205</f>
        <v>0</v>
      </c>
    </row>
    <row r="465" spans="2:20">
      <c r="F465" s="47"/>
      <c r="G465" s="29"/>
      <c r="H465" s="29"/>
      <c r="I465" s="29"/>
      <c r="J465" s="29"/>
      <c r="K465" s="29"/>
      <c r="L465" s="29"/>
      <c r="M465" s="29"/>
      <c r="N465" s="29"/>
    </row>
    <row r="466" spans="2:20">
      <c r="B466" s="3" t="s">
        <v>157</v>
      </c>
      <c r="F466" s="47"/>
      <c r="G466" s="29"/>
      <c r="H466" s="29"/>
      <c r="I466" s="29"/>
      <c r="J466" s="29"/>
      <c r="K466" s="29"/>
      <c r="L466" s="29"/>
      <c r="M466" s="29"/>
      <c r="N466" s="29"/>
    </row>
    <row r="467" spans="2:20">
      <c r="B467" t="s">
        <v>158</v>
      </c>
      <c r="D467" t="s">
        <v>110</v>
      </c>
      <c r="F467" s="83">
        <f>SUM(G467:T467)</f>
        <v>0</v>
      </c>
      <c r="G467" s="39">
        <f>'Import GAW-sheet'!G208</f>
        <v>0</v>
      </c>
      <c r="H467" s="39">
        <f>'Import GAW-sheet'!H208</f>
        <v>0</v>
      </c>
      <c r="I467" s="39">
        <f>'Import GAW-sheet'!I208</f>
        <v>0</v>
      </c>
      <c r="J467" s="39">
        <f>'Import GAW-sheet'!J208</f>
        <v>0</v>
      </c>
      <c r="K467" s="39">
        <f>'Import GAW-sheet'!K208</f>
        <v>0</v>
      </c>
      <c r="L467" s="39">
        <f>'Import GAW-sheet'!L208</f>
        <v>0</v>
      </c>
      <c r="M467" s="39">
        <f>'Import GAW-sheet'!M208</f>
        <v>0</v>
      </c>
      <c r="N467" s="39">
        <f>'Import GAW-sheet'!N208</f>
        <v>0</v>
      </c>
      <c r="O467" s="39">
        <f>'Import GAW-sheet'!O208</f>
        <v>0</v>
      </c>
      <c r="P467" s="39">
        <f>'Import GAW-sheet'!P208</f>
        <v>0</v>
      </c>
      <c r="Q467" s="39">
        <f>'Import GAW-sheet'!Q208</f>
        <v>0</v>
      </c>
      <c r="R467" s="39">
        <f>'Import GAW-sheet'!R208</f>
        <v>0</v>
      </c>
      <c r="S467" s="39">
        <f>'Import GAW-sheet'!S208</f>
        <v>0</v>
      </c>
      <c r="T467" s="39">
        <f>'Import GAW-sheet'!T208</f>
        <v>0</v>
      </c>
    </row>
    <row r="468" spans="2:20">
      <c r="B468" t="s">
        <v>159</v>
      </c>
      <c r="D468" t="s">
        <v>110</v>
      </c>
      <c r="F468" s="83">
        <f>SUM(G468:T468)</f>
        <v>0</v>
      </c>
      <c r="G468" s="39">
        <f>'Import GAW-sheet'!G209</f>
        <v>0</v>
      </c>
      <c r="H468" s="39">
        <f>'Import GAW-sheet'!H209</f>
        <v>0</v>
      </c>
      <c r="I468" s="39">
        <f>'Import GAW-sheet'!I209</f>
        <v>0</v>
      </c>
      <c r="J468" s="39">
        <f>'Import GAW-sheet'!J209</f>
        <v>0</v>
      </c>
      <c r="K468" s="39">
        <f>'Import GAW-sheet'!K209</f>
        <v>0</v>
      </c>
      <c r="L468" s="39">
        <f>'Import GAW-sheet'!L209</f>
        <v>0</v>
      </c>
      <c r="M468" s="39">
        <f>'Import GAW-sheet'!M209</f>
        <v>0</v>
      </c>
      <c r="N468" s="39">
        <f>'Import GAW-sheet'!N209</f>
        <v>0</v>
      </c>
      <c r="O468" s="39">
        <f>'Import GAW-sheet'!O209</f>
        <v>0</v>
      </c>
      <c r="P468" s="39">
        <f>'Import GAW-sheet'!P209</f>
        <v>0</v>
      </c>
      <c r="Q468" s="39">
        <f>'Import GAW-sheet'!Q209</f>
        <v>0</v>
      </c>
      <c r="R468" s="39">
        <f>'Import GAW-sheet'!R209</f>
        <v>0</v>
      </c>
      <c r="S468" s="39">
        <f>'Import GAW-sheet'!S209</f>
        <v>0</v>
      </c>
      <c r="T468" s="39">
        <f>'Import GAW-sheet'!T209</f>
        <v>0</v>
      </c>
    </row>
    <row r="469" spans="2:20">
      <c r="B469" t="s">
        <v>160</v>
      </c>
      <c r="D469" t="s">
        <v>110</v>
      </c>
      <c r="F469" s="83">
        <f>SUM(G469:T469)</f>
        <v>0</v>
      </c>
      <c r="G469" s="39">
        <f>'Import GAW-sheet'!G210</f>
        <v>0</v>
      </c>
      <c r="H469" s="39">
        <f>'Import GAW-sheet'!H210</f>
        <v>0</v>
      </c>
      <c r="I469" s="39">
        <f>'Import GAW-sheet'!I210</f>
        <v>0</v>
      </c>
      <c r="J469" s="39">
        <f>'Import GAW-sheet'!J210</f>
        <v>0</v>
      </c>
      <c r="K469" s="39">
        <f>'Import GAW-sheet'!K210</f>
        <v>0</v>
      </c>
      <c r="L469" s="39">
        <f>'Import GAW-sheet'!L210</f>
        <v>0</v>
      </c>
      <c r="M469" s="39">
        <f>'Import GAW-sheet'!M210</f>
        <v>0</v>
      </c>
      <c r="N469" s="39">
        <f>'Import GAW-sheet'!N210</f>
        <v>0</v>
      </c>
      <c r="O469" s="39">
        <f>'Import GAW-sheet'!O210</f>
        <v>0</v>
      </c>
      <c r="P469" s="39">
        <f>'Import GAW-sheet'!P210</f>
        <v>0</v>
      </c>
      <c r="Q469" s="39">
        <f>'Import GAW-sheet'!Q210</f>
        <v>0</v>
      </c>
      <c r="R469" s="39">
        <f>'Import GAW-sheet'!R210</f>
        <v>0</v>
      </c>
      <c r="S469" s="39">
        <f>'Import GAW-sheet'!S210</f>
        <v>0</v>
      </c>
      <c r="T469" s="39">
        <f>'Import GAW-sheet'!T210</f>
        <v>0</v>
      </c>
    </row>
    <row r="470" spans="2:20">
      <c r="F470" s="47"/>
    </row>
    <row r="471" spans="2:20">
      <c r="F471" s="47"/>
    </row>
    <row r="472" spans="2:20">
      <c r="B472" s="3" t="s">
        <v>416</v>
      </c>
      <c r="F472" s="47"/>
      <c r="G472" s="3" t="s">
        <v>96</v>
      </c>
      <c r="H472" s="3" t="s">
        <v>407</v>
      </c>
      <c r="I472" s="3" t="s">
        <v>98</v>
      </c>
      <c r="J472" s="3" t="s">
        <v>99</v>
      </c>
      <c r="K472" s="3" t="s">
        <v>100</v>
      </c>
      <c r="L472" s="3" t="s">
        <v>413</v>
      </c>
      <c r="M472" s="3" t="s">
        <v>102</v>
      </c>
      <c r="N472" s="3" t="s">
        <v>103</v>
      </c>
      <c r="O472" s="3" t="s">
        <v>197</v>
      </c>
      <c r="P472" s="55"/>
      <c r="Q472" s="55"/>
      <c r="R472" s="55"/>
      <c r="S472" s="55"/>
      <c r="T472" s="55"/>
    </row>
    <row r="473" spans="2:20">
      <c r="F473" s="47"/>
      <c r="P473" s="28"/>
      <c r="Q473" s="28"/>
      <c r="R473" s="28"/>
      <c r="S473" s="28"/>
      <c r="T473" s="28"/>
    </row>
    <row r="474" spans="2:20">
      <c r="B474" s="3" t="s">
        <v>142</v>
      </c>
      <c r="F474" s="47"/>
      <c r="P474" s="28"/>
      <c r="Q474" s="28"/>
      <c r="R474" s="28"/>
      <c r="S474" s="28"/>
      <c r="T474" s="28"/>
    </row>
    <row r="475" spans="2:20">
      <c r="B475" t="s">
        <v>143</v>
      </c>
      <c r="D475" t="s">
        <v>110</v>
      </c>
      <c r="F475" s="83">
        <f>SUM(G475:O475)</f>
        <v>0</v>
      </c>
      <c r="G475" s="39">
        <f>G447</f>
        <v>0</v>
      </c>
      <c r="H475" s="39">
        <f>H447</f>
        <v>0</v>
      </c>
      <c r="I475" s="98">
        <f>J447+K447</f>
        <v>0</v>
      </c>
      <c r="J475" s="98">
        <f>L447+M447</f>
        <v>0</v>
      </c>
      <c r="K475" s="98">
        <f>O447+P447</f>
        <v>0</v>
      </c>
      <c r="L475" s="39">
        <f>Q447</f>
        <v>0</v>
      </c>
      <c r="M475" s="39">
        <f t="shared" ref="M475:M477" si="244">R447</f>
        <v>0</v>
      </c>
      <c r="N475" s="39">
        <f t="shared" ref="N475:N477" si="245">S447</f>
        <v>0</v>
      </c>
      <c r="O475" s="39"/>
      <c r="P475" s="29"/>
      <c r="Q475" s="29"/>
      <c r="R475" s="29"/>
      <c r="S475" s="29"/>
      <c r="T475" s="29"/>
    </row>
    <row r="476" spans="2:20">
      <c r="B476" t="s">
        <v>144</v>
      </c>
      <c r="D476" t="s">
        <v>110</v>
      </c>
      <c r="F476" s="83">
        <f>SUM(G476:O476)</f>
        <v>187652148.37621465</v>
      </c>
      <c r="G476" s="39">
        <f t="shared" ref="G476:H476" si="246">G448</f>
        <v>3367575.5940903677</v>
      </c>
      <c r="H476" s="39">
        <f t="shared" si="246"/>
        <v>3602004.6137498766</v>
      </c>
      <c r="I476" s="98">
        <f t="shared" ref="I476:I477" si="247">J448+K448</f>
        <v>12563324.153363431</v>
      </c>
      <c r="J476" s="98">
        <f t="shared" ref="J476:J477" si="248">L448+M448</f>
        <v>42015694.516713619</v>
      </c>
      <c r="K476" s="98">
        <f t="shared" ref="K476:K477" si="249">O448+P448</f>
        <v>60927581.768116921</v>
      </c>
      <c r="L476" s="39">
        <f t="shared" ref="L476:L477" si="250">Q448</f>
        <v>5430145.3424974447</v>
      </c>
      <c r="M476" s="39">
        <f t="shared" si="244"/>
        <v>54099910.963776879</v>
      </c>
      <c r="N476" s="39">
        <f t="shared" si="245"/>
        <v>5645911.4239061056</v>
      </c>
      <c r="O476" s="39"/>
      <c r="P476" s="29"/>
      <c r="Q476" s="29"/>
      <c r="R476" s="29"/>
      <c r="S476" s="29"/>
      <c r="T476" s="29"/>
    </row>
    <row r="477" spans="2:20">
      <c r="B477" t="s">
        <v>145</v>
      </c>
      <c r="D477" t="s">
        <v>110</v>
      </c>
      <c r="F477" s="83">
        <f>SUM(G477:O477)</f>
        <v>4577892071.3516169</v>
      </c>
      <c r="G477" s="39">
        <f t="shared" ref="G477:H477" si="251">G449</f>
        <v>74423420.629397124</v>
      </c>
      <c r="H477" s="39">
        <f t="shared" si="251"/>
        <v>88969513.959621936</v>
      </c>
      <c r="I477" s="98">
        <f t="shared" si="247"/>
        <v>309734379.5722307</v>
      </c>
      <c r="J477" s="98">
        <f t="shared" si="248"/>
        <v>1071432117.9742146</v>
      </c>
      <c r="K477" s="98">
        <f t="shared" si="249"/>
        <v>1569189114.1058788</v>
      </c>
      <c r="L477" s="39">
        <f t="shared" si="250"/>
        <v>128151430.08293965</v>
      </c>
      <c r="M477" s="39">
        <f t="shared" si="244"/>
        <v>1229848960.2578993</v>
      </c>
      <c r="N477" s="39">
        <f t="shared" si="245"/>
        <v>106143134.76943482</v>
      </c>
      <c r="O477" s="39"/>
      <c r="P477" s="29"/>
      <c r="Q477" s="29"/>
      <c r="R477" s="29"/>
      <c r="S477" s="29"/>
      <c r="T477" s="29"/>
    </row>
    <row r="478" spans="2:20">
      <c r="F478" s="47"/>
      <c r="G478" s="29"/>
      <c r="H478" s="29"/>
      <c r="I478" s="29"/>
      <c r="J478" s="29"/>
      <c r="K478" s="29"/>
      <c r="L478" s="29"/>
      <c r="M478" s="29"/>
      <c r="N478" s="29"/>
      <c r="O478" s="29"/>
      <c r="P478" s="28"/>
      <c r="Q478" s="28"/>
      <c r="R478" s="28"/>
      <c r="S478" s="28"/>
      <c r="T478" s="28"/>
    </row>
    <row r="479" spans="2:20">
      <c r="B479" s="3" t="s">
        <v>146</v>
      </c>
      <c r="F479" s="47"/>
      <c r="G479" s="29"/>
      <c r="H479" s="29"/>
      <c r="I479" s="29"/>
      <c r="J479" s="29"/>
      <c r="K479" s="29"/>
      <c r="L479" s="29"/>
      <c r="M479" s="29"/>
      <c r="N479" s="29"/>
      <c r="O479" s="29"/>
      <c r="P479" s="28"/>
      <c r="Q479" s="28"/>
      <c r="R479" s="28"/>
      <c r="S479" s="28"/>
      <c r="T479" s="28"/>
    </row>
    <row r="480" spans="2:20">
      <c r="B480" t="s">
        <v>147</v>
      </c>
      <c r="D480" t="s">
        <v>110</v>
      </c>
      <c r="F480" s="83">
        <f>SUM(G480:O480)</f>
        <v>259237395.18847868</v>
      </c>
      <c r="G480" s="39">
        <f>G452</f>
        <v>3440115</v>
      </c>
      <c r="H480" s="39">
        <f>H452</f>
        <v>4727088</v>
      </c>
      <c r="I480" s="98">
        <f>J452+K452</f>
        <v>6234415.2732950002</v>
      </c>
      <c r="J480" s="98">
        <f>L452+M452</f>
        <v>91268887</v>
      </c>
      <c r="K480" s="98">
        <f>O452+P452</f>
        <v>84360196.430153251</v>
      </c>
      <c r="L480" s="39">
        <f>Q452</f>
        <v>3723813</v>
      </c>
      <c r="M480" s="39">
        <f t="shared" ref="M480:M482" si="252">R452</f>
        <v>61809884.57</v>
      </c>
      <c r="N480" s="39">
        <f t="shared" ref="N480:N482" si="253">S452</f>
        <v>3672995.915030458</v>
      </c>
      <c r="O480" s="39"/>
      <c r="P480" s="29"/>
      <c r="Q480" s="29"/>
      <c r="R480" s="29"/>
      <c r="S480" s="29"/>
      <c r="T480" s="29"/>
    </row>
    <row r="481" spans="2:20">
      <c r="B481" t="s">
        <v>139</v>
      </c>
      <c r="D481" t="s">
        <v>110</v>
      </c>
      <c r="F481" s="83">
        <f>SUM(G481:O481)</f>
        <v>39016283.988694154</v>
      </c>
      <c r="G481" s="39">
        <f t="shared" ref="G481:H481" si="254">G453</f>
        <v>383916.61776680459</v>
      </c>
      <c r="H481" s="39">
        <f t="shared" si="254"/>
        <v>1288005.9851915871</v>
      </c>
      <c r="I481" s="98">
        <f t="shared" ref="I481:I482" si="255">J453+K453</f>
        <v>1537104.5744424378</v>
      </c>
      <c r="J481" s="98">
        <f t="shared" ref="J481:J482" si="256">L453+M453</f>
        <v>18814853.577268388</v>
      </c>
      <c r="K481" s="98">
        <f t="shared" ref="K481:K482" si="257">O453+P453</f>
        <v>6785118.0525291432</v>
      </c>
      <c r="L481" s="39">
        <f t="shared" ref="L481:L482" si="258">Q453</f>
        <v>1553592.2423121228</v>
      </c>
      <c r="M481" s="39">
        <f t="shared" si="252"/>
        <v>7895178.6630628239</v>
      </c>
      <c r="N481" s="39">
        <f t="shared" si="253"/>
        <v>758514.27612084569</v>
      </c>
      <c r="O481" s="39"/>
      <c r="P481" s="29"/>
      <c r="Q481" s="29"/>
      <c r="R481" s="29"/>
      <c r="S481" s="29"/>
      <c r="T481" s="29"/>
    </row>
    <row r="482" spans="2:20">
      <c r="B482" t="s">
        <v>148</v>
      </c>
      <c r="D482" t="s">
        <v>110</v>
      </c>
      <c r="F482" s="83">
        <f>SUM(G482:O482)</f>
        <v>1167979017.539607</v>
      </c>
      <c r="G482" s="39">
        <f t="shared" ref="G482:H482" si="259">G454</f>
        <v>16804580.691225812</v>
      </c>
      <c r="H482" s="39">
        <f t="shared" si="259"/>
        <v>25000671.297913276</v>
      </c>
      <c r="I482" s="98">
        <f t="shared" si="255"/>
        <v>23815634.330434334</v>
      </c>
      <c r="J482" s="98">
        <f t="shared" si="256"/>
        <v>394530430.39932793</v>
      </c>
      <c r="K482" s="98">
        <f t="shared" si="257"/>
        <v>313997340.69705367</v>
      </c>
      <c r="L482" s="39">
        <f t="shared" si="258"/>
        <v>25519429.869379018</v>
      </c>
      <c r="M482" s="39">
        <f t="shared" si="252"/>
        <v>347926716.80088526</v>
      </c>
      <c r="N482" s="39">
        <f t="shared" si="253"/>
        <v>20384213.453387786</v>
      </c>
      <c r="O482" s="39"/>
      <c r="P482" s="29"/>
      <c r="Q482" s="29"/>
      <c r="R482" s="29"/>
      <c r="S482" s="29"/>
      <c r="T482" s="29"/>
    </row>
    <row r="483" spans="2:20">
      <c r="F483" s="47"/>
      <c r="G483" s="29"/>
      <c r="H483" s="29"/>
      <c r="I483" s="29"/>
      <c r="J483" s="29"/>
      <c r="K483" s="29"/>
      <c r="L483" s="29"/>
      <c r="M483" s="29"/>
      <c r="N483" s="29"/>
      <c r="O483" s="29"/>
      <c r="P483" s="28"/>
      <c r="Q483" s="28"/>
      <c r="R483" s="28"/>
      <c r="S483" s="28"/>
      <c r="T483" s="28"/>
    </row>
    <row r="484" spans="2:20">
      <c r="B484" s="3" t="s">
        <v>149</v>
      </c>
      <c r="F484" s="47"/>
      <c r="G484" s="29"/>
      <c r="H484" s="29"/>
      <c r="I484" s="29"/>
      <c r="J484" s="29"/>
      <c r="K484" s="29"/>
      <c r="L484" s="29"/>
      <c r="M484" s="29"/>
      <c r="N484" s="29"/>
      <c r="O484" s="29"/>
      <c r="P484" s="28"/>
      <c r="Q484" s="28"/>
      <c r="R484" s="28"/>
      <c r="S484" s="28"/>
      <c r="T484" s="28"/>
    </row>
    <row r="485" spans="2:20">
      <c r="B485" t="s">
        <v>150</v>
      </c>
      <c r="D485" t="s">
        <v>110</v>
      </c>
      <c r="F485" s="83">
        <f>SUM(G485:O485)</f>
        <v>0</v>
      </c>
      <c r="G485" s="39">
        <f>G457</f>
        <v>0</v>
      </c>
      <c r="H485" s="39">
        <f>H457</f>
        <v>0</v>
      </c>
      <c r="I485" s="98">
        <f>J457+K457</f>
        <v>0</v>
      </c>
      <c r="J485" s="98">
        <f>L457+M457</f>
        <v>0</v>
      </c>
      <c r="K485" s="98">
        <f>O457+P457</f>
        <v>0</v>
      </c>
      <c r="L485" s="39">
        <f>Q457</f>
        <v>0</v>
      </c>
      <c r="M485" s="39">
        <f t="shared" ref="M485:M487" si="260">R457</f>
        <v>0</v>
      </c>
      <c r="N485" s="39">
        <f t="shared" ref="N485:N487" si="261">S457</f>
        <v>0</v>
      </c>
      <c r="O485" s="39"/>
      <c r="P485" s="29"/>
      <c r="Q485" s="29"/>
      <c r="R485" s="29"/>
      <c r="S485" s="29"/>
      <c r="T485" s="29"/>
    </row>
    <row r="486" spans="2:20">
      <c r="B486" t="s">
        <v>151</v>
      </c>
      <c r="D486" t="s">
        <v>110</v>
      </c>
      <c r="F486" s="83">
        <f>SUM(G486:O486)</f>
        <v>2481350.9971065461</v>
      </c>
      <c r="G486" s="39">
        <f t="shared" ref="G486:H486" si="262">G458</f>
        <v>0</v>
      </c>
      <c r="H486" s="39">
        <f t="shared" si="262"/>
        <v>0</v>
      </c>
      <c r="I486" s="98">
        <f t="shared" ref="I486:I487" si="263">J458+K458</f>
        <v>0</v>
      </c>
      <c r="J486" s="98">
        <f t="shared" ref="J486:J487" si="264">L458+M458</f>
        <v>831738.9267922173</v>
      </c>
      <c r="K486" s="98">
        <f t="shared" ref="K486:K487" si="265">O458+P458</f>
        <v>0</v>
      </c>
      <c r="L486" s="39">
        <f t="shared" ref="L486:L487" si="266">Q458</f>
        <v>1649612.0703143289</v>
      </c>
      <c r="M486" s="39">
        <f t="shared" si="260"/>
        <v>0</v>
      </c>
      <c r="N486" s="39">
        <f t="shared" si="261"/>
        <v>0</v>
      </c>
      <c r="O486" s="39"/>
      <c r="P486" s="29"/>
      <c r="Q486" s="29"/>
      <c r="R486" s="29"/>
      <c r="S486" s="29"/>
      <c r="T486" s="29"/>
    </row>
    <row r="487" spans="2:20">
      <c r="B487" t="s">
        <v>152</v>
      </c>
      <c r="D487" t="s">
        <v>110</v>
      </c>
      <c r="F487" s="83">
        <f>SUM(G487:O487)</f>
        <v>18215061.689808168</v>
      </c>
      <c r="G487" s="39">
        <f t="shared" ref="G487:H487" si="267">G459</f>
        <v>-5.3448039739900352E-11</v>
      </c>
      <c r="H487" s="39">
        <f t="shared" si="267"/>
        <v>0</v>
      </c>
      <c r="I487" s="98">
        <f t="shared" si="263"/>
        <v>0</v>
      </c>
      <c r="J487" s="98">
        <f t="shared" si="264"/>
        <v>8317389.2679221872</v>
      </c>
      <c r="K487" s="98">
        <f t="shared" si="265"/>
        <v>0</v>
      </c>
      <c r="L487" s="39">
        <f t="shared" si="266"/>
        <v>9897672.4218859822</v>
      </c>
      <c r="M487" s="39">
        <f t="shared" si="260"/>
        <v>0</v>
      </c>
      <c r="N487" s="39">
        <f t="shared" si="261"/>
        <v>0</v>
      </c>
      <c r="O487" s="39"/>
      <c r="P487" s="29"/>
      <c r="Q487" s="29"/>
      <c r="R487" s="29"/>
      <c r="S487" s="29"/>
      <c r="T487" s="29"/>
    </row>
    <row r="488" spans="2:20">
      <c r="F488" s="47"/>
      <c r="G488" s="29"/>
      <c r="H488" s="29"/>
      <c r="I488" s="29"/>
      <c r="J488" s="29"/>
      <c r="K488" s="29"/>
      <c r="L488" s="29"/>
      <c r="M488" s="29"/>
      <c r="N488" s="29"/>
      <c r="O488" s="29"/>
      <c r="P488" s="28"/>
      <c r="Q488" s="28"/>
      <c r="R488" s="28"/>
      <c r="S488" s="28"/>
      <c r="T488" s="28"/>
    </row>
    <row r="489" spans="2:20">
      <c r="B489" s="3" t="s">
        <v>153</v>
      </c>
      <c r="F489" s="47"/>
      <c r="G489" s="29"/>
      <c r="H489" s="29"/>
      <c r="I489" s="29"/>
      <c r="J489" s="29"/>
      <c r="K489" s="29"/>
      <c r="L489" s="29"/>
      <c r="M489" s="29"/>
      <c r="N489" s="29"/>
      <c r="O489" s="29"/>
      <c r="P489" s="28"/>
      <c r="Q489" s="28"/>
      <c r="R489" s="28"/>
      <c r="S489" s="28"/>
      <c r="T489" s="28"/>
    </row>
    <row r="490" spans="2:20">
      <c r="B490" t="s">
        <v>154</v>
      </c>
      <c r="D490" t="s">
        <v>110</v>
      </c>
      <c r="F490" s="83">
        <f>SUM(G490:O490)</f>
        <v>0</v>
      </c>
      <c r="G490" s="39">
        <f>G462</f>
        <v>0</v>
      </c>
      <c r="H490" s="39">
        <f>H462</f>
        <v>0</v>
      </c>
      <c r="I490" s="98">
        <f>J462+K462</f>
        <v>0</v>
      </c>
      <c r="J490" s="98">
        <f>L462+M462</f>
        <v>0</v>
      </c>
      <c r="K490" s="98">
        <f>O462+P462</f>
        <v>0</v>
      </c>
      <c r="L490" s="39">
        <f>Q462</f>
        <v>0</v>
      </c>
      <c r="M490" s="39">
        <f t="shared" ref="M490:M492" si="268">R462</f>
        <v>0</v>
      </c>
      <c r="N490" s="39">
        <f t="shared" ref="N490:N492" si="269">S462</f>
        <v>0</v>
      </c>
      <c r="O490" s="39"/>
      <c r="P490" s="29"/>
      <c r="Q490" s="29"/>
      <c r="R490" s="29"/>
      <c r="S490" s="29"/>
      <c r="T490" s="29"/>
    </row>
    <row r="491" spans="2:20">
      <c r="B491" t="s">
        <v>155</v>
      </c>
      <c r="D491" t="s">
        <v>110</v>
      </c>
      <c r="F491" s="83">
        <f>SUM(G491:O491)</f>
        <v>0</v>
      </c>
      <c r="G491" s="39">
        <f t="shared" ref="G491:H491" si="270">G463</f>
        <v>0</v>
      </c>
      <c r="H491" s="39">
        <f t="shared" si="270"/>
        <v>0</v>
      </c>
      <c r="I491" s="98">
        <f t="shared" ref="I491:I492" si="271">J463+K463</f>
        <v>0</v>
      </c>
      <c r="J491" s="98">
        <f t="shared" ref="J491:J492" si="272">L463+M463</f>
        <v>0</v>
      </c>
      <c r="K491" s="98">
        <f t="shared" ref="K491:K492" si="273">O463+P463</f>
        <v>0</v>
      </c>
      <c r="L491" s="39">
        <f t="shared" ref="L491:L492" si="274">Q463</f>
        <v>0</v>
      </c>
      <c r="M491" s="39">
        <f t="shared" si="268"/>
        <v>0</v>
      </c>
      <c r="N491" s="39">
        <f t="shared" si="269"/>
        <v>0</v>
      </c>
      <c r="O491" s="39"/>
      <c r="P491" s="29"/>
      <c r="Q491" s="29"/>
      <c r="R491" s="29"/>
      <c r="S491" s="29"/>
      <c r="T491" s="29"/>
    </row>
    <row r="492" spans="2:20">
      <c r="B492" t="s">
        <v>156</v>
      </c>
      <c r="D492" t="s">
        <v>110</v>
      </c>
      <c r="F492" s="83">
        <f>SUM(G492:O492)</f>
        <v>0</v>
      </c>
      <c r="G492" s="39">
        <f t="shared" ref="G492:H492" si="275">G464</f>
        <v>0</v>
      </c>
      <c r="H492" s="39">
        <f t="shared" si="275"/>
        <v>0</v>
      </c>
      <c r="I492" s="98">
        <f t="shared" si="271"/>
        <v>0</v>
      </c>
      <c r="J492" s="98">
        <f t="shared" si="272"/>
        <v>0</v>
      </c>
      <c r="K492" s="98">
        <f t="shared" si="273"/>
        <v>0</v>
      </c>
      <c r="L492" s="39">
        <f t="shared" si="274"/>
        <v>0</v>
      </c>
      <c r="M492" s="39">
        <f t="shared" si="268"/>
        <v>0</v>
      </c>
      <c r="N492" s="39">
        <f t="shared" si="269"/>
        <v>0</v>
      </c>
      <c r="O492" s="39"/>
      <c r="P492" s="29"/>
      <c r="Q492" s="29"/>
      <c r="R492" s="29"/>
      <c r="S492" s="29"/>
      <c r="T492" s="29"/>
    </row>
    <row r="493" spans="2:20">
      <c r="F493" s="47"/>
      <c r="G493" s="29"/>
      <c r="H493" s="29"/>
      <c r="I493" s="29"/>
      <c r="J493" s="29"/>
      <c r="K493" s="29"/>
      <c r="L493" s="29"/>
      <c r="M493" s="29"/>
      <c r="N493" s="29"/>
      <c r="O493" s="29"/>
      <c r="P493" s="28"/>
      <c r="Q493" s="28"/>
      <c r="R493" s="28"/>
      <c r="S493" s="28"/>
      <c r="T493" s="28"/>
    </row>
    <row r="494" spans="2:20">
      <c r="B494" s="3" t="s">
        <v>157</v>
      </c>
      <c r="F494" s="47"/>
      <c r="G494" s="29"/>
      <c r="H494" s="29"/>
      <c r="I494" s="29"/>
      <c r="J494" s="29"/>
      <c r="K494" s="29"/>
      <c r="L494" s="29"/>
      <c r="M494" s="29"/>
      <c r="N494" s="29"/>
      <c r="O494" s="29"/>
      <c r="P494" s="28"/>
      <c r="Q494" s="28"/>
      <c r="R494" s="28"/>
      <c r="S494" s="28"/>
      <c r="T494" s="28"/>
    </row>
    <row r="495" spans="2:20">
      <c r="B495" t="s">
        <v>158</v>
      </c>
      <c r="D495" t="s">
        <v>110</v>
      </c>
      <c r="F495" s="83">
        <f>SUM(G495:O495)</f>
        <v>0</v>
      </c>
      <c r="G495" s="39">
        <f>G467</f>
        <v>0</v>
      </c>
      <c r="H495" s="39">
        <f>H467</f>
        <v>0</v>
      </c>
      <c r="I495" s="98">
        <f>J467+K467</f>
        <v>0</v>
      </c>
      <c r="J495" s="98">
        <f>L467+M467</f>
        <v>0</v>
      </c>
      <c r="K495" s="98">
        <f>O467+P467</f>
        <v>0</v>
      </c>
      <c r="L495" s="39">
        <f>Q467</f>
        <v>0</v>
      </c>
      <c r="M495" s="39">
        <f t="shared" ref="M495:M497" si="276">R467</f>
        <v>0</v>
      </c>
      <c r="N495" s="39">
        <f t="shared" ref="N495:N497" si="277">S467</f>
        <v>0</v>
      </c>
      <c r="O495" s="39"/>
      <c r="P495" s="29"/>
      <c r="Q495" s="29"/>
      <c r="R495" s="29"/>
      <c r="S495" s="29"/>
      <c r="T495" s="29"/>
    </row>
    <row r="496" spans="2:20">
      <c r="B496" t="s">
        <v>159</v>
      </c>
      <c r="D496" t="s">
        <v>110</v>
      </c>
      <c r="F496" s="83">
        <f>SUM(G496:O496)</f>
        <v>0</v>
      </c>
      <c r="G496" s="39">
        <f t="shared" ref="G496:H496" si="278">G468</f>
        <v>0</v>
      </c>
      <c r="H496" s="39">
        <f t="shared" si="278"/>
        <v>0</v>
      </c>
      <c r="I496" s="98">
        <f t="shared" ref="I496:I497" si="279">J468+K468</f>
        <v>0</v>
      </c>
      <c r="J496" s="98">
        <f t="shared" ref="J496:J497" si="280">L468+M468</f>
        <v>0</v>
      </c>
      <c r="K496" s="98">
        <f t="shared" ref="K496:K497" si="281">O468+P468</f>
        <v>0</v>
      </c>
      <c r="L496" s="39">
        <f t="shared" ref="L496:L497" si="282">Q468</f>
        <v>0</v>
      </c>
      <c r="M496" s="39">
        <f t="shared" si="276"/>
        <v>0</v>
      </c>
      <c r="N496" s="39">
        <f t="shared" si="277"/>
        <v>0</v>
      </c>
      <c r="O496" s="39"/>
      <c r="P496" s="29"/>
      <c r="Q496" s="29"/>
      <c r="R496" s="29"/>
      <c r="S496" s="29"/>
      <c r="T496" s="29"/>
    </row>
    <row r="497" spans="2:22">
      <c r="B497" t="s">
        <v>160</v>
      </c>
      <c r="D497" t="s">
        <v>110</v>
      </c>
      <c r="F497" s="83">
        <f>SUM(G497:O497)</f>
        <v>0</v>
      </c>
      <c r="G497" s="39">
        <f t="shared" ref="G497:H497" si="283">G469</f>
        <v>0</v>
      </c>
      <c r="H497" s="39">
        <f t="shared" si="283"/>
        <v>0</v>
      </c>
      <c r="I497" s="98">
        <f t="shared" si="279"/>
        <v>0</v>
      </c>
      <c r="J497" s="98">
        <f t="shared" si="280"/>
        <v>0</v>
      </c>
      <c r="K497" s="98">
        <f t="shared" si="281"/>
        <v>0</v>
      </c>
      <c r="L497" s="39">
        <f t="shared" si="282"/>
        <v>0</v>
      </c>
      <c r="M497" s="39">
        <f t="shared" si="276"/>
        <v>0</v>
      </c>
      <c r="N497" s="39">
        <f t="shared" si="277"/>
        <v>0</v>
      </c>
      <c r="O497" s="39"/>
      <c r="P497" s="29"/>
      <c r="Q497" s="29"/>
      <c r="R497" s="29"/>
      <c r="S497" s="29"/>
      <c r="T497" s="29"/>
    </row>
    <row r="498" spans="2:22">
      <c r="F498" s="47"/>
    </row>
    <row r="499" spans="2:22">
      <c r="F499" s="47"/>
    </row>
    <row r="500" spans="2:22">
      <c r="B500" s="3" t="s">
        <v>417</v>
      </c>
      <c r="F500" s="47"/>
    </row>
    <row r="501" spans="2:22">
      <c r="F501" s="47"/>
    </row>
    <row r="502" spans="2:22">
      <c r="B502" s="3" t="s">
        <v>171</v>
      </c>
      <c r="F502" s="47"/>
    </row>
    <row r="503" spans="2:22">
      <c r="B503" t="s">
        <v>139</v>
      </c>
      <c r="D503" t="s">
        <v>110</v>
      </c>
      <c r="F503" s="83">
        <f>SUM(G503:O503)</f>
        <v>226668432.36490881</v>
      </c>
      <c r="G503" s="24">
        <f>G476+G481+G491+G496</f>
        <v>3751492.2118571722</v>
      </c>
      <c r="H503" s="24">
        <f t="shared" ref="H503:O503" si="284">H476+H481+H491+H496</f>
        <v>4890010.598941464</v>
      </c>
      <c r="I503" s="24">
        <f t="shared" si="284"/>
        <v>14100428.727805868</v>
      </c>
      <c r="J503" s="24">
        <f t="shared" si="284"/>
        <v>60830548.093982011</v>
      </c>
      <c r="K503" s="24">
        <f t="shared" si="284"/>
        <v>67712699.820646062</v>
      </c>
      <c r="L503" s="24">
        <f t="shared" si="284"/>
        <v>6983737.5848095678</v>
      </c>
      <c r="M503" s="24">
        <f t="shared" si="284"/>
        <v>61995089.626839705</v>
      </c>
      <c r="N503" s="24">
        <f t="shared" si="284"/>
        <v>6404425.7000269517</v>
      </c>
      <c r="O503" s="24">
        <f t="shared" si="284"/>
        <v>0</v>
      </c>
      <c r="V503" s="51" t="s">
        <v>570</v>
      </c>
    </row>
    <row r="504" spans="2:22">
      <c r="B504" t="s">
        <v>165</v>
      </c>
      <c r="D504" t="s">
        <v>110</v>
      </c>
      <c r="F504" s="83">
        <f>SUM(G504:O504)</f>
        <v>5745871088.8912239</v>
      </c>
      <c r="G504" s="24">
        <f>G477+G482+G492+G497</f>
        <v>91228001.320622936</v>
      </c>
      <c r="H504" s="24">
        <f t="shared" ref="H504:O504" si="285">H477+H482+H492+H497</f>
        <v>113970185.25753522</v>
      </c>
      <c r="I504" s="24">
        <f t="shared" si="285"/>
        <v>333550013.90266502</v>
      </c>
      <c r="J504" s="24">
        <f t="shared" si="285"/>
        <v>1465962548.3735425</v>
      </c>
      <c r="K504" s="24">
        <f t="shared" si="285"/>
        <v>1883186454.8029325</v>
      </c>
      <c r="L504" s="24">
        <f t="shared" si="285"/>
        <v>153670859.95231867</v>
      </c>
      <c r="M504" s="24">
        <f t="shared" si="285"/>
        <v>1577775677.0587845</v>
      </c>
      <c r="N504" s="24">
        <f t="shared" si="285"/>
        <v>126527348.22282261</v>
      </c>
      <c r="O504" s="24">
        <f t="shared" si="285"/>
        <v>0</v>
      </c>
      <c r="V504" s="51" t="s">
        <v>571</v>
      </c>
    </row>
    <row r="505" spans="2:22">
      <c r="B505" t="s">
        <v>166</v>
      </c>
      <c r="D505" t="s">
        <v>110</v>
      </c>
      <c r="F505" s="83">
        <f>SUM(G505:O505)</f>
        <v>206851359.20008406</v>
      </c>
      <c r="G505" s="24">
        <f>G504*$F$13</f>
        <v>3284208.0475424253</v>
      </c>
      <c r="H505" s="24">
        <f t="shared" ref="H505" si="286">H504*$F$13</f>
        <v>4102926.6692712675</v>
      </c>
      <c r="I505" s="24">
        <f t="shared" ref="I505" si="287">I504*$F$13</f>
        <v>12007800.50049594</v>
      </c>
      <c r="J505" s="24">
        <f t="shared" ref="J505" si="288">J504*$F$13</f>
        <v>52774651.741447531</v>
      </c>
      <c r="K505" s="24">
        <f t="shared" ref="K505" si="289">K504*$F$13</f>
        <v>67794712.372905567</v>
      </c>
      <c r="L505" s="24">
        <f t="shared" ref="L505" si="290">L504*$F$13</f>
        <v>5532150.9582834719</v>
      </c>
      <c r="M505" s="24">
        <f t="shared" ref="M505" si="291">M504*$F$13</f>
        <v>56799924.374116234</v>
      </c>
      <c r="N505" s="24">
        <f t="shared" ref="N505" si="292">N504*$F$13</f>
        <v>4554984.5360216135</v>
      </c>
      <c r="O505" s="24">
        <f t="shared" ref="O505" si="293">O504*$F$13</f>
        <v>0</v>
      </c>
      <c r="V505" s="51" t="s">
        <v>572</v>
      </c>
    </row>
    <row r="506" spans="2:22">
      <c r="B506" t="s">
        <v>169</v>
      </c>
      <c r="D506" t="s">
        <v>110</v>
      </c>
      <c r="F506" s="83">
        <f>SUM(G506:O506)</f>
        <v>433519791.56499285</v>
      </c>
      <c r="G506" s="21">
        <f>G503+G505</f>
        <v>7035700.2593995975</v>
      </c>
      <c r="H506" s="21">
        <f t="shared" ref="H506" si="294">H503+H505</f>
        <v>8992937.2682127319</v>
      </c>
      <c r="I506" s="21">
        <f t="shared" ref="I506" si="295">I503+I505</f>
        <v>26108229.228301808</v>
      </c>
      <c r="J506" s="21">
        <f t="shared" ref="J506" si="296">J503+J505</f>
        <v>113605199.83542955</v>
      </c>
      <c r="K506" s="21">
        <f t="shared" ref="K506" si="297">K503+K505</f>
        <v>135507412.19355163</v>
      </c>
      <c r="L506" s="21">
        <f t="shared" ref="L506" si="298">L503+L505</f>
        <v>12515888.543093041</v>
      </c>
      <c r="M506" s="21">
        <f t="shared" ref="M506" si="299">M503+M505</f>
        <v>118795014.00095594</v>
      </c>
      <c r="N506" s="21">
        <f t="shared" ref="N506" si="300">N503+N505</f>
        <v>10959410.236048564</v>
      </c>
      <c r="O506" s="21">
        <f t="shared" ref="O506" si="301">O503+O505</f>
        <v>0</v>
      </c>
      <c r="V506" s="51" t="s">
        <v>573</v>
      </c>
    </row>
    <row r="507" spans="2:22">
      <c r="F507" s="47"/>
    </row>
    <row r="508" spans="2:22">
      <c r="B508" s="3" t="s">
        <v>172</v>
      </c>
      <c r="F508" s="47"/>
    </row>
    <row r="509" spans="2:22">
      <c r="B509" t="s">
        <v>139</v>
      </c>
      <c r="D509" t="s">
        <v>110</v>
      </c>
      <c r="F509" s="83">
        <f>SUM(G509:O509)</f>
        <v>2481350.9971065461</v>
      </c>
      <c r="G509" s="24">
        <f>G486</f>
        <v>0</v>
      </c>
      <c r="H509" s="24">
        <f t="shared" ref="H509:O509" si="302">H486</f>
        <v>0</v>
      </c>
      <c r="I509" s="24">
        <f t="shared" si="302"/>
        <v>0</v>
      </c>
      <c r="J509" s="24">
        <f t="shared" si="302"/>
        <v>831738.9267922173</v>
      </c>
      <c r="K509" s="24">
        <f t="shared" si="302"/>
        <v>0</v>
      </c>
      <c r="L509" s="24">
        <f t="shared" si="302"/>
        <v>1649612.0703143289</v>
      </c>
      <c r="M509" s="24">
        <f t="shared" si="302"/>
        <v>0</v>
      </c>
      <c r="N509" s="24">
        <f t="shared" si="302"/>
        <v>0</v>
      </c>
      <c r="O509" s="24">
        <f t="shared" si="302"/>
        <v>0</v>
      </c>
    </row>
    <row r="510" spans="2:22">
      <c r="B510" t="s">
        <v>165</v>
      </c>
      <c r="D510" t="s">
        <v>110</v>
      </c>
      <c r="F510" s="83">
        <f>SUM(G510:O510)</f>
        <v>18215061.689808168</v>
      </c>
      <c r="G510" s="24">
        <f>G487</f>
        <v>-5.3448039739900352E-11</v>
      </c>
      <c r="H510" s="24">
        <f t="shared" ref="H510:O510" si="303">H487</f>
        <v>0</v>
      </c>
      <c r="I510" s="24">
        <f t="shared" si="303"/>
        <v>0</v>
      </c>
      <c r="J510" s="24">
        <f t="shared" si="303"/>
        <v>8317389.2679221872</v>
      </c>
      <c r="K510" s="24">
        <f t="shared" si="303"/>
        <v>0</v>
      </c>
      <c r="L510" s="24">
        <f t="shared" si="303"/>
        <v>9897672.4218859822</v>
      </c>
      <c r="M510" s="24">
        <f t="shared" si="303"/>
        <v>0</v>
      </c>
      <c r="N510" s="24">
        <f t="shared" si="303"/>
        <v>0</v>
      </c>
      <c r="O510" s="24">
        <f t="shared" si="303"/>
        <v>0</v>
      </c>
    </row>
    <row r="511" spans="2:22">
      <c r="B511" t="s">
        <v>166</v>
      </c>
      <c r="D511" t="s">
        <v>110</v>
      </c>
      <c r="F511" s="83">
        <f>SUM(G511:O511)</f>
        <v>655742.22083309409</v>
      </c>
      <c r="G511" s="24">
        <f>G510*$F$13</f>
        <v>-1.9241294306364126E-12</v>
      </c>
      <c r="H511" s="24">
        <f t="shared" ref="H511" si="304">H510*$F$13</f>
        <v>0</v>
      </c>
      <c r="I511" s="24">
        <f t="shared" ref="I511" si="305">I510*$F$13</f>
        <v>0</v>
      </c>
      <c r="J511" s="24">
        <f t="shared" ref="J511" si="306">J510*$F$13</f>
        <v>299426.01364519872</v>
      </c>
      <c r="K511" s="24">
        <f t="shared" ref="K511" si="307">K510*$F$13</f>
        <v>0</v>
      </c>
      <c r="L511" s="24">
        <f t="shared" ref="L511" si="308">L510*$F$13</f>
        <v>356316.20718789531</v>
      </c>
      <c r="M511" s="24">
        <f t="shared" ref="M511" si="309">M510*$F$13</f>
        <v>0</v>
      </c>
      <c r="N511" s="24">
        <f t="shared" ref="N511" si="310">N510*$F$13</f>
        <v>0</v>
      </c>
      <c r="O511" s="24">
        <f t="shared" ref="O511" si="311">O510*$F$13</f>
        <v>0</v>
      </c>
    </row>
    <row r="512" spans="2:22">
      <c r="B512" t="s">
        <v>169</v>
      </c>
      <c r="D512" t="s">
        <v>110</v>
      </c>
      <c r="F512" s="83">
        <f>SUM(G512:O512)</f>
        <v>3137093.2179396404</v>
      </c>
      <c r="G512" s="150">
        <f>G509+G511</f>
        <v>-1.9241294306364126E-12</v>
      </c>
      <c r="H512" s="150">
        <f t="shared" ref="H512" si="312">H509+H511</f>
        <v>0</v>
      </c>
      <c r="I512" s="150">
        <f t="shared" ref="I512" si="313">I509+I511</f>
        <v>0</v>
      </c>
      <c r="J512" s="150">
        <f t="shared" ref="J512" si="314">J509+J511</f>
        <v>1131164.9404374161</v>
      </c>
      <c r="K512" s="150">
        <f t="shared" ref="K512" si="315">K509+K511</f>
        <v>0</v>
      </c>
      <c r="L512" s="150">
        <f t="shared" ref="L512" si="316">L509+L511</f>
        <v>2005928.2775022243</v>
      </c>
      <c r="M512" s="150">
        <f t="shared" ref="M512" si="317">M509+M511</f>
        <v>0</v>
      </c>
      <c r="N512" s="150">
        <f t="shared" ref="N512" si="318">N509+N511</f>
        <v>0</v>
      </c>
      <c r="O512" s="150">
        <f t="shared" ref="O512" si="319">O509+O511</f>
        <v>0</v>
      </c>
    </row>
    <row r="513" spans="2:22">
      <c r="F513" s="47"/>
    </row>
    <row r="514" spans="2:22">
      <c r="F514" s="47"/>
    </row>
    <row r="515" spans="2:22">
      <c r="B515" s="3" t="s">
        <v>170</v>
      </c>
      <c r="F515" s="47"/>
    </row>
    <row r="516" spans="2:22">
      <c r="F516" s="47"/>
    </row>
    <row r="517" spans="2:22">
      <c r="B517" s="51" t="s">
        <v>419</v>
      </c>
      <c r="D517" t="s">
        <v>110</v>
      </c>
      <c r="F517" s="83">
        <f>SUM(G517:O517)</f>
        <v>0</v>
      </c>
      <c r="G517" s="8"/>
      <c r="H517" s="8"/>
      <c r="I517" s="8"/>
      <c r="J517" s="8"/>
      <c r="K517" s="8"/>
      <c r="L517" s="8"/>
      <c r="M517" s="8"/>
      <c r="N517" s="8"/>
      <c r="O517" s="8"/>
    </row>
    <row r="518" spans="2:22">
      <c r="B518" t="s">
        <v>173</v>
      </c>
      <c r="D518" t="s">
        <v>110</v>
      </c>
      <c r="F518" s="83">
        <f>SUM(G518:O518)</f>
        <v>-4885.76</v>
      </c>
      <c r="G518" s="97">
        <f>'PRD Ov.Opbrengst TD (2009-2012)'!G204</f>
        <v>0</v>
      </c>
      <c r="H518" s="97">
        <f>'PRD Ov.Opbrengst TD (2009-2012)'!H204</f>
        <v>0</v>
      </c>
      <c r="I518" s="97">
        <f>'PRD Ov.Opbrengst TD (2009-2012)'!I204</f>
        <v>0</v>
      </c>
      <c r="J518" s="97">
        <f>'PRD Ov.Opbrengst TD (2009-2012)'!J204</f>
        <v>0</v>
      </c>
      <c r="K518" s="97">
        <f>'PRD Ov.Opbrengst TD (2009-2012)'!K204</f>
        <v>0</v>
      </c>
      <c r="L518" s="97">
        <f>'PRD Ov.Opbrengst TD (2009-2012)'!L204</f>
        <v>-4885.76</v>
      </c>
      <c r="M518" s="97">
        <f>'PRD Ov.Opbrengst TD (2009-2012)'!M204</f>
        <v>0</v>
      </c>
      <c r="N518" s="97">
        <f>'PRD Ov.Opbrengst TD (2009-2012)'!N204</f>
        <v>0</v>
      </c>
      <c r="O518" s="97">
        <f>'PRD Ov.Opbrengst TD (2009-2012)'!O204</f>
        <v>0</v>
      </c>
    </row>
    <row r="519" spans="2:22">
      <c r="B519" t="s">
        <v>174</v>
      </c>
      <c r="D519" t="s">
        <v>110</v>
      </c>
      <c r="F519" s="83">
        <f>SUM(G519:O519)</f>
        <v>0</v>
      </c>
      <c r="G519" s="8"/>
      <c r="H519" s="8"/>
      <c r="I519" s="8"/>
      <c r="J519" s="8"/>
      <c r="K519" s="8"/>
      <c r="L519" s="8"/>
      <c r="M519" s="8"/>
      <c r="N519" s="8"/>
      <c r="O519" s="8"/>
    </row>
    <row r="520" spans="2:22">
      <c r="B520" s="13" t="s">
        <v>187</v>
      </c>
      <c r="D520" t="s">
        <v>110</v>
      </c>
      <c r="F520" s="83">
        <f>SUM(G520:O520)</f>
        <v>-4885.76</v>
      </c>
      <c r="G520" s="24">
        <f t="shared" ref="G520:O520" si="320">SUM(G517:G519)</f>
        <v>0</v>
      </c>
      <c r="H520" s="24">
        <f t="shared" si="320"/>
        <v>0</v>
      </c>
      <c r="I520" s="24">
        <f t="shared" si="320"/>
        <v>0</v>
      </c>
      <c r="J520" s="24">
        <f t="shared" si="320"/>
        <v>0</v>
      </c>
      <c r="K520" s="24">
        <f t="shared" si="320"/>
        <v>0</v>
      </c>
      <c r="L520" s="24">
        <f t="shared" si="320"/>
        <v>-4885.76</v>
      </c>
      <c r="M520" s="24">
        <f t="shared" si="320"/>
        <v>0</v>
      </c>
      <c r="N520" s="24">
        <f t="shared" si="320"/>
        <v>0</v>
      </c>
      <c r="O520" s="24">
        <f t="shared" si="320"/>
        <v>0</v>
      </c>
    </row>
    <row r="521" spans="2:22">
      <c r="F521" s="47"/>
    </row>
    <row r="522" spans="2:22">
      <c r="F522" s="47"/>
    </row>
    <row r="523" spans="2:22">
      <c r="B523" s="3" t="s">
        <v>418</v>
      </c>
      <c r="F523" s="47"/>
    </row>
    <row r="524" spans="2:22">
      <c r="F524" s="47"/>
    </row>
    <row r="525" spans="2:22">
      <c r="B525" t="s">
        <v>175</v>
      </c>
      <c r="D525" t="s">
        <v>110</v>
      </c>
      <c r="F525" s="84">
        <f>SUM(G525:O525)</f>
        <v>433524677.32499284</v>
      </c>
      <c r="G525" s="21">
        <f t="shared" ref="G525:O525" si="321">G506-G520</f>
        <v>7035700.2593995975</v>
      </c>
      <c r="H525" s="21">
        <f t="shared" si="321"/>
        <v>8992937.2682127319</v>
      </c>
      <c r="I525" s="21">
        <f t="shared" si="321"/>
        <v>26108229.228301808</v>
      </c>
      <c r="J525" s="21">
        <f t="shared" si="321"/>
        <v>113605199.83542955</v>
      </c>
      <c r="K525" s="21">
        <f t="shared" si="321"/>
        <v>135507412.19355163</v>
      </c>
      <c r="L525" s="21">
        <f t="shared" si="321"/>
        <v>12520774.30309304</v>
      </c>
      <c r="M525" s="21">
        <f t="shared" si="321"/>
        <v>118795014.00095594</v>
      </c>
      <c r="N525" s="21">
        <f t="shared" si="321"/>
        <v>10959410.236048564</v>
      </c>
      <c r="O525" s="21">
        <f t="shared" si="321"/>
        <v>0</v>
      </c>
      <c r="V525" s="51" t="s">
        <v>573</v>
      </c>
    </row>
    <row r="526" spans="2:22">
      <c r="F526" s="47"/>
    </row>
    <row r="527" spans="2:22">
      <c r="B527" s="51" t="s">
        <v>617</v>
      </c>
      <c r="D527" t="s">
        <v>110</v>
      </c>
      <c r="F527" s="84">
        <f>SUM(G527:O527)</f>
        <v>582917325.63616467</v>
      </c>
      <c r="G527" s="98">
        <f>G503+G504*$F$12-G520</f>
        <v>9407628.2937357947</v>
      </c>
      <c r="H527" s="98">
        <f t="shared" ref="H527:O527" si="322">H503+H504*$F$12-H520</f>
        <v>11956162.084908647</v>
      </c>
      <c r="I527" s="98">
        <f t="shared" si="322"/>
        <v>34780529.589771099</v>
      </c>
      <c r="J527" s="98">
        <f t="shared" si="322"/>
        <v>151720226.09314165</v>
      </c>
      <c r="K527" s="98">
        <f t="shared" si="322"/>
        <v>184470260.01842788</v>
      </c>
      <c r="L527" s="98">
        <f t="shared" si="322"/>
        <v>16516216.661853325</v>
      </c>
      <c r="M527" s="98">
        <f t="shared" si="322"/>
        <v>159817181.60448435</v>
      </c>
      <c r="N527" s="98">
        <f t="shared" si="322"/>
        <v>14249121.289841954</v>
      </c>
      <c r="O527" s="98">
        <f t="shared" si="322"/>
        <v>0</v>
      </c>
    </row>
    <row r="528" spans="2:22" s="258" customFormat="1">
      <c r="F528" s="47"/>
    </row>
    <row r="529" spans="2:20" s="258" customFormat="1">
      <c r="B529" s="78" t="s">
        <v>757</v>
      </c>
      <c r="D529" s="258" t="s">
        <v>110</v>
      </c>
      <c r="F529" s="84">
        <f>SUM(G529:O529)</f>
        <v>582917325.63616467</v>
      </c>
      <c r="G529" s="98">
        <f>G503+G504*$F$12-G520</f>
        <v>9407628.2937357947</v>
      </c>
      <c r="H529" s="98">
        <f t="shared" ref="H529:O529" si="323">H503+H504*$F$12-H520</f>
        <v>11956162.084908647</v>
      </c>
      <c r="I529" s="98">
        <f t="shared" si="323"/>
        <v>34780529.589771099</v>
      </c>
      <c r="J529" s="98">
        <f t="shared" si="323"/>
        <v>151720226.09314165</v>
      </c>
      <c r="K529" s="98">
        <f t="shared" si="323"/>
        <v>184470260.01842788</v>
      </c>
      <c r="L529" s="98">
        <f t="shared" si="323"/>
        <v>16516216.661853325</v>
      </c>
      <c r="M529" s="98">
        <f t="shared" si="323"/>
        <v>159817181.60448435</v>
      </c>
      <c r="N529" s="98">
        <f t="shared" si="323"/>
        <v>14249121.289841954</v>
      </c>
      <c r="O529" s="98">
        <f t="shared" si="323"/>
        <v>0</v>
      </c>
    </row>
    <row r="530" spans="2:20" s="258" customFormat="1">
      <c r="B530" s="78" t="s">
        <v>758</v>
      </c>
      <c r="D530" s="258" t="s">
        <v>110</v>
      </c>
      <c r="F530" s="84">
        <f>SUM(G530:O530)</f>
        <v>3610684.8218746525</v>
      </c>
      <c r="G530" s="98">
        <f>G509+G510*$F$12</f>
        <v>-3.3137784638738218E-12</v>
      </c>
      <c r="H530" s="98">
        <f t="shared" ref="H530:O530" si="324">H509+H510*$F$12</f>
        <v>0</v>
      </c>
      <c r="I530" s="98">
        <f t="shared" si="324"/>
        <v>0</v>
      </c>
      <c r="J530" s="98">
        <f t="shared" si="324"/>
        <v>1347417.0614033928</v>
      </c>
      <c r="K530" s="98">
        <f t="shared" si="324"/>
        <v>0</v>
      </c>
      <c r="L530" s="98">
        <f t="shared" si="324"/>
        <v>2263267.7604712597</v>
      </c>
      <c r="M530" s="98">
        <f t="shared" si="324"/>
        <v>0</v>
      </c>
      <c r="N530" s="98">
        <f t="shared" si="324"/>
        <v>0</v>
      </c>
      <c r="O530" s="98">
        <f t="shared" si="324"/>
        <v>0</v>
      </c>
    </row>
    <row r="531" spans="2:20">
      <c r="F531" s="47"/>
    </row>
    <row r="532" spans="2:20">
      <c r="F532" s="62"/>
      <c r="G532" s="42"/>
      <c r="H532" s="42"/>
      <c r="I532" s="42"/>
      <c r="J532" s="42"/>
      <c r="K532" s="42"/>
      <c r="L532" s="42"/>
      <c r="M532" s="42"/>
      <c r="N532" s="42"/>
    </row>
    <row r="533" spans="2:20">
      <c r="B533" s="3" t="s">
        <v>421</v>
      </c>
      <c r="F533" s="47"/>
      <c r="G533" s="55"/>
      <c r="H533" s="3" t="s">
        <v>408</v>
      </c>
      <c r="I533" s="55"/>
      <c r="J533" s="3" t="s">
        <v>411</v>
      </c>
      <c r="K533" s="55"/>
      <c r="L533" s="55"/>
      <c r="M533" s="55"/>
      <c r="N533" s="55"/>
      <c r="O533" s="3" t="s">
        <v>420</v>
      </c>
      <c r="P533" s="55"/>
      <c r="Q533" s="55"/>
      <c r="R533" s="55"/>
      <c r="S533" s="55"/>
      <c r="T533" s="55"/>
    </row>
    <row r="534" spans="2:20">
      <c r="F534" s="47"/>
      <c r="G534" s="28"/>
      <c r="I534" s="28"/>
      <c r="K534" s="28"/>
      <c r="L534" s="28"/>
      <c r="M534" s="28"/>
      <c r="N534" s="28"/>
      <c r="P534" s="28"/>
      <c r="Q534" s="28"/>
      <c r="R534" s="28"/>
      <c r="S534" s="28"/>
      <c r="T534" s="28"/>
    </row>
    <row r="535" spans="2:20">
      <c r="B535" s="3" t="s">
        <v>142</v>
      </c>
      <c r="F535" s="47"/>
      <c r="G535" s="28"/>
      <c r="I535" s="28"/>
      <c r="K535" s="28"/>
      <c r="L535" s="28"/>
      <c r="M535" s="28"/>
      <c r="N535" s="28"/>
      <c r="P535" s="28"/>
      <c r="Q535" s="28"/>
      <c r="R535" s="28"/>
      <c r="S535" s="28"/>
      <c r="T535" s="28"/>
    </row>
    <row r="536" spans="2:20">
      <c r="B536" t="s">
        <v>143</v>
      </c>
      <c r="D536" t="s">
        <v>110</v>
      </c>
      <c r="F536" s="83">
        <f>SUM(G536:O536)</f>
        <v>0</v>
      </c>
      <c r="G536" s="29"/>
      <c r="H536" s="39">
        <f>I447</f>
        <v>0</v>
      </c>
      <c r="I536" s="29"/>
      <c r="J536" s="97">
        <f>N447</f>
        <v>0</v>
      </c>
      <c r="K536" s="29"/>
      <c r="L536" s="29"/>
      <c r="M536" s="29"/>
      <c r="N536" s="29"/>
      <c r="O536" s="97">
        <f>T447</f>
        <v>0</v>
      </c>
      <c r="P536" s="29"/>
      <c r="Q536" s="29"/>
      <c r="R536" s="29"/>
      <c r="S536" s="29"/>
      <c r="T536" s="29"/>
    </row>
    <row r="537" spans="2:20">
      <c r="B537" t="s">
        <v>144</v>
      </c>
      <c r="D537" t="s">
        <v>110</v>
      </c>
      <c r="F537" s="83">
        <f>SUM(G537:O537)</f>
        <v>1377090.4152170038</v>
      </c>
      <c r="G537" s="29"/>
      <c r="H537" s="39">
        <f>I448</f>
        <v>269871.66742349794</v>
      </c>
      <c r="I537" s="29"/>
      <c r="J537" s="97">
        <f>N448</f>
        <v>7847.5036301273558</v>
      </c>
      <c r="K537" s="29"/>
      <c r="L537" s="29"/>
      <c r="M537" s="29"/>
      <c r="N537" s="29"/>
      <c r="O537" s="97">
        <f>T448</f>
        <v>1099371.2441633786</v>
      </c>
      <c r="P537" s="29"/>
      <c r="Q537" s="29"/>
      <c r="R537" s="29"/>
      <c r="S537" s="29"/>
      <c r="T537" s="29"/>
    </row>
    <row r="538" spans="2:20">
      <c r="B538" t="s">
        <v>145</v>
      </c>
      <c r="D538" t="s">
        <v>110</v>
      </c>
      <c r="F538" s="83">
        <f>SUM(G538:O538)</f>
        <v>52778890.361392125</v>
      </c>
      <c r="G538" s="29"/>
      <c r="H538" s="39">
        <f>I449</f>
        <v>10603305.527212091</v>
      </c>
      <c r="I538" s="29"/>
      <c r="J538" s="97">
        <f>N449</f>
        <v>319943.766726245</v>
      </c>
      <c r="K538" s="29"/>
      <c r="L538" s="29"/>
      <c r="M538" s="29"/>
      <c r="N538" s="29"/>
      <c r="O538" s="97">
        <f>T449</f>
        <v>41855641.067453787</v>
      </c>
      <c r="P538" s="29"/>
      <c r="Q538" s="29"/>
      <c r="R538" s="29"/>
      <c r="S538" s="29"/>
      <c r="T538" s="29"/>
    </row>
    <row r="539" spans="2:20">
      <c r="F539" s="47"/>
      <c r="G539" s="29"/>
      <c r="H539" s="29"/>
      <c r="I539" s="29"/>
      <c r="J539" s="29"/>
      <c r="K539" s="29"/>
      <c r="L539" s="29"/>
      <c r="M539" s="29"/>
      <c r="N539" s="29"/>
      <c r="O539" s="28"/>
      <c r="P539" s="28"/>
      <c r="Q539" s="28"/>
      <c r="R539" s="28"/>
      <c r="S539" s="28"/>
      <c r="T539" s="28"/>
    </row>
    <row r="540" spans="2:20">
      <c r="B540" s="3" t="s">
        <v>146</v>
      </c>
      <c r="F540" s="47"/>
      <c r="G540" s="29"/>
      <c r="H540" s="29"/>
      <c r="I540" s="29"/>
      <c r="J540" s="29"/>
      <c r="K540" s="29"/>
      <c r="L540" s="29"/>
      <c r="M540" s="29"/>
      <c r="N540" s="29"/>
      <c r="O540" s="28"/>
      <c r="P540" s="28"/>
      <c r="Q540" s="28"/>
      <c r="R540" s="28"/>
      <c r="S540" s="28"/>
      <c r="T540" s="28"/>
    </row>
    <row r="541" spans="2:20">
      <c r="B541" t="s">
        <v>147</v>
      </c>
      <c r="D541" t="s">
        <v>110</v>
      </c>
      <c r="F541" s="83">
        <f>SUM(G541:O541)</f>
        <v>53460</v>
      </c>
      <c r="G541" s="29"/>
      <c r="H541" s="39">
        <f>I452</f>
        <v>0</v>
      </c>
      <c r="I541" s="29"/>
      <c r="J541" s="97">
        <f>N452</f>
        <v>0</v>
      </c>
      <c r="K541" s="29"/>
      <c r="L541" s="29"/>
      <c r="M541" s="29"/>
      <c r="N541" s="29"/>
      <c r="O541" s="97">
        <f>T452</f>
        <v>53460</v>
      </c>
      <c r="P541" s="29"/>
      <c r="Q541" s="29"/>
      <c r="R541" s="29"/>
      <c r="S541" s="29"/>
      <c r="T541" s="29"/>
    </row>
    <row r="542" spans="2:20">
      <c r="B542" t="s">
        <v>139</v>
      </c>
      <c r="D542" t="s">
        <v>110</v>
      </c>
      <c r="F542" s="83">
        <f>SUM(G542:O542)</f>
        <v>124516.74009211175</v>
      </c>
      <c r="G542" s="29"/>
      <c r="H542" s="39">
        <f>I453</f>
        <v>0</v>
      </c>
      <c r="I542" s="29"/>
      <c r="J542" s="97">
        <f>N453</f>
        <v>0</v>
      </c>
      <c r="K542" s="29"/>
      <c r="L542" s="29"/>
      <c r="M542" s="29"/>
      <c r="N542" s="29"/>
      <c r="O542" s="97">
        <f>T453</f>
        <v>124516.74009211175</v>
      </c>
      <c r="P542" s="29"/>
      <c r="Q542" s="29"/>
      <c r="R542" s="29"/>
      <c r="S542" s="29"/>
      <c r="T542" s="29"/>
    </row>
    <row r="543" spans="2:20">
      <c r="B543" t="s">
        <v>148</v>
      </c>
      <c r="D543" t="s">
        <v>110</v>
      </c>
      <c r="F543" s="83">
        <f>SUM(G543:O543)</f>
        <v>513861.69107692339</v>
      </c>
      <c r="G543" s="29"/>
      <c r="H543" s="39">
        <f>I454</f>
        <v>0</v>
      </c>
      <c r="I543" s="29"/>
      <c r="J543" s="97">
        <f>N454</f>
        <v>0</v>
      </c>
      <c r="K543" s="29"/>
      <c r="L543" s="29"/>
      <c r="M543" s="29"/>
      <c r="N543" s="29"/>
      <c r="O543" s="97">
        <f>T454</f>
        <v>513861.69107692339</v>
      </c>
      <c r="P543" s="29"/>
      <c r="Q543" s="29"/>
      <c r="R543" s="29"/>
      <c r="S543" s="29"/>
      <c r="T543" s="29"/>
    </row>
    <row r="544" spans="2:20">
      <c r="F544" s="47"/>
      <c r="G544" s="29"/>
      <c r="H544" s="29"/>
      <c r="I544" s="29"/>
      <c r="J544" s="29"/>
      <c r="K544" s="29"/>
      <c r="L544" s="29"/>
      <c r="M544" s="29"/>
      <c r="N544" s="29"/>
      <c r="O544" s="28"/>
      <c r="P544" s="28"/>
      <c r="Q544" s="28"/>
      <c r="R544" s="28"/>
      <c r="S544" s="28"/>
      <c r="T544" s="28"/>
    </row>
    <row r="545" spans="2:20">
      <c r="B545" s="3" t="s">
        <v>149</v>
      </c>
      <c r="F545" s="47"/>
      <c r="G545" s="29"/>
      <c r="H545" s="29"/>
      <c r="I545" s="29"/>
      <c r="J545" s="29"/>
      <c r="K545" s="29"/>
      <c r="L545" s="29"/>
      <c r="M545" s="29"/>
      <c r="N545" s="29"/>
      <c r="O545" s="28"/>
      <c r="P545" s="28"/>
      <c r="Q545" s="28"/>
      <c r="R545" s="28"/>
      <c r="S545" s="28"/>
      <c r="T545" s="28"/>
    </row>
    <row r="546" spans="2:20">
      <c r="B546" t="s">
        <v>150</v>
      </c>
      <c r="D546" t="s">
        <v>110</v>
      </c>
      <c r="F546" s="83">
        <f>SUM(G546:O546)</f>
        <v>0</v>
      </c>
      <c r="G546" s="29"/>
      <c r="H546" s="39">
        <f>I457</f>
        <v>0</v>
      </c>
      <c r="I546" s="29"/>
      <c r="J546" s="97">
        <f>N457</f>
        <v>0</v>
      </c>
      <c r="K546" s="29"/>
      <c r="L546" s="29"/>
      <c r="M546" s="29"/>
      <c r="N546" s="29"/>
      <c r="O546" s="97">
        <f>T457</f>
        <v>0</v>
      </c>
      <c r="P546" s="29"/>
      <c r="Q546" s="29"/>
      <c r="R546" s="29"/>
      <c r="S546" s="29"/>
      <c r="T546" s="29"/>
    </row>
    <row r="547" spans="2:20">
      <c r="B547" t="s">
        <v>151</v>
      </c>
      <c r="D547" t="s">
        <v>110</v>
      </c>
      <c r="F547" s="83">
        <f>SUM(G547:O547)</f>
        <v>0</v>
      </c>
      <c r="G547" s="29"/>
      <c r="H547" s="39">
        <f>I458</f>
        <v>0</v>
      </c>
      <c r="I547" s="29"/>
      <c r="J547" s="97">
        <f>N458</f>
        <v>0</v>
      </c>
      <c r="K547" s="29"/>
      <c r="L547" s="29"/>
      <c r="M547" s="29"/>
      <c r="N547" s="29"/>
      <c r="O547" s="97">
        <f>T458</f>
        <v>0</v>
      </c>
      <c r="P547" s="29"/>
      <c r="Q547" s="29"/>
      <c r="R547" s="29"/>
      <c r="S547" s="29"/>
      <c r="T547" s="29"/>
    </row>
    <row r="548" spans="2:20">
      <c r="B548" t="s">
        <v>152</v>
      </c>
      <c r="D548" t="s">
        <v>110</v>
      </c>
      <c r="F548" s="83">
        <f>SUM(G548:O548)</f>
        <v>0</v>
      </c>
      <c r="G548" s="29"/>
      <c r="H548" s="39">
        <f>I459</f>
        <v>0</v>
      </c>
      <c r="I548" s="29"/>
      <c r="J548" s="97">
        <f>N459</f>
        <v>0</v>
      </c>
      <c r="K548" s="29"/>
      <c r="L548" s="29"/>
      <c r="M548" s="29"/>
      <c r="N548" s="29"/>
      <c r="O548" s="97">
        <f>T459</f>
        <v>0</v>
      </c>
      <c r="P548" s="29"/>
      <c r="Q548" s="29"/>
      <c r="R548" s="29"/>
      <c r="S548" s="29"/>
      <c r="T548" s="29"/>
    </row>
    <row r="549" spans="2:20">
      <c r="F549" s="47"/>
      <c r="G549" s="29"/>
      <c r="H549" s="29"/>
      <c r="I549" s="29"/>
      <c r="J549" s="29"/>
      <c r="K549" s="29"/>
      <c r="L549" s="29"/>
      <c r="M549" s="29"/>
      <c r="N549" s="29"/>
      <c r="O549" s="28"/>
      <c r="P549" s="28"/>
      <c r="Q549" s="28"/>
      <c r="R549" s="28"/>
      <c r="S549" s="28"/>
      <c r="T549" s="28"/>
    </row>
    <row r="550" spans="2:20">
      <c r="B550" s="3" t="s">
        <v>153</v>
      </c>
      <c r="F550" s="47"/>
      <c r="G550" s="29"/>
      <c r="H550" s="29"/>
      <c r="I550" s="29"/>
      <c r="J550" s="29"/>
      <c r="K550" s="29"/>
      <c r="L550" s="29"/>
      <c r="M550" s="29"/>
      <c r="N550" s="29"/>
      <c r="O550" s="28"/>
      <c r="P550" s="28"/>
      <c r="Q550" s="28"/>
      <c r="R550" s="28"/>
      <c r="S550" s="28"/>
      <c r="T550" s="28"/>
    </row>
    <row r="551" spans="2:20">
      <c r="B551" t="s">
        <v>154</v>
      </c>
      <c r="D551" t="s">
        <v>110</v>
      </c>
      <c r="F551" s="83">
        <f>SUM(G551:O551)</f>
        <v>0</v>
      </c>
      <c r="G551" s="29"/>
      <c r="H551" s="39">
        <f>I462</f>
        <v>0</v>
      </c>
      <c r="I551" s="29"/>
      <c r="J551" s="97">
        <f>N462</f>
        <v>0</v>
      </c>
      <c r="K551" s="29"/>
      <c r="L551" s="29"/>
      <c r="M551" s="29"/>
      <c r="N551" s="29"/>
      <c r="O551" s="97">
        <f>T462</f>
        <v>0</v>
      </c>
      <c r="P551" s="29"/>
      <c r="Q551" s="29"/>
      <c r="R551" s="29"/>
      <c r="S551" s="29"/>
      <c r="T551" s="29"/>
    </row>
    <row r="552" spans="2:20">
      <c r="B552" t="s">
        <v>155</v>
      </c>
      <c r="D552" t="s">
        <v>110</v>
      </c>
      <c r="F552" s="83">
        <f>SUM(G552:O552)</f>
        <v>0</v>
      </c>
      <c r="G552" s="29"/>
      <c r="H552" s="39">
        <f>I463</f>
        <v>0</v>
      </c>
      <c r="I552" s="29"/>
      <c r="J552" s="97">
        <f>N463</f>
        <v>0</v>
      </c>
      <c r="K552" s="29"/>
      <c r="L552" s="29"/>
      <c r="M552" s="29"/>
      <c r="N552" s="29"/>
      <c r="O552" s="97">
        <f>T463</f>
        <v>0</v>
      </c>
      <c r="P552" s="29"/>
      <c r="Q552" s="29"/>
      <c r="R552" s="29"/>
      <c r="S552" s="29"/>
      <c r="T552" s="29"/>
    </row>
    <row r="553" spans="2:20">
      <c r="B553" t="s">
        <v>156</v>
      </c>
      <c r="D553" t="s">
        <v>110</v>
      </c>
      <c r="F553" s="83">
        <f>SUM(G553:O553)</f>
        <v>0</v>
      </c>
      <c r="G553" s="29"/>
      <c r="H553" s="39">
        <f>I464</f>
        <v>0</v>
      </c>
      <c r="I553" s="29"/>
      <c r="J553" s="97">
        <f>N464</f>
        <v>0</v>
      </c>
      <c r="K553" s="29"/>
      <c r="L553" s="29"/>
      <c r="M553" s="29"/>
      <c r="N553" s="29"/>
      <c r="O553" s="97">
        <f>T464</f>
        <v>0</v>
      </c>
      <c r="P553" s="29"/>
      <c r="Q553" s="29"/>
      <c r="R553" s="29"/>
      <c r="S553" s="29"/>
      <c r="T553" s="29"/>
    </row>
    <row r="554" spans="2:20">
      <c r="F554" s="47"/>
      <c r="G554" s="29"/>
      <c r="H554" s="29"/>
      <c r="I554" s="29"/>
      <c r="J554" s="29"/>
      <c r="K554" s="29"/>
      <c r="L554" s="29"/>
      <c r="M554" s="29"/>
      <c r="N554" s="29"/>
      <c r="O554" s="28"/>
      <c r="P554" s="28"/>
      <c r="Q554" s="28"/>
      <c r="R554" s="28"/>
      <c r="S554" s="28"/>
      <c r="T554" s="28"/>
    </row>
    <row r="555" spans="2:20">
      <c r="B555" s="3" t="s">
        <v>157</v>
      </c>
      <c r="F555" s="47"/>
      <c r="G555" s="29"/>
      <c r="H555" s="29"/>
      <c r="I555" s="29"/>
      <c r="J555" s="29"/>
      <c r="K555" s="29"/>
      <c r="L555" s="29"/>
      <c r="M555" s="29"/>
      <c r="N555" s="29"/>
      <c r="O555" s="28"/>
      <c r="P555" s="28"/>
      <c r="Q555" s="28"/>
      <c r="R555" s="28"/>
      <c r="S555" s="28"/>
      <c r="T555" s="28"/>
    </row>
    <row r="556" spans="2:20">
      <c r="B556" t="s">
        <v>158</v>
      </c>
      <c r="D556" t="s">
        <v>110</v>
      </c>
      <c r="F556" s="83">
        <f>SUM(G556:O556)</f>
        <v>0</v>
      </c>
      <c r="G556" s="29"/>
      <c r="H556" s="39">
        <f>I467</f>
        <v>0</v>
      </c>
      <c r="I556" s="29"/>
      <c r="J556" s="97">
        <f>N467</f>
        <v>0</v>
      </c>
      <c r="K556" s="29"/>
      <c r="L556" s="29"/>
      <c r="M556" s="29"/>
      <c r="N556" s="29"/>
      <c r="O556" s="97">
        <f>T467</f>
        <v>0</v>
      </c>
      <c r="P556" s="29"/>
      <c r="Q556" s="29"/>
      <c r="R556" s="29"/>
      <c r="S556" s="29"/>
      <c r="T556" s="29"/>
    </row>
    <row r="557" spans="2:20">
      <c r="B557" t="s">
        <v>159</v>
      </c>
      <c r="D557" t="s">
        <v>110</v>
      </c>
      <c r="F557" s="83">
        <f>SUM(G557:O557)</f>
        <v>0</v>
      </c>
      <c r="G557" s="29"/>
      <c r="H557" s="39">
        <f>I468</f>
        <v>0</v>
      </c>
      <c r="I557" s="29"/>
      <c r="J557" s="97">
        <f>N468</f>
        <v>0</v>
      </c>
      <c r="K557" s="29"/>
      <c r="L557" s="29"/>
      <c r="M557" s="29"/>
      <c r="N557" s="29"/>
      <c r="O557" s="97">
        <f>T468</f>
        <v>0</v>
      </c>
      <c r="P557" s="29"/>
      <c r="Q557" s="29"/>
      <c r="R557" s="29"/>
      <c r="S557" s="29"/>
      <c r="T557" s="29"/>
    </row>
    <row r="558" spans="2:20">
      <c r="B558" t="s">
        <v>160</v>
      </c>
      <c r="D558" t="s">
        <v>110</v>
      </c>
      <c r="F558" s="83">
        <f>SUM(G558:O558)</f>
        <v>0</v>
      </c>
      <c r="G558" s="29"/>
      <c r="H558" s="39">
        <f>I469</f>
        <v>0</v>
      </c>
      <c r="I558" s="29"/>
      <c r="J558" s="97">
        <f>N469</f>
        <v>0</v>
      </c>
      <c r="K558" s="29"/>
      <c r="L558" s="29"/>
      <c r="M558" s="29"/>
      <c r="N558" s="29"/>
      <c r="O558" s="97">
        <f>T469</f>
        <v>0</v>
      </c>
      <c r="P558" s="29"/>
      <c r="Q558" s="29"/>
      <c r="R558" s="29"/>
      <c r="S558" s="29"/>
      <c r="T558" s="29"/>
    </row>
    <row r="559" spans="2:20">
      <c r="F559" s="47"/>
    </row>
    <row r="560" spans="2:20">
      <c r="F560" s="47"/>
    </row>
    <row r="561" spans="2:22">
      <c r="B561" s="3" t="s">
        <v>422</v>
      </c>
      <c r="F561" s="47"/>
    </row>
    <row r="562" spans="2:22">
      <c r="F562" s="47"/>
    </row>
    <row r="563" spans="2:22">
      <c r="B563" s="3" t="s">
        <v>425</v>
      </c>
      <c r="F563" s="47"/>
    </row>
    <row r="564" spans="2:22">
      <c r="B564" t="s">
        <v>139</v>
      </c>
      <c r="D564" t="s">
        <v>110</v>
      </c>
      <c r="F564" s="83">
        <f>SUM(G564:O564)</f>
        <v>1501607.1553091155</v>
      </c>
      <c r="G564" s="29"/>
      <c r="H564" s="24">
        <f t="shared" ref="H564:H565" si="325">H537+H542+H552+H557</f>
        <v>269871.66742349794</v>
      </c>
      <c r="I564" s="29"/>
      <c r="J564" s="24">
        <f t="shared" ref="J564:J565" si="326">J537+J542+J552+J557</f>
        <v>7847.5036301273558</v>
      </c>
      <c r="K564" s="29"/>
      <c r="L564" s="29"/>
      <c r="M564" s="29"/>
      <c r="N564" s="29"/>
      <c r="O564" s="24">
        <f t="shared" ref="O564:O565" si="327">O537+O542+O552+O557</f>
        <v>1223887.9842554904</v>
      </c>
      <c r="V564" s="51" t="s">
        <v>570</v>
      </c>
    </row>
    <row r="565" spans="2:22">
      <c r="B565" t="s">
        <v>165</v>
      </c>
      <c r="D565" t="s">
        <v>110</v>
      </c>
      <c r="F565" s="83">
        <f>SUM(G565:O565)</f>
        <v>53292752.052469045</v>
      </c>
      <c r="G565" s="29"/>
      <c r="H565" s="24">
        <f t="shared" si="325"/>
        <v>10603305.527212091</v>
      </c>
      <c r="I565" s="29"/>
      <c r="J565" s="24">
        <f t="shared" si="326"/>
        <v>319943.766726245</v>
      </c>
      <c r="K565" s="29"/>
      <c r="L565" s="29"/>
      <c r="M565" s="29"/>
      <c r="N565" s="29"/>
      <c r="O565" s="24">
        <f t="shared" si="327"/>
        <v>42369502.758530714</v>
      </c>
      <c r="V565" s="51" t="s">
        <v>571</v>
      </c>
    </row>
    <row r="566" spans="2:22">
      <c r="B566" t="s">
        <v>166</v>
      </c>
      <c r="D566" t="s">
        <v>110</v>
      </c>
      <c r="F566" s="83">
        <f>SUM(G566:O566)</f>
        <v>1918539.0738888858</v>
      </c>
      <c r="G566" s="29"/>
      <c r="H566" s="24">
        <f t="shared" ref="H566" si="328">H565*$F$13</f>
        <v>381718.99897963525</v>
      </c>
      <c r="I566" s="29"/>
      <c r="J566" s="24">
        <f t="shared" ref="J566" si="329">J565*$F$13</f>
        <v>11517.975602144819</v>
      </c>
      <c r="K566" s="29"/>
      <c r="L566" s="29"/>
      <c r="M566" s="29"/>
      <c r="N566" s="29"/>
      <c r="O566" s="24">
        <f t="shared" ref="O566" si="330">O565*$F$13</f>
        <v>1525302.0993071056</v>
      </c>
      <c r="V566" s="51" t="s">
        <v>572</v>
      </c>
    </row>
    <row r="567" spans="2:22">
      <c r="B567" t="s">
        <v>169</v>
      </c>
      <c r="D567" t="s">
        <v>110</v>
      </c>
      <c r="F567" s="83">
        <f>SUM(G567:O567)</f>
        <v>3420146.2291980013</v>
      </c>
      <c r="G567" s="54"/>
      <c r="H567" s="21">
        <f t="shared" ref="H567" si="331">H564+H566</f>
        <v>651590.66640313319</v>
      </c>
      <c r="I567" s="54"/>
      <c r="J567" s="21">
        <f t="shared" ref="J567" si="332">J564+J566</f>
        <v>19365.479232272177</v>
      </c>
      <c r="K567" s="54"/>
      <c r="L567" s="54"/>
      <c r="M567" s="54"/>
      <c r="N567" s="54"/>
      <c r="O567" s="21">
        <f t="shared" ref="O567" si="333">O564+O566</f>
        <v>2749190.0835625958</v>
      </c>
      <c r="V567" s="51" t="s">
        <v>573</v>
      </c>
    </row>
    <row r="568" spans="2:22">
      <c r="F568" s="47"/>
    </row>
    <row r="569" spans="2:22">
      <c r="F569" s="47"/>
    </row>
    <row r="570" spans="2:22">
      <c r="B570" s="3" t="s">
        <v>170</v>
      </c>
      <c r="F570" s="47"/>
      <c r="K570" s="28"/>
      <c r="L570" s="28"/>
      <c r="M570" s="28"/>
      <c r="N570" s="28"/>
    </row>
    <row r="571" spans="2:22">
      <c r="F571" s="47"/>
      <c r="G571" s="28"/>
      <c r="I571" s="28"/>
      <c r="K571" s="28"/>
      <c r="L571" s="28"/>
      <c r="M571" s="28"/>
      <c r="N571" s="28"/>
    </row>
    <row r="572" spans="2:22">
      <c r="B572" s="51" t="s">
        <v>427</v>
      </c>
      <c r="D572" t="s">
        <v>110</v>
      </c>
      <c r="F572" s="83">
        <f>SUM(G572:O572)</f>
        <v>0</v>
      </c>
      <c r="G572" s="29"/>
      <c r="H572" s="8"/>
      <c r="I572" s="29"/>
      <c r="J572" s="8"/>
      <c r="K572" s="29"/>
      <c r="L572" s="29"/>
      <c r="M572" s="29"/>
      <c r="N572" s="29"/>
      <c r="O572" s="8"/>
    </row>
    <row r="573" spans="2:22">
      <c r="B573" s="51" t="s">
        <v>428</v>
      </c>
      <c r="D573" t="s">
        <v>110</v>
      </c>
      <c r="F573" s="83">
        <f>SUM(G573:O573)</f>
        <v>0</v>
      </c>
      <c r="G573" s="29"/>
      <c r="H573" s="8"/>
      <c r="I573" s="29"/>
      <c r="J573" s="8"/>
      <c r="K573" s="29"/>
      <c r="L573" s="29"/>
      <c r="M573" s="29"/>
      <c r="N573" s="29"/>
      <c r="O573" s="8"/>
    </row>
    <row r="574" spans="2:22">
      <c r="B574" s="51" t="s">
        <v>429</v>
      </c>
      <c r="D574" t="s">
        <v>110</v>
      </c>
      <c r="F574" s="83">
        <f>SUM(G574:O574)</f>
        <v>0</v>
      </c>
      <c r="G574" s="29"/>
      <c r="H574" s="8"/>
      <c r="I574" s="29"/>
      <c r="J574" s="8"/>
      <c r="K574" s="29"/>
      <c r="L574" s="29"/>
      <c r="M574" s="29"/>
      <c r="N574" s="29"/>
      <c r="O574" s="8"/>
    </row>
    <row r="575" spans="2:22">
      <c r="B575" s="51" t="s">
        <v>426</v>
      </c>
      <c r="D575" t="s">
        <v>110</v>
      </c>
      <c r="F575" s="83">
        <f>SUM(G575:O575)</f>
        <v>0</v>
      </c>
      <c r="G575" s="29"/>
      <c r="H575" s="24">
        <f>SUM(H572:H574)</f>
        <v>0</v>
      </c>
      <c r="I575" s="29"/>
      <c r="J575" s="24">
        <f>SUM(J572:J574)</f>
        <v>0</v>
      </c>
      <c r="K575" s="29"/>
      <c r="L575" s="29"/>
      <c r="M575" s="29"/>
      <c r="N575" s="29"/>
      <c r="O575" s="24">
        <f>SUM(O572:O574)</f>
        <v>0</v>
      </c>
    </row>
    <row r="576" spans="2:22">
      <c r="F576" s="47"/>
      <c r="G576" s="28"/>
      <c r="I576" s="28"/>
      <c r="K576" s="28"/>
      <c r="L576" s="28"/>
      <c r="M576" s="28"/>
      <c r="N576" s="28"/>
    </row>
    <row r="577" spans="2:22">
      <c r="F577" s="47"/>
      <c r="G577" s="28"/>
      <c r="I577" s="28"/>
      <c r="K577" s="28"/>
      <c r="L577" s="28"/>
      <c r="M577" s="28"/>
      <c r="N577" s="28"/>
    </row>
    <row r="578" spans="2:22">
      <c r="B578" s="3" t="s">
        <v>423</v>
      </c>
      <c r="F578" s="47"/>
      <c r="G578" s="28"/>
      <c r="I578" s="28"/>
      <c r="K578" s="28"/>
      <c r="L578" s="28"/>
      <c r="M578" s="28"/>
      <c r="N578" s="28"/>
    </row>
    <row r="579" spans="2:22">
      <c r="F579" s="47"/>
      <c r="G579" s="28"/>
      <c r="I579" s="28"/>
      <c r="K579" s="28"/>
      <c r="L579" s="28"/>
      <c r="M579" s="28"/>
      <c r="N579" s="28"/>
    </row>
    <row r="580" spans="2:22">
      <c r="B580" s="51" t="s">
        <v>424</v>
      </c>
      <c r="D580" t="s">
        <v>110</v>
      </c>
      <c r="F580" s="84">
        <f>SUM(G580:O580)</f>
        <v>3420146.2291980013</v>
      </c>
      <c r="G580" s="54"/>
      <c r="H580" s="21">
        <f>H567-H575</f>
        <v>651590.66640313319</v>
      </c>
      <c r="I580" s="54"/>
      <c r="J580" s="21">
        <f>J567-J575</f>
        <v>19365.479232272177</v>
      </c>
      <c r="K580" s="54"/>
      <c r="L580" s="54"/>
      <c r="M580" s="54"/>
      <c r="N580" s="54"/>
      <c r="O580" s="21">
        <f>O567-O575</f>
        <v>2749190.0835625958</v>
      </c>
      <c r="V580" s="51" t="s">
        <v>573</v>
      </c>
    </row>
    <row r="581" spans="2:22" s="258" customFormat="1">
      <c r="F581" s="47"/>
    </row>
    <row r="582" spans="2:22" s="258" customFormat="1">
      <c r="B582" s="78" t="s">
        <v>759</v>
      </c>
      <c r="D582" s="258" t="s">
        <v>110</v>
      </c>
      <c r="F582" s="84">
        <f>SUM(G582:O582)</f>
        <v>4805757.7825621963</v>
      </c>
      <c r="H582" s="98">
        <f>H564+H565*$F$12-H575</f>
        <v>927276.61011064751</v>
      </c>
      <c r="J582" s="98">
        <f>J564+J565*$F$12-J575</f>
        <v>27684.017167154547</v>
      </c>
      <c r="O582" s="98">
        <f>O564+O565*$F$12-O575</f>
        <v>3850797.1552843945</v>
      </c>
    </row>
    <row r="583" spans="2:22">
      <c r="F583" s="47"/>
    </row>
    <row r="584" spans="2:22">
      <c r="F584" s="62"/>
      <c r="G584" s="42"/>
      <c r="H584" s="42"/>
      <c r="I584" s="42"/>
      <c r="J584" s="42"/>
      <c r="K584" s="42"/>
      <c r="L584" s="42"/>
      <c r="M584" s="42"/>
      <c r="N584" s="42"/>
    </row>
    <row r="585" spans="2:22">
      <c r="F585" s="4"/>
    </row>
    <row r="586" spans="2:22">
      <c r="F586" s="4"/>
    </row>
    <row r="587" spans="2:22">
      <c r="F587" s="4"/>
    </row>
    <row r="588" spans="2:22">
      <c r="F588" s="4"/>
    </row>
    <row r="589" spans="2:22">
      <c r="F589" s="4"/>
    </row>
    <row r="590" spans="2:22">
      <c r="F590" s="4"/>
    </row>
    <row r="591" spans="2:22">
      <c r="F591" s="4"/>
    </row>
    <row r="592" spans="2:22">
      <c r="F592" s="4"/>
    </row>
    <row r="593" spans="6:6">
      <c r="F593" s="4"/>
    </row>
    <row r="594" spans="6:6">
      <c r="F594" s="4"/>
    </row>
    <row r="595" spans="6:6">
      <c r="F595" s="4"/>
    </row>
    <row r="596" spans="6:6">
      <c r="F596" s="4"/>
    </row>
    <row r="597" spans="6:6">
      <c r="F597" s="4"/>
    </row>
    <row r="598" spans="6:6">
      <c r="F598" s="4"/>
    </row>
    <row r="599" spans="6:6">
      <c r="F599" s="4"/>
    </row>
    <row r="600" spans="6:6">
      <c r="F600" s="4"/>
    </row>
    <row r="601" spans="6:6">
      <c r="F601" s="4"/>
    </row>
    <row r="602" spans="6:6">
      <c r="F602" s="4"/>
    </row>
    <row r="603" spans="6:6">
      <c r="F603" s="4"/>
    </row>
    <row r="604" spans="6:6">
      <c r="F604" s="4"/>
    </row>
    <row r="605" spans="6:6">
      <c r="F605" s="4"/>
    </row>
    <row r="606" spans="6:6">
      <c r="F606" s="4"/>
    </row>
    <row r="607" spans="6:6">
      <c r="F607" s="4"/>
    </row>
    <row r="608" spans="6:6">
      <c r="F608" s="4"/>
    </row>
    <row r="609" spans="6:6">
      <c r="F609" s="4"/>
    </row>
    <row r="610" spans="6:6">
      <c r="F610" s="4"/>
    </row>
    <row r="611" spans="6:6">
      <c r="F611" s="4"/>
    </row>
    <row r="612" spans="6:6">
      <c r="F612" s="4"/>
    </row>
    <row r="613" spans="6:6">
      <c r="F613" s="4"/>
    </row>
    <row r="614" spans="6:6">
      <c r="F614" s="4"/>
    </row>
    <row r="615" spans="6:6">
      <c r="F615" s="4"/>
    </row>
    <row r="616" spans="6:6">
      <c r="F616" s="4"/>
    </row>
    <row r="617" spans="6:6">
      <c r="F617" s="4"/>
    </row>
    <row r="618" spans="6:6">
      <c r="F618" s="4"/>
    </row>
    <row r="619" spans="6:6">
      <c r="F619" s="4"/>
    </row>
    <row r="620" spans="6:6">
      <c r="F620" s="4"/>
    </row>
    <row r="621" spans="6:6">
      <c r="F621" s="4"/>
    </row>
    <row r="622" spans="6:6">
      <c r="F622" s="4"/>
    </row>
    <row r="623" spans="6:6">
      <c r="F623" s="4"/>
    </row>
    <row r="624" spans="6:6">
      <c r="F624" s="4"/>
    </row>
    <row r="625" spans="6:6">
      <c r="F625" s="4"/>
    </row>
    <row r="626" spans="6:6">
      <c r="F626" s="4"/>
    </row>
    <row r="627" spans="6:6">
      <c r="F627" s="4"/>
    </row>
    <row r="628" spans="6:6">
      <c r="F628" s="4"/>
    </row>
    <row r="629" spans="6:6">
      <c r="F629" s="4"/>
    </row>
    <row r="630" spans="6:6">
      <c r="F630" s="4"/>
    </row>
    <row r="631" spans="6:6">
      <c r="F631" s="4"/>
    </row>
    <row r="632" spans="6:6">
      <c r="F632" s="4"/>
    </row>
    <row r="633" spans="6:6">
      <c r="F633" s="4"/>
    </row>
    <row r="634" spans="6:6">
      <c r="F634" s="4"/>
    </row>
    <row r="635" spans="6:6">
      <c r="F635" s="4"/>
    </row>
    <row r="636" spans="6:6">
      <c r="F636" s="4"/>
    </row>
    <row r="637" spans="6:6">
      <c r="F637" s="4"/>
    </row>
    <row r="638" spans="6:6">
      <c r="F638" s="4"/>
    </row>
    <row r="639" spans="6:6">
      <c r="F639" s="4"/>
    </row>
    <row r="640" spans="6:6">
      <c r="F640" s="4"/>
    </row>
    <row r="641" spans="6:6">
      <c r="F641" s="4"/>
    </row>
    <row r="642" spans="6:6">
      <c r="F642" s="4"/>
    </row>
    <row r="643" spans="6:6">
      <c r="F643" s="4"/>
    </row>
    <row r="644" spans="6:6">
      <c r="F644" s="4"/>
    </row>
    <row r="645" spans="6:6">
      <c r="F645" s="4"/>
    </row>
    <row r="646" spans="6:6">
      <c r="F646" s="4"/>
    </row>
    <row r="647" spans="6:6">
      <c r="F647" s="4"/>
    </row>
    <row r="648" spans="6:6">
      <c r="F648" s="4"/>
    </row>
    <row r="649" spans="6:6">
      <c r="F649" s="4"/>
    </row>
    <row r="650" spans="6:6">
      <c r="F650" s="4"/>
    </row>
    <row r="651" spans="6:6">
      <c r="F651" s="4"/>
    </row>
    <row r="652" spans="6:6">
      <c r="F652" s="4"/>
    </row>
    <row r="653" spans="6:6">
      <c r="F653" s="4"/>
    </row>
    <row r="654" spans="6:6">
      <c r="F654" s="4"/>
    </row>
    <row r="655" spans="6:6">
      <c r="F655" s="4"/>
    </row>
    <row r="656" spans="6:6">
      <c r="F656" s="4"/>
    </row>
    <row r="657" spans="6:6">
      <c r="F657" s="4"/>
    </row>
    <row r="658" spans="6:6">
      <c r="F658" s="4"/>
    </row>
    <row r="659" spans="6:6">
      <c r="F659" s="4"/>
    </row>
    <row r="660" spans="6:6">
      <c r="F660" s="4"/>
    </row>
    <row r="661" spans="6:6">
      <c r="F661" s="4"/>
    </row>
    <row r="662" spans="6:6">
      <c r="F662" s="4"/>
    </row>
    <row r="663" spans="6:6">
      <c r="F663" s="4"/>
    </row>
    <row r="664" spans="6:6">
      <c r="F664" s="4"/>
    </row>
    <row r="665" spans="6:6">
      <c r="F665" s="4"/>
    </row>
    <row r="666" spans="6:6">
      <c r="F666" s="4"/>
    </row>
    <row r="667" spans="6:6">
      <c r="F667" s="4"/>
    </row>
    <row r="668" spans="6:6">
      <c r="F668" s="4"/>
    </row>
    <row r="669" spans="6:6">
      <c r="F669" s="4"/>
    </row>
    <row r="670" spans="6:6">
      <c r="F670" s="4"/>
    </row>
    <row r="671" spans="6:6">
      <c r="F671" s="4"/>
    </row>
    <row r="672" spans="6:6">
      <c r="F672" s="4"/>
    </row>
    <row r="673" spans="6:6">
      <c r="F673" s="4"/>
    </row>
    <row r="674" spans="6:6">
      <c r="F674" s="4"/>
    </row>
    <row r="675" spans="6:6">
      <c r="F675" s="4"/>
    </row>
    <row r="676" spans="6:6">
      <c r="F676" s="4"/>
    </row>
    <row r="677" spans="6:6">
      <c r="F677" s="4"/>
    </row>
    <row r="678" spans="6:6">
      <c r="F678" s="4"/>
    </row>
    <row r="679" spans="6:6">
      <c r="F679" s="4"/>
    </row>
    <row r="680" spans="6:6">
      <c r="F680" s="4"/>
    </row>
    <row r="681" spans="6:6">
      <c r="F681" s="4"/>
    </row>
    <row r="682" spans="6:6">
      <c r="F682" s="4"/>
    </row>
    <row r="683" spans="6:6">
      <c r="F683" s="4"/>
    </row>
    <row r="684" spans="6:6">
      <c r="F684" s="4"/>
    </row>
    <row r="685" spans="6:6">
      <c r="F685" s="4"/>
    </row>
    <row r="686" spans="6:6">
      <c r="F686" s="4"/>
    </row>
    <row r="687" spans="6:6">
      <c r="F687" s="4"/>
    </row>
    <row r="688" spans="6:6">
      <c r="F688" s="4"/>
    </row>
    <row r="689" spans="6:6">
      <c r="F689" s="4"/>
    </row>
    <row r="690" spans="6:6">
      <c r="F690" s="4"/>
    </row>
    <row r="691" spans="6:6">
      <c r="F691" s="4"/>
    </row>
    <row r="692" spans="6:6">
      <c r="F692" s="4"/>
    </row>
    <row r="693" spans="6:6">
      <c r="F693" s="4"/>
    </row>
    <row r="694" spans="6:6">
      <c r="F694" s="4"/>
    </row>
    <row r="695" spans="6:6">
      <c r="F695" s="4"/>
    </row>
    <row r="696" spans="6:6">
      <c r="F696" s="4"/>
    </row>
    <row r="697" spans="6:6">
      <c r="F697" s="4"/>
    </row>
    <row r="698" spans="6:6">
      <c r="F698" s="4"/>
    </row>
    <row r="699" spans="6:6">
      <c r="F699" s="4"/>
    </row>
    <row r="700" spans="6:6">
      <c r="F700" s="4"/>
    </row>
    <row r="701" spans="6:6">
      <c r="F701" s="4"/>
    </row>
    <row r="702" spans="6:6">
      <c r="F702" s="4"/>
    </row>
    <row r="703" spans="6:6">
      <c r="F703" s="4"/>
    </row>
    <row r="704" spans="6:6">
      <c r="F704" s="4"/>
    </row>
    <row r="705" spans="6:6">
      <c r="F705" s="4"/>
    </row>
    <row r="706" spans="6:6">
      <c r="F706" s="4"/>
    </row>
    <row r="707" spans="6:6">
      <c r="F707" s="4"/>
    </row>
    <row r="708" spans="6:6">
      <c r="F708" s="4"/>
    </row>
    <row r="709" spans="6:6">
      <c r="F709" s="4"/>
    </row>
    <row r="710" spans="6:6">
      <c r="F710" s="4"/>
    </row>
    <row r="711" spans="6:6">
      <c r="F711" s="4"/>
    </row>
    <row r="712" spans="6:6">
      <c r="F712" s="4"/>
    </row>
    <row r="713" spans="6:6">
      <c r="F713" s="4"/>
    </row>
    <row r="714" spans="6:6">
      <c r="F714" s="4"/>
    </row>
    <row r="715" spans="6:6">
      <c r="F715" s="4"/>
    </row>
    <row r="716" spans="6:6">
      <c r="F716" s="4"/>
    </row>
    <row r="717" spans="6:6">
      <c r="F717" s="4"/>
    </row>
    <row r="718" spans="6:6">
      <c r="F718" s="4"/>
    </row>
    <row r="719" spans="6:6">
      <c r="F719" s="4"/>
    </row>
    <row r="720" spans="6:6">
      <c r="F720" s="4"/>
    </row>
    <row r="721" spans="6:6">
      <c r="F721" s="4"/>
    </row>
    <row r="722" spans="6:6">
      <c r="F722" s="4"/>
    </row>
    <row r="723" spans="6:6">
      <c r="F723" s="4"/>
    </row>
    <row r="724" spans="6:6">
      <c r="F724" s="4"/>
    </row>
    <row r="725" spans="6:6">
      <c r="F725" s="4"/>
    </row>
    <row r="726" spans="6:6">
      <c r="F726" s="4"/>
    </row>
    <row r="727" spans="6:6">
      <c r="F727" s="4"/>
    </row>
    <row r="728" spans="6:6">
      <c r="F728" s="4"/>
    </row>
    <row r="729" spans="6:6">
      <c r="F729" s="4"/>
    </row>
    <row r="730" spans="6:6">
      <c r="F730" s="4"/>
    </row>
    <row r="731" spans="6:6">
      <c r="F731" s="4"/>
    </row>
    <row r="732" spans="6:6">
      <c r="F732" s="4"/>
    </row>
    <row r="733" spans="6:6">
      <c r="F733" s="4"/>
    </row>
    <row r="734" spans="6:6">
      <c r="F734" s="4"/>
    </row>
    <row r="735" spans="6:6">
      <c r="F735" s="4"/>
    </row>
    <row r="736" spans="6:6">
      <c r="F736" s="4"/>
    </row>
    <row r="737" spans="6:16">
      <c r="F737" s="4"/>
    </row>
    <row r="738" spans="6:16">
      <c r="F738" s="4"/>
    </row>
    <row r="739" spans="6:16">
      <c r="F739" s="4"/>
    </row>
    <row r="740" spans="6:16">
      <c r="F740" s="4"/>
    </row>
    <row r="741" spans="6:16">
      <c r="F741" s="4"/>
    </row>
    <row r="742" spans="6:16">
      <c r="F742" s="4"/>
    </row>
    <row r="743" spans="6:16">
      <c r="F743" s="4"/>
    </row>
    <row r="744" spans="6:16">
      <c r="F744" s="4"/>
    </row>
    <row r="745" spans="6:16">
      <c r="F745" s="4"/>
    </row>
    <row r="746" spans="6:16">
      <c r="F746" s="4"/>
    </row>
    <row r="747" spans="6:16">
      <c r="F747" s="4"/>
    </row>
    <row r="748" spans="6:16">
      <c r="F748" s="4"/>
    </row>
    <row r="749" spans="6:16">
      <c r="F749" s="4"/>
    </row>
    <row r="750" spans="6:16">
      <c r="P750" s="27"/>
    </row>
    <row r="751" spans="6:16">
      <c r="P751" s="27"/>
    </row>
    <row r="752" spans="6:16">
      <c r="P752" s="27"/>
    </row>
    <row r="753" spans="16:16">
      <c r="P753" s="27"/>
    </row>
    <row r="754" spans="16:16">
      <c r="P754" s="27"/>
    </row>
    <row r="755" spans="16:16">
      <c r="P755" s="27"/>
    </row>
    <row r="756" spans="16:16">
      <c r="P756" s="27"/>
    </row>
    <row r="757" spans="16:16">
      <c r="P757" s="27"/>
    </row>
    <row r="758" spans="16:16">
      <c r="P758" s="27"/>
    </row>
    <row r="759" spans="16:16">
      <c r="P759" s="27"/>
    </row>
    <row r="760" spans="16:16">
      <c r="P760" s="27"/>
    </row>
    <row r="761" spans="16:16">
      <c r="P761" s="27"/>
    </row>
    <row r="762" spans="16:16">
      <c r="P762" s="27"/>
    </row>
    <row r="763" spans="16:16">
      <c r="P763" s="27"/>
    </row>
    <row r="764" spans="16:16">
      <c r="P764" s="27"/>
    </row>
    <row r="765" spans="16:16">
      <c r="P765" s="27"/>
    </row>
    <row r="766" spans="16:16">
      <c r="P766" s="27"/>
    </row>
    <row r="767" spans="16:16">
      <c r="P767" s="27"/>
    </row>
    <row r="768" spans="16:16">
      <c r="P768" s="27"/>
    </row>
    <row r="769" spans="16:16">
      <c r="P769" s="27"/>
    </row>
    <row r="770" spans="16:16">
      <c r="P770" s="27"/>
    </row>
    <row r="771" spans="16:16">
      <c r="P771" s="27"/>
    </row>
    <row r="772" spans="16:16">
      <c r="P772" s="27"/>
    </row>
    <row r="773" spans="16:16">
      <c r="P773" s="27"/>
    </row>
    <row r="774" spans="16:16">
      <c r="P774" s="27"/>
    </row>
  </sheetData>
  <phoneticPr fontId="4"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pageSetUpPr fitToPage="1"/>
  </sheetPr>
  <dimension ref="B2:D32"/>
  <sheetViews>
    <sheetView showGridLines="0" zoomScale="85" zoomScaleNormal="85" workbookViewId="0"/>
  </sheetViews>
  <sheetFormatPr defaultRowHeight="12.75"/>
  <cols>
    <col min="1" max="1" width="2.5703125" style="258" customWidth="1"/>
    <col min="2" max="2" width="75.28515625" style="258" customWidth="1"/>
    <col min="3" max="3" width="15" style="258" customWidth="1"/>
    <col min="4" max="4" width="27" style="258" customWidth="1"/>
    <col min="5" max="5" width="2.5703125" style="258" customWidth="1"/>
    <col min="6" max="6" width="21.42578125" style="258" customWidth="1"/>
    <col min="7" max="15" width="14.85546875" style="258" customWidth="1"/>
    <col min="16" max="16384" width="9.140625" style="258"/>
  </cols>
  <sheetData>
    <row r="2" spans="2:4" s="1" customFormat="1" ht="18">
      <c r="B2" s="448" t="s">
        <v>1218</v>
      </c>
    </row>
    <row r="4" spans="2:4" s="2" customFormat="1">
      <c r="B4" s="2" t="s">
        <v>38</v>
      </c>
    </row>
    <row r="6" spans="2:4" ht="12.75" customHeight="1">
      <c r="B6" s="506" t="s">
        <v>1190</v>
      </c>
      <c r="C6" s="506"/>
      <c r="D6" s="506"/>
    </row>
    <row r="7" spans="2:4">
      <c r="B7" s="506"/>
      <c r="C7" s="506"/>
      <c r="D7" s="506"/>
    </row>
    <row r="8" spans="2:4">
      <c r="B8" s="394"/>
      <c r="C8" s="395"/>
      <c r="D8" s="395"/>
    </row>
    <row r="9" spans="2:4">
      <c r="B9" s="396" t="s">
        <v>1219</v>
      </c>
      <c r="C9" s="396" t="s">
        <v>997</v>
      </c>
      <c r="D9" s="396" t="s">
        <v>998</v>
      </c>
    </row>
    <row r="10" spans="2:4">
      <c r="B10" s="449" t="s">
        <v>1191</v>
      </c>
      <c r="C10" s="450" t="s">
        <v>1200</v>
      </c>
      <c r="D10" s="449" t="s">
        <v>1209</v>
      </c>
    </row>
    <row r="11" spans="2:4">
      <c r="B11" s="449" t="s">
        <v>1192</v>
      </c>
      <c r="C11" s="450" t="s">
        <v>1201</v>
      </c>
      <c r="D11" s="449" t="s">
        <v>1210</v>
      </c>
    </row>
    <row r="12" spans="2:4">
      <c r="B12" s="449" t="s">
        <v>1193</v>
      </c>
      <c r="C12" s="450" t="s">
        <v>1202</v>
      </c>
      <c r="D12" s="449" t="s">
        <v>1211</v>
      </c>
    </row>
    <row r="13" spans="2:4">
      <c r="B13" s="449" t="s">
        <v>1194</v>
      </c>
      <c r="C13" s="450" t="s">
        <v>1203</v>
      </c>
      <c r="D13" s="449" t="s">
        <v>1212</v>
      </c>
    </row>
    <row r="14" spans="2:4">
      <c r="B14" s="449" t="s">
        <v>1195</v>
      </c>
      <c r="C14" s="450" t="s">
        <v>1204</v>
      </c>
      <c r="D14" s="449" t="s">
        <v>1213</v>
      </c>
    </row>
    <row r="15" spans="2:4">
      <c r="B15" s="449" t="s">
        <v>1196</v>
      </c>
      <c r="C15" s="450" t="s">
        <v>1205</v>
      </c>
      <c r="D15" s="449" t="s">
        <v>1214</v>
      </c>
    </row>
    <row r="16" spans="2:4">
      <c r="B16" s="449" t="s">
        <v>1197</v>
      </c>
      <c r="C16" s="450" t="s">
        <v>1206</v>
      </c>
      <c r="D16" s="449" t="s">
        <v>1215</v>
      </c>
    </row>
    <row r="17" spans="2:4">
      <c r="B17" s="449" t="s">
        <v>1198</v>
      </c>
      <c r="C17" s="450" t="s">
        <v>1207</v>
      </c>
      <c r="D17" s="449" t="s">
        <v>1216</v>
      </c>
    </row>
    <row r="18" spans="2:4">
      <c r="B18" s="451" t="s">
        <v>1199</v>
      </c>
      <c r="C18" s="452" t="s">
        <v>1208</v>
      </c>
      <c r="D18" s="451" t="s">
        <v>1217</v>
      </c>
    </row>
    <row r="20" spans="2:4" s="163" customFormat="1">
      <c r="B20" s="162" t="s">
        <v>507</v>
      </c>
    </row>
    <row r="22" spans="2:4">
      <c r="B22" s="164" t="s">
        <v>508</v>
      </c>
    </row>
    <row r="23" spans="2:4">
      <c r="B23" s="165"/>
    </row>
    <row r="24" spans="2:4">
      <c r="B24" s="166" t="s">
        <v>509</v>
      </c>
    </row>
    <row r="25" spans="2:4">
      <c r="B25" s="165"/>
    </row>
    <row r="26" spans="2:4">
      <c r="B26" s="167" t="s">
        <v>510</v>
      </c>
    </row>
    <row r="27" spans="2:4">
      <c r="B27" s="168"/>
    </row>
    <row r="28" spans="2:4">
      <c r="B28" s="169" t="s">
        <v>511</v>
      </c>
    </row>
    <row r="30" spans="2:4">
      <c r="B30" s="170" t="s">
        <v>512</v>
      </c>
    </row>
    <row r="32" spans="2:4">
      <c r="B32" s="171" t="s">
        <v>513</v>
      </c>
    </row>
  </sheetData>
  <mergeCells count="1">
    <mergeCell ref="B6:D7"/>
  </mergeCells>
  <phoneticPr fontId="4" type="noConversion"/>
  <pageMargins left="0.75" right="0.75" top="1" bottom="1" header="0.5" footer="0.5"/>
  <pageSetup paperSize="9" scale="72"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B1:V616"/>
  <sheetViews>
    <sheetView showGridLines="0" zoomScale="85" zoomScaleNormal="85" workbookViewId="0"/>
  </sheetViews>
  <sheetFormatPr defaultRowHeight="12.75"/>
  <cols>
    <col min="1" max="1" width="2.5703125" customWidth="1"/>
    <col min="2" max="2" width="69.42578125" customWidth="1"/>
    <col min="3" max="3" width="2.5703125" customWidth="1"/>
    <col min="4" max="4" width="14.5703125" customWidth="1"/>
    <col min="5" max="5" width="2.5703125" customWidth="1"/>
    <col min="6" max="6" width="21.42578125" customWidth="1"/>
    <col min="7" max="13" width="14.85546875" customWidth="1"/>
    <col min="14" max="20" width="15.140625" customWidth="1"/>
    <col min="22" max="22" width="23.140625" customWidth="1"/>
  </cols>
  <sheetData>
    <row r="1" spans="2:22" ht="12" customHeight="1"/>
    <row r="2" spans="2:22" s="1" customFormat="1" ht="18">
      <c r="B2" s="1" t="s">
        <v>431</v>
      </c>
      <c r="F2" s="5" t="s">
        <v>105</v>
      </c>
      <c r="G2" s="5"/>
      <c r="H2" s="5"/>
      <c r="I2" s="5"/>
      <c r="J2" s="5"/>
      <c r="K2" s="5"/>
      <c r="L2" s="5"/>
      <c r="M2" s="5"/>
      <c r="N2" s="5"/>
      <c r="O2" s="5"/>
      <c r="P2" s="5"/>
      <c r="V2" s="5" t="s">
        <v>567</v>
      </c>
    </row>
    <row r="4" spans="2:22">
      <c r="B4" t="s">
        <v>167</v>
      </c>
    </row>
    <row r="5" spans="2:22">
      <c r="B5" t="s">
        <v>168</v>
      </c>
    </row>
    <row r="6" spans="2:22">
      <c r="B6" t="s">
        <v>131</v>
      </c>
    </row>
    <row r="7" spans="2:22">
      <c r="B7" s="259" t="s">
        <v>1024</v>
      </c>
    </row>
    <row r="8" spans="2:22">
      <c r="F8" s="47"/>
    </row>
    <row r="9" spans="2:22" s="2" customFormat="1">
      <c r="B9" s="2" t="s">
        <v>33</v>
      </c>
    </row>
    <row r="11" spans="2:22" s="258" customFormat="1">
      <c r="B11" s="258" t="s">
        <v>615</v>
      </c>
      <c r="D11" s="258" t="s">
        <v>135</v>
      </c>
      <c r="F11" s="207">
        <f>WACC!F8</f>
        <v>6.2E-2</v>
      </c>
    </row>
    <row r="12" spans="2:22">
      <c r="B12" s="51" t="s">
        <v>514</v>
      </c>
      <c r="D12" t="s">
        <v>135</v>
      </c>
      <c r="F12" s="33">
        <f>WACC!$F$9</f>
        <v>3.5999999999999997E-2</v>
      </c>
    </row>
    <row r="13" spans="2:22">
      <c r="B13" s="13"/>
      <c r="F13" s="53"/>
    </row>
    <row r="14" spans="2:22">
      <c r="B14" s="13"/>
      <c r="F14" s="53"/>
    </row>
    <row r="15" spans="2:22" s="2" customFormat="1">
      <c r="B15" s="2" t="s">
        <v>176</v>
      </c>
      <c r="F15" s="49"/>
    </row>
    <row r="16" spans="2:22">
      <c r="F16" s="47"/>
    </row>
    <row r="17" spans="2:20">
      <c r="B17" s="3" t="s">
        <v>164</v>
      </c>
      <c r="F17" s="47"/>
      <c r="G17" s="3" t="s">
        <v>96</v>
      </c>
      <c r="H17" s="3" t="s">
        <v>407</v>
      </c>
      <c r="I17" s="3" t="s">
        <v>408</v>
      </c>
      <c r="J17" s="3" t="s">
        <v>98</v>
      </c>
      <c r="K17" s="3" t="s">
        <v>409</v>
      </c>
      <c r="L17" s="3" t="s">
        <v>99</v>
      </c>
      <c r="M17" s="3" t="s">
        <v>410</v>
      </c>
      <c r="N17" s="3" t="s">
        <v>411</v>
      </c>
      <c r="O17" s="3" t="s">
        <v>100</v>
      </c>
      <c r="P17" s="3" t="s">
        <v>412</v>
      </c>
      <c r="Q17" s="3" t="s">
        <v>413</v>
      </c>
      <c r="R17" s="3" t="s">
        <v>102</v>
      </c>
      <c r="S17" s="3" t="s">
        <v>103</v>
      </c>
      <c r="T17" s="3" t="s">
        <v>414</v>
      </c>
    </row>
    <row r="18" spans="2:20">
      <c r="F18" s="47"/>
    </row>
    <row r="19" spans="2:20">
      <c r="B19" s="3" t="s">
        <v>142</v>
      </c>
      <c r="F19" s="47"/>
    </row>
    <row r="20" spans="2:20">
      <c r="B20" t="s">
        <v>143</v>
      </c>
      <c r="D20" t="s">
        <v>107</v>
      </c>
      <c r="F20" s="83">
        <f>SUM(G20:T20)</f>
        <v>0</v>
      </c>
      <c r="G20" s="39">
        <f>'Import GAW-sheet'!G47</f>
        <v>0</v>
      </c>
      <c r="H20" s="39">
        <f>'Import GAW-sheet'!H47</f>
        <v>0</v>
      </c>
      <c r="I20" s="39">
        <f>'Import GAW-sheet'!I47</f>
        <v>0</v>
      </c>
      <c r="J20" s="39">
        <f>'Import GAW-sheet'!J47</f>
        <v>0</v>
      </c>
      <c r="K20" s="39">
        <f>'Import GAW-sheet'!K47</f>
        <v>0</v>
      </c>
      <c r="L20" s="39">
        <f>'Import GAW-sheet'!L47</f>
        <v>0</v>
      </c>
      <c r="M20" s="39">
        <f>'Import GAW-sheet'!M47</f>
        <v>0</v>
      </c>
      <c r="N20" s="39">
        <f>'Import GAW-sheet'!N47</f>
        <v>0</v>
      </c>
      <c r="O20" s="39">
        <f>'Import GAW-sheet'!O47</f>
        <v>0</v>
      </c>
      <c r="P20" s="39">
        <f>'Import GAW-sheet'!P47</f>
        <v>0</v>
      </c>
      <c r="Q20" s="39">
        <f>'Import GAW-sheet'!Q47</f>
        <v>0</v>
      </c>
      <c r="R20" s="39">
        <f>'Import GAW-sheet'!R47</f>
        <v>0</v>
      </c>
      <c r="S20" s="39">
        <f>'Import GAW-sheet'!S47</f>
        <v>0</v>
      </c>
      <c r="T20" s="39">
        <f>'Import GAW-sheet'!T47</f>
        <v>0</v>
      </c>
    </row>
    <row r="21" spans="2:20">
      <c r="B21" t="s">
        <v>144</v>
      </c>
      <c r="D21" t="s">
        <v>107</v>
      </c>
      <c r="F21" s="83">
        <f>SUM(G21:T21)</f>
        <v>20983113.418889482</v>
      </c>
      <c r="G21" s="39">
        <f>'Import GAW-sheet'!G48</f>
        <v>363085.53431984165</v>
      </c>
      <c r="H21" s="39">
        <f>'Import GAW-sheet'!H48</f>
        <v>608678.17548521026</v>
      </c>
      <c r="I21" s="39">
        <f>'Import GAW-sheet'!I48</f>
        <v>0</v>
      </c>
      <c r="J21" s="39">
        <f>'Import GAW-sheet'!J48</f>
        <v>432671.75463806139</v>
      </c>
      <c r="K21" s="39">
        <f>'Import GAW-sheet'!K48</f>
        <v>387280.22645736946</v>
      </c>
      <c r="L21" s="39">
        <f>'Import GAW-sheet'!L48</f>
        <v>4710341.0491223903</v>
      </c>
      <c r="M21" s="39">
        <f>'Import GAW-sheet'!M48</f>
        <v>508176.63783324108</v>
      </c>
      <c r="N21" s="39">
        <f>'Import GAW-sheet'!N48</f>
        <v>0</v>
      </c>
      <c r="O21" s="39">
        <f>'Import GAW-sheet'!O48</f>
        <v>3695328.6062219874</v>
      </c>
      <c r="P21" s="39">
        <f>'Import GAW-sheet'!P48</f>
        <v>132145.19103995862</v>
      </c>
      <c r="Q21" s="39">
        <f>'Import GAW-sheet'!Q48</f>
        <v>389159.70991576271</v>
      </c>
      <c r="R21" s="39">
        <f>'Import GAW-sheet'!R48</f>
        <v>9664903.584200222</v>
      </c>
      <c r="S21" s="39">
        <f>'Import GAW-sheet'!S48</f>
        <v>91342.949655435994</v>
      </c>
      <c r="T21" s="39">
        <f>'Import GAW-sheet'!T48</f>
        <v>0</v>
      </c>
    </row>
    <row r="22" spans="2:20">
      <c r="B22" t="s">
        <v>145</v>
      </c>
      <c r="D22" t="s">
        <v>107</v>
      </c>
      <c r="F22" s="83">
        <f>SUM(G22:T22)</f>
        <v>510619692.5214923</v>
      </c>
      <c r="G22" s="39">
        <f>'Import GAW-sheet'!G49</f>
        <v>9077138.3579960428</v>
      </c>
      <c r="H22" s="39">
        <f>'Import GAW-sheet'!H49</f>
        <v>13390919.860674627</v>
      </c>
      <c r="I22" s="39">
        <f>'Import GAW-sheet'!I49</f>
        <v>0</v>
      </c>
      <c r="J22" s="39">
        <f>'Import GAW-sheet'!J49</f>
        <v>9518778.6020373516</v>
      </c>
      <c r="K22" s="39">
        <f>'Import GAW-sheet'!K49</f>
        <v>8132884.7556047589</v>
      </c>
      <c r="L22" s="39">
        <f>'Import GAW-sheet'!L49</f>
        <v>117758526.22805975</v>
      </c>
      <c r="M22" s="39">
        <f>'Import GAW-sheet'!M49</f>
        <v>13720769.22149751</v>
      </c>
      <c r="N22" s="39">
        <f>'Import GAW-sheet'!N49</f>
        <v>0</v>
      </c>
      <c r="O22" s="39">
        <f>'Import GAW-sheet'!O49</f>
        <v>73906572.124439761</v>
      </c>
      <c r="P22" s="39">
        <f>'Import GAW-sheet'!P49</f>
        <v>2775049.0118391309</v>
      </c>
      <c r="Q22" s="39">
        <f>'Import GAW-sheet'!Q49</f>
        <v>8950673.3280625436</v>
      </c>
      <c r="R22" s="39">
        <f>'Import GAW-sheet'!R49</f>
        <v>251287493.1892058</v>
      </c>
      <c r="S22" s="39">
        <f>'Import GAW-sheet'!S49</f>
        <v>2100887.842075028</v>
      </c>
      <c r="T22" s="39">
        <f>'Import GAW-sheet'!T49</f>
        <v>0</v>
      </c>
    </row>
    <row r="23" spans="2:20">
      <c r="F23" s="47"/>
      <c r="G23" s="29"/>
      <c r="H23" s="29"/>
      <c r="I23" s="29"/>
      <c r="J23" s="29"/>
      <c r="K23" s="29"/>
      <c r="L23" s="29"/>
      <c r="M23" s="29"/>
      <c r="N23" s="29"/>
    </row>
    <row r="24" spans="2:20">
      <c r="B24" s="3" t="s">
        <v>146</v>
      </c>
      <c r="F24" s="47"/>
      <c r="G24" s="29"/>
      <c r="H24" s="29"/>
      <c r="I24" s="29"/>
      <c r="J24" s="29"/>
      <c r="K24" s="29"/>
      <c r="L24" s="29"/>
      <c r="M24" s="29"/>
      <c r="N24" s="29"/>
    </row>
    <row r="25" spans="2:20">
      <c r="B25" t="s">
        <v>147</v>
      </c>
      <c r="D25" t="s">
        <v>107</v>
      </c>
      <c r="F25" s="83">
        <f>SUM(G25:T25)</f>
        <v>63721621.734028757</v>
      </c>
      <c r="G25" s="39">
        <f>'Import GAW-sheet'!G52</f>
        <v>1942355</v>
      </c>
      <c r="H25" s="39">
        <f>'Import GAW-sheet'!H52</f>
        <v>1517196.0651499997</v>
      </c>
      <c r="I25" s="39">
        <f>'Import GAW-sheet'!I52</f>
        <v>0</v>
      </c>
      <c r="J25" s="39">
        <f>'Import GAW-sheet'!J52</f>
        <v>-42523.648406387154</v>
      </c>
      <c r="K25" s="39">
        <f>'Import GAW-sheet'!K52</f>
        <v>-34087.088496306409</v>
      </c>
      <c r="L25" s="39">
        <f>'Import GAW-sheet'!L52</f>
        <v>18879655</v>
      </c>
      <c r="M25" s="39">
        <f>'Import GAW-sheet'!M52</f>
        <v>1276982.2637207042</v>
      </c>
      <c r="N25" s="39">
        <f>'Import GAW-sheet'!N52</f>
        <v>0</v>
      </c>
      <c r="O25" s="39">
        <f>'Import GAW-sheet'!O52</f>
        <v>17535624.092661798</v>
      </c>
      <c r="P25" s="39">
        <f>'Import GAW-sheet'!P52</f>
        <v>115874.40734894649</v>
      </c>
      <c r="Q25" s="39">
        <f>'Import GAW-sheet'!Q52</f>
        <v>1583442.61705</v>
      </c>
      <c r="R25" s="39">
        <f>'Import GAW-sheet'!R52</f>
        <v>20870693.025000002</v>
      </c>
      <c r="S25" s="39">
        <f>'Import GAW-sheet'!S52</f>
        <v>76410</v>
      </c>
      <c r="T25" s="39">
        <f>'Import GAW-sheet'!T52</f>
        <v>0</v>
      </c>
    </row>
    <row r="26" spans="2:20">
      <c r="B26" t="s">
        <v>139</v>
      </c>
      <c r="D26" t="s">
        <v>107</v>
      </c>
      <c r="F26" s="83">
        <f>SUM(G26:T26)</f>
        <v>816943.86838498409</v>
      </c>
      <c r="G26" s="39">
        <f>'Import GAW-sheet'!G53</f>
        <v>24901.98717948718</v>
      </c>
      <c r="H26" s="39">
        <f>'Import GAW-sheet'!H53</f>
        <v>19451.231604487177</v>
      </c>
      <c r="I26" s="39">
        <f>'Import GAW-sheet'!I53</f>
        <v>0</v>
      </c>
      <c r="J26" s="39">
        <f>'Import GAW-sheet'!J53</f>
        <v>-545.17497956906607</v>
      </c>
      <c r="K26" s="39">
        <f>'Import GAW-sheet'!K53</f>
        <v>-437.01395508085142</v>
      </c>
      <c r="L26" s="39">
        <f>'Import GAW-sheet'!L53</f>
        <v>242046.85897435897</v>
      </c>
      <c r="M26" s="39">
        <f>'Import GAW-sheet'!M53</f>
        <v>16371.567483598772</v>
      </c>
      <c r="N26" s="39">
        <f>'Import GAW-sheet'!N53</f>
        <v>0</v>
      </c>
      <c r="O26" s="39">
        <f>'Import GAW-sheet'!O53</f>
        <v>224815.69349566408</v>
      </c>
      <c r="P26" s="39">
        <f>'Import GAW-sheet'!P53</f>
        <v>1485.5693249864935</v>
      </c>
      <c r="Q26" s="39">
        <f>'Import GAW-sheet'!Q53</f>
        <v>20300.546372435896</v>
      </c>
      <c r="R26" s="39">
        <f>'Import GAW-sheet'!R53</f>
        <v>267572.98750000005</v>
      </c>
      <c r="S26" s="39">
        <f>'Import GAW-sheet'!S53</f>
        <v>979.61538461538464</v>
      </c>
      <c r="T26" s="39">
        <f>'Import GAW-sheet'!T53</f>
        <v>0</v>
      </c>
    </row>
    <row r="27" spans="2:20">
      <c r="B27" t="s">
        <v>148</v>
      </c>
      <c r="D27" t="s">
        <v>107</v>
      </c>
      <c r="F27" s="83">
        <f>SUM(G27:T27)</f>
        <v>62904677.86564377</v>
      </c>
      <c r="G27" s="39">
        <f>'Import GAW-sheet'!G54</f>
        <v>1917453.0128205128</v>
      </c>
      <c r="H27" s="39">
        <f>'Import GAW-sheet'!H54</f>
        <v>1497744.8335455125</v>
      </c>
      <c r="I27" s="39">
        <f>'Import GAW-sheet'!I54</f>
        <v>0</v>
      </c>
      <c r="J27" s="39">
        <f>'Import GAW-sheet'!J54</f>
        <v>-41978.473426818091</v>
      </c>
      <c r="K27" s="39">
        <f>'Import GAW-sheet'!K54</f>
        <v>-33650.074541225556</v>
      </c>
      <c r="L27" s="39">
        <f>'Import GAW-sheet'!L54</f>
        <v>18637608.14102564</v>
      </c>
      <c r="M27" s="39">
        <f>'Import GAW-sheet'!M54</f>
        <v>1260610.6962371054</v>
      </c>
      <c r="N27" s="39">
        <f>'Import GAW-sheet'!N54</f>
        <v>0</v>
      </c>
      <c r="O27" s="39">
        <f>'Import GAW-sheet'!O54</f>
        <v>17310808.399166133</v>
      </c>
      <c r="P27" s="39">
        <f>'Import GAW-sheet'!P54</f>
        <v>114388.83802395999</v>
      </c>
      <c r="Q27" s="39">
        <f>'Import GAW-sheet'!Q54</f>
        <v>1563142.070677564</v>
      </c>
      <c r="R27" s="39">
        <f>'Import GAW-sheet'!R54</f>
        <v>20603120.037500001</v>
      </c>
      <c r="S27" s="39">
        <f>'Import GAW-sheet'!S54</f>
        <v>75430.38461538461</v>
      </c>
      <c r="T27" s="39">
        <f>'Import GAW-sheet'!T54</f>
        <v>0</v>
      </c>
    </row>
    <row r="28" spans="2:20">
      <c r="F28" s="47"/>
      <c r="G28" s="29"/>
      <c r="H28" s="29"/>
      <c r="I28" s="29"/>
      <c r="J28" s="29"/>
      <c r="K28" s="29"/>
      <c r="L28" s="29"/>
      <c r="M28" s="29"/>
      <c r="N28" s="29"/>
    </row>
    <row r="29" spans="2:20">
      <c r="B29" s="3" t="s">
        <v>157</v>
      </c>
      <c r="F29" s="47"/>
      <c r="G29" s="29"/>
      <c r="H29" s="29"/>
      <c r="I29" s="29"/>
      <c r="J29" s="29"/>
      <c r="K29" s="29"/>
      <c r="L29" s="29"/>
      <c r="M29" s="29"/>
      <c r="N29" s="29"/>
    </row>
    <row r="30" spans="2:20">
      <c r="B30" t="s">
        <v>158</v>
      </c>
      <c r="D30" t="s">
        <v>107</v>
      </c>
      <c r="F30" s="83">
        <f>SUM(G30:T30)</f>
        <v>0</v>
      </c>
      <c r="G30" s="39">
        <f>'Import GAW-sheet'!G57</f>
        <v>0</v>
      </c>
      <c r="H30" s="39">
        <f>'Import GAW-sheet'!H57</f>
        <v>0</v>
      </c>
      <c r="I30" s="39">
        <f>'Import GAW-sheet'!I57</f>
        <v>0</v>
      </c>
      <c r="J30" s="39">
        <f>'Import GAW-sheet'!J57</f>
        <v>0</v>
      </c>
      <c r="K30" s="39">
        <f>'Import GAW-sheet'!K57</f>
        <v>0</v>
      </c>
      <c r="L30" s="39">
        <f>'Import GAW-sheet'!L57</f>
        <v>0</v>
      </c>
      <c r="M30" s="39">
        <f>'Import GAW-sheet'!M57</f>
        <v>0</v>
      </c>
      <c r="N30" s="39">
        <f>'Import GAW-sheet'!N57</f>
        <v>0</v>
      </c>
      <c r="O30" s="39">
        <f>'Import GAW-sheet'!O57</f>
        <v>0</v>
      </c>
      <c r="P30" s="39">
        <f>'Import GAW-sheet'!P57</f>
        <v>0</v>
      </c>
      <c r="Q30" s="39">
        <f>'Import GAW-sheet'!Q57</f>
        <v>0</v>
      </c>
      <c r="R30" s="39">
        <f>'Import GAW-sheet'!R57</f>
        <v>0</v>
      </c>
      <c r="S30" s="39">
        <f>'Import GAW-sheet'!S57</f>
        <v>0</v>
      </c>
      <c r="T30" s="39">
        <f>'Import GAW-sheet'!T57</f>
        <v>0</v>
      </c>
    </row>
    <row r="31" spans="2:20">
      <c r="B31" t="s">
        <v>159</v>
      </c>
      <c r="D31" t="s">
        <v>107</v>
      </c>
      <c r="F31" s="83">
        <f>SUM(G31:T31)</f>
        <v>0</v>
      </c>
      <c r="G31" s="39">
        <f>'Import GAW-sheet'!G58</f>
        <v>0</v>
      </c>
      <c r="H31" s="39">
        <f>'Import GAW-sheet'!H58</f>
        <v>0</v>
      </c>
      <c r="I31" s="39">
        <f>'Import GAW-sheet'!I58</f>
        <v>0</v>
      </c>
      <c r="J31" s="39">
        <f>'Import GAW-sheet'!J58</f>
        <v>0</v>
      </c>
      <c r="K31" s="39">
        <f>'Import GAW-sheet'!K58</f>
        <v>0</v>
      </c>
      <c r="L31" s="39">
        <f>'Import GAW-sheet'!L58</f>
        <v>0</v>
      </c>
      <c r="M31" s="39">
        <f>'Import GAW-sheet'!M58</f>
        <v>0</v>
      </c>
      <c r="N31" s="39">
        <f>'Import GAW-sheet'!N58</f>
        <v>0</v>
      </c>
      <c r="O31" s="39">
        <f>'Import GAW-sheet'!O58</f>
        <v>0</v>
      </c>
      <c r="P31" s="39">
        <f>'Import GAW-sheet'!P58</f>
        <v>0</v>
      </c>
      <c r="Q31" s="39">
        <f>'Import GAW-sheet'!Q58</f>
        <v>0</v>
      </c>
      <c r="R31" s="39">
        <f>'Import GAW-sheet'!R58</f>
        <v>0</v>
      </c>
      <c r="S31" s="39">
        <f>'Import GAW-sheet'!S58</f>
        <v>0</v>
      </c>
      <c r="T31" s="39">
        <f>'Import GAW-sheet'!T58</f>
        <v>0</v>
      </c>
    </row>
    <row r="32" spans="2:20">
      <c r="B32" t="s">
        <v>160</v>
      </c>
      <c r="D32" t="s">
        <v>107</v>
      </c>
      <c r="F32" s="83">
        <f>SUM(G32:T32)</f>
        <v>0</v>
      </c>
      <c r="G32" s="39">
        <f>'Import GAW-sheet'!G59</f>
        <v>0</v>
      </c>
      <c r="H32" s="39">
        <f>'Import GAW-sheet'!H59</f>
        <v>0</v>
      </c>
      <c r="I32" s="39">
        <f>'Import GAW-sheet'!I59</f>
        <v>0</v>
      </c>
      <c r="J32" s="39">
        <f>'Import GAW-sheet'!J59</f>
        <v>0</v>
      </c>
      <c r="K32" s="39">
        <f>'Import GAW-sheet'!K59</f>
        <v>0</v>
      </c>
      <c r="L32" s="39">
        <f>'Import GAW-sheet'!L59</f>
        <v>0</v>
      </c>
      <c r="M32" s="39">
        <f>'Import GAW-sheet'!M59</f>
        <v>0</v>
      </c>
      <c r="N32" s="39">
        <f>'Import GAW-sheet'!N59</f>
        <v>0</v>
      </c>
      <c r="O32" s="39">
        <f>'Import GAW-sheet'!O59</f>
        <v>0</v>
      </c>
      <c r="P32" s="39">
        <f>'Import GAW-sheet'!P59</f>
        <v>0</v>
      </c>
      <c r="Q32" s="39">
        <f>'Import GAW-sheet'!Q59</f>
        <v>0</v>
      </c>
      <c r="R32" s="39">
        <f>'Import GAW-sheet'!R59</f>
        <v>0</v>
      </c>
      <c r="S32" s="39">
        <f>'Import GAW-sheet'!S59</f>
        <v>0</v>
      </c>
      <c r="T32" s="39">
        <f>'Import GAW-sheet'!T59</f>
        <v>0</v>
      </c>
    </row>
    <row r="33" spans="2:20">
      <c r="F33" s="47"/>
    </row>
    <row r="34" spans="2:20">
      <c r="F34" s="47"/>
    </row>
    <row r="35" spans="2:20">
      <c r="B35" s="3" t="s">
        <v>416</v>
      </c>
      <c r="F35" s="47"/>
      <c r="G35" s="3" t="s">
        <v>96</v>
      </c>
      <c r="H35" s="3" t="s">
        <v>407</v>
      </c>
      <c r="I35" s="3" t="s">
        <v>98</v>
      </c>
      <c r="J35" s="3" t="s">
        <v>99</v>
      </c>
      <c r="K35" s="3" t="s">
        <v>100</v>
      </c>
      <c r="L35" s="3" t="s">
        <v>413</v>
      </c>
      <c r="M35" s="3" t="s">
        <v>102</v>
      </c>
      <c r="N35" s="3" t="s">
        <v>103</v>
      </c>
      <c r="O35" s="3" t="s">
        <v>197</v>
      </c>
      <c r="P35" s="55"/>
      <c r="Q35" s="55"/>
      <c r="R35" s="55"/>
      <c r="S35" s="55"/>
      <c r="T35" s="55"/>
    </row>
    <row r="36" spans="2:20">
      <c r="F36" s="47"/>
      <c r="P36" s="28"/>
      <c r="Q36" s="28"/>
      <c r="R36" s="28"/>
      <c r="S36" s="28"/>
      <c r="T36" s="28"/>
    </row>
    <row r="37" spans="2:20">
      <c r="B37" s="3" t="s">
        <v>142</v>
      </c>
      <c r="F37" s="47"/>
      <c r="P37" s="28"/>
      <c r="Q37" s="28"/>
      <c r="R37" s="28"/>
      <c r="S37" s="28"/>
      <c r="T37" s="28"/>
    </row>
    <row r="38" spans="2:20">
      <c r="B38" t="s">
        <v>143</v>
      </c>
      <c r="D38" t="s">
        <v>107</v>
      </c>
      <c r="F38" s="83">
        <f>SUM(G38:O38)</f>
        <v>0</v>
      </c>
      <c r="G38" s="39">
        <f t="shared" ref="G38:H40" si="0">G20</f>
        <v>0</v>
      </c>
      <c r="H38" s="39">
        <f t="shared" si="0"/>
        <v>0</v>
      </c>
      <c r="I38" s="98">
        <f>J20+K20</f>
        <v>0</v>
      </c>
      <c r="J38" s="98">
        <f>L20+M20</f>
        <v>0</v>
      </c>
      <c r="K38" s="98">
        <f>O20+P20</f>
        <v>0</v>
      </c>
      <c r="L38" s="39">
        <f t="shared" ref="L38:N40" si="1">Q20</f>
        <v>0</v>
      </c>
      <c r="M38" s="39">
        <f t="shared" si="1"/>
        <v>0</v>
      </c>
      <c r="N38" s="39">
        <f t="shared" si="1"/>
        <v>0</v>
      </c>
      <c r="O38" s="39"/>
      <c r="P38" s="29"/>
      <c r="Q38" s="29"/>
      <c r="R38" s="29"/>
      <c r="S38" s="29"/>
      <c r="T38" s="29"/>
    </row>
    <row r="39" spans="2:20">
      <c r="B39" t="s">
        <v>144</v>
      </c>
      <c r="D39" t="s">
        <v>107</v>
      </c>
      <c r="F39" s="83">
        <f>SUM(G39:O39)</f>
        <v>20983113.418889482</v>
      </c>
      <c r="G39" s="39">
        <f t="shared" si="0"/>
        <v>363085.53431984165</v>
      </c>
      <c r="H39" s="39">
        <f t="shared" si="0"/>
        <v>608678.17548521026</v>
      </c>
      <c r="I39" s="98">
        <f>J21+K21</f>
        <v>819951.98109543091</v>
      </c>
      <c r="J39" s="98">
        <f>L21+M21</f>
        <v>5218517.6869556317</v>
      </c>
      <c r="K39" s="98">
        <f>O21+P21</f>
        <v>3827473.7972619459</v>
      </c>
      <c r="L39" s="39">
        <f t="shared" si="1"/>
        <v>389159.70991576271</v>
      </c>
      <c r="M39" s="39">
        <f t="shared" si="1"/>
        <v>9664903.584200222</v>
      </c>
      <c r="N39" s="39">
        <f t="shared" si="1"/>
        <v>91342.949655435994</v>
      </c>
      <c r="O39" s="39"/>
      <c r="P39" s="29"/>
      <c r="Q39" s="29"/>
      <c r="R39" s="29"/>
      <c r="S39" s="29"/>
      <c r="T39" s="29"/>
    </row>
    <row r="40" spans="2:20">
      <c r="B40" t="s">
        <v>145</v>
      </c>
      <c r="D40" t="s">
        <v>107</v>
      </c>
      <c r="F40" s="83">
        <f>SUM(G40:O40)</f>
        <v>510619692.5214923</v>
      </c>
      <c r="G40" s="39">
        <f t="shared" si="0"/>
        <v>9077138.3579960428</v>
      </c>
      <c r="H40" s="39">
        <f t="shared" si="0"/>
        <v>13390919.860674627</v>
      </c>
      <c r="I40" s="98">
        <f>J22+K22</f>
        <v>17651663.35764211</v>
      </c>
      <c r="J40" s="98">
        <f>L22+M22</f>
        <v>131479295.44955726</v>
      </c>
      <c r="K40" s="98">
        <f>O22+P22</f>
        <v>76681621.136278898</v>
      </c>
      <c r="L40" s="39">
        <f t="shared" si="1"/>
        <v>8950673.3280625436</v>
      </c>
      <c r="M40" s="39">
        <f t="shared" si="1"/>
        <v>251287493.1892058</v>
      </c>
      <c r="N40" s="39">
        <f t="shared" si="1"/>
        <v>2100887.842075028</v>
      </c>
      <c r="O40" s="39"/>
      <c r="P40" s="29"/>
      <c r="Q40" s="29"/>
      <c r="R40" s="29"/>
      <c r="S40" s="29"/>
      <c r="T40" s="29"/>
    </row>
    <row r="41" spans="2:20">
      <c r="F41" s="47"/>
      <c r="G41" s="29"/>
      <c r="H41" s="29"/>
      <c r="I41" s="29"/>
      <c r="J41" s="29"/>
      <c r="K41" s="29"/>
      <c r="L41" s="29"/>
      <c r="M41" s="29"/>
      <c r="N41" s="29"/>
      <c r="O41" s="29"/>
      <c r="P41" s="28"/>
      <c r="Q41" s="28"/>
      <c r="R41" s="28"/>
      <c r="S41" s="28"/>
      <c r="T41" s="28"/>
    </row>
    <row r="42" spans="2:20">
      <c r="B42" s="3" t="s">
        <v>146</v>
      </c>
      <c r="F42" s="47"/>
      <c r="G42" s="29"/>
      <c r="H42" s="29"/>
      <c r="I42" s="29"/>
      <c r="J42" s="29"/>
      <c r="K42" s="29"/>
      <c r="L42" s="29"/>
      <c r="M42" s="29"/>
      <c r="N42" s="29"/>
      <c r="O42" s="29"/>
      <c r="P42" s="28"/>
      <c r="Q42" s="28"/>
      <c r="R42" s="28"/>
      <c r="S42" s="28"/>
      <c r="T42" s="28"/>
    </row>
    <row r="43" spans="2:20">
      <c r="B43" t="s">
        <v>147</v>
      </c>
      <c r="D43" t="s">
        <v>107</v>
      </c>
      <c r="F43" s="83">
        <f>SUM(G43:O43)</f>
        <v>63721621.734028757</v>
      </c>
      <c r="G43" s="39">
        <f t="shared" ref="G43:H45" si="2">G25</f>
        <v>1942355</v>
      </c>
      <c r="H43" s="39">
        <f t="shared" si="2"/>
        <v>1517196.0651499997</v>
      </c>
      <c r="I43" s="98">
        <f>J25+K25</f>
        <v>-76610.736902693563</v>
      </c>
      <c r="J43" s="98">
        <f>L25+M25</f>
        <v>20156637.263720706</v>
      </c>
      <c r="K43" s="98">
        <f>O25+P25</f>
        <v>17651498.500010744</v>
      </c>
      <c r="L43" s="39">
        <f t="shared" ref="L43:N45" si="3">Q25</f>
        <v>1583442.61705</v>
      </c>
      <c r="M43" s="39">
        <f t="shared" si="3"/>
        <v>20870693.025000002</v>
      </c>
      <c r="N43" s="39">
        <f t="shared" si="3"/>
        <v>76410</v>
      </c>
      <c r="O43" s="39"/>
      <c r="P43" s="29"/>
      <c r="Q43" s="29"/>
      <c r="R43" s="29"/>
      <c r="S43" s="29"/>
      <c r="T43" s="29"/>
    </row>
    <row r="44" spans="2:20">
      <c r="B44" t="s">
        <v>139</v>
      </c>
      <c r="D44" t="s">
        <v>107</v>
      </c>
      <c r="F44" s="83">
        <f>SUM(G44:O44)</f>
        <v>816943.86838498409</v>
      </c>
      <c r="G44" s="39">
        <f t="shared" si="2"/>
        <v>24901.98717948718</v>
      </c>
      <c r="H44" s="39">
        <f t="shared" si="2"/>
        <v>19451.231604487177</v>
      </c>
      <c r="I44" s="98">
        <f>J26+K26</f>
        <v>-982.18893464991743</v>
      </c>
      <c r="J44" s="98">
        <f>L26+M26</f>
        <v>258418.42645795774</v>
      </c>
      <c r="K44" s="98">
        <f>O26+P26</f>
        <v>226301.26282065056</v>
      </c>
      <c r="L44" s="39">
        <f t="shared" si="3"/>
        <v>20300.546372435896</v>
      </c>
      <c r="M44" s="39">
        <f t="shared" si="3"/>
        <v>267572.98750000005</v>
      </c>
      <c r="N44" s="39">
        <f t="shared" si="3"/>
        <v>979.61538461538464</v>
      </c>
      <c r="O44" s="39"/>
      <c r="P44" s="29"/>
      <c r="Q44" s="29"/>
      <c r="R44" s="29"/>
      <c r="S44" s="29"/>
      <c r="T44" s="29"/>
    </row>
    <row r="45" spans="2:20">
      <c r="B45" t="s">
        <v>148</v>
      </c>
      <c r="D45" t="s">
        <v>107</v>
      </c>
      <c r="F45" s="83">
        <f>SUM(G45:O45)</f>
        <v>62904677.86564377</v>
      </c>
      <c r="G45" s="39">
        <f t="shared" si="2"/>
        <v>1917453.0128205128</v>
      </c>
      <c r="H45" s="39">
        <f t="shared" si="2"/>
        <v>1497744.8335455125</v>
      </c>
      <c r="I45" s="98">
        <f>J27+K27</f>
        <v>-75628.547968043655</v>
      </c>
      <c r="J45" s="98">
        <f>L27+M27</f>
        <v>19898218.837262746</v>
      </c>
      <c r="K45" s="98">
        <f>O27+P27</f>
        <v>17425197.237190094</v>
      </c>
      <c r="L45" s="39">
        <f t="shared" si="3"/>
        <v>1563142.070677564</v>
      </c>
      <c r="M45" s="39">
        <f t="shared" si="3"/>
        <v>20603120.037500001</v>
      </c>
      <c r="N45" s="39">
        <f t="shared" si="3"/>
        <v>75430.38461538461</v>
      </c>
      <c r="O45" s="39"/>
      <c r="P45" s="29"/>
      <c r="Q45" s="29"/>
      <c r="R45" s="29"/>
      <c r="S45" s="29"/>
      <c r="T45" s="29"/>
    </row>
    <row r="46" spans="2:20">
      <c r="F46" s="47"/>
      <c r="G46" s="29"/>
      <c r="H46" s="29"/>
      <c r="I46" s="29"/>
      <c r="J46" s="29"/>
      <c r="K46" s="29"/>
      <c r="L46" s="29"/>
      <c r="M46" s="29"/>
      <c r="N46" s="29"/>
      <c r="O46" s="29"/>
      <c r="P46" s="28"/>
      <c r="Q46" s="28"/>
      <c r="R46" s="28"/>
      <c r="S46" s="28"/>
      <c r="T46" s="28"/>
    </row>
    <row r="47" spans="2:20">
      <c r="B47" s="3" t="s">
        <v>157</v>
      </c>
      <c r="F47" s="47"/>
      <c r="G47" s="29"/>
      <c r="H47" s="29"/>
      <c r="I47" s="29"/>
      <c r="J47" s="29"/>
      <c r="K47" s="29"/>
      <c r="L47" s="29"/>
      <c r="M47" s="29"/>
      <c r="N47" s="29"/>
      <c r="O47" s="29"/>
      <c r="P47" s="28"/>
      <c r="Q47" s="28"/>
      <c r="R47" s="28"/>
      <c r="S47" s="28"/>
      <c r="T47" s="28"/>
    </row>
    <row r="48" spans="2:20">
      <c r="B48" t="s">
        <v>158</v>
      </c>
      <c r="D48" t="s">
        <v>107</v>
      </c>
      <c r="F48" s="83">
        <f>SUM(G48:O48)</f>
        <v>0</v>
      </c>
      <c r="G48" s="39">
        <f t="shared" ref="G48:H50" si="4">G30</f>
        <v>0</v>
      </c>
      <c r="H48" s="39">
        <f t="shared" si="4"/>
        <v>0</v>
      </c>
      <c r="I48" s="98">
        <f>J30+K30</f>
        <v>0</v>
      </c>
      <c r="J48" s="98">
        <f>L30+M30</f>
        <v>0</v>
      </c>
      <c r="K48" s="98">
        <f>O30+P30</f>
        <v>0</v>
      </c>
      <c r="L48" s="39">
        <f t="shared" ref="L48:N50" si="5">Q30</f>
        <v>0</v>
      </c>
      <c r="M48" s="39">
        <f t="shared" si="5"/>
        <v>0</v>
      </c>
      <c r="N48" s="39">
        <f t="shared" si="5"/>
        <v>0</v>
      </c>
      <c r="O48" s="39"/>
      <c r="P48" s="29"/>
      <c r="Q48" s="29"/>
      <c r="R48" s="29"/>
      <c r="S48" s="29"/>
      <c r="T48" s="29"/>
    </row>
    <row r="49" spans="2:22">
      <c r="B49" t="s">
        <v>159</v>
      </c>
      <c r="D49" t="s">
        <v>107</v>
      </c>
      <c r="F49" s="83">
        <f>SUM(G49:O49)</f>
        <v>0</v>
      </c>
      <c r="G49" s="39">
        <f t="shared" si="4"/>
        <v>0</v>
      </c>
      <c r="H49" s="39">
        <f t="shared" si="4"/>
        <v>0</v>
      </c>
      <c r="I49" s="98">
        <f>J31+K31</f>
        <v>0</v>
      </c>
      <c r="J49" s="98">
        <f>L31+M31</f>
        <v>0</v>
      </c>
      <c r="K49" s="98">
        <f>O31+P31</f>
        <v>0</v>
      </c>
      <c r="L49" s="39">
        <f t="shared" si="5"/>
        <v>0</v>
      </c>
      <c r="M49" s="39">
        <f t="shared" si="5"/>
        <v>0</v>
      </c>
      <c r="N49" s="39">
        <f t="shared" si="5"/>
        <v>0</v>
      </c>
      <c r="O49" s="39"/>
      <c r="P49" s="29"/>
      <c r="Q49" s="29"/>
      <c r="R49" s="29"/>
      <c r="S49" s="29"/>
      <c r="T49" s="29"/>
    </row>
    <row r="50" spans="2:22">
      <c r="B50" t="s">
        <v>160</v>
      </c>
      <c r="D50" t="s">
        <v>107</v>
      </c>
      <c r="F50" s="83">
        <f>SUM(G50:O50)</f>
        <v>0</v>
      </c>
      <c r="G50" s="39">
        <f t="shared" si="4"/>
        <v>0</v>
      </c>
      <c r="H50" s="39">
        <f t="shared" si="4"/>
        <v>0</v>
      </c>
      <c r="I50" s="98">
        <f>J32+K32</f>
        <v>0</v>
      </c>
      <c r="J50" s="98">
        <f>L32+M32</f>
        <v>0</v>
      </c>
      <c r="K50" s="98">
        <f>O32+P32</f>
        <v>0</v>
      </c>
      <c r="L50" s="39">
        <f t="shared" si="5"/>
        <v>0</v>
      </c>
      <c r="M50" s="39">
        <f t="shared" si="5"/>
        <v>0</v>
      </c>
      <c r="N50" s="39">
        <f t="shared" si="5"/>
        <v>0</v>
      </c>
      <c r="O50" s="39"/>
      <c r="P50" s="29"/>
      <c r="Q50" s="29"/>
      <c r="R50" s="29"/>
      <c r="S50" s="29"/>
      <c r="T50" s="29"/>
    </row>
    <row r="51" spans="2:22">
      <c r="F51" s="47"/>
    </row>
    <row r="52" spans="2:22">
      <c r="F52" s="47"/>
    </row>
    <row r="53" spans="2:22">
      <c r="B53" s="3" t="s">
        <v>417</v>
      </c>
      <c r="F53" s="47"/>
    </row>
    <row r="54" spans="2:22">
      <c r="F54" s="47"/>
    </row>
    <row r="55" spans="2:22">
      <c r="B55" s="3" t="s">
        <v>171</v>
      </c>
      <c r="F55" s="47"/>
    </row>
    <row r="56" spans="2:22">
      <c r="B56" t="s">
        <v>139</v>
      </c>
      <c r="D56" t="s">
        <v>107</v>
      </c>
      <c r="F56" s="83">
        <f>SUM(G56:O56)</f>
        <v>21800057.287274465</v>
      </c>
      <c r="G56" s="24">
        <f t="shared" ref="G56:O56" si="6">G39+G44+G49</f>
        <v>387987.52149932884</v>
      </c>
      <c r="H56" s="24">
        <f t="shared" si="6"/>
        <v>628129.40708969743</v>
      </c>
      <c r="I56" s="24">
        <f t="shared" si="6"/>
        <v>818969.79216078098</v>
      </c>
      <c r="J56" s="24">
        <f t="shared" si="6"/>
        <v>5476936.1134135891</v>
      </c>
      <c r="K56" s="24">
        <f t="shared" si="6"/>
        <v>4053775.0600825963</v>
      </c>
      <c r="L56" s="24">
        <f t="shared" si="6"/>
        <v>409460.25628819858</v>
      </c>
      <c r="M56" s="24">
        <f t="shared" si="6"/>
        <v>9932476.5717002228</v>
      </c>
      <c r="N56" s="24">
        <f t="shared" si="6"/>
        <v>92322.565040051384</v>
      </c>
      <c r="O56" s="24">
        <f t="shared" si="6"/>
        <v>0</v>
      </c>
      <c r="V56" s="51" t="s">
        <v>570</v>
      </c>
    </row>
    <row r="57" spans="2:22">
      <c r="B57" t="s">
        <v>165</v>
      </c>
      <c r="D57" t="s">
        <v>107</v>
      </c>
      <c r="F57" s="83">
        <f>SUM(G57:O57)</f>
        <v>573524370.3871361</v>
      </c>
      <c r="G57" s="24">
        <f t="shared" ref="G57:O57" si="7">G40+G45+G50</f>
        <v>10994591.370816555</v>
      </c>
      <c r="H57" s="24">
        <f t="shared" si="7"/>
        <v>14888664.694220141</v>
      </c>
      <c r="I57" s="24">
        <f t="shared" si="7"/>
        <v>17576034.809674066</v>
      </c>
      <c r="J57" s="24">
        <f t="shared" si="7"/>
        <v>151377514.28681999</v>
      </c>
      <c r="K57" s="24">
        <f t="shared" si="7"/>
        <v>94106818.373468995</v>
      </c>
      <c r="L57" s="24">
        <f t="shared" si="7"/>
        <v>10513815.398740107</v>
      </c>
      <c r="M57" s="24">
        <f t="shared" si="7"/>
        <v>271890613.22670579</v>
      </c>
      <c r="N57" s="24">
        <f t="shared" si="7"/>
        <v>2176318.2266904125</v>
      </c>
      <c r="O57" s="24">
        <f t="shared" si="7"/>
        <v>0</v>
      </c>
      <c r="V57" s="51" t="s">
        <v>571</v>
      </c>
    </row>
    <row r="58" spans="2:22">
      <c r="B58" t="s">
        <v>166</v>
      </c>
      <c r="D58" t="s">
        <v>107</v>
      </c>
      <c r="F58" s="83">
        <f>SUM(G58:O58)</f>
        <v>20646877.333936896</v>
      </c>
      <c r="G58" s="24">
        <f>G57*$F$12</f>
        <v>395805.28934939596</v>
      </c>
      <c r="H58" s="24">
        <f t="shared" ref="H58:O58" si="8">H57*$F$12</f>
        <v>535991.92899192497</v>
      </c>
      <c r="I58" s="24">
        <f t="shared" si="8"/>
        <v>632737.25314826635</v>
      </c>
      <c r="J58" s="24">
        <f t="shared" si="8"/>
        <v>5449590.5143255191</v>
      </c>
      <c r="K58" s="24">
        <f t="shared" si="8"/>
        <v>3387845.4614448836</v>
      </c>
      <c r="L58" s="24">
        <f t="shared" si="8"/>
        <v>378497.35435464384</v>
      </c>
      <c r="M58" s="24">
        <f t="shared" si="8"/>
        <v>9788062.0761614069</v>
      </c>
      <c r="N58" s="24">
        <f t="shared" si="8"/>
        <v>78347.456160854839</v>
      </c>
      <c r="O58" s="24">
        <f t="shared" si="8"/>
        <v>0</v>
      </c>
      <c r="V58" s="51" t="s">
        <v>572</v>
      </c>
    </row>
    <row r="59" spans="2:22">
      <c r="B59" t="s">
        <v>169</v>
      </c>
      <c r="D59" t="s">
        <v>107</v>
      </c>
      <c r="F59" s="83">
        <f>SUM(G59:O59)</f>
        <v>42446934.621211357</v>
      </c>
      <c r="G59" s="21">
        <f>G56+G58</f>
        <v>783792.8108487248</v>
      </c>
      <c r="H59" s="21">
        <f t="shared" ref="H59:O59" si="9">H56+H58</f>
        <v>1164121.3360816224</v>
      </c>
      <c r="I59" s="21">
        <f t="shared" si="9"/>
        <v>1451707.0453090472</v>
      </c>
      <c r="J59" s="21">
        <f t="shared" si="9"/>
        <v>10926526.627739109</v>
      </c>
      <c r="K59" s="21">
        <f t="shared" si="9"/>
        <v>7441620.5215274803</v>
      </c>
      <c r="L59" s="21">
        <f t="shared" si="9"/>
        <v>787957.61064284248</v>
      </c>
      <c r="M59" s="21">
        <f t="shared" si="9"/>
        <v>19720538.64786163</v>
      </c>
      <c r="N59" s="21">
        <f t="shared" si="9"/>
        <v>170670.02120090622</v>
      </c>
      <c r="O59" s="21">
        <f t="shared" si="9"/>
        <v>0</v>
      </c>
      <c r="V59" s="51" t="s">
        <v>573</v>
      </c>
    </row>
    <row r="60" spans="2:22">
      <c r="F60" s="47"/>
    </row>
    <row r="61" spans="2:22">
      <c r="F61" s="47"/>
    </row>
    <row r="62" spans="2:22">
      <c r="B62" s="3" t="s">
        <v>170</v>
      </c>
      <c r="F62" s="47"/>
    </row>
    <row r="63" spans="2:22">
      <c r="F63" s="47"/>
    </row>
    <row r="64" spans="2:22">
      <c r="B64" s="51" t="s">
        <v>419</v>
      </c>
      <c r="D64" t="s">
        <v>107</v>
      </c>
      <c r="F64" s="83">
        <f>SUM(G64:O64)</f>
        <v>0</v>
      </c>
      <c r="G64" s="8"/>
      <c r="H64" s="8"/>
      <c r="I64" s="8"/>
      <c r="J64" s="8"/>
      <c r="K64" s="8"/>
      <c r="L64" s="8"/>
      <c r="M64" s="8"/>
      <c r="N64" s="8"/>
      <c r="O64" s="8"/>
    </row>
    <row r="65" spans="2:22">
      <c r="B65" t="s">
        <v>173</v>
      </c>
      <c r="D65" t="s">
        <v>107</v>
      </c>
      <c r="F65" s="83">
        <f>SUM(G65:O65)</f>
        <v>0</v>
      </c>
      <c r="G65" s="97">
        <f>'PRD Ov.Opbrengst AD (2009-2012)'!G59</f>
        <v>0</v>
      </c>
      <c r="H65" s="97">
        <f>'PRD Ov.Opbrengst AD (2009-2012)'!H59</f>
        <v>0</v>
      </c>
      <c r="I65" s="97">
        <f>'PRD Ov.Opbrengst AD (2009-2012)'!I59</f>
        <v>0</v>
      </c>
      <c r="J65" s="97">
        <f>'PRD Ov.Opbrengst AD (2009-2012)'!J59</f>
        <v>0</v>
      </c>
      <c r="K65" s="97">
        <f>'PRD Ov.Opbrengst AD (2009-2012)'!K59</f>
        <v>0</v>
      </c>
      <c r="L65" s="97">
        <f>'PRD Ov.Opbrengst AD (2009-2012)'!L59</f>
        <v>0</v>
      </c>
      <c r="M65" s="97">
        <f>'PRD Ov.Opbrengst AD (2009-2012)'!M59</f>
        <v>0</v>
      </c>
      <c r="N65" s="97">
        <f>'PRD Ov.Opbrengst AD (2009-2012)'!N59</f>
        <v>0</v>
      </c>
      <c r="O65" s="97">
        <f>'PRD Ov.Opbrengst AD (2009-2012)'!O59</f>
        <v>0</v>
      </c>
    </row>
    <row r="66" spans="2:22">
      <c r="B66" t="s">
        <v>174</v>
      </c>
      <c r="D66" t="s">
        <v>107</v>
      </c>
      <c r="F66" s="83">
        <f>SUM(G66:O66)</f>
        <v>0</v>
      </c>
      <c r="G66" s="8"/>
      <c r="H66" s="8"/>
      <c r="I66" s="8"/>
      <c r="J66" s="8"/>
      <c r="K66" s="8"/>
      <c r="L66" s="8"/>
      <c r="M66" s="8"/>
      <c r="N66" s="8"/>
      <c r="O66" s="8"/>
    </row>
    <row r="67" spans="2:22">
      <c r="B67" s="13" t="s">
        <v>187</v>
      </c>
      <c r="D67" t="s">
        <v>107</v>
      </c>
      <c r="F67" s="83">
        <f>SUM(G67:O67)</f>
        <v>0</v>
      </c>
      <c r="G67" s="24">
        <f t="shared" ref="G67:O67" si="10">SUM(G64:G66)</f>
        <v>0</v>
      </c>
      <c r="H67" s="24">
        <f t="shared" si="10"/>
        <v>0</v>
      </c>
      <c r="I67" s="24">
        <f t="shared" si="10"/>
        <v>0</v>
      </c>
      <c r="J67" s="24">
        <f t="shared" si="10"/>
        <v>0</v>
      </c>
      <c r="K67" s="24">
        <f t="shared" si="10"/>
        <v>0</v>
      </c>
      <c r="L67" s="24">
        <f t="shared" si="10"/>
        <v>0</v>
      </c>
      <c r="M67" s="24">
        <f t="shared" si="10"/>
        <v>0</v>
      </c>
      <c r="N67" s="24">
        <f t="shared" si="10"/>
        <v>0</v>
      </c>
      <c r="O67" s="24">
        <f t="shared" si="10"/>
        <v>0</v>
      </c>
    </row>
    <row r="68" spans="2:22">
      <c r="F68" s="47"/>
    </row>
    <row r="69" spans="2:22">
      <c r="F69" s="47"/>
    </row>
    <row r="70" spans="2:22">
      <c r="B70" s="3" t="s">
        <v>418</v>
      </c>
      <c r="F70" s="47"/>
    </row>
    <row r="71" spans="2:22">
      <c r="F71" s="47"/>
    </row>
    <row r="72" spans="2:22">
      <c r="B72" t="s">
        <v>175</v>
      </c>
      <c r="D72" t="s">
        <v>107</v>
      </c>
      <c r="F72" s="84">
        <f>SUM(G72:O72)</f>
        <v>42446934.621211357</v>
      </c>
      <c r="G72" s="21">
        <f t="shared" ref="G72:O72" si="11">G59-G67</f>
        <v>783792.8108487248</v>
      </c>
      <c r="H72" s="21">
        <f t="shared" si="11"/>
        <v>1164121.3360816224</v>
      </c>
      <c r="I72" s="21">
        <f t="shared" si="11"/>
        <v>1451707.0453090472</v>
      </c>
      <c r="J72" s="21">
        <f t="shared" si="11"/>
        <v>10926526.627739109</v>
      </c>
      <c r="K72" s="21">
        <f t="shared" si="11"/>
        <v>7441620.5215274803</v>
      </c>
      <c r="L72" s="21">
        <f t="shared" si="11"/>
        <v>787957.61064284248</v>
      </c>
      <c r="M72" s="21">
        <f t="shared" si="11"/>
        <v>19720538.64786163</v>
      </c>
      <c r="N72" s="21">
        <f t="shared" si="11"/>
        <v>170670.02120090622</v>
      </c>
      <c r="O72" s="21">
        <f t="shared" si="11"/>
        <v>0</v>
      </c>
      <c r="V72" s="51" t="s">
        <v>573</v>
      </c>
    </row>
    <row r="73" spans="2:22" s="258" customFormat="1">
      <c r="B73" s="78"/>
      <c r="F73" s="174"/>
      <c r="G73" s="29"/>
      <c r="H73" s="29"/>
      <c r="I73" s="29"/>
      <c r="J73" s="29"/>
      <c r="K73" s="29"/>
      <c r="L73" s="29"/>
      <c r="M73" s="29"/>
      <c r="N73" s="29"/>
      <c r="O73" s="29"/>
    </row>
    <row r="74" spans="2:22">
      <c r="F74" s="62"/>
      <c r="G74" s="42"/>
      <c r="H74" s="42"/>
      <c r="I74" s="42"/>
      <c r="J74" s="42"/>
      <c r="K74" s="42"/>
      <c r="L74" s="42"/>
      <c r="M74" s="42"/>
      <c r="N74" s="42"/>
    </row>
    <row r="75" spans="2:22">
      <c r="B75" s="3" t="s">
        <v>421</v>
      </c>
      <c r="F75" s="47"/>
      <c r="G75" s="55"/>
      <c r="H75" s="3" t="s">
        <v>408</v>
      </c>
      <c r="I75" s="55"/>
      <c r="J75" s="3" t="s">
        <v>411</v>
      </c>
      <c r="K75" s="55"/>
      <c r="L75" s="55"/>
      <c r="M75" s="55"/>
      <c r="N75" s="55"/>
      <c r="O75" s="3" t="s">
        <v>420</v>
      </c>
      <c r="P75" s="55"/>
      <c r="Q75" s="55"/>
      <c r="R75" s="55"/>
      <c r="S75" s="55"/>
      <c r="T75" s="55"/>
    </row>
    <row r="76" spans="2:22">
      <c r="F76" s="47"/>
      <c r="G76" s="28"/>
      <c r="I76" s="28"/>
      <c r="K76" s="28"/>
      <c r="L76" s="28"/>
      <c r="M76" s="28"/>
      <c r="N76" s="28"/>
      <c r="P76" s="28"/>
      <c r="Q76" s="28"/>
      <c r="R76" s="28"/>
      <c r="S76" s="28"/>
      <c r="T76" s="28"/>
    </row>
    <row r="77" spans="2:22">
      <c r="B77" s="3" t="s">
        <v>142</v>
      </c>
      <c r="F77" s="47"/>
      <c r="G77" s="28"/>
      <c r="I77" s="28"/>
      <c r="K77" s="28"/>
      <c r="L77" s="28"/>
      <c r="M77" s="28"/>
      <c r="N77" s="28"/>
      <c r="P77" s="28"/>
      <c r="Q77" s="28"/>
      <c r="R77" s="28"/>
      <c r="S77" s="28"/>
      <c r="T77" s="28"/>
    </row>
    <row r="78" spans="2:22">
      <c r="B78" t="s">
        <v>143</v>
      </c>
      <c r="D78" t="s">
        <v>107</v>
      </c>
      <c r="F78" s="83">
        <f>SUM(G78:O78)</f>
        <v>0</v>
      </c>
      <c r="G78" s="29"/>
      <c r="H78" s="39">
        <f>I20</f>
        <v>0</v>
      </c>
      <c r="I78" s="29"/>
      <c r="J78" s="97">
        <f>N20</f>
        <v>0</v>
      </c>
      <c r="K78" s="29"/>
      <c r="L78" s="29"/>
      <c r="M78" s="29"/>
      <c r="N78" s="29"/>
      <c r="O78" s="97">
        <f>T20</f>
        <v>0</v>
      </c>
      <c r="P78" s="29"/>
      <c r="Q78" s="29"/>
      <c r="R78" s="29"/>
      <c r="S78" s="29"/>
      <c r="T78" s="29"/>
    </row>
    <row r="79" spans="2:22">
      <c r="B79" t="s">
        <v>144</v>
      </c>
      <c r="D79" t="s">
        <v>107</v>
      </c>
      <c r="F79" s="83">
        <f>SUM(G79:O79)</f>
        <v>0</v>
      </c>
      <c r="G79" s="29"/>
      <c r="H79" s="39">
        <f>I21</f>
        <v>0</v>
      </c>
      <c r="I79" s="29"/>
      <c r="J79" s="97">
        <f>N21</f>
        <v>0</v>
      </c>
      <c r="K79" s="29"/>
      <c r="L79" s="29"/>
      <c r="M79" s="29"/>
      <c r="N79" s="29"/>
      <c r="O79" s="97">
        <f>T21</f>
        <v>0</v>
      </c>
      <c r="P79" s="29"/>
      <c r="Q79" s="29"/>
      <c r="R79" s="29"/>
      <c r="S79" s="29"/>
      <c r="T79" s="29"/>
    </row>
    <row r="80" spans="2:22">
      <c r="B80" t="s">
        <v>145</v>
      </c>
      <c r="D80" t="s">
        <v>107</v>
      </c>
      <c r="F80" s="83">
        <f>SUM(G80:O80)</f>
        <v>0</v>
      </c>
      <c r="G80" s="29"/>
      <c r="H80" s="39">
        <f>I22</f>
        <v>0</v>
      </c>
      <c r="I80" s="29"/>
      <c r="J80" s="97">
        <f>N22</f>
        <v>0</v>
      </c>
      <c r="K80" s="29"/>
      <c r="L80" s="29"/>
      <c r="M80" s="29"/>
      <c r="N80" s="29"/>
      <c r="O80" s="97">
        <f>T22</f>
        <v>0</v>
      </c>
      <c r="P80" s="29"/>
      <c r="Q80" s="29"/>
      <c r="R80" s="29"/>
      <c r="S80" s="29"/>
      <c r="T80" s="29"/>
    </row>
    <row r="81" spans="2:22">
      <c r="F81" s="47"/>
      <c r="G81" s="29"/>
      <c r="H81" s="29"/>
      <c r="I81" s="29"/>
      <c r="J81" s="29"/>
      <c r="K81" s="29"/>
      <c r="L81" s="29"/>
      <c r="M81" s="29"/>
      <c r="N81" s="29"/>
      <c r="O81" s="28"/>
      <c r="P81" s="28"/>
      <c r="Q81" s="28"/>
      <c r="R81" s="28"/>
      <c r="S81" s="28"/>
      <c r="T81" s="28"/>
    </row>
    <row r="82" spans="2:22">
      <c r="B82" s="3" t="s">
        <v>146</v>
      </c>
      <c r="F82" s="47"/>
      <c r="G82" s="29"/>
      <c r="H82" s="29"/>
      <c r="I82" s="29"/>
      <c r="J82" s="29"/>
      <c r="K82" s="29"/>
      <c r="L82" s="29"/>
      <c r="M82" s="29"/>
      <c r="N82" s="29"/>
      <c r="O82" s="28"/>
      <c r="P82" s="28"/>
      <c r="Q82" s="28"/>
      <c r="R82" s="28"/>
      <c r="S82" s="28"/>
      <c r="T82" s="28"/>
    </row>
    <row r="83" spans="2:22">
      <c r="B83" t="s">
        <v>147</v>
      </c>
      <c r="D83" t="s">
        <v>107</v>
      </c>
      <c r="F83" s="83">
        <f>SUM(G83:O83)</f>
        <v>0</v>
      </c>
      <c r="G83" s="29"/>
      <c r="H83" s="39">
        <f>I25</f>
        <v>0</v>
      </c>
      <c r="I83" s="29"/>
      <c r="J83" s="97">
        <f>N25</f>
        <v>0</v>
      </c>
      <c r="K83" s="29"/>
      <c r="L83" s="29"/>
      <c r="M83" s="29"/>
      <c r="N83" s="29"/>
      <c r="O83" s="97">
        <f>T25</f>
        <v>0</v>
      </c>
      <c r="P83" s="29"/>
      <c r="Q83" s="29"/>
      <c r="R83" s="29"/>
      <c r="S83" s="29"/>
      <c r="T83" s="29"/>
    </row>
    <row r="84" spans="2:22">
      <c r="B84" t="s">
        <v>139</v>
      </c>
      <c r="D84" t="s">
        <v>107</v>
      </c>
      <c r="F84" s="83">
        <f>SUM(G84:O84)</f>
        <v>0</v>
      </c>
      <c r="G84" s="29"/>
      <c r="H84" s="39">
        <f>I26</f>
        <v>0</v>
      </c>
      <c r="I84" s="29"/>
      <c r="J84" s="97">
        <f>N26</f>
        <v>0</v>
      </c>
      <c r="K84" s="29"/>
      <c r="L84" s="29"/>
      <c r="M84" s="29"/>
      <c r="N84" s="29"/>
      <c r="O84" s="97">
        <f>T26</f>
        <v>0</v>
      </c>
      <c r="P84" s="29"/>
      <c r="Q84" s="29"/>
      <c r="R84" s="29"/>
      <c r="S84" s="29"/>
      <c r="T84" s="29"/>
    </row>
    <row r="85" spans="2:22">
      <c r="B85" t="s">
        <v>148</v>
      </c>
      <c r="D85" t="s">
        <v>107</v>
      </c>
      <c r="F85" s="83">
        <f>SUM(G85:O85)</f>
        <v>0</v>
      </c>
      <c r="G85" s="29"/>
      <c r="H85" s="39">
        <f>I27</f>
        <v>0</v>
      </c>
      <c r="I85" s="29"/>
      <c r="J85" s="97">
        <f>N27</f>
        <v>0</v>
      </c>
      <c r="K85" s="29"/>
      <c r="L85" s="29"/>
      <c r="M85" s="29"/>
      <c r="N85" s="29"/>
      <c r="O85" s="97">
        <f>T27</f>
        <v>0</v>
      </c>
      <c r="P85" s="29"/>
      <c r="Q85" s="29"/>
      <c r="R85" s="29"/>
      <c r="S85" s="29"/>
      <c r="T85" s="29"/>
    </row>
    <row r="86" spans="2:22">
      <c r="F86" s="47"/>
      <c r="G86" s="29"/>
      <c r="H86" s="29"/>
      <c r="I86" s="29"/>
      <c r="J86" s="29"/>
      <c r="K86" s="29"/>
      <c r="L86" s="29"/>
      <c r="M86" s="29"/>
      <c r="N86" s="29"/>
      <c r="O86" s="28"/>
      <c r="P86" s="28"/>
      <c r="Q86" s="28"/>
      <c r="R86" s="28"/>
      <c r="S86" s="28"/>
      <c r="T86" s="28"/>
    </row>
    <row r="87" spans="2:22">
      <c r="B87" s="3" t="s">
        <v>157</v>
      </c>
      <c r="F87" s="47"/>
      <c r="G87" s="29"/>
      <c r="H87" s="29"/>
      <c r="I87" s="29"/>
      <c r="J87" s="29"/>
      <c r="K87" s="29"/>
      <c r="L87" s="29"/>
      <c r="M87" s="29"/>
      <c r="N87" s="29"/>
      <c r="O87" s="28"/>
      <c r="P87" s="28"/>
      <c r="Q87" s="28"/>
      <c r="R87" s="28"/>
      <c r="S87" s="28"/>
      <c r="T87" s="28"/>
    </row>
    <row r="88" spans="2:22">
      <c r="B88" t="s">
        <v>158</v>
      </c>
      <c r="D88" t="s">
        <v>107</v>
      </c>
      <c r="F88" s="83">
        <f>SUM(G88:O88)</f>
        <v>0</v>
      </c>
      <c r="G88" s="29"/>
      <c r="H88" s="39">
        <f>I30</f>
        <v>0</v>
      </c>
      <c r="I88" s="29"/>
      <c r="J88" s="97">
        <f>N30</f>
        <v>0</v>
      </c>
      <c r="K88" s="29"/>
      <c r="L88" s="29"/>
      <c r="M88" s="29"/>
      <c r="N88" s="29"/>
      <c r="O88" s="97">
        <f>T30</f>
        <v>0</v>
      </c>
      <c r="P88" s="29"/>
      <c r="Q88" s="29"/>
      <c r="R88" s="29"/>
      <c r="S88" s="29"/>
      <c r="T88" s="29"/>
    </row>
    <row r="89" spans="2:22">
      <c r="B89" t="s">
        <v>159</v>
      </c>
      <c r="D89" t="s">
        <v>107</v>
      </c>
      <c r="F89" s="83">
        <f>SUM(G89:O89)</f>
        <v>0</v>
      </c>
      <c r="G89" s="29"/>
      <c r="H89" s="39">
        <f>I31</f>
        <v>0</v>
      </c>
      <c r="I89" s="29"/>
      <c r="J89" s="97">
        <f>N31</f>
        <v>0</v>
      </c>
      <c r="K89" s="29"/>
      <c r="L89" s="29"/>
      <c r="M89" s="29"/>
      <c r="N89" s="29"/>
      <c r="O89" s="97">
        <f>T31</f>
        <v>0</v>
      </c>
      <c r="P89" s="29"/>
      <c r="Q89" s="29"/>
      <c r="R89" s="29"/>
      <c r="S89" s="29"/>
      <c r="T89" s="29"/>
    </row>
    <row r="90" spans="2:22">
      <c r="B90" t="s">
        <v>160</v>
      </c>
      <c r="D90" t="s">
        <v>107</v>
      </c>
      <c r="F90" s="83">
        <f>SUM(G90:O90)</f>
        <v>0</v>
      </c>
      <c r="G90" s="29"/>
      <c r="H90" s="39">
        <f>I32</f>
        <v>0</v>
      </c>
      <c r="I90" s="29"/>
      <c r="J90" s="97">
        <f>N32</f>
        <v>0</v>
      </c>
      <c r="K90" s="29"/>
      <c r="L90" s="29"/>
      <c r="M90" s="29"/>
      <c r="N90" s="29"/>
      <c r="O90" s="97">
        <f>T32</f>
        <v>0</v>
      </c>
      <c r="P90" s="29"/>
      <c r="Q90" s="29"/>
      <c r="R90" s="29"/>
      <c r="S90" s="29"/>
      <c r="T90" s="29"/>
    </row>
    <row r="91" spans="2:22">
      <c r="F91" s="47"/>
    </row>
    <row r="92" spans="2:22">
      <c r="F92" s="47"/>
    </row>
    <row r="93" spans="2:22">
      <c r="B93" s="3" t="s">
        <v>422</v>
      </c>
      <c r="F93" s="47"/>
    </row>
    <row r="94" spans="2:22">
      <c r="F94" s="47"/>
    </row>
    <row r="95" spans="2:22">
      <c r="B95" s="3" t="s">
        <v>425</v>
      </c>
      <c r="F95" s="47"/>
    </row>
    <row r="96" spans="2:22">
      <c r="B96" t="s">
        <v>139</v>
      </c>
      <c r="D96" t="s">
        <v>107</v>
      </c>
      <c r="F96" s="83">
        <f>SUM(G96:O96)</f>
        <v>0</v>
      </c>
      <c r="G96" s="29"/>
      <c r="H96" s="24">
        <f>H79+H84+H89</f>
        <v>0</v>
      </c>
      <c r="I96" s="29"/>
      <c r="J96" s="24">
        <f>J79+J84+J89</f>
        <v>0</v>
      </c>
      <c r="K96" s="29"/>
      <c r="L96" s="29"/>
      <c r="M96" s="29"/>
      <c r="N96" s="29"/>
      <c r="O96" s="24">
        <f>O79+O84+O89</f>
        <v>0</v>
      </c>
      <c r="V96" s="51" t="s">
        <v>570</v>
      </c>
    </row>
    <row r="97" spans="2:22">
      <c r="B97" t="s">
        <v>165</v>
      </c>
      <c r="D97" t="s">
        <v>107</v>
      </c>
      <c r="F97" s="83">
        <f>SUM(G97:O97)</f>
        <v>0</v>
      </c>
      <c r="G97" s="29"/>
      <c r="H97" s="24">
        <f>H80+H85+H90</f>
        <v>0</v>
      </c>
      <c r="I97" s="29"/>
      <c r="J97" s="24">
        <f>J80+J85+J90</f>
        <v>0</v>
      </c>
      <c r="K97" s="29"/>
      <c r="L97" s="29"/>
      <c r="M97" s="29"/>
      <c r="N97" s="29"/>
      <c r="O97" s="24">
        <f>O80+O85+O90</f>
        <v>0</v>
      </c>
      <c r="V97" s="51" t="s">
        <v>571</v>
      </c>
    </row>
    <row r="98" spans="2:22">
      <c r="B98" t="s">
        <v>166</v>
      </c>
      <c r="D98" t="s">
        <v>107</v>
      </c>
      <c r="F98" s="83">
        <f>SUM(G98:O98)</f>
        <v>0</v>
      </c>
      <c r="G98" s="29"/>
      <c r="H98" s="24">
        <f t="shared" ref="H98:J98" si="12">H97*$F$12</f>
        <v>0</v>
      </c>
      <c r="I98" s="29"/>
      <c r="J98" s="24">
        <f t="shared" si="12"/>
        <v>0</v>
      </c>
      <c r="K98" s="29"/>
      <c r="L98" s="29"/>
      <c r="M98" s="29"/>
      <c r="N98" s="29"/>
      <c r="O98" s="24">
        <f t="shared" ref="O98" si="13">O97*$F$12</f>
        <v>0</v>
      </c>
      <c r="V98" s="51" t="s">
        <v>572</v>
      </c>
    </row>
    <row r="99" spans="2:22">
      <c r="B99" t="s">
        <v>169</v>
      </c>
      <c r="D99" t="s">
        <v>107</v>
      </c>
      <c r="F99" s="83">
        <f>SUM(G99:O99)</f>
        <v>0</v>
      </c>
      <c r="G99" s="54"/>
      <c r="H99" s="21">
        <f t="shared" ref="H99:J99" si="14">H96+H98</f>
        <v>0</v>
      </c>
      <c r="I99" s="54"/>
      <c r="J99" s="21">
        <f t="shared" si="14"/>
        <v>0</v>
      </c>
      <c r="K99" s="54"/>
      <c r="L99" s="54"/>
      <c r="M99" s="54"/>
      <c r="N99" s="54"/>
      <c r="O99" s="21">
        <f t="shared" ref="O99" si="15">O96+O98</f>
        <v>0</v>
      </c>
      <c r="V99" s="51" t="s">
        <v>573</v>
      </c>
    </row>
    <row r="100" spans="2:22">
      <c r="F100" s="47"/>
    </row>
    <row r="101" spans="2:22">
      <c r="F101" s="47"/>
    </row>
    <row r="102" spans="2:22">
      <c r="B102" s="3" t="s">
        <v>170</v>
      </c>
      <c r="F102" s="47"/>
      <c r="K102" s="28"/>
      <c r="L102" s="28"/>
      <c r="M102" s="28"/>
      <c r="N102" s="28"/>
    </row>
    <row r="103" spans="2:22">
      <c r="F103" s="47"/>
      <c r="G103" s="28"/>
      <c r="I103" s="28"/>
      <c r="K103" s="28"/>
      <c r="L103" s="28"/>
      <c r="M103" s="28"/>
      <c r="N103" s="28"/>
    </row>
    <row r="104" spans="2:22">
      <c r="B104" s="51" t="s">
        <v>427</v>
      </c>
      <c r="D104" t="s">
        <v>107</v>
      </c>
      <c r="F104" s="83">
        <f>SUM(G104:O104)</f>
        <v>0</v>
      </c>
      <c r="G104" s="29"/>
      <c r="H104" s="8"/>
      <c r="I104" s="29"/>
      <c r="J104" s="8"/>
      <c r="K104" s="29"/>
      <c r="L104" s="29"/>
      <c r="M104" s="29"/>
      <c r="N104" s="29"/>
      <c r="O104" s="8"/>
    </row>
    <row r="105" spans="2:22">
      <c r="B105" s="51" t="s">
        <v>760</v>
      </c>
      <c r="D105" t="s">
        <v>107</v>
      </c>
      <c r="F105" s="83">
        <f>SUM(G105:O105)</f>
        <v>0</v>
      </c>
      <c r="G105" s="29"/>
      <c r="H105" s="8"/>
      <c r="I105" s="29"/>
      <c r="J105" s="8"/>
      <c r="K105" s="29"/>
      <c r="L105" s="29"/>
      <c r="M105" s="29"/>
      <c r="N105" s="29"/>
      <c r="O105" s="8"/>
    </row>
    <row r="106" spans="2:22">
      <c r="B106" s="51" t="s">
        <v>761</v>
      </c>
      <c r="D106" t="s">
        <v>107</v>
      </c>
      <c r="F106" s="83">
        <f>SUM(G106:O106)</f>
        <v>0</v>
      </c>
      <c r="G106" s="29"/>
      <c r="H106" s="8"/>
      <c r="I106" s="29"/>
      <c r="J106" s="8"/>
      <c r="K106" s="29"/>
      <c r="L106" s="29"/>
      <c r="M106" s="29"/>
      <c r="N106" s="29"/>
      <c r="O106" s="8"/>
    </row>
    <row r="107" spans="2:22">
      <c r="B107" s="51" t="s">
        <v>426</v>
      </c>
      <c r="D107" t="s">
        <v>107</v>
      </c>
      <c r="F107" s="83">
        <f>SUM(G107:O107)</f>
        <v>0</v>
      </c>
      <c r="G107" s="29"/>
      <c r="H107" s="24">
        <f>SUM(H104:H106)</f>
        <v>0</v>
      </c>
      <c r="I107" s="29"/>
      <c r="J107" s="24">
        <f>SUM(J104:J106)</f>
        <v>0</v>
      </c>
      <c r="K107" s="29"/>
      <c r="L107" s="29"/>
      <c r="M107" s="29"/>
      <c r="N107" s="29"/>
      <c r="O107" s="24">
        <f>SUM(O104:O106)</f>
        <v>0</v>
      </c>
    </row>
    <row r="108" spans="2:22">
      <c r="F108" s="47"/>
      <c r="G108" s="28"/>
      <c r="I108" s="28"/>
      <c r="K108" s="28"/>
      <c r="L108" s="28"/>
      <c r="M108" s="28"/>
      <c r="N108" s="28"/>
    </row>
    <row r="109" spans="2:22">
      <c r="F109" s="47"/>
      <c r="G109" s="28"/>
      <c r="I109" s="28"/>
      <c r="K109" s="28"/>
      <c r="L109" s="28"/>
      <c r="M109" s="28"/>
      <c r="N109" s="28"/>
    </row>
    <row r="110" spans="2:22">
      <c r="B110" s="3" t="s">
        <v>423</v>
      </c>
      <c r="F110" s="47"/>
      <c r="G110" s="28"/>
      <c r="I110" s="28"/>
      <c r="K110" s="28"/>
      <c r="L110" s="28"/>
      <c r="M110" s="28"/>
      <c r="N110" s="28"/>
    </row>
    <row r="111" spans="2:22">
      <c r="F111" s="47"/>
      <c r="G111" s="28"/>
      <c r="I111" s="28"/>
      <c r="K111" s="28"/>
      <c r="L111" s="28"/>
      <c r="M111" s="28"/>
      <c r="N111" s="28"/>
    </row>
    <row r="112" spans="2:22">
      <c r="B112" s="51" t="s">
        <v>424</v>
      </c>
      <c r="D112" t="s">
        <v>107</v>
      </c>
      <c r="F112" s="84">
        <f>SUM(G112:O112)</f>
        <v>0</v>
      </c>
      <c r="G112" s="54"/>
      <c r="H112" s="21">
        <f>H99-H107</f>
        <v>0</v>
      </c>
      <c r="I112" s="54"/>
      <c r="J112" s="21">
        <f>J99-J107</f>
        <v>0</v>
      </c>
      <c r="K112" s="54"/>
      <c r="L112" s="54"/>
      <c r="M112" s="54"/>
      <c r="N112" s="54"/>
      <c r="O112" s="21">
        <f>O99-O107</f>
        <v>0</v>
      </c>
      <c r="V112" s="51" t="s">
        <v>573</v>
      </c>
    </row>
    <row r="113" spans="2:20">
      <c r="F113" s="47"/>
    </row>
    <row r="114" spans="2:20">
      <c r="F114" s="62"/>
      <c r="G114" s="42"/>
      <c r="H114" s="42"/>
      <c r="I114" s="42"/>
      <c r="J114" s="42"/>
      <c r="K114" s="42"/>
      <c r="L114" s="42"/>
      <c r="M114" s="42"/>
      <c r="N114" s="42"/>
    </row>
    <row r="115" spans="2:20" s="2" customFormat="1">
      <c r="B115" s="2" t="s">
        <v>177</v>
      </c>
      <c r="F115" s="49"/>
    </row>
    <row r="116" spans="2:20">
      <c r="F116" s="47"/>
    </row>
    <row r="117" spans="2:20">
      <c r="B117" s="3" t="s">
        <v>164</v>
      </c>
      <c r="F117" s="47"/>
      <c r="G117" s="3" t="s">
        <v>96</v>
      </c>
      <c r="H117" s="3" t="s">
        <v>407</v>
      </c>
      <c r="I117" s="3" t="s">
        <v>408</v>
      </c>
      <c r="J117" s="3" t="s">
        <v>98</v>
      </c>
      <c r="K117" s="3" t="s">
        <v>409</v>
      </c>
      <c r="L117" s="3" t="s">
        <v>99</v>
      </c>
      <c r="M117" s="3" t="s">
        <v>410</v>
      </c>
      <c r="N117" s="3" t="s">
        <v>411</v>
      </c>
      <c r="O117" s="3" t="s">
        <v>100</v>
      </c>
      <c r="P117" s="3" t="s">
        <v>412</v>
      </c>
      <c r="Q117" s="3" t="s">
        <v>413</v>
      </c>
      <c r="R117" s="3" t="s">
        <v>102</v>
      </c>
      <c r="S117" s="3" t="s">
        <v>103</v>
      </c>
      <c r="T117" s="3" t="s">
        <v>414</v>
      </c>
    </row>
    <row r="118" spans="2:20">
      <c r="F118" s="47"/>
    </row>
    <row r="119" spans="2:20">
      <c r="B119" s="3" t="s">
        <v>142</v>
      </c>
      <c r="F119" s="47"/>
    </row>
    <row r="120" spans="2:20">
      <c r="B120" t="s">
        <v>143</v>
      </c>
      <c r="D120" t="s">
        <v>108</v>
      </c>
      <c r="F120" s="83">
        <f>SUM(G120:T120)</f>
        <v>0</v>
      </c>
      <c r="G120" s="39">
        <f>'Import GAW-sheet'!G105</f>
        <v>0</v>
      </c>
      <c r="H120" s="39">
        <f>'Import GAW-sheet'!H105</f>
        <v>0</v>
      </c>
      <c r="I120" s="39">
        <f>'Import GAW-sheet'!I105</f>
        <v>0</v>
      </c>
      <c r="J120" s="39">
        <f>'Import GAW-sheet'!J105</f>
        <v>0</v>
      </c>
      <c r="K120" s="39">
        <f>'Import GAW-sheet'!K105</f>
        <v>0</v>
      </c>
      <c r="L120" s="39">
        <f>'Import GAW-sheet'!L105</f>
        <v>0</v>
      </c>
      <c r="M120" s="39">
        <f>'Import GAW-sheet'!M105</f>
        <v>0</v>
      </c>
      <c r="N120" s="39">
        <f>'Import GAW-sheet'!N105</f>
        <v>0</v>
      </c>
      <c r="O120" s="39">
        <f>'Import GAW-sheet'!O105</f>
        <v>0</v>
      </c>
      <c r="P120" s="39">
        <f>'Import GAW-sheet'!P105</f>
        <v>0</v>
      </c>
      <c r="Q120" s="39">
        <f>'Import GAW-sheet'!Q105</f>
        <v>0</v>
      </c>
      <c r="R120" s="39">
        <f>'Import GAW-sheet'!R105</f>
        <v>0</v>
      </c>
      <c r="S120" s="39">
        <f>'Import GAW-sheet'!S105</f>
        <v>0</v>
      </c>
      <c r="T120" s="39">
        <f>'Import GAW-sheet'!T105</f>
        <v>0</v>
      </c>
    </row>
    <row r="121" spans="2:20">
      <c r="B121" t="s">
        <v>144</v>
      </c>
      <c r="D121" t="s">
        <v>108</v>
      </c>
      <c r="F121" s="83">
        <f>SUM(G121:T121)</f>
        <v>20983113.418889482</v>
      </c>
      <c r="G121" s="39">
        <f>'Import GAW-sheet'!G106</f>
        <v>363085.53431984165</v>
      </c>
      <c r="H121" s="39">
        <f>'Import GAW-sheet'!H106</f>
        <v>608678.17548521026</v>
      </c>
      <c r="I121" s="39">
        <f>'Import GAW-sheet'!I106</f>
        <v>0</v>
      </c>
      <c r="J121" s="39">
        <f>'Import GAW-sheet'!J106</f>
        <v>432671.75463806139</v>
      </c>
      <c r="K121" s="39">
        <f>'Import GAW-sheet'!K106</f>
        <v>387280.22645736946</v>
      </c>
      <c r="L121" s="39">
        <f>'Import GAW-sheet'!L106</f>
        <v>4710341.0491223903</v>
      </c>
      <c r="M121" s="39">
        <f>'Import GAW-sheet'!M106</f>
        <v>508176.63783324108</v>
      </c>
      <c r="N121" s="39">
        <f>'Import GAW-sheet'!N106</f>
        <v>0</v>
      </c>
      <c r="O121" s="39">
        <f>'Import GAW-sheet'!O106</f>
        <v>3695328.6062219874</v>
      </c>
      <c r="P121" s="39">
        <f>'Import GAW-sheet'!P106</f>
        <v>132145.19103995862</v>
      </c>
      <c r="Q121" s="39">
        <f>'Import GAW-sheet'!Q106</f>
        <v>389159.70991576271</v>
      </c>
      <c r="R121" s="39">
        <f>'Import GAW-sheet'!R106</f>
        <v>9664903.584200222</v>
      </c>
      <c r="S121" s="39">
        <f>'Import GAW-sheet'!S106</f>
        <v>91342.949655435994</v>
      </c>
      <c r="T121" s="39">
        <f>'Import GAW-sheet'!T106</f>
        <v>0</v>
      </c>
    </row>
    <row r="122" spans="2:20">
      <c r="B122" t="s">
        <v>145</v>
      </c>
      <c r="D122" t="s">
        <v>108</v>
      </c>
      <c r="F122" s="83">
        <f>SUM(G122:T122)</f>
        <v>489636579.10260284</v>
      </c>
      <c r="G122" s="39">
        <f>'Import GAW-sheet'!G107</f>
        <v>8714052.8236762024</v>
      </c>
      <c r="H122" s="39">
        <f>'Import GAW-sheet'!H107</f>
        <v>12782241.685189418</v>
      </c>
      <c r="I122" s="39">
        <f>'Import GAW-sheet'!I107</f>
        <v>0</v>
      </c>
      <c r="J122" s="39">
        <f>'Import GAW-sheet'!J107</f>
        <v>9086106.8473992907</v>
      </c>
      <c r="K122" s="39">
        <f>'Import GAW-sheet'!K107</f>
        <v>7745604.5291473903</v>
      </c>
      <c r="L122" s="39">
        <f>'Import GAW-sheet'!L107</f>
        <v>113048185.17893736</v>
      </c>
      <c r="M122" s="39">
        <f>'Import GAW-sheet'!M107</f>
        <v>13212592.583664268</v>
      </c>
      <c r="N122" s="39">
        <f>'Import GAW-sheet'!N107</f>
        <v>0</v>
      </c>
      <c r="O122" s="39">
        <f>'Import GAW-sheet'!O107</f>
        <v>70211243.518217787</v>
      </c>
      <c r="P122" s="39">
        <f>'Import GAW-sheet'!P107</f>
        <v>2642903.8207991719</v>
      </c>
      <c r="Q122" s="39">
        <f>'Import GAW-sheet'!Q107</f>
        <v>8561513.6181467827</v>
      </c>
      <c r="R122" s="39">
        <f>'Import GAW-sheet'!R107</f>
        <v>241622589.60500559</v>
      </c>
      <c r="S122" s="39">
        <f>'Import GAW-sheet'!S107</f>
        <v>2009544.892419592</v>
      </c>
      <c r="T122" s="39">
        <f>'Import GAW-sheet'!T107</f>
        <v>0</v>
      </c>
    </row>
    <row r="123" spans="2:20">
      <c r="F123" s="47"/>
      <c r="G123" s="29"/>
      <c r="H123" s="29"/>
      <c r="I123" s="29"/>
      <c r="J123" s="29"/>
      <c r="K123" s="29"/>
      <c r="L123" s="29"/>
      <c r="M123" s="29"/>
      <c r="N123" s="29"/>
    </row>
    <row r="124" spans="2:20">
      <c r="B124" s="3" t="s">
        <v>146</v>
      </c>
      <c r="F124" s="47"/>
      <c r="G124" s="29"/>
      <c r="H124" s="29"/>
      <c r="I124" s="29"/>
      <c r="J124" s="29"/>
      <c r="K124" s="29"/>
      <c r="L124" s="29"/>
      <c r="M124" s="29"/>
      <c r="N124" s="29"/>
    </row>
    <row r="125" spans="2:20">
      <c r="B125" t="s">
        <v>147</v>
      </c>
      <c r="D125" t="s">
        <v>108</v>
      </c>
      <c r="F125" s="83">
        <f>SUM(G125:T125)</f>
        <v>106842066.29180996</v>
      </c>
      <c r="G125" s="39">
        <f>'Import GAW-sheet'!G110</f>
        <v>2584135</v>
      </c>
      <c r="H125" s="39">
        <f>'Import GAW-sheet'!H110</f>
        <v>1181326.5824499999</v>
      </c>
      <c r="I125" s="39">
        <f>'Import GAW-sheet'!I110</f>
        <v>0</v>
      </c>
      <c r="J125" s="39">
        <f>'Import GAW-sheet'!J110</f>
        <v>187933.64231810306</v>
      </c>
      <c r="K125" s="39">
        <f>'Import GAW-sheet'!K110</f>
        <v>160916.60200448861</v>
      </c>
      <c r="L125" s="39">
        <f>'Import GAW-sheet'!L110</f>
        <v>26425085</v>
      </c>
      <c r="M125" s="39">
        <f>'Import GAW-sheet'!M110</f>
        <v>1997126.6652517216</v>
      </c>
      <c r="N125" s="39">
        <f>'Import GAW-sheet'!N110</f>
        <v>0</v>
      </c>
      <c r="O125" s="39">
        <f>'Import GAW-sheet'!O110</f>
        <v>31727980.04955985</v>
      </c>
      <c r="P125" s="39">
        <f>'Import GAW-sheet'!P110</f>
        <v>228470.44392579733</v>
      </c>
      <c r="Q125" s="39">
        <f>'Import GAW-sheet'!Q110</f>
        <v>1349147.5562999998</v>
      </c>
      <c r="R125" s="39">
        <f>'Import GAW-sheet'!R110</f>
        <v>40844839.75</v>
      </c>
      <c r="S125" s="39">
        <f>'Import GAW-sheet'!S110</f>
        <v>155105</v>
      </c>
      <c r="T125" s="39">
        <f>'Import GAW-sheet'!T110</f>
        <v>0</v>
      </c>
    </row>
    <row r="126" spans="2:20">
      <c r="B126" t="s">
        <v>139</v>
      </c>
      <c r="D126" t="s">
        <v>108</v>
      </c>
      <c r="F126" s="83">
        <f>SUM(G126:T126)</f>
        <v>3003657.8174341982</v>
      </c>
      <c r="G126" s="39">
        <f>'Import GAW-sheet'!G111</f>
        <v>82933.91025641025</v>
      </c>
      <c r="H126" s="39">
        <f>'Import GAW-sheet'!H111</f>
        <v>54047.675804487175</v>
      </c>
      <c r="I126" s="39">
        <f>'Import GAW-sheet'!I111</f>
        <v>0</v>
      </c>
      <c r="J126" s="39">
        <f>'Import GAW-sheet'!J111</f>
        <v>1319.0557116067785</v>
      </c>
      <c r="K126" s="39">
        <f>'Import GAW-sheet'!K111</f>
        <v>1189.0054488702024</v>
      </c>
      <c r="L126" s="39">
        <f>'Import GAW-sheet'!L111</f>
        <v>822876.85897435888</v>
      </c>
      <c r="M126" s="39">
        <f>'Import GAW-sheet'!M111</f>
        <v>58347.322983245249</v>
      </c>
      <c r="N126" s="39">
        <f>'Import GAW-sheet'!N111</f>
        <v>0</v>
      </c>
      <c r="O126" s="39">
        <f>'Import GAW-sheet'!O111</f>
        <v>856400.36198568507</v>
      </c>
      <c r="P126" s="39">
        <f>'Import GAW-sheet'!P111</f>
        <v>5900.2469054319272</v>
      </c>
      <c r="Q126" s="39">
        <f>'Import GAW-sheet'!Q111</f>
        <v>57897.856287179486</v>
      </c>
      <c r="R126" s="39">
        <f>'Import GAW-sheet'!R111</f>
        <v>1058797.7666666668</v>
      </c>
      <c r="S126" s="39">
        <f>'Import GAW-sheet'!S111</f>
        <v>3947.7564102564102</v>
      </c>
      <c r="T126" s="39">
        <f>'Import GAW-sheet'!T111</f>
        <v>0</v>
      </c>
    </row>
    <row r="127" spans="2:20">
      <c r="B127" t="s">
        <v>148</v>
      </c>
      <c r="D127" t="s">
        <v>108</v>
      </c>
      <c r="F127" s="83">
        <f>SUM(G127:T127)</f>
        <v>166743086.34001952</v>
      </c>
      <c r="G127" s="39">
        <f>'Import GAW-sheet'!G112</f>
        <v>4418654.102564102</v>
      </c>
      <c r="H127" s="39">
        <f>'Import GAW-sheet'!H112</f>
        <v>2625023.7401910252</v>
      </c>
      <c r="I127" s="39">
        <f>'Import GAW-sheet'!I112</f>
        <v>0</v>
      </c>
      <c r="J127" s="39">
        <f>'Import GAW-sheet'!J112</f>
        <v>144636.11317967816</v>
      </c>
      <c r="K127" s="39">
        <f>'Import GAW-sheet'!K112</f>
        <v>126077.52201439286</v>
      </c>
      <c r="L127" s="39">
        <f>'Import GAW-sheet'!L112</f>
        <v>44239816.28205128</v>
      </c>
      <c r="M127" s="39">
        <f>'Import GAW-sheet'!M112</f>
        <v>3199390.0385055817</v>
      </c>
      <c r="N127" s="39">
        <f>'Import GAW-sheet'!N112</f>
        <v>0</v>
      </c>
      <c r="O127" s="39">
        <f>'Import GAW-sheet'!O112</f>
        <v>48182388.0867403</v>
      </c>
      <c r="P127" s="39">
        <f>'Import GAW-sheet'!P112</f>
        <v>336959.0350443254</v>
      </c>
      <c r="Q127" s="39">
        <f>'Import GAW-sheet'!Q112</f>
        <v>2854391.7706903843</v>
      </c>
      <c r="R127" s="39">
        <f>'Import GAW-sheet'!R112</f>
        <v>60389162.020833336</v>
      </c>
      <c r="S127" s="39">
        <f>'Import GAW-sheet'!S112</f>
        <v>226587.62820512819</v>
      </c>
      <c r="T127" s="39">
        <f>'Import GAW-sheet'!T112</f>
        <v>0</v>
      </c>
    </row>
    <row r="128" spans="2:20">
      <c r="F128" s="47"/>
      <c r="G128" s="29"/>
      <c r="H128" s="29"/>
      <c r="I128" s="29"/>
      <c r="J128" s="29"/>
      <c r="K128" s="29"/>
      <c r="L128" s="29"/>
      <c r="M128" s="29"/>
      <c r="N128" s="29"/>
    </row>
    <row r="129" spans="2:20">
      <c r="B129" s="3" t="s">
        <v>157</v>
      </c>
      <c r="F129" s="47"/>
      <c r="G129" s="29"/>
      <c r="H129" s="29"/>
      <c r="I129" s="29"/>
      <c r="J129" s="29"/>
      <c r="K129" s="29"/>
      <c r="L129" s="29"/>
      <c r="M129" s="29"/>
      <c r="N129" s="29"/>
    </row>
    <row r="130" spans="2:20">
      <c r="B130" t="s">
        <v>158</v>
      </c>
      <c r="D130" t="s">
        <v>108</v>
      </c>
      <c r="F130" s="83">
        <f>SUM(G130:T130)</f>
        <v>0</v>
      </c>
      <c r="G130" s="39">
        <f>'Import GAW-sheet'!G115</f>
        <v>0</v>
      </c>
      <c r="H130" s="39">
        <f>'Import GAW-sheet'!H115</f>
        <v>0</v>
      </c>
      <c r="I130" s="39">
        <f>'Import GAW-sheet'!I115</f>
        <v>0</v>
      </c>
      <c r="J130" s="39">
        <f>'Import GAW-sheet'!J115</f>
        <v>0</v>
      </c>
      <c r="K130" s="39">
        <f>'Import GAW-sheet'!K115</f>
        <v>0</v>
      </c>
      <c r="L130" s="39">
        <f>'Import GAW-sheet'!L115</f>
        <v>0</v>
      </c>
      <c r="M130" s="39">
        <f>'Import GAW-sheet'!M115</f>
        <v>0</v>
      </c>
      <c r="N130" s="39">
        <f>'Import GAW-sheet'!N115</f>
        <v>0</v>
      </c>
      <c r="O130" s="39">
        <f>'Import GAW-sheet'!O115</f>
        <v>0</v>
      </c>
      <c r="P130" s="39">
        <f>'Import GAW-sheet'!P115</f>
        <v>0</v>
      </c>
      <c r="Q130" s="39">
        <f>'Import GAW-sheet'!Q115</f>
        <v>0</v>
      </c>
      <c r="R130" s="39">
        <f>'Import GAW-sheet'!R115</f>
        <v>0</v>
      </c>
      <c r="S130" s="39">
        <f>'Import GAW-sheet'!S115</f>
        <v>0</v>
      </c>
      <c r="T130" s="39">
        <f>'Import GAW-sheet'!T115</f>
        <v>0</v>
      </c>
    </row>
    <row r="131" spans="2:20">
      <c r="B131" t="s">
        <v>159</v>
      </c>
      <c r="D131" t="s">
        <v>108</v>
      </c>
      <c r="F131" s="83">
        <f>SUM(G131:T131)</f>
        <v>0</v>
      </c>
      <c r="G131" s="39">
        <f>'Import GAW-sheet'!G116</f>
        <v>0</v>
      </c>
      <c r="H131" s="39">
        <f>'Import GAW-sheet'!H116</f>
        <v>0</v>
      </c>
      <c r="I131" s="39">
        <f>'Import GAW-sheet'!I116</f>
        <v>0</v>
      </c>
      <c r="J131" s="39">
        <f>'Import GAW-sheet'!J116</f>
        <v>0</v>
      </c>
      <c r="K131" s="39">
        <f>'Import GAW-sheet'!K116</f>
        <v>0</v>
      </c>
      <c r="L131" s="39">
        <f>'Import GAW-sheet'!L116</f>
        <v>0</v>
      </c>
      <c r="M131" s="39">
        <f>'Import GAW-sheet'!M116</f>
        <v>0</v>
      </c>
      <c r="N131" s="39">
        <f>'Import GAW-sheet'!N116</f>
        <v>0</v>
      </c>
      <c r="O131" s="39">
        <f>'Import GAW-sheet'!O116</f>
        <v>0</v>
      </c>
      <c r="P131" s="39">
        <f>'Import GAW-sheet'!P116</f>
        <v>0</v>
      </c>
      <c r="Q131" s="39">
        <f>'Import GAW-sheet'!Q116</f>
        <v>0</v>
      </c>
      <c r="R131" s="39">
        <f>'Import GAW-sheet'!R116</f>
        <v>0</v>
      </c>
      <c r="S131" s="39">
        <f>'Import GAW-sheet'!S116</f>
        <v>0</v>
      </c>
      <c r="T131" s="39">
        <f>'Import GAW-sheet'!T116</f>
        <v>0</v>
      </c>
    </row>
    <row r="132" spans="2:20">
      <c r="B132" t="s">
        <v>160</v>
      </c>
      <c r="D132" t="s">
        <v>108</v>
      </c>
      <c r="F132" s="83">
        <f>SUM(G132:T132)</f>
        <v>0</v>
      </c>
      <c r="G132" s="39">
        <f>'Import GAW-sheet'!G117</f>
        <v>0</v>
      </c>
      <c r="H132" s="39">
        <f>'Import GAW-sheet'!H117</f>
        <v>0</v>
      </c>
      <c r="I132" s="39">
        <f>'Import GAW-sheet'!I117</f>
        <v>0</v>
      </c>
      <c r="J132" s="39">
        <f>'Import GAW-sheet'!J117</f>
        <v>0</v>
      </c>
      <c r="K132" s="39">
        <f>'Import GAW-sheet'!K117</f>
        <v>0</v>
      </c>
      <c r="L132" s="39">
        <f>'Import GAW-sheet'!L117</f>
        <v>0</v>
      </c>
      <c r="M132" s="39">
        <f>'Import GAW-sheet'!M117</f>
        <v>0</v>
      </c>
      <c r="N132" s="39">
        <f>'Import GAW-sheet'!N117</f>
        <v>0</v>
      </c>
      <c r="O132" s="39">
        <f>'Import GAW-sheet'!O117</f>
        <v>0</v>
      </c>
      <c r="P132" s="39">
        <f>'Import GAW-sheet'!P117</f>
        <v>0</v>
      </c>
      <c r="Q132" s="39">
        <f>'Import GAW-sheet'!Q117</f>
        <v>0</v>
      </c>
      <c r="R132" s="39">
        <f>'Import GAW-sheet'!R117</f>
        <v>0</v>
      </c>
      <c r="S132" s="39">
        <f>'Import GAW-sheet'!S117</f>
        <v>0</v>
      </c>
      <c r="T132" s="39">
        <f>'Import GAW-sheet'!T117</f>
        <v>0</v>
      </c>
    </row>
    <row r="133" spans="2:20">
      <c r="F133" s="47"/>
    </row>
    <row r="134" spans="2:20">
      <c r="F134" s="47"/>
    </row>
    <row r="135" spans="2:20">
      <c r="B135" s="3" t="s">
        <v>416</v>
      </c>
      <c r="F135" s="47"/>
      <c r="G135" s="3" t="s">
        <v>96</v>
      </c>
      <c r="H135" s="3" t="s">
        <v>407</v>
      </c>
      <c r="I135" s="3" t="s">
        <v>98</v>
      </c>
      <c r="J135" s="3" t="s">
        <v>99</v>
      </c>
      <c r="K135" s="3" t="s">
        <v>100</v>
      </c>
      <c r="L135" s="3" t="s">
        <v>413</v>
      </c>
      <c r="M135" s="3" t="s">
        <v>102</v>
      </c>
      <c r="N135" s="3" t="s">
        <v>103</v>
      </c>
      <c r="O135" s="3" t="s">
        <v>197</v>
      </c>
      <c r="P135" s="55"/>
      <c r="Q135" s="55"/>
      <c r="R135" s="55"/>
      <c r="S135" s="55"/>
      <c r="T135" s="55"/>
    </row>
    <row r="136" spans="2:20">
      <c r="F136" s="47"/>
      <c r="P136" s="28"/>
      <c r="Q136" s="28"/>
      <c r="R136" s="28"/>
      <c r="S136" s="28"/>
      <c r="T136" s="28"/>
    </row>
    <row r="137" spans="2:20">
      <c r="B137" s="3" t="s">
        <v>142</v>
      </c>
      <c r="F137" s="47"/>
      <c r="P137" s="28"/>
      <c r="Q137" s="28"/>
      <c r="R137" s="28"/>
      <c r="S137" s="28"/>
      <c r="T137" s="28"/>
    </row>
    <row r="138" spans="2:20">
      <c r="B138" t="s">
        <v>143</v>
      </c>
      <c r="D138" t="s">
        <v>108</v>
      </c>
      <c r="F138" s="83">
        <f>SUM(G138:O138)</f>
        <v>0</v>
      </c>
      <c r="G138" s="39">
        <f t="shared" ref="G138:H140" si="16">G120</f>
        <v>0</v>
      </c>
      <c r="H138" s="39">
        <f t="shared" si="16"/>
        <v>0</v>
      </c>
      <c r="I138" s="98">
        <f>J120+K120</f>
        <v>0</v>
      </c>
      <c r="J138" s="98">
        <f>L120+M120</f>
        <v>0</v>
      </c>
      <c r="K138" s="98">
        <f>O120+P120</f>
        <v>0</v>
      </c>
      <c r="L138" s="39">
        <f t="shared" ref="L138:N140" si="17">Q120</f>
        <v>0</v>
      </c>
      <c r="M138" s="39">
        <f t="shared" si="17"/>
        <v>0</v>
      </c>
      <c r="N138" s="39">
        <f t="shared" si="17"/>
        <v>0</v>
      </c>
      <c r="O138" s="39"/>
      <c r="P138" s="29"/>
      <c r="Q138" s="29"/>
      <c r="R138" s="29"/>
      <c r="S138" s="29"/>
      <c r="T138" s="29"/>
    </row>
    <row r="139" spans="2:20">
      <c r="B139" t="s">
        <v>144</v>
      </c>
      <c r="D139" t="s">
        <v>108</v>
      </c>
      <c r="F139" s="83">
        <f>SUM(G139:O139)</f>
        <v>20983113.418889482</v>
      </c>
      <c r="G139" s="39">
        <f t="shared" si="16"/>
        <v>363085.53431984165</v>
      </c>
      <c r="H139" s="39">
        <f t="shared" si="16"/>
        <v>608678.17548521026</v>
      </c>
      <c r="I139" s="98">
        <f>J121+K121</f>
        <v>819951.98109543091</v>
      </c>
      <c r="J139" s="98">
        <f>L121+M121</f>
        <v>5218517.6869556317</v>
      </c>
      <c r="K139" s="98">
        <f>O121+P121</f>
        <v>3827473.7972619459</v>
      </c>
      <c r="L139" s="39">
        <f t="shared" si="17"/>
        <v>389159.70991576271</v>
      </c>
      <c r="M139" s="39">
        <f t="shared" si="17"/>
        <v>9664903.584200222</v>
      </c>
      <c r="N139" s="39">
        <f t="shared" si="17"/>
        <v>91342.949655435994</v>
      </c>
      <c r="O139" s="39"/>
      <c r="P139" s="29"/>
      <c r="Q139" s="29"/>
      <c r="R139" s="29"/>
      <c r="S139" s="29"/>
      <c r="T139" s="29"/>
    </row>
    <row r="140" spans="2:20">
      <c r="B140" t="s">
        <v>145</v>
      </c>
      <c r="D140" t="s">
        <v>108</v>
      </c>
      <c r="F140" s="83">
        <f>SUM(G140:O140)</f>
        <v>489636579.10260284</v>
      </c>
      <c r="G140" s="39">
        <f t="shared" si="16"/>
        <v>8714052.8236762024</v>
      </c>
      <c r="H140" s="39">
        <f t="shared" si="16"/>
        <v>12782241.685189418</v>
      </c>
      <c r="I140" s="98">
        <f>J122+K122</f>
        <v>16831711.376546681</v>
      </c>
      <c r="J140" s="98">
        <f>L122+M122</f>
        <v>126260777.76260163</v>
      </c>
      <c r="K140" s="98">
        <f>O122+P122</f>
        <v>72854147.339016959</v>
      </c>
      <c r="L140" s="39">
        <f t="shared" si="17"/>
        <v>8561513.6181467827</v>
      </c>
      <c r="M140" s="39">
        <f t="shared" si="17"/>
        <v>241622589.60500559</v>
      </c>
      <c r="N140" s="39">
        <f t="shared" si="17"/>
        <v>2009544.892419592</v>
      </c>
      <c r="O140" s="39"/>
      <c r="P140" s="29"/>
      <c r="Q140" s="29"/>
      <c r="R140" s="29"/>
      <c r="S140" s="29"/>
      <c r="T140" s="29"/>
    </row>
    <row r="141" spans="2:20">
      <c r="F141" s="47"/>
      <c r="G141" s="29"/>
      <c r="H141" s="29"/>
      <c r="I141" s="29"/>
      <c r="J141" s="29"/>
      <c r="K141" s="29"/>
      <c r="L141" s="29"/>
      <c r="M141" s="29"/>
      <c r="N141" s="29"/>
      <c r="O141" s="29"/>
      <c r="P141" s="28"/>
      <c r="Q141" s="28"/>
      <c r="R141" s="28"/>
      <c r="S141" s="28"/>
      <c r="T141" s="28"/>
    </row>
    <row r="142" spans="2:20">
      <c r="B142" s="3" t="s">
        <v>146</v>
      </c>
      <c r="F142" s="47"/>
      <c r="G142" s="29"/>
      <c r="H142" s="29"/>
      <c r="I142" s="29"/>
      <c r="J142" s="29"/>
      <c r="K142" s="29"/>
      <c r="L142" s="29"/>
      <c r="M142" s="29"/>
      <c r="N142" s="29"/>
      <c r="O142" s="29"/>
      <c r="P142" s="28"/>
      <c r="Q142" s="28"/>
      <c r="R142" s="28"/>
      <c r="S142" s="28"/>
      <c r="T142" s="28"/>
    </row>
    <row r="143" spans="2:20">
      <c r="B143" t="s">
        <v>147</v>
      </c>
      <c r="D143" t="s">
        <v>108</v>
      </c>
      <c r="F143" s="83">
        <f>SUM(G143:O143)</f>
        <v>106842066.29180996</v>
      </c>
      <c r="G143" s="39">
        <f t="shared" ref="G143:H145" si="18">G125</f>
        <v>2584135</v>
      </c>
      <c r="H143" s="39">
        <f t="shared" si="18"/>
        <v>1181326.5824499999</v>
      </c>
      <c r="I143" s="98">
        <f>J125+K125</f>
        <v>348850.24432259169</v>
      </c>
      <c r="J143" s="98">
        <f>L125+M125</f>
        <v>28422211.665251721</v>
      </c>
      <c r="K143" s="98">
        <f>O125+P125</f>
        <v>31956450.493485648</v>
      </c>
      <c r="L143" s="39">
        <f t="shared" ref="L143:N145" si="19">Q125</f>
        <v>1349147.5562999998</v>
      </c>
      <c r="M143" s="39">
        <f t="shared" si="19"/>
        <v>40844839.75</v>
      </c>
      <c r="N143" s="39">
        <f t="shared" si="19"/>
        <v>155105</v>
      </c>
      <c r="O143" s="39"/>
      <c r="P143" s="29"/>
      <c r="Q143" s="29"/>
      <c r="R143" s="29"/>
      <c r="S143" s="29"/>
      <c r="T143" s="29"/>
    </row>
    <row r="144" spans="2:20">
      <c r="B144" t="s">
        <v>139</v>
      </c>
      <c r="D144" t="s">
        <v>108</v>
      </c>
      <c r="F144" s="83">
        <f>SUM(G144:O144)</f>
        <v>3003657.8174341987</v>
      </c>
      <c r="G144" s="39">
        <f t="shared" si="18"/>
        <v>82933.91025641025</v>
      </c>
      <c r="H144" s="39">
        <f t="shared" si="18"/>
        <v>54047.675804487175</v>
      </c>
      <c r="I144" s="98">
        <f>J126+K126</f>
        <v>2508.0611604769811</v>
      </c>
      <c r="J144" s="98">
        <f>L126+M126</f>
        <v>881224.18195760413</v>
      </c>
      <c r="K144" s="98">
        <f>O126+P126</f>
        <v>862300.60889111704</v>
      </c>
      <c r="L144" s="39">
        <f t="shared" si="19"/>
        <v>57897.856287179486</v>
      </c>
      <c r="M144" s="39">
        <f t="shared" si="19"/>
        <v>1058797.7666666668</v>
      </c>
      <c r="N144" s="39">
        <f t="shared" si="19"/>
        <v>3947.7564102564102</v>
      </c>
      <c r="O144" s="39"/>
      <c r="P144" s="29"/>
      <c r="Q144" s="29"/>
      <c r="R144" s="29"/>
      <c r="S144" s="29"/>
      <c r="T144" s="29"/>
    </row>
    <row r="145" spans="2:22">
      <c r="B145" t="s">
        <v>148</v>
      </c>
      <c r="D145" t="s">
        <v>108</v>
      </c>
      <c r="F145" s="83">
        <f>SUM(G145:O145)</f>
        <v>166743086.34001952</v>
      </c>
      <c r="G145" s="39">
        <f t="shared" si="18"/>
        <v>4418654.102564102</v>
      </c>
      <c r="H145" s="39">
        <f t="shared" si="18"/>
        <v>2625023.7401910252</v>
      </c>
      <c r="I145" s="98">
        <f>J127+K127</f>
        <v>270713.63519407099</v>
      </c>
      <c r="J145" s="98">
        <f>L127+M127</f>
        <v>47439206.320556864</v>
      </c>
      <c r="K145" s="98">
        <f>O127+P127</f>
        <v>48519347.121784627</v>
      </c>
      <c r="L145" s="39">
        <f t="shared" si="19"/>
        <v>2854391.7706903843</v>
      </c>
      <c r="M145" s="39">
        <f t="shared" si="19"/>
        <v>60389162.020833336</v>
      </c>
      <c r="N145" s="39">
        <f t="shared" si="19"/>
        <v>226587.62820512819</v>
      </c>
      <c r="O145" s="39"/>
      <c r="P145" s="29"/>
      <c r="Q145" s="29"/>
      <c r="R145" s="29"/>
      <c r="S145" s="29"/>
      <c r="T145" s="29"/>
    </row>
    <row r="146" spans="2:22">
      <c r="F146" s="47"/>
      <c r="G146" s="29"/>
      <c r="H146" s="29"/>
      <c r="I146" s="29"/>
      <c r="J146" s="29"/>
      <c r="K146" s="29"/>
      <c r="L146" s="29"/>
      <c r="M146" s="29"/>
      <c r="N146" s="29"/>
      <c r="O146" s="29"/>
      <c r="P146" s="28"/>
      <c r="Q146" s="28"/>
      <c r="R146" s="28"/>
      <c r="S146" s="28"/>
      <c r="T146" s="28"/>
    </row>
    <row r="147" spans="2:22">
      <c r="B147" s="3" t="s">
        <v>157</v>
      </c>
      <c r="F147" s="47"/>
      <c r="G147" s="29"/>
      <c r="H147" s="29"/>
      <c r="I147" s="29"/>
      <c r="J147" s="29"/>
      <c r="K147" s="29"/>
      <c r="L147" s="29"/>
      <c r="M147" s="29"/>
      <c r="N147" s="29"/>
      <c r="O147" s="29"/>
      <c r="P147" s="28"/>
      <c r="Q147" s="28"/>
      <c r="R147" s="28"/>
      <c r="S147" s="28"/>
      <c r="T147" s="28"/>
    </row>
    <row r="148" spans="2:22">
      <c r="B148" t="s">
        <v>158</v>
      </c>
      <c r="D148" t="s">
        <v>108</v>
      </c>
      <c r="F148" s="83">
        <f>SUM(G148:O148)</f>
        <v>0</v>
      </c>
      <c r="G148" s="39">
        <f t="shared" ref="G148:H150" si="20">G130</f>
        <v>0</v>
      </c>
      <c r="H148" s="39">
        <f t="shared" si="20"/>
        <v>0</v>
      </c>
      <c r="I148" s="98">
        <f>J130+K130</f>
        <v>0</v>
      </c>
      <c r="J148" s="98">
        <f>L130+M130</f>
        <v>0</v>
      </c>
      <c r="K148" s="98">
        <f>O130+P130</f>
        <v>0</v>
      </c>
      <c r="L148" s="39">
        <f t="shared" ref="L148:N150" si="21">Q130</f>
        <v>0</v>
      </c>
      <c r="M148" s="39">
        <f t="shared" si="21"/>
        <v>0</v>
      </c>
      <c r="N148" s="39">
        <f t="shared" si="21"/>
        <v>0</v>
      </c>
      <c r="O148" s="39"/>
      <c r="P148" s="29"/>
      <c r="Q148" s="29"/>
      <c r="R148" s="29"/>
      <c r="S148" s="29"/>
      <c r="T148" s="29"/>
    </row>
    <row r="149" spans="2:22">
      <c r="B149" t="s">
        <v>159</v>
      </c>
      <c r="D149" t="s">
        <v>108</v>
      </c>
      <c r="F149" s="83">
        <f>SUM(G149:O149)</f>
        <v>0</v>
      </c>
      <c r="G149" s="39">
        <f t="shared" si="20"/>
        <v>0</v>
      </c>
      <c r="H149" s="39">
        <f t="shared" si="20"/>
        <v>0</v>
      </c>
      <c r="I149" s="98">
        <f>J131+K131</f>
        <v>0</v>
      </c>
      <c r="J149" s="98">
        <f>L131+M131</f>
        <v>0</v>
      </c>
      <c r="K149" s="98">
        <f>O131+P131</f>
        <v>0</v>
      </c>
      <c r="L149" s="39">
        <f t="shared" si="21"/>
        <v>0</v>
      </c>
      <c r="M149" s="39">
        <f t="shared" si="21"/>
        <v>0</v>
      </c>
      <c r="N149" s="39">
        <f t="shared" si="21"/>
        <v>0</v>
      </c>
      <c r="O149" s="39"/>
      <c r="P149" s="29"/>
      <c r="Q149" s="29"/>
      <c r="R149" s="29"/>
      <c r="S149" s="29"/>
      <c r="T149" s="29"/>
    </row>
    <row r="150" spans="2:22">
      <c r="B150" t="s">
        <v>160</v>
      </c>
      <c r="D150" t="s">
        <v>108</v>
      </c>
      <c r="F150" s="83">
        <f>SUM(G150:O150)</f>
        <v>0</v>
      </c>
      <c r="G150" s="39">
        <f t="shared" si="20"/>
        <v>0</v>
      </c>
      <c r="H150" s="39">
        <f t="shared" si="20"/>
        <v>0</v>
      </c>
      <c r="I150" s="98">
        <f>J132+K132</f>
        <v>0</v>
      </c>
      <c r="J150" s="98">
        <f>L132+M132</f>
        <v>0</v>
      </c>
      <c r="K150" s="98">
        <f>O132+P132</f>
        <v>0</v>
      </c>
      <c r="L150" s="39">
        <f t="shared" si="21"/>
        <v>0</v>
      </c>
      <c r="M150" s="39">
        <f t="shared" si="21"/>
        <v>0</v>
      </c>
      <c r="N150" s="39">
        <f t="shared" si="21"/>
        <v>0</v>
      </c>
      <c r="O150" s="39"/>
      <c r="P150" s="29"/>
      <c r="Q150" s="29"/>
      <c r="R150" s="29"/>
      <c r="S150" s="29"/>
      <c r="T150" s="29"/>
    </row>
    <row r="151" spans="2:22">
      <c r="F151" s="47"/>
    </row>
    <row r="152" spans="2:22">
      <c r="F152" s="47"/>
    </row>
    <row r="153" spans="2:22">
      <c r="B153" s="3" t="s">
        <v>417</v>
      </c>
      <c r="F153" s="47"/>
    </row>
    <row r="154" spans="2:22">
      <c r="F154" s="47"/>
    </row>
    <row r="155" spans="2:22">
      <c r="B155" s="3" t="s">
        <v>171</v>
      </c>
      <c r="F155" s="47"/>
    </row>
    <row r="156" spans="2:22">
      <c r="B156" t="s">
        <v>139</v>
      </c>
      <c r="D156" t="s">
        <v>108</v>
      </c>
      <c r="F156" s="83">
        <f>SUM(G156:O156)</f>
        <v>23986771.236323677</v>
      </c>
      <c r="G156" s="24">
        <f t="shared" ref="G156:O156" si="22">G139+G144+G149</f>
        <v>446019.4445762519</v>
      </c>
      <c r="H156" s="24">
        <f t="shared" si="22"/>
        <v>662725.85128969746</v>
      </c>
      <c r="I156" s="24">
        <f t="shared" si="22"/>
        <v>822460.0422559079</v>
      </c>
      <c r="J156" s="24">
        <f t="shared" si="22"/>
        <v>6099741.8689132361</v>
      </c>
      <c r="K156" s="24">
        <f t="shared" si="22"/>
        <v>4689774.4061530633</v>
      </c>
      <c r="L156" s="24">
        <f t="shared" si="22"/>
        <v>447057.56620294217</v>
      </c>
      <c r="M156" s="24">
        <f t="shared" si="22"/>
        <v>10723701.35086689</v>
      </c>
      <c r="N156" s="24">
        <f t="shared" si="22"/>
        <v>95290.7060656924</v>
      </c>
      <c r="O156" s="24">
        <f t="shared" si="22"/>
        <v>0</v>
      </c>
      <c r="V156" s="51" t="s">
        <v>570</v>
      </c>
    </row>
    <row r="157" spans="2:22">
      <c r="B157" t="s">
        <v>165</v>
      </c>
      <c r="D157" t="s">
        <v>108</v>
      </c>
      <c r="F157" s="83">
        <f>SUM(G157:O157)</f>
        <v>656379665.44262242</v>
      </c>
      <c r="G157" s="24">
        <f t="shared" ref="G157:O157" si="23">G140+G145+G150</f>
        <v>13132706.926240304</v>
      </c>
      <c r="H157" s="24">
        <f t="shared" si="23"/>
        <v>15407265.425380444</v>
      </c>
      <c r="I157" s="24">
        <f t="shared" si="23"/>
        <v>17102425.011740752</v>
      </c>
      <c r="J157" s="24">
        <f t="shared" si="23"/>
        <v>173699984.08315849</v>
      </c>
      <c r="K157" s="24">
        <f t="shared" si="23"/>
        <v>121373494.46080159</v>
      </c>
      <c r="L157" s="24">
        <f t="shared" si="23"/>
        <v>11415905.388837166</v>
      </c>
      <c r="M157" s="24">
        <f t="shared" si="23"/>
        <v>302011751.62583894</v>
      </c>
      <c r="N157" s="24">
        <f t="shared" si="23"/>
        <v>2236132.52062472</v>
      </c>
      <c r="O157" s="24">
        <f t="shared" si="23"/>
        <v>0</v>
      </c>
      <c r="V157" s="51" t="s">
        <v>571</v>
      </c>
    </row>
    <row r="158" spans="2:22">
      <c r="B158" t="s">
        <v>166</v>
      </c>
      <c r="D158" t="s">
        <v>108</v>
      </c>
      <c r="F158" s="83">
        <f>SUM(G158:O158)</f>
        <v>23629667.955934405</v>
      </c>
      <c r="G158" s="24">
        <f>G157*$F$12</f>
        <v>472777.4493446509</v>
      </c>
      <c r="H158" s="24">
        <f t="shared" ref="H158:O158" si="24">H157*$F$12</f>
        <v>554661.55531369592</v>
      </c>
      <c r="I158" s="24">
        <f t="shared" si="24"/>
        <v>615687.30042266706</v>
      </c>
      <c r="J158" s="24">
        <f t="shared" si="24"/>
        <v>6253199.4269937053</v>
      </c>
      <c r="K158" s="24">
        <f t="shared" si="24"/>
        <v>4369445.8005888565</v>
      </c>
      <c r="L158" s="24">
        <f t="shared" si="24"/>
        <v>410972.59399813798</v>
      </c>
      <c r="M158" s="24">
        <f t="shared" si="24"/>
        <v>10872423.0585302</v>
      </c>
      <c r="N158" s="24">
        <f t="shared" si="24"/>
        <v>80500.770742489913</v>
      </c>
      <c r="O158" s="24">
        <f t="shared" si="24"/>
        <v>0</v>
      </c>
      <c r="V158" s="51" t="s">
        <v>572</v>
      </c>
    </row>
    <row r="159" spans="2:22">
      <c r="B159" t="s">
        <v>169</v>
      </c>
      <c r="D159" t="s">
        <v>108</v>
      </c>
      <c r="F159" s="83">
        <f>SUM(G159:O159)</f>
        <v>47616439.192258082</v>
      </c>
      <c r="G159" s="21">
        <f>G156+G158</f>
        <v>918796.89392090286</v>
      </c>
      <c r="H159" s="21">
        <f t="shared" ref="H159:O159" si="25">H156+H158</f>
        <v>1217387.4066033934</v>
      </c>
      <c r="I159" s="21">
        <f t="shared" si="25"/>
        <v>1438147.3426785748</v>
      </c>
      <c r="J159" s="21">
        <f t="shared" si="25"/>
        <v>12352941.295906942</v>
      </c>
      <c r="K159" s="21">
        <f t="shared" si="25"/>
        <v>9059220.2067419197</v>
      </c>
      <c r="L159" s="21">
        <f t="shared" si="25"/>
        <v>858030.16020108014</v>
      </c>
      <c r="M159" s="21">
        <f t="shared" si="25"/>
        <v>21596124.409397088</v>
      </c>
      <c r="N159" s="21">
        <f t="shared" si="25"/>
        <v>175791.47680818231</v>
      </c>
      <c r="O159" s="21">
        <f t="shared" si="25"/>
        <v>0</v>
      </c>
      <c r="V159" s="51" t="s">
        <v>573</v>
      </c>
    </row>
    <row r="160" spans="2:22">
      <c r="F160" s="47"/>
    </row>
    <row r="161" spans="2:22">
      <c r="F161" s="47"/>
    </row>
    <row r="162" spans="2:22">
      <c r="B162" s="3" t="s">
        <v>170</v>
      </c>
      <c r="F162" s="47"/>
    </row>
    <row r="163" spans="2:22">
      <c r="F163" s="47"/>
    </row>
    <row r="164" spans="2:22">
      <c r="B164" s="51" t="s">
        <v>419</v>
      </c>
      <c r="D164" t="s">
        <v>108</v>
      </c>
      <c r="F164" s="83">
        <f>SUM(G164:O164)</f>
        <v>0</v>
      </c>
      <c r="G164" s="8"/>
      <c r="H164" s="8"/>
      <c r="I164" s="8"/>
      <c r="J164" s="8"/>
      <c r="K164" s="8"/>
      <c r="L164" s="8"/>
      <c r="M164" s="8"/>
      <c r="N164" s="8"/>
      <c r="O164" s="8"/>
    </row>
    <row r="165" spans="2:22">
      <c r="B165" t="s">
        <v>173</v>
      </c>
      <c r="D165" t="s">
        <v>108</v>
      </c>
      <c r="F165" s="83">
        <f>SUM(G165:O165)</f>
        <v>0</v>
      </c>
      <c r="G165" s="97">
        <f>'PRD Ov.Opbrengst AD (2009-2012)'!G111</f>
        <v>0</v>
      </c>
      <c r="H165" s="97">
        <f>'PRD Ov.Opbrengst AD (2009-2012)'!H111</f>
        <v>0</v>
      </c>
      <c r="I165" s="97">
        <f>'PRD Ov.Opbrengst AD (2009-2012)'!I111</f>
        <v>0</v>
      </c>
      <c r="J165" s="97">
        <f>'PRD Ov.Opbrengst AD (2009-2012)'!J111</f>
        <v>0</v>
      </c>
      <c r="K165" s="97">
        <f>'PRD Ov.Opbrengst AD (2009-2012)'!K111</f>
        <v>0</v>
      </c>
      <c r="L165" s="97">
        <f>'PRD Ov.Opbrengst AD (2009-2012)'!L111</f>
        <v>0</v>
      </c>
      <c r="M165" s="97">
        <f>'PRD Ov.Opbrengst AD (2009-2012)'!M111</f>
        <v>0</v>
      </c>
      <c r="N165" s="97">
        <f>'PRD Ov.Opbrengst AD (2009-2012)'!N111</f>
        <v>0</v>
      </c>
      <c r="O165" s="97">
        <f>'PRD Ov.Opbrengst AD (2009-2012)'!O111</f>
        <v>0</v>
      </c>
    </row>
    <row r="166" spans="2:22">
      <c r="B166" t="s">
        <v>174</v>
      </c>
      <c r="D166" t="s">
        <v>108</v>
      </c>
      <c r="F166" s="83">
        <f>SUM(G166:O166)</f>
        <v>0</v>
      </c>
      <c r="G166" s="8"/>
      <c r="H166" s="8"/>
      <c r="I166" s="8"/>
      <c r="J166" s="8"/>
      <c r="K166" s="8"/>
      <c r="L166" s="8"/>
      <c r="M166" s="8"/>
      <c r="N166" s="8"/>
      <c r="O166" s="8"/>
    </row>
    <row r="167" spans="2:22">
      <c r="B167" s="13" t="s">
        <v>187</v>
      </c>
      <c r="D167" t="s">
        <v>108</v>
      </c>
      <c r="F167" s="83">
        <f>SUM(G167:O167)</f>
        <v>0</v>
      </c>
      <c r="G167" s="24">
        <f t="shared" ref="G167:O167" si="26">SUM(G164:G166)</f>
        <v>0</v>
      </c>
      <c r="H167" s="24">
        <f t="shared" si="26"/>
        <v>0</v>
      </c>
      <c r="I167" s="24">
        <f t="shared" si="26"/>
        <v>0</v>
      </c>
      <c r="J167" s="24">
        <f t="shared" si="26"/>
        <v>0</v>
      </c>
      <c r="K167" s="24">
        <f t="shared" si="26"/>
        <v>0</v>
      </c>
      <c r="L167" s="24">
        <f t="shared" si="26"/>
        <v>0</v>
      </c>
      <c r="M167" s="24">
        <f t="shared" si="26"/>
        <v>0</v>
      </c>
      <c r="N167" s="24">
        <f t="shared" si="26"/>
        <v>0</v>
      </c>
      <c r="O167" s="24">
        <f t="shared" si="26"/>
        <v>0</v>
      </c>
    </row>
    <row r="168" spans="2:22">
      <c r="F168" s="47"/>
    </row>
    <row r="169" spans="2:22">
      <c r="F169" s="47"/>
    </row>
    <row r="170" spans="2:22">
      <c r="B170" s="3" t="s">
        <v>418</v>
      </c>
      <c r="F170" s="47"/>
    </row>
    <row r="171" spans="2:22">
      <c r="F171" s="47"/>
    </row>
    <row r="172" spans="2:22">
      <c r="B172" t="s">
        <v>175</v>
      </c>
      <c r="D172" t="s">
        <v>108</v>
      </c>
      <c r="F172" s="84">
        <f>SUM(G172:O172)</f>
        <v>47616439.192258082</v>
      </c>
      <c r="G172" s="21">
        <f t="shared" ref="G172:O172" si="27">G159-G167</f>
        <v>918796.89392090286</v>
      </c>
      <c r="H172" s="21">
        <f t="shared" si="27"/>
        <v>1217387.4066033934</v>
      </c>
      <c r="I172" s="21">
        <f t="shared" si="27"/>
        <v>1438147.3426785748</v>
      </c>
      <c r="J172" s="21">
        <f t="shared" si="27"/>
        <v>12352941.295906942</v>
      </c>
      <c r="K172" s="21">
        <f t="shared" si="27"/>
        <v>9059220.2067419197</v>
      </c>
      <c r="L172" s="21">
        <f t="shared" si="27"/>
        <v>858030.16020108014</v>
      </c>
      <c r="M172" s="21">
        <f t="shared" si="27"/>
        <v>21596124.409397088</v>
      </c>
      <c r="N172" s="21">
        <f t="shared" si="27"/>
        <v>175791.47680818231</v>
      </c>
      <c r="O172" s="21">
        <f t="shared" si="27"/>
        <v>0</v>
      </c>
      <c r="V172" s="51" t="s">
        <v>573</v>
      </c>
    </row>
    <row r="173" spans="2:22" s="258" customFormat="1">
      <c r="F173" s="47"/>
    </row>
    <row r="174" spans="2:22" s="258" customFormat="1">
      <c r="B174" s="78" t="s">
        <v>762</v>
      </c>
      <c r="D174" s="258" t="s">
        <v>108</v>
      </c>
      <c r="F174" s="84">
        <f>SUM(G174:O174)</f>
        <v>64682310.493766271</v>
      </c>
      <c r="G174" s="98">
        <f>G156+G157*$F$11-G167</f>
        <v>1260247.2740031509</v>
      </c>
      <c r="H174" s="98">
        <f t="shared" ref="H174:O174" si="28">H156+H157*$F$11-H167</f>
        <v>1617976.3076632849</v>
      </c>
      <c r="I174" s="98">
        <f t="shared" si="28"/>
        <v>1882810.3929838343</v>
      </c>
      <c r="J174" s="98">
        <f t="shared" si="28"/>
        <v>16869140.882069062</v>
      </c>
      <c r="K174" s="98">
        <f t="shared" si="28"/>
        <v>12214931.062722761</v>
      </c>
      <c r="L174" s="98">
        <f t="shared" si="28"/>
        <v>1154843.7003108463</v>
      </c>
      <c r="M174" s="98">
        <f t="shared" si="28"/>
        <v>29448429.951668903</v>
      </c>
      <c r="N174" s="98">
        <f t="shared" si="28"/>
        <v>233930.92234442505</v>
      </c>
      <c r="O174" s="98">
        <f t="shared" si="28"/>
        <v>0</v>
      </c>
    </row>
    <row r="175" spans="2:22">
      <c r="F175" s="47"/>
    </row>
    <row r="176" spans="2:22">
      <c r="F176" s="62"/>
      <c r="G176" s="42"/>
      <c r="H176" s="42"/>
      <c r="I176" s="42"/>
      <c r="J176" s="42"/>
      <c r="K176" s="42"/>
      <c r="L176" s="42"/>
      <c r="M176" s="42"/>
      <c r="N176" s="42"/>
    </row>
    <row r="177" spans="2:20">
      <c r="B177" s="3" t="s">
        <v>421</v>
      </c>
      <c r="F177" s="47"/>
      <c r="G177" s="55"/>
      <c r="H177" s="3" t="s">
        <v>408</v>
      </c>
      <c r="I177" s="55"/>
      <c r="J177" s="3" t="s">
        <v>411</v>
      </c>
      <c r="K177" s="55"/>
      <c r="L177" s="55"/>
      <c r="M177" s="55"/>
      <c r="N177" s="55"/>
      <c r="O177" s="3" t="s">
        <v>420</v>
      </c>
      <c r="P177" s="55"/>
      <c r="Q177" s="55"/>
      <c r="R177" s="55"/>
      <c r="S177" s="55"/>
      <c r="T177" s="55"/>
    </row>
    <row r="178" spans="2:20">
      <c r="F178" s="47"/>
      <c r="G178" s="28"/>
      <c r="I178" s="28"/>
      <c r="K178" s="28"/>
      <c r="L178" s="28"/>
      <c r="M178" s="28"/>
      <c r="N178" s="28"/>
      <c r="P178" s="28"/>
      <c r="Q178" s="28"/>
      <c r="R178" s="28"/>
      <c r="S178" s="28"/>
      <c r="T178" s="28"/>
    </row>
    <row r="179" spans="2:20">
      <c r="B179" s="3" t="s">
        <v>142</v>
      </c>
      <c r="F179" s="47"/>
      <c r="G179" s="28"/>
      <c r="I179" s="28"/>
      <c r="K179" s="28"/>
      <c r="L179" s="28"/>
      <c r="M179" s="28"/>
      <c r="N179" s="28"/>
      <c r="P179" s="28"/>
      <c r="Q179" s="28"/>
      <c r="R179" s="28"/>
      <c r="S179" s="28"/>
      <c r="T179" s="28"/>
    </row>
    <row r="180" spans="2:20">
      <c r="B180" t="s">
        <v>143</v>
      </c>
      <c r="D180" t="s">
        <v>108</v>
      </c>
      <c r="F180" s="83">
        <f>SUM(G180:O180)</f>
        <v>0</v>
      </c>
      <c r="G180" s="29"/>
      <c r="H180" s="39">
        <f>I120</f>
        <v>0</v>
      </c>
      <c r="I180" s="29"/>
      <c r="J180" s="97">
        <f>N120</f>
        <v>0</v>
      </c>
      <c r="K180" s="29"/>
      <c r="L180" s="29"/>
      <c r="M180" s="29"/>
      <c r="N180" s="29"/>
      <c r="O180" s="97">
        <f>T120</f>
        <v>0</v>
      </c>
      <c r="P180" s="29"/>
      <c r="Q180" s="29"/>
      <c r="R180" s="29"/>
      <c r="S180" s="29"/>
      <c r="T180" s="29"/>
    </row>
    <row r="181" spans="2:20">
      <c r="B181" t="s">
        <v>144</v>
      </c>
      <c r="D181" t="s">
        <v>108</v>
      </c>
      <c r="F181" s="83">
        <f>SUM(G181:O181)</f>
        <v>0</v>
      </c>
      <c r="G181" s="29"/>
      <c r="H181" s="39">
        <f>I121</f>
        <v>0</v>
      </c>
      <c r="I181" s="29"/>
      <c r="J181" s="97">
        <f>N121</f>
        <v>0</v>
      </c>
      <c r="K181" s="29"/>
      <c r="L181" s="29"/>
      <c r="M181" s="29"/>
      <c r="N181" s="29"/>
      <c r="O181" s="97">
        <f>T121</f>
        <v>0</v>
      </c>
      <c r="P181" s="29"/>
      <c r="Q181" s="29"/>
      <c r="R181" s="29"/>
      <c r="S181" s="29"/>
      <c r="T181" s="29"/>
    </row>
    <row r="182" spans="2:20">
      <c r="B182" t="s">
        <v>145</v>
      </c>
      <c r="D182" t="s">
        <v>108</v>
      </c>
      <c r="F182" s="83">
        <f>SUM(G182:O182)</f>
        <v>0</v>
      </c>
      <c r="G182" s="29"/>
      <c r="H182" s="39">
        <f>I122</f>
        <v>0</v>
      </c>
      <c r="I182" s="29"/>
      <c r="J182" s="97">
        <f>N122</f>
        <v>0</v>
      </c>
      <c r="K182" s="29"/>
      <c r="L182" s="29"/>
      <c r="M182" s="29"/>
      <c r="N182" s="29"/>
      <c r="O182" s="97">
        <f>T122</f>
        <v>0</v>
      </c>
      <c r="P182" s="29"/>
      <c r="Q182" s="29"/>
      <c r="R182" s="29"/>
      <c r="S182" s="29"/>
      <c r="T182" s="29"/>
    </row>
    <row r="183" spans="2:20">
      <c r="F183" s="47"/>
      <c r="G183" s="29"/>
      <c r="H183" s="29"/>
      <c r="I183" s="29"/>
      <c r="J183" s="29"/>
      <c r="K183" s="29"/>
      <c r="L183" s="29"/>
      <c r="M183" s="29"/>
      <c r="N183" s="29"/>
      <c r="O183" s="28"/>
      <c r="P183" s="28"/>
      <c r="Q183" s="28"/>
      <c r="R183" s="28"/>
      <c r="S183" s="28"/>
      <c r="T183" s="28"/>
    </row>
    <row r="184" spans="2:20">
      <c r="B184" s="3" t="s">
        <v>146</v>
      </c>
      <c r="F184" s="47"/>
      <c r="G184" s="29"/>
      <c r="H184" s="29"/>
      <c r="I184" s="29"/>
      <c r="J184" s="29"/>
      <c r="K184" s="29"/>
      <c r="L184" s="29"/>
      <c r="M184" s="29"/>
      <c r="N184" s="29"/>
      <c r="O184" s="28"/>
      <c r="P184" s="28"/>
      <c r="Q184" s="28"/>
      <c r="R184" s="28"/>
      <c r="S184" s="28"/>
      <c r="T184" s="28"/>
    </row>
    <row r="185" spans="2:20">
      <c r="B185" t="s">
        <v>147</v>
      </c>
      <c r="D185" t="s">
        <v>108</v>
      </c>
      <c r="F185" s="83">
        <f>SUM(G185:O185)</f>
        <v>0</v>
      </c>
      <c r="G185" s="29"/>
      <c r="H185" s="39">
        <f>I125</f>
        <v>0</v>
      </c>
      <c r="I185" s="29"/>
      <c r="J185" s="97">
        <f>N125</f>
        <v>0</v>
      </c>
      <c r="K185" s="29"/>
      <c r="L185" s="29"/>
      <c r="M185" s="29"/>
      <c r="N185" s="29"/>
      <c r="O185" s="97">
        <f>T125</f>
        <v>0</v>
      </c>
      <c r="P185" s="29"/>
      <c r="Q185" s="29"/>
      <c r="R185" s="29"/>
      <c r="S185" s="29"/>
      <c r="T185" s="29"/>
    </row>
    <row r="186" spans="2:20">
      <c r="B186" t="s">
        <v>139</v>
      </c>
      <c r="D186" t="s">
        <v>108</v>
      </c>
      <c r="F186" s="83">
        <f>SUM(G186:O186)</f>
        <v>0</v>
      </c>
      <c r="G186" s="29"/>
      <c r="H186" s="39">
        <f>I126</f>
        <v>0</v>
      </c>
      <c r="I186" s="29"/>
      <c r="J186" s="97">
        <f>N126</f>
        <v>0</v>
      </c>
      <c r="K186" s="29"/>
      <c r="L186" s="29"/>
      <c r="M186" s="29"/>
      <c r="N186" s="29"/>
      <c r="O186" s="97">
        <f>T126</f>
        <v>0</v>
      </c>
      <c r="P186" s="29"/>
      <c r="Q186" s="29"/>
      <c r="R186" s="29"/>
      <c r="S186" s="29"/>
      <c r="T186" s="29"/>
    </row>
    <row r="187" spans="2:20">
      <c r="B187" t="s">
        <v>148</v>
      </c>
      <c r="D187" t="s">
        <v>108</v>
      </c>
      <c r="F187" s="83">
        <f>SUM(G187:O187)</f>
        <v>0</v>
      </c>
      <c r="G187" s="29"/>
      <c r="H187" s="39">
        <f>I127</f>
        <v>0</v>
      </c>
      <c r="I187" s="29"/>
      <c r="J187" s="97">
        <f>N127</f>
        <v>0</v>
      </c>
      <c r="K187" s="29"/>
      <c r="L187" s="29"/>
      <c r="M187" s="29"/>
      <c r="N187" s="29"/>
      <c r="O187" s="97">
        <f>T127</f>
        <v>0</v>
      </c>
      <c r="P187" s="29"/>
      <c r="Q187" s="29"/>
      <c r="R187" s="29"/>
      <c r="S187" s="29"/>
      <c r="T187" s="29"/>
    </row>
    <row r="188" spans="2:20">
      <c r="F188" s="47"/>
      <c r="G188" s="29"/>
      <c r="H188" s="29"/>
      <c r="I188" s="29"/>
      <c r="J188" s="29"/>
      <c r="K188" s="29"/>
      <c r="L188" s="29"/>
      <c r="M188" s="29"/>
      <c r="N188" s="29"/>
      <c r="O188" s="28"/>
      <c r="P188" s="28"/>
      <c r="Q188" s="28"/>
      <c r="R188" s="28"/>
      <c r="S188" s="28"/>
      <c r="T188" s="28"/>
    </row>
    <row r="189" spans="2:20">
      <c r="B189" s="3" t="s">
        <v>157</v>
      </c>
      <c r="F189" s="47"/>
      <c r="G189" s="29"/>
      <c r="H189" s="29"/>
      <c r="I189" s="29"/>
      <c r="J189" s="29"/>
      <c r="K189" s="29"/>
      <c r="L189" s="29"/>
      <c r="M189" s="29"/>
      <c r="N189" s="29"/>
      <c r="O189" s="28"/>
      <c r="P189" s="28"/>
      <c r="Q189" s="28"/>
      <c r="R189" s="28"/>
      <c r="S189" s="28"/>
      <c r="T189" s="28"/>
    </row>
    <row r="190" spans="2:20">
      <c r="B190" t="s">
        <v>158</v>
      </c>
      <c r="D190" t="s">
        <v>108</v>
      </c>
      <c r="F190" s="83">
        <f>SUM(G190:O190)</f>
        <v>0</v>
      </c>
      <c r="G190" s="29"/>
      <c r="H190" s="39">
        <f>I130</f>
        <v>0</v>
      </c>
      <c r="I190" s="29"/>
      <c r="J190" s="97">
        <f>N130</f>
        <v>0</v>
      </c>
      <c r="K190" s="29"/>
      <c r="L190" s="29"/>
      <c r="M190" s="29"/>
      <c r="N190" s="29"/>
      <c r="O190" s="97">
        <f>T130</f>
        <v>0</v>
      </c>
      <c r="P190" s="29"/>
      <c r="Q190" s="29"/>
      <c r="R190" s="29"/>
      <c r="S190" s="29"/>
      <c r="T190" s="29"/>
    </row>
    <row r="191" spans="2:20">
      <c r="B191" t="s">
        <v>159</v>
      </c>
      <c r="D191" t="s">
        <v>108</v>
      </c>
      <c r="F191" s="83">
        <f>SUM(G191:O191)</f>
        <v>0</v>
      </c>
      <c r="G191" s="29"/>
      <c r="H191" s="39">
        <f>I131</f>
        <v>0</v>
      </c>
      <c r="I191" s="29"/>
      <c r="J191" s="97">
        <f>N131</f>
        <v>0</v>
      </c>
      <c r="K191" s="29"/>
      <c r="L191" s="29"/>
      <c r="M191" s="29"/>
      <c r="N191" s="29"/>
      <c r="O191" s="97">
        <f>T131</f>
        <v>0</v>
      </c>
      <c r="P191" s="29"/>
      <c r="Q191" s="29"/>
      <c r="R191" s="29"/>
      <c r="S191" s="29"/>
      <c r="T191" s="29"/>
    </row>
    <row r="192" spans="2:20">
      <c r="B192" t="s">
        <v>160</v>
      </c>
      <c r="D192" t="s">
        <v>108</v>
      </c>
      <c r="F192" s="83">
        <f>SUM(G192:O192)</f>
        <v>0</v>
      </c>
      <c r="G192" s="29"/>
      <c r="H192" s="39">
        <f>I132</f>
        <v>0</v>
      </c>
      <c r="I192" s="29"/>
      <c r="J192" s="97">
        <f>N132</f>
        <v>0</v>
      </c>
      <c r="K192" s="29"/>
      <c r="L192" s="29"/>
      <c r="M192" s="29"/>
      <c r="N192" s="29"/>
      <c r="O192" s="97">
        <f>T132</f>
        <v>0</v>
      </c>
      <c r="P192" s="29"/>
      <c r="Q192" s="29"/>
      <c r="R192" s="29"/>
      <c r="S192" s="29"/>
      <c r="T192" s="29"/>
    </row>
    <row r="193" spans="2:22">
      <c r="F193" s="47"/>
    </row>
    <row r="194" spans="2:22">
      <c r="F194" s="47"/>
    </row>
    <row r="195" spans="2:22">
      <c r="B195" s="3" t="s">
        <v>422</v>
      </c>
      <c r="F195" s="47"/>
    </row>
    <row r="196" spans="2:22">
      <c r="F196" s="47"/>
    </row>
    <row r="197" spans="2:22">
      <c r="B197" s="3" t="s">
        <v>425</v>
      </c>
      <c r="F197" s="47"/>
    </row>
    <row r="198" spans="2:22">
      <c r="B198" t="s">
        <v>139</v>
      </c>
      <c r="D198" t="s">
        <v>108</v>
      </c>
      <c r="F198" s="83">
        <f>SUM(G198:O198)</f>
        <v>0</v>
      </c>
      <c r="G198" s="29"/>
      <c r="H198" s="24">
        <f>H181+H186+H191</f>
        <v>0</v>
      </c>
      <c r="I198" s="29"/>
      <c r="J198" s="24">
        <f>J181+J186+J191</f>
        <v>0</v>
      </c>
      <c r="K198" s="29"/>
      <c r="L198" s="29"/>
      <c r="M198" s="29"/>
      <c r="N198" s="29"/>
      <c r="O198" s="24">
        <f>O181+O186+O191</f>
        <v>0</v>
      </c>
      <c r="V198" s="51" t="s">
        <v>570</v>
      </c>
    </row>
    <row r="199" spans="2:22">
      <c r="B199" t="s">
        <v>165</v>
      </c>
      <c r="D199" t="s">
        <v>108</v>
      </c>
      <c r="F199" s="83">
        <f>SUM(G199:O199)</f>
        <v>0</v>
      </c>
      <c r="G199" s="29"/>
      <c r="H199" s="24">
        <f>H182+H187+H192</f>
        <v>0</v>
      </c>
      <c r="I199" s="29"/>
      <c r="J199" s="24">
        <f>J182+J187+J192</f>
        <v>0</v>
      </c>
      <c r="K199" s="29"/>
      <c r="L199" s="29"/>
      <c r="M199" s="29"/>
      <c r="N199" s="29"/>
      <c r="O199" s="24">
        <f>O182+O187+O192</f>
        <v>0</v>
      </c>
      <c r="V199" s="51" t="s">
        <v>571</v>
      </c>
    </row>
    <row r="200" spans="2:22">
      <c r="B200" t="s">
        <v>166</v>
      </c>
      <c r="D200" t="s">
        <v>108</v>
      </c>
      <c r="F200" s="83">
        <f>SUM(G200:O200)</f>
        <v>0</v>
      </c>
      <c r="G200" s="29"/>
      <c r="H200" s="24">
        <f t="shared" ref="H200" si="29">H199*$F$12</f>
        <v>0</v>
      </c>
      <c r="I200" s="29"/>
      <c r="J200" s="24">
        <f t="shared" ref="J200" si="30">J199*$F$12</f>
        <v>0</v>
      </c>
      <c r="K200" s="29"/>
      <c r="L200" s="29"/>
      <c r="M200" s="29"/>
      <c r="N200" s="29"/>
      <c r="O200" s="24">
        <f t="shared" ref="O200" si="31">O199*$F$12</f>
        <v>0</v>
      </c>
      <c r="V200" s="51" t="s">
        <v>572</v>
      </c>
    </row>
    <row r="201" spans="2:22">
      <c r="B201" t="s">
        <v>169</v>
      </c>
      <c r="D201" t="s">
        <v>108</v>
      </c>
      <c r="F201" s="83">
        <f>SUM(G201:O201)</f>
        <v>0</v>
      </c>
      <c r="G201" s="54"/>
      <c r="H201" s="21">
        <f t="shared" ref="H201" si="32">H198+H200</f>
        <v>0</v>
      </c>
      <c r="I201" s="54"/>
      <c r="J201" s="21">
        <f t="shared" ref="J201" si="33">J198+J200</f>
        <v>0</v>
      </c>
      <c r="K201" s="54"/>
      <c r="L201" s="54"/>
      <c r="M201" s="54"/>
      <c r="N201" s="54"/>
      <c r="O201" s="21">
        <f t="shared" ref="O201" si="34">O198+O200</f>
        <v>0</v>
      </c>
      <c r="V201" s="51" t="s">
        <v>573</v>
      </c>
    </row>
    <row r="202" spans="2:22">
      <c r="F202" s="47"/>
    </row>
    <row r="203" spans="2:22">
      <c r="F203" s="47"/>
    </row>
    <row r="204" spans="2:22">
      <c r="B204" s="3" t="s">
        <v>170</v>
      </c>
      <c r="F204" s="47"/>
      <c r="K204" s="28"/>
      <c r="L204" s="28"/>
      <c r="M204" s="28"/>
      <c r="N204" s="28"/>
    </row>
    <row r="205" spans="2:22">
      <c r="F205" s="47"/>
      <c r="G205" s="28"/>
      <c r="I205" s="28"/>
      <c r="K205" s="28"/>
      <c r="L205" s="28"/>
      <c r="M205" s="28"/>
      <c r="N205" s="28"/>
    </row>
    <row r="206" spans="2:22">
      <c r="B206" s="51" t="s">
        <v>427</v>
      </c>
      <c r="D206" t="s">
        <v>108</v>
      </c>
      <c r="F206" s="83">
        <f>SUM(G206:O206)</f>
        <v>0</v>
      </c>
      <c r="G206" s="29"/>
      <c r="H206" s="8"/>
      <c r="I206" s="29"/>
      <c r="J206" s="8"/>
      <c r="K206" s="29"/>
      <c r="L206" s="29"/>
      <c r="M206" s="29"/>
      <c r="N206" s="29"/>
      <c r="O206" s="8"/>
    </row>
    <row r="207" spans="2:22">
      <c r="B207" s="51" t="s">
        <v>760</v>
      </c>
      <c r="D207" t="s">
        <v>108</v>
      </c>
      <c r="F207" s="83">
        <f>SUM(G207:O207)</f>
        <v>0</v>
      </c>
      <c r="G207" s="29"/>
      <c r="H207" s="8"/>
      <c r="I207" s="29"/>
      <c r="J207" s="8"/>
      <c r="K207" s="29"/>
      <c r="L207" s="29"/>
      <c r="M207" s="29"/>
      <c r="N207" s="29"/>
      <c r="O207" s="8"/>
    </row>
    <row r="208" spans="2:22">
      <c r="B208" s="51" t="s">
        <v>761</v>
      </c>
      <c r="D208" t="s">
        <v>108</v>
      </c>
      <c r="F208" s="83">
        <f>SUM(G208:O208)</f>
        <v>0</v>
      </c>
      <c r="G208" s="29"/>
      <c r="H208" s="8"/>
      <c r="I208" s="29"/>
      <c r="J208" s="8"/>
      <c r="K208" s="29"/>
      <c r="L208" s="29"/>
      <c r="M208" s="29"/>
      <c r="N208" s="29"/>
      <c r="O208" s="8"/>
    </row>
    <row r="209" spans="2:22">
      <c r="B209" s="51" t="s">
        <v>426</v>
      </c>
      <c r="D209" t="s">
        <v>108</v>
      </c>
      <c r="F209" s="83">
        <f>SUM(G209:O209)</f>
        <v>0</v>
      </c>
      <c r="G209" s="29"/>
      <c r="H209" s="24">
        <f>SUM(H206:H208)</f>
        <v>0</v>
      </c>
      <c r="I209" s="29"/>
      <c r="J209" s="24">
        <f>SUM(J206:J208)</f>
        <v>0</v>
      </c>
      <c r="K209" s="29"/>
      <c r="L209" s="29"/>
      <c r="M209" s="29"/>
      <c r="N209" s="29"/>
      <c r="O209" s="24">
        <f>SUM(O206:O208)</f>
        <v>0</v>
      </c>
    </row>
    <row r="210" spans="2:22">
      <c r="F210" s="47"/>
      <c r="G210" s="28"/>
      <c r="I210" s="28"/>
      <c r="K210" s="28"/>
      <c r="L210" s="28"/>
      <c r="M210" s="28"/>
      <c r="N210" s="28"/>
    </row>
    <row r="211" spans="2:22">
      <c r="F211" s="47"/>
      <c r="G211" s="28"/>
      <c r="I211" s="28"/>
      <c r="K211" s="28"/>
      <c r="L211" s="28"/>
      <c r="M211" s="28"/>
      <c r="N211" s="28"/>
    </row>
    <row r="212" spans="2:22">
      <c r="B212" s="3" t="s">
        <v>423</v>
      </c>
      <c r="F212" s="47"/>
      <c r="G212" s="28"/>
      <c r="I212" s="28"/>
      <c r="K212" s="28"/>
      <c r="L212" s="28"/>
      <c r="M212" s="28"/>
      <c r="N212" s="28"/>
    </row>
    <row r="213" spans="2:22">
      <c r="F213" s="47"/>
      <c r="G213" s="28"/>
      <c r="I213" s="28"/>
      <c r="K213" s="28"/>
      <c r="L213" s="28"/>
      <c r="M213" s="28"/>
      <c r="N213" s="28"/>
    </row>
    <row r="214" spans="2:22">
      <c r="B214" s="51" t="s">
        <v>424</v>
      </c>
      <c r="D214" t="s">
        <v>108</v>
      </c>
      <c r="F214" s="84">
        <f>SUM(G214:O214)</f>
        <v>0</v>
      </c>
      <c r="G214" s="54"/>
      <c r="H214" s="21">
        <f>H201-H209</f>
        <v>0</v>
      </c>
      <c r="I214" s="54"/>
      <c r="J214" s="21">
        <f>J201-J209</f>
        <v>0</v>
      </c>
      <c r="K214" s="54"/>
      <c r="L214" s="54"/>
      <c r="M214" s="54"/>
      <c r="N214" s="54"/>
      <c r="O214" s="21">
        <f>O201-O209</f>
        <v>0</v>
      </c>
      <c r="V214" s="51" t="s">
        <v>573</v>
      </c>
    </row>
    <row r="215" spans="2:22" s="258" customFormat="1">
      <c r="F215" s="47"/>
    </row>
    <row r="216" spans="2:22" s="258" customFormat="1">
      <c r="B216" s="78" t="s">
        <v>776</v>
      </c>
      <c r="D216" s="258" t="s">
        <v>108</v>
      </c>
      <c r="F216" s="84">
        <f>SUM(G216:O216)</f>
        <v>0</v>
      </c>
      <c r="H216" s="98">
        <f>H198+H199*$F$11-H209</f>
        <v>0</v>
      </c>
      <c r="J216" s="98">
        <f>J198+J199*$F$11-J209</f>
        <v>0</v>
      </c>
      <c r="O216" s="98">
        <f>O198+O199*$F$11-O209</f>
        <v>0</v>
      </c>
    </row>
    <row r="217" spans="2:22">
      <c r="F217" s="47"/>
    </row>
    <row r="218" spans="2:22">
      <c r="F218" s="62"/>
      <c r="G218" s="42"/>
      <c r="H218" s="42"/>
      <c r="I218" s="42"/>
      <c r="J218" s="42"/>
      <c r="K218" s="42"/>
      <c r="L218" s="42"/>
      <c r="M218" s="42"/>
      <c r="N218" s="42"/>
    </row>
    <row r="219" spans="2:22" s="2" customFormat="1">
      <c r="B219" s="2" t="s">
        <v>178</v>
      </c>
      <c r="F219" s="49"/>
    </row>
    <row r="220" spans="2:22">
      <c r="F220" s="47"/>
    </row>
    <row r="221" spans="2:22">
      <c r="B221" s="3" t="s">
        <v>164</v>
      </c>
      <c r="F221" s="47"/>
      <c r="G221" s="3" t="s">
        <v>96</v>
      </c>
      <c r="H221" s="3" t="s">
        <v>407</v>
      </c>
      <c r="I221" s="3" t="s">
        <v>408</v>
      </c>
      <c r="J221" s="3" t="s">
        <v>98</v>
      </c>
      <c r="K221" s="3" t="s">
        <v>409</v>
      </c>
      <c r="L221" s="3" t="s">
        <v>99</v>
      </c>
      <c r="M221" s="3" t="s">
        <v>410</v>
      </c>
      <c r="N221" s="3" t="s">
        <v>411</v>
      </c>
      <c r="O221" s="3" t="s">
        <v>100</v>
      </c>
      <c r="P221" s="3" t="s">
        <v>412</v>
      </c>
      <c r="Q221" s="3" t="s">
        <v>413</v>
      </c>
      <c r="R221" s="3" t="s">
        <v>102</v>
      </c>
      <c r="S221" s="3" t="s">
        <v>103</v>
      </c>
      <c r="T221" s="3" t="s">
        <v>414</v>
      </c>
    </row>
    <row r="222" spans="2:22">
      <c r="F222" s="47"/>
    </row>
    <row r="223" spans="2:22">
      <c r="B223" s="3" t="s">
        <v>142</v>
      </c>
      <c r="F223" s="47"/>
    </row>
    <row r="224" spans="2:22">
      <c r="B224" t="s">
        <v>143</v>
      </c>
      <c r="D224" t="s">
        <v>109</v>
      </c>
      <c r="F224" s="83">
        <f>SUM(G224:T224)</f>
        <v>0</v>
      </c>
      <c r="G224" s="39">
        <f>'Import GAW-sheet'!G163</f>
        <v>0</v>
      </c>
      <c r="H224" s="39">
        <f>'Import GAW-sheet'!H163</f>
        <v>0</v>
      </c>
      <c r="I224" s="39">
        <f>'Import GAW-sheet'!I163</f>
        <v>0</v>
      </c>
      <c r="J224" s="39">
        <f>'Import GAW-sheet'!J163</f>
        <v>0</v>
      </c>
      <c r="K224" s="39">
        <f>'Import GAW-sheet'!K163</f>
        <v>0</v>
      </c>
      <c r="L224" s="39">
        <f>'Import GAW-sheet'!L163</f>
        <v>0</v>
      </c>
      <c r="M224" s="39">
        <f>'Import GAW-sheet'!M163</f>
        <v>0</v>
      </c>
      <c r="N224" s="39">
        <f>'Import GAW-sheet'!N163</f>
        <v>0</v>
      </c>
      <c r="O224" s="39">
        <f>'Import GAW-sheet'!O163</f>
        <v>0</v>
      </c>
      <c r="P224" s="39">
        <f>'Import GAW-sheet'!P163</f>
        <v>0</v>
      </c>
      <c r="Q224" s="39">
        <f>'Import GAW-sheet'!Q163</f>
        <v>0</v>
      </c>
      <c r="R224" s="39">
        <f>'Import GAW-sheet'!R163</f>
        <v>0</v>
      </c>
      <c r="S224" s="39">
        <f>'Import GAW-sheet'!S163</f>
        <v>0</v>
      </c>
      <c r="T224" s="39">
        <f>'Import GAW-sheet'!T163</f>
        <v>0</v>
      </c>
    </row>
    <row r="225" spans="2:20">
      <c r="B225" t="s">
        <v>144</v>
      </c>
      <c r="D225" t="s">
        <v>109</v>
      </c>
      <c r="F225" s="83">
        <f>SUM(G225:T225)</f>
        <v>21297860.120172817</v>
      </c>
      <c r="G225" s="39">
        <f>'Import GAW-sheet'!G164</f>
        <v>368531.81733463926</v>
      </c>
      <c r="H225" s="39">
        <f>'Import GAW-sheet'!H164</f>
        <v>617808.34811748832</v>
      </c>
      <c r="I225" s="39">
        <f>'Import GAW-sheet'!I164</f>
        <v>0</v>
      </c>
      <c r="J225" s="39">
        <f>'Import GAW-sheet'!J164</f>
        <v>439161.83095763228</v>
      </c>
      <c r="K225" s="39">
        <f>'Import GAW-sheet'!K164</f>
        <v>393089.42985422997</v>
      </c>
      <c r="L225" s="39">
        <f>'Import GAW-sheet'!L164</f>
        <v>4780996.164859226</v>
      </c>
      <c r="M225" s="39">
        <f>'Import GAW-sheet'!M164</f>
        <v>515799.28740073967</v>
      </c>
      <c r="N225" s="39">
        <f>'Import GAW-sheet'!N164</f>
        <v>0</v>
      </c>
      <c r="O225" s="39">
        <f>'Import GAW-sheet'!O164</f>
        <v>3750758.5353153166</v>
      </c>
      <c r="P225" s="39">
        <f>'Import GAW-sheet'!P164</f>
        <v>134127.36890555799</v>
      </c>
      <c r="Q225" s="39">
        <f>'Import GAW-sheet'!Q164</f>
        <v>394997.1055644991</v>
      </c>
      <c r="R225" s="39">
        <f>'Import GAW-sheet'!R164</f>
        <v>9809877.1379632242</v>
      </c>
      <c r="S225" s="39">
        <f>'Import GAW-sheet'!S164</f>
        <v>92713.09390026753</v>
      </c>
      <c r="T225" s="39">
        <f>'Import GAW-sheet'!T164</f>
        <v>0</v>
      </c>
    </row>
    <row r="226" spans="2:20">
      <c r="B226" t="s">
        <v>145</v>
      </c>
      <c r="D226" t="s">
        <v>109</v>
      </c>
      <c r="F226" s="83">
        <f>SUM(G226:T226)</f>
        <v>475683267.66896904</v>
      </c>
      <c r="G226" s="39">
        <f>'Import GAW-sheet'!G165</f>
        <v>8476231.7986967061</v>
      </c>
      <c r="H226" s="39">
        <f>'Import GAW-sheet'!H165</f>
        <v>12356166.962349772</v>
      </c>
      <c r="I226" s="39">
        <f>'Import GAW-sheet'!I165</f>
        <v>0</v>
      </c>
      <c r="J226" s="39">
        <f>'Import GAW-sheet'!J165</f>
        <v>8783236.6191526465</v>
      </c>
      <c r="K226" s="39">
        <f>'Import GAW-sheet'!K165</f>
        <v>7468699.1672303714</v>
      </c>
      <c r="L226" s="39">
        <f>'Import GAW-sheet'!L165</f>
        <v>109962911.79176219</v>
      </c>
      <c r="M226" s="39">
        <f>'Import GAW-sheet'!M165</f>
        <v>12894982.185018491</v>
      </c>
      <c r="N226" s="39">
        <f>'Import GAW-sheet'!N165</f>
        <v>0</v>
      </c>
      <c r="O226" s="39">
        <f>'Import GAW-sheet'!O165</f>
        <v>67513653.635675743</v>
      </c>
      <c r="P226" s="39">
        <f>'Import GAW-sheet'!P165</f>
        <v>2548420.0092056007</v>
      </c>
      <c r="Q226" s="39">
        <f>'Import GAW-sheet'!Q165</f>
        <v>8294939.2168544848</v>
      </c>
      <c r="R226" s="39">
        <f>'Import GAW-sheet'!R165</f>
        <v>235437051.31111744</v>
      </c>
      <c r="S226" s="39">
        <f>'Import GAW-sheet'!S165</f>
        <v>1946974.9719056182</v>
      </c>
      <c r="T226" s="39">
        <f>'Import GAW-sheet'!T165</f>
        <v>0</v>
      </c>
    </row>
    <row r="227" spans="2:20">
      <c r="F227" s="47"/>
      <c r="G227" s="29"/>
      <c r="H227" s="29"/>
      <c r="I227" s="29"/>
      <c r="J227" s="29"/>
      <c r="K227" s="29"/>
      <c r="L227" s="29"/>
      <c r="M227" s="29"/>
      <c r="N227" s="29"/>
    </row>
    <row r="228" spans="2:20">
      <c r="B228" s="3" t="s">
        <v>146</v>
      </c>
      <c r="F228" s="47"/>
      <c r="G228" s="29"/>
      <c r="H228" s="29"/>
      <c r="I228" s="29"/>
      <c r="J228" s="29"/>
      <c r="K228" s="29"/>
      <c r="L228" s="29"/>
      <c r="M228" s="29"/>
      <c r="N228" s="29"/>
    </row>
    <row r="229" spans="2:20">
      <c r="B229" t="s">
        <v>147</v>
      </c>
      <c r="D229" t="s">
        <v>109</v>
      </c>
      <c r="F229" s="83">
        <f>SUM(G229:T229)</f>
        <v>130532424.39316049</v>
      </c>
      <c r="G229" s="39">
        <f>'Import GAW-sheet'!G168</f>
        <v>1594312.66</v>
      </c>
      <c r="H229" s="39">
        <f>'Import GAW-sheet'!H168</f>
        <v>2181109.85</v>
      </c>
      <c r="I229" s="39">
        <f>'Import GAW-sheet'!I168</f>
        <v>0</v>
      </c>
      <c r="J229" s="39">
        <f>'Import GAW-sheet'!J168</f>
        <v>1056182.8741291773</v>
      </c>
      <c r="K229" s="39">
        <f>'Import GAW-sheet'!K168</f>
        <v>0</v>
      </c>
      <c r="L229" s="39">
        <f>'Import GAW-sheet'!L168</f>
        <v>32042578</v>
      </c>
      <c r="M229" s="39">
        <f>'Import GAW-sheet'!M168</f>
        <v>1728862.1649999798</v>
      </c>
      <c r="N229" s="39">
        <f>'Import GAW-sheet'!N168</f>
        <v>0</v>
      </c>
      <c r="O229" s="39">
        <f>'Import GAW-sheet'!O168</f>
        <v>44412039.392991394</v>
      </c>
      <c r="P229" s="39">
        <f>'Import GAW-sheet'!P168</f>
        <v>0</v>
      </c>
      <c r="Q229" s="39">
        <f>'Import GAW-sheet'!Q168</f>
        <v>900613.04575644154</v>
      </c>
      <c r="R229" s="39">
        <f>'Import GAW-sheet'!R168</f>
        <v>47128442.106499992</v>
      </c>
      <c r="S229" s="39">
        <f>'Import GAW-sheet'!S168</f>
        <v>-511715.70121648803</v>
      </c>
      <c r="T229" s="39">
        <f>'Import GAW-sheet'!T168</f>
        <v>0</v>
      </c>
    </row>
    <row r="230" spans="2:20">
      <c r="B230" t="s">
        <v>139</v>
      </c>
      <c r="D230" t="s">
        <v>109</v>
      </c>
      <c r="F230" s="83">
        <f>SUM(G230:T230)</f>
        <v>6112521.9369950397</v>
      </c>
      <c r="G230" s="39">
        <f>'Import GAW-sheet'!G169</f>
        <v>138244.70974358974</v>
      </c>
      <c r="H230" s="39">
        <f>'Import GAW-sheet'!H169</f>
        <v>98193.72852087178</v>
      </c>
      <c r="I230" s="39">
        <f>'Import GAW-sheet'!I169</f>
        <v>0</v>
      </c>
      <c r="J230" s="39">
        <f>'Import GAW-sheet'!J169</f>
        <v>17325.194381666159</v>
      </c>
      <c r="K230" s="39">
        <f>'Import GAW-sheet'!K169</f>
        <v>3300.8193900206393</v>
      </c>
      <c r="L230" s="39">
        <f>'Import GAW-sheet'!L169</f>
        <v>1589887.1820512819</v>
      </c>
      <c r="M230" s="39">
        <f>'Import GAW-sheet'!M169</f>
        <v>107375.68321556415</v>
      </c>
      <c r="N230" s="39">
        <f>'Import GAW-sheet'!N169</f>
        <v>0</v>
      </c>
      <c r="O230" s="39">
        <f>'Import GAW-sheet'!O169</f>
        <v>1851501.9974577094</v>
      </c>
      <c r="P230" s="39">
        <f>'Import GAW-sheet'!P169</f>
        <v>8961.7954883042294</v>
      </c>
      <c r="Q230" s="39">
        <f>'Import GAW-sheet'!Q169</f>
        <v>87868.860226371005</v>
      </c>
      <c r="R230" s="39">
        <f>'Import GAW-sheet'!R169</f>
        <v>2210397.0979455127</v>
      </c>
      <c r="S230" s="39">
        <f>'Import GAW-sheet'!S169</f>
        <v>-535.13142585241258</v>
      </c>
      <c r="T230" s="39">
        <f>'Import GAW-sheet'!T169</f>
        <v>0</v>
      </c>
    </row>
    <row r="231" spans="2:20">
      <c r="B231" t="s">
        <v>148</v>
      </c>
      <c r="D231" t="s">
        <v>109</v>
      </c>
      <c r="F231" s="83">
        <f>SUM(G231:T231)</f>
        <v>293664135.09128523</v>
      </c>
      <c r="G231" s="39">
        <f>'Import GAW-sheet'!G170</f>
        <v>5941001.8643589728</v>
      </c>
      <c r="H231" s="39">
        <f>'Import GAW-sheet'!H170</f>
        <v>4747315.2177730184</v>
      </c>
      <c r="I231" s="39">
        <f>'Import GAW-sheet'!I170</f>
        <v>0</v>
      </c>
      <c r="J231" s="39">
        <f>'Import GAW-sheet'!J170</f>
        <v>1185663.3346248844</v>
      </c>
      <c r="K231" s="39">
        <f>'Import GAW-sheet'!K170</f>
        <v>124667.86545458814</v>
      </c>
      <c r="L231" s="39">
        <f>'Import GAW-sheet'!L170</f>
        <v>75356104.344230756</v>
      </c>
      <c r="M231" s="39">
        <f>'Import GAW-sheet'!M170</f>
        <v>4868867.3708675802</v>
      </c>
      <c r="N231" s="39">
        <f>'Import GAW-sheet'!N170</f>
        <v>0</v>
      </c>
      <c r="O231" s="39">
        <f>'Import GAW-sheet'!O170</f>
        <v>91465661.303575069</v>
      </c>
      <c r="P231" s="39">
        <f>'Import GAW-sheet'!P170</f>
        <v>333051.62508168601</v>
      </c>
      <c r="Q231" s="39">
        <f>'Import GAW-sheet'!Q170</f>
        <v>3709951.8327808101</v>
      </c>
      <c r="R231" s="39">
        <f>'Import GAW-sheet'!R170</f>
        <v>106213044.45970032</v>
      </c>
      <c r="S231" s="39">
        <f>'Import GAW-sheet'!S170</f>
        <v>-281194.12716243055</v>
      </c>
      <c r="T231" s="39">
        <f>'Import GAW-sheet'!T170</f>
        <v>0</v>
      </c>
    </row>
    <row r="232" spans="2:20">
      <c r="F232" s="47"/>
      <c r="G232" s="29"/>
      <c r="H232" s="29"/>
      <c r="I232" s="29"/>
      <c r="J232" s="29"/>
      <c r="K232" s="29"/>
      <c r="L232" s="29"/>
      <c r="M232" s="29"/>
      <c r="N232" s="29"/>
    </row>
    <row r="233" spans="2:20">
      <c r="B233" s="3" t="s">
        <v>157</v>
      </c>
      <c r="F233" s="47"/>
      <c r="G233" s="29"/>
      <c r="H233" s="29"/>
      <c r="I233" s="29"/>
      <c r="J233" s="29"/>
      <c r="K233" s="29"/>
      <c r="L233" s="29"/>
      <c r="M233" s="29"/>
      <c r="N233" s="29"/>
    </row>
    <row r="234" spans="2:20">
      <c r="B234" t="s">
        <v>158</v>
      </c>
      <c r="D234" t="s">
        <v>109</v>
      </c>
      <c r="F234" s="83">
        <f>SUM(G234:T234)</f>
        <v>0</v>
      </c>
      <c r="G234" s="39">
        <f>'Import GAW-sheet'!G173</f>
        <v>0</v>
      </c>
      <c r="H234" s="39">
        <f>'Import GAW-sheet'!H173</f>
        <v>0</v>
      </c>
      <c r="I234" s="39">
        <f>'Import GAW-sheet'!I173</f>
        <v>0</v>
      </c>
      <c r="J234" s="39">
        <f>'Import GAW-sheet'!J173</f>
        <v>0</v>
      </c>
      <c r="K234" s="39">
        <f>'Import GAW-sheet'!K173</f>
        <v>0</v>
      </c>
      <c r="L234" s="39">
        <f>'Import GAW-sheet'!L173</f>
        <v>0</v>
      </c>
      <c r="M234" s="39">
        <f>'Import GAW-sheet'!M173</f>
        <v>0</v>
      </c>
      <c r="N234" s="39">
        <f>'Import GAW-sheet'!N173</f>
        <v>0</v>
      </c>
      <c r="O234" s="39">
        <f>'Import GAW-sheet'!O173</f>
        <v>0</v>
      </c>
      <c r="P234" s="39">
        <f>'Import GAW-sheet'!P173</f>
        <v>0</v>
      </c>
      <c r="Q234" s="39">
        <f>'Import GAW-sheet'!Q173</f>
        <v>0</v>
      </c>
      <c r="R234" s="39">
        <f>'Import GAW-sheet'!R173</f>
        <v>0</v>
      </c>
      <c r="S234" s="39">
        <f>'Import GAW-sheet'!S173</f>
        <v>0</v>
      </c>
      <c r="T234" s="39">
        <f>'Import GAW-sheet'!T173</f>
        <v>0</v>
      </c>
    </row>
    <row r="235" spans="2:20">
      <c r="B235" t="s">
        <v>159</v>
      </c>
      <c r="D235" t="s">
        <v>109</v>
      </c>
      <c r="F235" s="83">
        <f>SUM(G235:T235)</f>
        <v>0</v>
      </c>
      <c r="G235" s="39">
        <f>'Import GAW-sheet'!G174</f>
        <v>0</v>
      </c>
      <c r="H235" s="39">
        <f>'Import GAW-sheet'!H174</f>
        <v>0</v>
      </c>
      <c r="I235" s="39">
        <f>'Import GAW-sheet'!I174</f>
        <v>0</v>
      </c>
      <c r="J235" s="39">
        <f>'Import GAW-sheet'!J174</f>
        <v>0</v>
      </c>
      <c r="K235" s="39">
        <f>'Import GAW-sheet'!K174</f>
        <v>0</v>
      </c>
      <c r="L235" s="39">
        <f>'Import GAW-sheet'!L174</f>
        <v>0</v>
      </c>
      <c r="M235" s="39">
        <f>'Import GAW-sheet'!M174</f>
        <v>0</v>
      </c>
      <c r="N235" s="39">
        <f>'Import GAW-sheet'!N174</f>
        <v>0</v>
      </c>
      <c r="O235" s="39">
        <f>'Import GAW-sheet'!O174</f>
        <v>0</v>
      </c>
      <c r="P235" s="39">
        <f>'Import GAW-sheet'!P174</f>
        <v>0</v>
      </c>
      <c r="Q235" s="39">
        <f>'Import GAW-sheet'!Q174</f>
        <v>0</v>
      </c>
      <c r="R235" s="39">
        <f>'Import GAW-sheet'!R174</f>
        <v>0</v>
      </c>
      <c r="S235" s="39">
        <f>'Import GAW-sheet'!S174</f>
        <v>0</v>
      </c>
      <c r="T235" s="39">
        <f>'Import GAW-sheet'!T174</f>
        <v>0</v>
      </c>
    </row>
    <row r="236" spans="2:20">
      <c r="B236" t="s">
        <v>160</v>
      </c>
      <c r="D236" t="s">
        <v>109</v>
      </c>
      <c r="F236" s="83">
        <f>SUM(G236:T236)</f>
        <v>0</v>
      </c>
      <c r="G236" s="39">
        <f>'Import GAW-sheet'!G175</f>
        <v>0</v>
      </c>
      <c r="H236" s="39">
        <f>'Import GAW-sheet'!H175</f>
        <v>0</v>
      </c>
      <c r="I236" s="39">
        <f>'Import GAW-sheet'!I175</f>
        <v>0</v>
      </c>
      <c r="J236" s="39">
        <f>'Import GAW-sheet'!J175</f>
        <v>0</v>
      </c>
      <c r="K236" s="39">
        <f>'Import GAW-sheet'!K175</f>
        <v>0</v>
      </c>
      <c r="L236" s="39">
        <f>'Import GAW-sheet'!L175</f>
        <v>0</v>
      </c>
      <c r="M236" s="39">
        <f>'Import GAW-sheet'!M175</f>
        <v>0</v>
      </c>
      <c r="N236" s="39">
        <f>'Import GAW-sheet'!N175</f>
        <v>0</v>
      </c>
      <c r="O236" s="39">
        <f>'Import GAW-sheet'!O175</f>
        <v>0</v>
      </c>
      <c r="P236" s="39">
        <f>'Import GAW-sheet'!P175</f>
        <v>0</v>
      </c>
      <c r="Q236" s="39">
        <f>'Import GAW-sheet'!Q175</f>
        <v>0</v>
      </c>
      <c r="R236" s="39">
        <f>'Import GAW-sheet'!R175</f>
        <v>0</v>
      </c>
      <c r="S236" s="39">
        <f>'Import GAW-sheet'!S175</f>
        <v>0</v>
      </c>
      <c r="T236" s="39">
        <f>'Import GAW-sheet'!T175</f>
        <v>0</v>
      </c>
    </row>
    <row r="237" spans="2:20">
      <c r="F237" s="47"/>
    </row>
    <row r="238" spans="2:20">
      <c r="F238" s="47"/>
    </row>
    <row r="239" spans="2:20">
      <c r="B239" s="3" t="s">
        <v>416</v>
      </c>
      <c r="F239" s="47"/>
      <c r="G239" s="3" t="s">
        <v>96</v>
      </c>
      <c r="H239" s="3" t="s">
        <v>407</v>
      </c>
      <c r="I239" s="3" t="s">
        <v>98</v>
      </c>
      <c r="J239" s="3" t="s">
        <v>99</v>
      </c>
      <c r="K239" s="3" t="s">
        <v>100</v>
      </c>
      <c r="L239" s="3" t="s">
        <v>413</v>
      </c>
      <c r="M239" s="3" t="s">
        <v>102</v>
      </c>
      <c r="N239" s="3" t="s">
        <v>103</v>
      </c>
      <c r="O239" s="3" t="s">
        <v>197</v>
      </c>
      <c r="P239" s="55"/>
      <c r="Q239" s="55"/>
      <c r="R239" s="55"/>
      <c r="S239" s="55"/>
      <c r="T239" s="55"/>
    </row>
    <row r="240" spans="2:20">
      <c r="F240" s="47"/>
      <c r="P240" s="28"/>
      <c r="Q240" s="28"/>
      <c r="R240" s="28"/>
      <c r="S240" s="28"/>
      <c r="T240" s="28"/>
    </row>
    <row r="241" spans="2:20">
      <c r="B241" s="3" t="s">
        <v>142</v>
      </c>
      <c r="F241" s="47"/>
      <c r="P241" s="28"/>
      <c r="Q241" s="28"/>
      <c r="R241" s="28"/>
      <c r="S241" s="28"/>
      <c r="T241" s="28"/>
    </row>
    <row r="242" spans="2:20">
      <c r="B242" t="s">
        <v>143</v>
      </c>
      <c r="D242" t="s">
        <v>109</v>
      </c>
      <c r="F242" s="83">
        <f>SUM(G242:O242)</f>
        <v>0</v>
      </c>
      <c r="G242" s="39">
        <f t="shared" ref="G242:H244" si="35">G224</f>
        <v>0</v>
      </c>
      <c r="H242" s="39">
        <f t="shared" si="35"/>
        <v>0</v>
      </c>
      <c r="I242" s="98">
        <f>J224+K224</f>
        <v>0</v>
      </c>
      <c r="J242" s="98">
        <f>L224+M224</f>
        <v>0</v>
      </c>
      <c r="K242" s="98">
        <f>O224+P224</f>
        <v>0</v>
      </c>
      <c r="L242" s="39">
        <f t="shared" ref="L242:N244" si="36">Q224</f>
        <v>0</v>
      </c>
      <c r="M242" s="39">
        <f t="shared" si="36"/>
        <v>0</v>
      </c>
      <c r="N242" s="39">
        <f t="shared" si="36"/>
        <v>0</v>
      </c>
      <c r="O242" s="39"/>
      <c r="P242" s="29"/>
      <c r="Q242" s="29"/>
      <c r="R242" s="29"/>
      <c r="S242" s="29"/>
      <c r="T242" s="29"/>
    </row>
    <row r="243" spans="2:20">
      <c r="B243" t="s">
        <v>144</v>
      </c>
      <c r="D243" t="s">
        <v>109</v>
      </c>
      <c r="F243" s="83">
        <f>SUM(G243:O243)</f>
        <v>21297860.120172817</v>
      </c>
      <c r="G243" s="39">
        <f t="shared" si="35"/>
        <v>368531.81733463926</v>
      </c>
      <c r="H243" s="39">
        <f t="shared" si="35"/>
        <v>617808.34811748832</v>
      </c>
      <c r="I243" s="98">
        <f>J225+K225</f>
        <v>832251.2608118623</v>
      </c>
      <c r="J243" s="98">
        <f>L225+M225</f>
        <v>5296795.4522599652</v>
      </c>
      <c r="K243" s="98">
        <f>O225+P225</f>
        <v>3884885.9042208744</v>
      </c>
      <c r="L243" s="39">
        <f t="shared" si="36"/>
        <v>394997.1055644991</v>
      </c>
      <c r="M243" s="39">
        <f t="shared" si="36"/>
        <v>9809877.1379632242</v>
      </c>
      <c r="N243" s="39">
        <f t="shared" si="36"/>
        <v>92713.09390026753</v>
      </c>
      <c r="O243" s="39"/>
      <c r="P243" s="29"/>
      <c r="Q243" s="29"/>
      <c r="R243" s="29"/>
      <c r="S243" s="29"/>
      <c r="T243" s="29"/>
    </row>
    <row r="244" spans="2:20">
      <c r="B244" t="s">
        <v>145</v>
      </c>
      <c r="D244" t="s">
        <v>109</v>
      </c>
      <c r="F244" s="83">
        <f>SUM(G244:O244)</f>
        <v>475683267.66896904</v>
      </c>
      <c r="G244" s="39">
        <f t="shared" si="35"/>
        <v>8476231.7986967061</v>
      </c>
      <c r="H244" s="39">
        <f t="shared" si="35"/>
        <v>12356166.962349772</v>
      </c>
      <c r="I244" s="98">
        <f>J226+K226</f>
        <v>16251935.786383018</v>
      </c>
      <c r="J244" s="98">
        <f>L226+M226</f>
        <v>122857893.97678068</v>
      </c>
      <c r="K244" s="98">
        <f>O226+P226</f>
        <v>70062073.644881338</v>
      </c>
      <c r="L244" s="39">
        <f t="shared" si="36"/>
        <v>8294939.2168544848</v>
      </c>
      <c r="M244" s="39">
        <f t="shared" si="36"/>
        <v>235437051.31111744</v>
      </c>
      <c r="N244" s="39">
        <f t="shared" si="36"/>
        <v>1946974.9719056182</v>
      </c>
      <c r="O244" s="39"/>
      <c r="P244" s="29"/>
      <c r="Q244" s="29"/>
      <c r="R244" s="29"/>
      <c r="S244" s="29"/>
      <c r="T244" s="29"/>
    </row>
    <row r="245" spans="2:20">
      <c r="F245" s="47"/>
      <c r="G245" s="29"/>
      <c r="H245" s="29"/>
      <c r="I245" s="29"/>
      <c r="J245" s="29"/>
      <c r="K245" s="29"/>
      <c r="L245" s="29"/>
      <c r="M245" s="29"/>
      <c r="N245" s="29"/>
      <c r="O245" s="29"/>
      <c r="P245" s="28"/>
      <c r="Q245" s="28"/>
      <c r="R245" s="28"/>
      <c r="S245" s="28"/>
      <c r="T245" s="28"/>
    </row>
    <row r="246" spans="2:20">
      <c r="B246" s="3" t="s">
        <v>146</v>
      </c>
      <c r="F246" s="47"/>
      <c r="G246" s="29"/>
      <c r="H246" s="29"/>
      <c r="I246" s="29"/>
      <c r="J246" s="29"/>
      <c r="K246" s="29"/>
      <c r="L246" s="29"/>
      <c r="M246" s="29"/>
      <c r="N246" s="29"/>
      <c r="O246" s="29"/>
      <c r="P246" s="28"/>
      <c r="Q246" s="28"/>
      <c r="R246" s="28"/>
      <c r="S246" s="28"/>
      <c r="T246" s="28"/>
    </row>
    <row r="247" spans="2:20">
      <c r="B247" t="s">
        <v>147</v>
      </c>
      <c r="D247" t="s">
        <v>109</v>
      </c>
      <c r="F247" s="83">
        <f>SUM(G247:O247)</f>
        <v>130532424.39316049</v>
      </c>
      <c r="G247" s="39">
        <f t="shared" ref="G247:H249" si="37">G229</f>
        <v>1594312.66</v>
      </c>
      <c r="H247" s="39">
        <f t="shared" si="37"/>
        <v>2181109.85</v>
      </c>
      <c r="I247" s="98">
        <f>J229+K229</f>
        <v>1056182.8741291773</v>
      </c>
      <c r="J247" s="98">
        <f>L229+M229</f>
        <v>33771440.164999977</v>
      </c>
      <c r="K247" s="98">
        <f>O229+P229</f>
        <v>44412039.392991394</v>
      </c>
      <c r="L247" s="39">
        <f t="shared" ref="L247:N249" si="38">Q229</f>
        <v>900613.04575644154</v>
      </c>
      <c r="M247" s="39">
        <f t="shared" si="38"/>
        <v>47128442.106499992</v>
      </c>
      <c r="N247" s="39">
        <f t="shared" si="38"/>
        <v>-511715.70121648803</v>
      </c>
      <c r="O247" s="39"/>
      <c r="P247" s="29"/>
      <c r="Q247" s="29"/>
      <c r="R247" s="29"/>
      <c r="S247" s="29"/>
      <c r="T247" s="29"/>
    </row>
    <row r="248" spans="2:20">
      <c r="B248" t="s">
        <v>139</v>
      </c>
      <c r="D248" t="s">
        <v>109</v>
      </c>
      <c r="F248" s="83">
        <f>SUM(G248:O248)</f>
        <v>6112521.9369950397</v>
      </c>
      <c r="G248" s="39">
        <f t="shared" si="37"/>
        <v>138244.70974358974</v>
      </c>
      <c r="H248" s="39">
        <f t="shared" si="37"/>
        <v>98193.72852087178</v>
      </c>
      <c r="I248" s="98">
        <f>J230+K230</f>
        <v>20626.013771686798</v>
      </c>
      <c r="J248" s="98">
        <f>L230+M230</f>
        <v>1697262.865266846</v>
      </c>
      <c r="K248" s="98">
        <f>O230+P230</f>
        <v>1860463.7929460136</v>
      </c>
      <c r="L248" s="39">
        <f t="shared" si="38"/>
        <v>87868.860226371005</v>
      </c>
      <c r="M248" s="39">
        <f t="shared" si="38"/>
        <v>2210397.0979455127</v>
      </c>
      <c r="N248" s="39">
        <f t="shared" si="38"/>
        <v>-535.13142585241258</v>
      </c>
      <c r="O248" s="39"/>
      <c r="P248" s="29"/>
      <c r="Q248" s="29"/>
      <c r="R248" s="29"/>
      <c r="S248" s="29"/>
      <c r="T248" s="29"/>
    </row>
    <row r="249" spans="2:20">
      <c r="B249" t="s">
        <v>148</v>
      </c>
      <c r="D249" t="s">
        <v>109</v>
      </c>
      <c r="F249" s="83">
        <f>SUM(G249:O249)</f>
        <v>293664135.09128523</v>
      </c>
      <c r="G249" s="39">
        <f t="shared" si="37"/>
        <v>5941001.8643589728</v>
      </c>
      <c r="H249" s="39">
        <f t="shared" si="37"/>
        <v>4747315.2177730184</v>
      </c>
      <c r="I249" s="98">
        <f>J231+K231</f>
        <v>1310331.2000794725</v>
      </c>
      <c r="J249" s="98">
        <f>L231+M231</f>
        <v>80224971.715098336</v>
      </c>
      <c r="K249" s="98">
        <f>O231+P231</f>
        <v>91798712.928656757</v>
      </c>
      <c r="L249" s="39">
        <f t="shared" si="38"/>
        <v>3709951.8327808101</v>
      </c>
      <c r="M249" s="39">
        <f t="shared" si="38"/>
        <v>106213044.45970032</v>
      </c>
      <c r="N249" s="39">
        <f t="shared" si="38"/>
        <v>-281194.12716243055</v>
      </c>
      <c r="O249" s="39"/>
      <c r="P249" s="29"/>
      <c r="Q249" s="29"/>
      <c r="R249" s="29"/>
      <c r="S249" s="29"/>
      <c r="T249" s="29"/>
    </row>
    <row r="250" spans="2:20">
      <c r="F250" s="47"/>
      <c r="G250" s="29"/>
      <c r="H250" s="29"/>
      <c r="I250" s="29"/>
      <c r="J250" s="29"/>
      <c r="K250" s="29"/>
      <c r="L250" s="29"/>
      <c r="M250" s="29"/>
      <c r="N250" s="29"/>
      <c r="O250" s="29"/>
      <c r="P250" s="28"/>
      <c r="Q250" s="28"/>
      <c r="R250" s="28"/>
      <c r="S250" s="28"/>
      <c r="T250" s="28"/>
    </row>
    <row r="251" spans="2:20">
      <c r="B251" s="3" t="s">
        <v>157</v>
      </c>
      <c r="F251" s="47"/>
      <c r="G251" s="29"/>
      <c r="H251" s="29"/>
      <c r="I251" s="29"/>
      <c r="J251" s="29"/>
      <c r="K251" s="29"/>
      <c r="L251" s="29"/>
      <c r="M251" s="29"/>
      <c r="N251" s="29"/>
      <c r="O251" s="29"/>
      <c r="P251" s="28"/>
      <c r="Q251" s="28"/>
      <c r="R251" s="28"/>
      <c r="S251" s="28"/>
      <c r="T251" s="28"/>
    </row>
    <row r="252" spans="2:20">
      <c r="B252" t="s">
        <v>158</v>
      </c>
      <c r="D252" t="s">
        <v>109</v>
      </c>
      <c r="F252" s="83">
        <f>SUM(G252:O252)</f>
        <v>0</v>
      </c>
      <c r="G252" s="39">
        <f t="shared" ref="G252:H254" si="39">G234</f>
        <v>0</v>
      </c>
      <c r="H252" s="39">
        <f t="shared" si="39"/>
        <v>0</v>
      </c>
      <c r="I252" s="98">
        <f>J234+K234</f>
        <v>0</v>
      </c>
      <c r="J252" s="98">
        <f>L234+M234</f>
        <v>0</v>
      </c>
      <c r="K252" s="98">
        <f>O234+P234</f>
        <v>0</v>
      </c>
      <c r="L252" s="39">
        <f t="shared" ref="L252:N254" si="40">Q234</f>
        <v>0</v>
      </c>
      <c r="M252" s="39">
        <f t="shared" si="40"/>
        <v>0</v>
      </c>
      <c r="N252" s="39">
        <f t="shared" si="40"/>
        <v>0</v>
      </c>
      <c r="O252" s="39"/>
      <c r="P252" s="29"/>
      <c r="Q252" s="29"/>
      <c r="R252" s="29"/>
      <c r="S252" s="29"/>
      <c r="T252" s="29"/>
    </row>
    <row r="253" spans="2:20">
      <c r="B253" t="s">
        <v>159</v>
      </c>
      <c r="D253" t="s">
        <v>109</v>
      </c>
      <c r="F253" s="83">
        <f>SUM(G253:O253)</f>
        <v>0</v>
      </c>
      <c r="G253" s="39">
        <f t="shared" si="39"/>
        <v>0</v>
      </c>
      <c r="H253" s="39">
        <f t="shared" si="39"/>
        <v>0</v>
      </c>
      <c r="I253" s="98">
        <f>J235+K235</f>
        <v>0</v>
      </c>
      <c r="J253" s="98">
        <f>L235+M235</f>
        <v>0</v>
      </c>
      <c r="K253" s="98">
        <f>O235+P235</f>
        <v>0</v>
      </c>
      <c r="L253" s="39">
        <f t="shared" si="40"/>
        <v>0</v>
      </c>
      <c r="M253" s="39">
        <f t="shared" si="40"/>
        <v>0</v>
      </c>
      <c r="N253" s="39">
        <f t="shared" si="40"/>
        <v>0</v>
      </c>
      <c r="O253" s="39"/>
      <c r="P253" s="29"/>
      <c r="Q253" s="29"/>
      <c r="R253" s="29"/>
      <c r="S253" s="29"/>
      <c r="T253" s="29"/>
    </row>
    <row r="254" spans="2:20">
      <c r="B254" t="s">
        <v>160</v>
      </c>
      <c r="D254" t="s">
        <v>109</v>
      </c>
      <c r="F254" s="83">
        <f>SUM(G254:O254)</f>
        <v>0</v>
      </c>
      <c r="G254" s="39">
        <f t="shared" si="39"/>
        <v>0</v>
      </c>
      <c r="H254" s="39">
        <f t="shared" si="39"/>
        <v>0</v>
      </c>
      <c r="I254" s="98">
        <f>J236+K236</f>
        <v>0</v>
      </c>
      <c r="J254" s="98">
        <f>L236+M236</f>
        <v>0</v>
      </c>
      <c r="K254" s="98">
        <f>O236+P236</f>
        <v>0</v>
      </c>
      <c r="L254" s="39">
        <f t="shared" si="40"/>
        <v>0</v>
      </c>
      <c r="M254" s="39">
        <f t="shared" si="40"/>
        <v>0</v>
      </c>
      <c r="N254" s="39">
        <f t="shared" si="40"/>
        <v>0</v>
      </c>
      <c r="O254" s="39"/>
      <c r="P254" s="29"/>
      <c r="Q254" s="29"/>
      <c r="R254" s="29"/>
      <c r="S254" s="29"/>
      <c r="T254" s="29"/>
    </row>
    <row r="255" spans="2:20">
      <c r="F255" s="47"/>
    </row>
    <row r="256" spans="2:20">
      <c r="F256" s="47"/>
    </row>
    <row r="257" spans="2:22">
      <c r="B257" s="3" t="s">
        <v>417</v>
      </c>
      <c r="F257" s="47"/>
    </row>
    <row r="258" spans="2:22">
      <c r="F258" s="47"/>
    </row>
    <row r="259" spans="2:22">
      <c r="B259" s="3" t="s">
        <v>171</v>
      </c>
      <c r="F259" s="47"/>
    </row>
    <row r="260" spans="2:22">
      <c r="B260" t="s">
        <v>139</v>
      </c>
      <c r="D260" t="s">
        <v>109</v>
      </c>
      <c r="F260" s="83">
        <f>SUM(G260:O260)</f>
        <v>27410382.057167862</v>
      </c>
      <c r="G260" s="24">
        <f t="shared" ref="G260:O260" si="41">G243+G248+G253</f>
        <v>506776.527078229</v>
      </c>
      <c r="H260" s="24">
        <f t="shared" si="41"/>
        <v>716002.07663836004</v>
      </c>
      <c r="I260" s="24">
        <f t="shared" si="41"/>
        <v>852877.27458354912</v>
      </c>
      <c r="J260" s="24">
        <f t="shared" si="41"/>
        <v>6994058.3175268117</v>
      </c>
      <c r="K260" s="24">
        <f t="shared" si="41"/>
        <v>5745349.697166888</v>
      </c>
      <c r="L260" s="24">
        <f t="shared" si="41"/>
        <v>482865.96579087013</v>
      </c>
      <c r="M260" s="24">
        <f t="shared" si="41"/>
        <v>12020274.235908737</v>
      </c>
      <c r="N260" s="24">
        <f t="shared" si="41"/>
        <v>92177.962474415122</v>
      </c>
      <c r="O260" s="24">
        <f t="shared" si="41"/>
        <v>0</v>
      </c>
      <c r="V260" s="51" t="s">
        <v>570</v>
      </c>
    </row>
    <row r="261" spans="2:22">
      <c r="B261" t="s">
        <v>165</v>
      </c>
      <c r="D261" t="s">
        <v>109</v>
      </c>
      <c r="F261" s="83">
        <f>SUM(G261:O261)</f>
        <v>769347402.76025426</v>
      </c>
      <c r="G261" s="24">
        <f t="shared" ref="G261:O261" si="42">G244+G249+G254</f>
        <v>14417233.663055679</v>
      </c>
      <c r="H261" s="24">
        <f t="shared" si="42"/>
        <v>17103482.180122793</v>
      </c>
      <c r="I261" s="24">
        <f t="shared" si="42"/>
        <v>17562266.986462489</v>
      </c>
      <c r="J261" s="24">
        <f t="shared" si="42"/>
        <v>203082865.69187903</v>
      </c>
      <c r="K261" s="24">
        <f t="shared" si="42"/>
        <v>161860786.57353809</v>
      </c>
      <c r="L261" s="24">
        <f t="shared" si="42"/>
        <v>12004891.049635295</v>
      </c>
      <c r="M261" s="24">
        <f t="shared" si="42"/>
        <v>341650095.77081776</v>
      </c>
      <c r="N261" s="24">
        <f t="shared" si="42"/>
        <v>1665780.8447431875</v>
      </c>
      <c r="O261" s="24">
        <f t="shared" si="42"/>
        <v>0</v>
      </c>
      <c r="V261" s="51" t="s">
        <v>571</v>
      </c>
    </row>
    <row r="262" spans="2:22">
      <c r="B262" t="s">
        <v>166</v>
      </c>
      <c r="D262" t="s">
        <v>109</v>
      </c>
      <c r="F262" s="83">
        <f>SUM(G262:O262)</f>
        <v>27696506.499369152</v>
      </c>
      <c r="G262" s="24">
        <f>G261*$F$12</f>
        <v>519020.41187000438</v>
      </c>
      <c r="H262" s="24">
        <f t="shared" ref="H262:O262" si="43">H261*$F$12</f>
        <v>615725.35848442046</v>
      </c>
      <c r="I262" s="24">
        <f t="shared" si="43"/>
        <v>632241.61151264957</v>
      </c>
      <c r="J262" s="24">
        <f t="shared" si="43"/>
        <v>7310983.1649076445</v>
      </c>
      <c r="K262" s="24">
        <f t="shared" si="43"/>
        <v>5826988.3166473713</v>
      </c>
      <c r="L262" s="24">
        <f t="shared" si="43"/>
        <v>432176.07778687059</v>
      </c>
      <c r="M262" s="24">
        <f t="shared" si="43"/>
        <v>12299403.447749438</v>
      </c>
      <c r="N262" s="24">
        <f t="shared" si="43"/>
        <v>59968.110410754743</v>
      </c>
      <c r="O262" s="24">
        <f t="shared" si="43"/>
        <v>0</v>
      </c>
      <c r="V262" s="51" t="s">
        <v>572</v>
      </c>
    </row>
    <row r="263" spans="2:22">
      <c r="B263" t="s">
        <v>169</v>
      </c>
      <c r="D263" t="s">
        <v>109</v>
      </c>
      <c r="F263" s="83">
        <f>SUM(G263:O263)</f>
        <v>55106888.556537017</v>
      </c>
      <c r="G263" s="21">
        <f>G260+G262</f>
        <v>1025796.9389482334</v>
      </c>
      <c r="H263" s="21">
        <f t="shared" ref="H263:O263" si="44">H260+H262</f>
        <v>1331727.4351227805</v>
      </c>
      <c r="I263" s="21">
        <f t="shared" si="44"/>
        <v>1485118.8860961986</v>
      </c>
      <c r="J263" s="21">
        <f t="shared" si="44"/>
        <v>14305041.482434455</v>
      </c>
      <c r="K263" s="21">
        <f t="shared" si="44"/>
        <v>11572338.013814259</v>
      </c>
      <c r="L263" s="21">
        <f t="shared" si="44"/>
        <v>915042.04357774067</v>
      </c>
      <c r="M263" s="21">
        <f t="shared" si="44"/>
        <v>24319677.683658175</v>
      </c>
      <c r="N263" s="21">
        <f t="shared" si="44"/>
        <v>152146.07288516988</v>
      </c>
      <c r="O263" s="21">
        <f t="shared" si="44"/>
        <v>0</v>
      </c>
      <c r="V263" s="51" t="s">
        <v>573</v>
      </c>
    </row>
    <row r="264" spans="2:22">
      <c r="F264" s="47"/>
    </row>
    <row r="265" spans="2:22">
      <c r="F265" s="47"/>
    </row>
    <row r="266" spans="2:22">
      <c r="B266" s="3" t="s">
        <v>170</v>
      </c>
      <c r="F266" s="47"/>
    </row>
    <row r="267" spans="2:22">
      <c r="F267" s="47"/>
    </row>
    <row r="268" spans="2:22">
      <c r="B268" s="51" t="s">
        <v>419</v>
      </c>
      <c r="D268" t="s">
        <v>109</v>
      </c>
      <c r="F268" s="83">
        <f>SUM(G268:O268)</f>
        <v>0</v>
      </c>
      <c r="G268" s="8"/>
      <c r="H268" s="8"/>
      <c r="I268" s="8"/>
      <c r="J268" s="8"/>
      <c r="K268" s="8"/>
      <c r="L268" s="8"/>
      <c r="M268" s="8"/>
      <c r="N268" s="8"/>
      <c r="O268" s="8"/>
    </row>
    <row r="269" spans="2:22">
      <c r="B269" t="s">
        <v>173</v>
      </c>
      <c r="D269" t="s">
        <v>109</v>
      </c>
      <c r="F269" s="83">
        <f>SUM(G269:O269)</f>
        <v>0</v>
      </c>
      <c r="G269" s="97">
        <f>'PRD Ov.Opbrengst AD (2009-2012)'!G163</f>
        <v>0</v>
      </c>
      <c r="H269" s="97">
        <f>'PRD Ov.Opbrengst AD (2009-2012)'!H163</f>
        <v>0</v>
      </c>
      <c r="I269" s="97">
        <f>'PRD Ov.Opbrengst AD (2009-2012)'!I163</f>
        <v>0</v>
      </c>
      <c r="J269" s="97">
        <f>'PRD Ov.Opbrengst AD (2009-2012)'!J163</f>
        <v>0</v>
      </c>
      <c r="K269" s="97">
        <f>'PRD Ov.Opbrengst AD (2009-2012)'!K163</f>
        <v>0</v>
      </c>
      <c r="L269" s="97">
        <f>'PRD Ov.Opbrengst AD (2009-2012)'!L163</f>
        <v>0</v>
      </c>
      <c r="M269" s="97">
        <f>'PRD Ov.Opbrengst AD (2009-2012)'!M163</f>
        <v>0</v>
      </c>
      <c r="N269" s="97">
        <f>'PRD Ov.Opbrengst AD (2009-2012)'!N163</f>
        <v>0</v>
      </c>
      <c r="O269" s="97">
        <f>'PRD Ov.Opbrengst AD (2009-2012)'!O163</f>
        <v>0</v>
      </c>
    </row>
    <row r="270" spans="2:22">
      <c r="B270" t="s">
        <v>174</v>
      </c>
      <c r="D270" t="s">
        <v>109</v>
      </c>
      <c r="F270" s="83">
        <f>SUM(G270:O270)</f>
        <v>0</v>
      </c>
      <c r="G270" s="8"/>
      <c r="H270" s="8"/>
      <c r="I270" s="8"/>
      <c r="J270" s="8"/>
      <c r="K270" s="8"/>
      <c r="L270" s="8"/>
      <c r="M270" s="8"/>
      <c r="N270" s="8"/>
      <c r="O270" s="8"/>
    </row>
    <row r="271" spans="2:22">
      <c r="B271" s="13" t="s">
        <v>187</v>
      </c>
      <c r="D271" t="s">
        <v>109</v>
      </c>
      <c r="F271" s="83">
        <f>SUM(G271:O271)</f>
        <v>0</v>
      </c>
      <c r="G271" s="24">
        <f t="shared" ref="G271:O271" si="45">SUM(G268:G270)</f>
        <v>0</v>
      </c>
      <c r="H271" s="24">
        <f t="shared" si="45"/>
        <v>0</v>
      </c>
      <c r="I271" s="24">
        <f t="shared" si="45"/>
        <v>0</v>
      </c>
      <c r="J271" s="24">
        <f t="shared" si="45"/>
        <v>0</v>
      </c>
      <c r="K271" s="24">
        <f t="shared" si="45"/>
        <v>0</v>
      </c>
      <c r="L271" s="24">
        <f t="shared" si="45"/>
        <v>0</v>
      </c>
      <c r="M271" s="24">
        <f t="shared" si="45"/>
        <v>0</v>
      </c>
      <c r="N271" s="24">
        <f t="shared" si="45"/>
        <v>0</v>
      </c>
      <c r="O271" s="24">
        <f t="shared" si="45"/>
        <v>0</v>
      </c>
    </row>
    <row r="272" spans="2:22">
      <c r="F272" s="47"/>
    </row>
    <row r="273" spans="2:22">
      <c r="F273" s="47"/>
    </row>
    <row r="274" spans="2:22">
      <c r="B274" s="3" t="s">
        <v>418</v>
      </c>
      <c r="F274" s="47"/>
    </row>
    <row r="275" spans="2:22">
      <c r="F275" s="47"/>
    </row>
    <row r="276" spans="2:22">
      <c r="B276" t="s">
        <v>175</v>
      </c>
      <c r="D276" t="s">
        <v>109</v>
      </c>
      <c r="F276" s="84">
        <f>SUM(G276:O276)</f>
        <v>55106888.556537017</v>
      </c>
      <c r="G276" s="21">
        <f t="shared" ref="G276:O276" si="46">G263-G271</f>
        <v>1025796.9389482334</v>
      </c>
      <c r="H276" s="21">
        <f t="shared" si="46"/>
        <v>1331727.4351227805</v>
      </c>
      <c r="I276" s="21">
        <f t="shared" si="46"/>
        <v>1485118.8860961986</v>
      </c>
      <c r="J276" s="21">
        <f t="shared" si="46"/>
        <v>14305041.482434455</v>
      </c>
      <c r="K276" s="21">
        <f t="shared" si="46"/>
        <v>11572338.013814259</v>
      </c>
      <c r="L276" s="21">
        <f t="shared" si="46"/>
        <v>915042.04357774067</v>
      </c>
      <c r="M276" s="21">
        <f t="shared" si="46"/>
        <v>24319677.683658175</v>
      </c>
      <c r="N276" s="21">
        <f t="shared" si="46"/>
        <v>152146.07288516988</v>
      </c>
      <c r="O276" s="21">
        <f t="shared" si="46"/>
        <v>0</v>
      </c>
      <c r="V276" s="51" t="s">
        <v>573</v>
      </c>
    </row>
    <row r="277" spans="2:22" s="258" customFormat="1">
      <c r="F277" s="47"/>
    </row>
    <row r="278" spans="2:22" s="258" customFormat="1">
      <c r="B278" s="78" t="s">
        <v>762</v>
      </c>
      <c r="D278" s="258" t="s">
        <v>109</v>
      </c>
      <c r="F278" s="84">
        <f>SUM(G278:O278)</f>
        <v>75109921.028303638</v>
      </c>
      <c r="G278" s="98">
        <f>G260+G261*$F$11-G271</f>
        <v>1400645.014187681</v>
      </c>
      <c r="H278" s="98">
        <f t="shared" ref="H278:O278" si="47">H260+H261*$F$11-H271</f>
        <v>1776417.9718059732</v>
      </c>
      <c r="I278" s="98">
        <f t="shared" si="47"/>
        <v>1941737.8277442236</v>
      </c>
      <c r="J278" s="98">
        <f t="shared" si="47"/>
        <v>19585195.990423314</v>
      </c>
      <c r="K278" s="98">
        <f t="shared" si="47"/>
        <v>15780718.464726251</v>
      </c>
      <c r="L278" s="98">
        <f t="shared" si="47"/>
        <v>1227169.2108682585</v>
      </c>
      <c r="M278" s="98">
        <f t="shared" si="47"/>
        <v>33202580.173699439</v>
      </c>
      <c r="N278" s="98">
        <f t="shared" si="47"/>
        <v>195456.37484849273</v>
      </c>
      <c r="O278" s="98">
        <f t="shared" si="47"/>
        <v>0</v>
      </c>
    </row>
    <row r="279" spans="2:22">
      <c r="F279" s="47"/>
    </row>
    <row r="280" spans="2:22">
      <c r="F280" s="62"/>
      <c r="G280" s="42"/>
      <c r="H280" s="42"/>
      <c r="I280" s="42"/>
      <c r="J280" s="42"/>
      <c r="K280" s="42"/>
      <c r="L280" s="42"/>
      <c r="M280" s="42"/>
      <c r="N280" s="42"/>
    </row>
    <row r="281" spans="2:22">
      <c r="B281" s="3" t="s">
        <v>421</v>
      </c>
      <c r="F281" s="47"/>
      <c r="G281" s="55"/>
      <c r="H281" s="3" t="s">
        <v>408</v>
      </c>
      <c r="I281" s="55"/>
      <c r="J281" s="3" t="s">
        <v>411</v>
      </c>
      <c r="K281" s="55"/>
      <c r="L281" s="55"/>
      <c r="M281" s="55"/>
      <c r="N281" s="55"/>
      <c r="O281" s="3" t="s">
        <v>420</v>
      </c>
      <c r="P281" s="55"/>
      <c r="Q281" s="55"/>
      <c r="R281" s="55"/>
      <c r="S281" s="55"/>
      <c r="T281" s="55"/>
    </row>
    <row r="282" spans="2:22">
      <c r="F282" s="47"/>
      <c r="G282" s="28"/>
      <c r="I282" s="28"/>
      <c r="K282" s="28"/>
      <c r="L282" s="28"/>
      <c r="M282" s="28"/>
      <c r="N282" s="28"/>
      <c r="P282" s="28"/>
      <c r="Q282" s="28"/>
      <c r="R282" s="28"/>
      <c r="S282" s="28"/>
      <c r="T282" s="28"/>
    </row>
    <row r="283" spans="2:22">
      <c r="B283" s="3" t="s">
        <v>142</v>
      </c>
      <c r="F283" s="47"/>
      <c r="G283" s="28"/>
      <c r="I283" s="28"/>
      <c r="K283" s="28"/>
      <c r="L283" s="28"/>
      <c r="M283" s="28"/>
      <c r="N283" s="28"/>
      <c r="P283" s="28"/>
      <c r="Q283" s="28"/>
      <c r="R283" s="28"/>
      <c r="S283" s="28"/>
      <c r="T283" s="28"/>
    </row>
    <row r="284" spans="2:22">
      <c r="B284" t="s">
        <v>143</v>
      </c>
      <c r="D284" t="s">
        <v>109</v>
      </c>
      <c r="F284" s="83">
        <f>SUM(G284:O284)</f>
        <v>0</v>
      </c>
      <c r="G284" s="29"/>
      <c r="H284" s="39">
        <f>I224</f>
        <v>0</v>
      </c>
      <c r="I284" s="29"/>
      <c r="J284" s="97">
        <f>N224</f>
        <v>0</v>
      </c>
      <c r="K284" s="29"/>
      <c r="L284" s="29"/>
      <c r="M284" s="29"/>
      <c r="N284" s="29"/>
      <c r="O284" s="97">
        <f>T224</f>
        <v>0</v>
      </c>
      <c r="P284" s="29"/>
      <c r="Q284" s="29"/>
      <c r="R284" s="29"/>
      <c r="S284" s="29"/>
      <c r="T284" s="29"/>
    </row>
    <row r="285" spans="2:22">
      <c r="B285" t="s">
        <v>144</v>
      </c>
      <c r="D285" t="s">
        <v>109</v>
      </c>
      <c r="F285" s="83">
        <f>SUM(G285:O285)</f>
        <v>0</v>
      </c>
      <c r="G285" s="29"/>
      <c r="H285" s="39">
        <f>I225</f>
        <v>0</v>
      </c>
      <c r="I285" s="29"/>
      <c r="J285" s="97">
        <f>N225</f>
        <v>0</v>
      </c>
      <c r="K285" s="29"/>
      <c r="L285" s="29"/>
      <c r="M285" s="29"/>
      <c r="N285" s="29"/>
      <c r="O285" s="97">
        <f>T225</f>
        <v>0</v>
      </c>
      <c r="P285" s="29"/>
      <c r="Q285" s="29"/>
      <c r="R285" s="29"/>
      <c r="S285" s="29"/>
      <c r="T285" s="29"/>
    </row>
    <row r="286" spans="2:22">
      <c r="B286" t="s">
        <v>145</v>
      </c>
      <c r="D286" t="s">
        <v>109</v>
      </c>
      <c r="F286" s="83">
        <f>SUM(G286:O286)</f>
        <v>0</v>
      </c>
      <c r="G286" s="29"/>
      <c r="H286" s="39">
        <f>I226</f>
        <v>0</v>
      </c>
      <c r="I286" s="29"/>
      <c r="J286" s="97">
        <f>N226</f>
        <v>0</v>
      </c>
      <c r="K286" s="29"/>
      <c r="L286" s="29"/>
      <c r="M286" s="29"/>
      <c r="N286" s="29"/>
      <c r="O286" s="97">
        <f>T226</f>
        <v>0</v>
      </c>
      <c r="P286" s="29"/>
      <c r="Q286" s="29"/>
      <c r="R286" s="29"/>
      <c r="S286" s="29"/>
      <c r="T286" s="29"/>
    </row>
    <row r="287" spans="2:22">
      <c r="F287" s="47"/>
      <c r="G287" s="29"/>
      <c r="H287" s="29"/>
      <c r="I287" s="29"/>
      <c r="J287" s="29"/>
      <c r="K287" s="29"/>
      <c r="L287" s="29"/>
      <c r="M287" s="29"/>
      <c r="N287" s="29"/>
      <c r="O287" s="28"/>
      <c r="P287" s="28"/>
      <c r="Q287" s="28"/>
      <c r="R287" s="28"/>
      <c r="S287" s="28"/>
      <c r="T287" s="28"/>
    </row>
    <row r="288" spans="2:22">
      <c r="B288" s="3" t="s">
        <v>146</v>
      </c>
      <c r="F288" s="47"/>
      <c r="G288" s="29"/>
      <c r="H288" s="29"/>
      <c r="I288" s="29"/>
      <c r="J288" s="29"/>
      <c r="K288" s="29"/>
      <c r="L288" s="29"/>
      <c r="M288" s="29"/>
      <c r="N288" s="29"/>
      <c r="O288" s="28"/>
      <c r="P288" s="28"/>
      <c r="Q288" s="28"/>
      <c r="R288" s="28"/>
      <c r="S288" s="28"/>
      <c r="T288" s="28"/>
    </row>
    <row r="289" spans="2:22">
      <c r="B289" t="s">
        <v>147</v>
      </c>
      <c r="D289" t="s">
        <v>109</v>
      </c>
      <c r="F289" s="83">
        <f>SUM(G289:O289)</f>
        <v>0</v>
      </c>
      <c r="G289" s="29"/>
      <c r="H289" s="39">
        <f>I229</f>
        <v>0</v>
      </c>
      <c r="I289" s="29"/>
      <c r="J289" s="97">
        <f>N229</f>
        <v>0</v>
      </c>
      <c r="K289" s="29"/>
      <c r="L289" s="29"/>
      <c r="M289" s="29"/>
      <c r="N289" s="29"/>
      <c r="O289" s="97">
        <f>T229</f>
        <v>0</v>
      </c>
      <c r="P289" s="29"/>
      <c r="Q289" s="29"/>
      <c r="R289" s="29"/>
      <c r="S289" s="29"/>
      <c r="T289" s="29"/>
    </row>
    <row r="290" spans="2:22">
      <c r="B290" t="s">
        <v>139</v>
      </c>
      <c r="D290" t="s">
        <v>109</v>
      </c>
      <c r="F290" s="83">
        <f>SUM(G290:O290)</f>
        <v>0</v>
      </c>
      <c r="G290" s="29"/>
      <c r="H290" s="39">
        <f>I230</f>
        <v>0</v>
      </c>
      <c r="I290" s="29"/>
      <c r="J290" s="97">
        <f>N230</f>
        <v>0</v>
      </c>
      <c r="K290" s="29"/>
      <c r="L290" s="29"/>
      <c r="M290" s="29"/>
      <c r="N290" s="29"/>
      <c r="O290" s="97">
        <f>T230</f>
        <v>0</v>
      </c>
      <c r="P290" s="29"/>
      <c r="Q290" s="29"/>
      <c r="R290" s="29"/>
      <c r="S290" s="29"/>
      <c r="T290" s="29"/>
    </row>
    <row r="291" spans="2:22">
      <c r="B291" t="s">
        <v>148</v>
      </c>
      <c r="D291" t="s">
        <v>109</v>
      </c>
      <c r="F291" s="83">
        <f>SUM(G291:O291)</f>
        <v>0</v>
      </c>
      <c r="G291" s="29"/>
      <c r="H291" s="39">
        <f>I231</f>
        <v>0</v>
      </c>
      <c r="I291" s="29"/>
      <c r="J291" s="97">
        <f>N231</f>
        <v>0</v>
      </c>
      <c r="K291" s="29"/>
      <c r="L291" s="29"/>
      <c r="M291" s="29"/>
      <c r="N291" s="29"/>
      <c r="O291" s="97">
        <f>T231</f>
        <v>0</v>
      </c>
      <c r="P291" s="29"/>
      <c r="Q291" s="29"/>
      <c r="R291" s="29"/>
      <c r="S291" s="29"/>
      <c r="T291" s="29"/>
    </row>
    <row r="292" spans="2:22">
      <c r="F292" s="47"/>
      <c r="G292" s="29"/>
      <c r="H292" s="29"/>
      <c r="I292" s="29"/>
      <c r="J292" s="29"/>
      <c r="K292" s="29"/>
      <c r="L292" s="29"/>
      <c r="M292" s="29"/>
      <c r="N292" s="29"/>
      <c r="O292" s="28"/>
      <c r="P292" s="28"/>
      <c r="Q292" s="28"/>
      <c r="R292" s="28"/>
      <c r="S292" s="28"/>
      <c r="T292" s="28"/>
    </row>
    <row r="293" spans="2:22">
      <c r="B293" s="3" t="s">
        <v>157</v>
      </c>
      <c r="F293" s="47"/>
      <c r="G293" s="29"/>
      <c r="H293" s="29"/>
      <c r="I293" s="29"/>
      <c r="J293" s="29"/>
      <c r="K293" s="29"/>
      <c r="L293" s="29"/>
      <c r="M293" s="29"/>
      <c r="N293" s="29"/>
      <c r="O293" s="28"/>
      <c r="P293" s="28"/>
      <c r="Q293" s="28"/>
      <c r="R293" s="28"/>
      <c r="S293" s="28"/>
      <c r="T293" s="28"/>
    </row>
    <row r="294" spans="2:22">
      <c r="B294" t="s">
        <v>158</v>
      </c>
      <c r="D294" t="s">
        <v>109</v>
      </c>
      <c r="F294" s="83">
        <f>SUM(G294:O294)</f>
        <v>0</v>
      </c>
      <c r="G294" s="29"/>
      <c r="H294" s="39">
        <f>I234</f>
        <v>0</v>
      </c>
      <c r="I294" s="29"/>
      <c r="J294" s="97">
        <f>N234</f>
        <v>0</v>
      </c>
      <c r="K294" s="29"/>
      <c r="L294" s="29"/>
      <c r="M294" s="29"/>
      <c r="N294" s="29"/>
      <c r="O294" s="97">
        <f>T234</f>
        <v>0</v>
      </c>
      <c r="P294" s="29"/>
      <c r="Q294" s="29"/>
      <c r="R294" s="29"/>
      <c r="S294" s="29"/>
      <c r="T294" s="29"/>
    </row>
    <row r="295" spans="2:22">
      <c r="B295" t="s">
        <v>159</v>
      </c>
      <c r="D295" t="s">
        <v>109</v>
      </c>
      <c r="F295" s="83">
        <f>SUM(G295:O295)</f>
        <v>0</v>
      </c>
      <c r="G295" s="29"/>
      <c r="H295" s="39">
        <f>I235</f>
        <v>0</v>
      </c>
      <c r="I295" s="29"/>
      <c r="J295" s="97">
        <f>N235</f>
        <v>0</v>
      </c>
      <c r="K295" s="29"/>
      <c r="L295" s="29"/>
      <c r="M295" s="29"/>
      <c r="N295" s="29"/>
      <c r="O295" s="97">
        <f>T235</f>
        <v>0</v>
      </c>
      <c r="P295" s="29"/>
      <c r="Q295" s="29"/>
      <c r="R295" s="29"/>
      <c r="S295" s="29"/>
      <c r="T295" s="29"/>
    </row>
    <row r="296" spans="2:22">
      <c r="B296" t="s">
        <v>160</v>
      </c>
      <c r="D296" t="s">
        <v>109</v>
      </c>
      <c r="F296" s="83">
        <f>SUM(G296:O296)</f>
        <v>0</v>
      </c>
      <c r="G296" s="29"/>
      <c r="H296" s="39">
        <f>I236</f>
        <v>0</v>
      </c>
      <c r="I296" s="29"/>
      <c r="J296" s="97">
        <f>N236</f>
        <v>0</v>
      </c>
      <c r="K296" s="29"/>
      <c r="L296" s="29"/>
      <c r="M296" s="29"/>
      <c r="N296" s="29"/>
      <c r="O296" s="97">
        <f>T236</f>
        <v>0</v>
      </c>
      <c r="P296" s="29"/>
      <c r="Q296" s="29"/>
      <c r="R296" s="29"/>
      <c r="S296" s="29"/>
      <c r="T296" s="29"/>
    </row>
    <row r="297" spans="2:22">
      <c r="F297" s="47"/>
    </row>
    <row r="298" spans="2:22">
      <c r="F298" s="47"/>
    </row>
    <row r="299" spans="2:22">
      <c r="B299" s="3" t="s">
        <v>422</v>
      </c>
      <c r="F299" s="47"/>
    </row>
    <row r="300" spans="2:22">
      <c r="F300" s="47"/>
    </row>
    <row r="301" spans="2:22">
      <c r="B301" s="3" t="s">
        <v>425</v>
      </c>
      <c r="F301" s="47"/>
    </row>
    <row r="302" spans="2:22">
      <c r="B302" t="s">
        <v>139</v>
      </c>
      <c r="D302" t="s">
        <v>109</v>
      </c>
      <c r="F302" s="83">
        <f>SUM(G302:O302)</f>
        <v>0</v>
      </c>
      <c r="G302" s="29"/>
      <c r="H302" s="24">
        <f>H285+H290+H295</f>
        <v>0</v>
      </c>
      <c r="I302" s="29"/>
      <c r="J302" s="24">
        <f>J285+J290+J295</f>
        <v>0</v>
      </c>
      <c r="K302" s="29"/>
      <c r="L302" s="29"/>
      <c r="M302" s="29"/>
      <c r="N302" s="29"/>
      <c r="O302" s="24">
        <f>O285+O290+O295</f>
        <v>0</v>
      </c>
      <c r="V302" s="51" t="s">
        <v>570</v>
      </c>
    </row>
    <row r="303" spans="2:22">
      <c r="B303" t="s">
        <v>165</v>
      </c>
      <c r="D303" t="s">
        <v>109</v>
      </c>
      <c r="F303" s="83">
        <f>SUM(G303:O303)</f>
        <v>0</v>
      </c>
      <c r="G303" s="29"/>
      <c r="H303" s="24">
        <f>H286+H291+H296</f>
        <v>0</v>
      </c>
      <c r="I303" s="29"/>
      <c r="J303" s="24">
        <f>J286+J291+J296</f>
        <v>0</v>
      </c>
      <c r="K303" s="29"/>
      <c r="L303" s="29"/>
      <c r="M303" s="29"/>
      <c r="N303" s="29"/>
      <c r="O303" s="24">
        <f>O286+O291+O296</f>
        <v>0</v>
      </c>
      <c r="V303" s="51" t="s">
        <v>571</v>
      </c>
    </row>
    <row r="304" spans="2:22">
      <c r="B304" t="s">
        <v>166</v>
      </c>
      <c r="D304" t="s">
        <v>109</v>
      </c>
      <c r="F304" s="83">
        <f>SUM(G304:O304)</f>
        <v>0</v>
      </c>
      <c r="G304" s="29"/>
      <c r="H304" s="24">
        <f t="shared" ref="H304" si="48">H303*$F$12</f>
        <v>0</v>
      </c>
      <c r="I304" s="29"/>
      <c r="J304" s="24">
        <f t="shared" ref="J304" si="49">J303*$F$12</f>
        <v>0</v>
      </c>
      <c r="K304" s="29"/>
      <c r="L304" s="29"/>
      <c r="M304" s="29"/>
      <c r="N304" s="29"/>
      <c r="O304" s="24">
        <f t="shared" ref="O304" si="50">O303*$F$12</f>
        <v>0</v>
      </c>
      <c r="V304" s="51" t="s">
        <v>572</v>
      </c>
    </row>
    <row r="305" spans="2:22">
      <c r="B305" t="s">
        <v>169</v>
      </c>
      <c r="D305" t="s">
        <v>109</v>
      </c>
      <c r="F305" s="83">
        <f>SUM(G305:O305)</f>
        <v>0</v>
      </c>
      <c r="G305" s="54"/>
      <c r="H305" s="21">
        <f t="shared" ref="H305" si="51">H302+H304</f>
        <v>0</v>
      </c>
      <c r="I305" s="54"/>
      <c r="J305" s="21">
        <f t="shared" ref="J305" si="52">J302+J304</f>
        <v>0</v>
      </c>
      <c r="K305" s="54"/>
      <c r="L305" s="54"/>
      <c r="M305" s="54"/>
      <c r="N305" s="54"/>
      <c r="O305" s="21">
        <f t="shared" ref="O305" si="53">O302+O304</f>
        <v>0</v>
      </c>
      <c r="V305" s="51" t="s">
        <v>573</v>
      </c>
    </row>
    <row r="306" spans="2:22">
      <c r="F306" s="47"/>
    </row>
    <row r="307" spans="2:22">
      <c r="F307" s="47"/>
    </row>
    <row r="308" spans="2:22">
      <c r="B308" s="3" t="s">
        <v>170</v>
      </c>
      <c r="F308" s="47"/>
      <c r="K308" s="28"/>
      <c r="L308" s="28"/>
      <c r="M308" s="28"/>
      <c r="N308" s="28"/>
    </row>
    <row r="309" spans="2:22">
      <c r="F309" s="47"/>
      <c r="G309" s="28"/>
      <c r="I309" s="28"/>
      <c r="K309" s="28"/>
      <c r="L309" s="28"/>
      <c r="M309" s="28"/>
      <c r="N309" s="28"/>
    </row>
    <row r="310" spans="2:22">
      <c r="B310" s="51" t="s">
        <v>427</v>
      </c>
      <c r="D310" t="s">
        <v>109</v>
      </c>
      <c r="F310" s="83">
        <f>SUM(G310:O310)</f>
        <v>0</v>
      </c>
      <c r="G310" s="29"/>
      <c r="H310" s="8"/>
      <c r="I310" s="29"/>
      <c r="J310" s="8"/>
      <c r="K310" s="29"/>
      <c r="L310" s="29"/>
      <c r="M310" s="29"/>
      <c r="N310" s="29"/>
      <c r="O310" s="8"/>
    </row>
    <row r="311" spans="2:22">
      <c r="B311" s="51" t="s">
        <v>760</v>
      </c>
      <c r="D311" t="s">
        <v>109</v>
      </c>
      <c r="F311" s="83">
        <f>SUM(G311:O311)</f>
        <v>0</v>
      </c>
      <c r="G311" s="29"/>
      <c r="H311" s="8"/>
      <c r="I311" s="29"/>
      <c r="J311" s="8"/>
      <c r="K311" s="29"/>
      <c r="L311" s="29"/>
      <c r="M311" s="29"/>
      <c r="N311" s="29"/>
      <c r="O311" s="8"/>
    </row>
    <row r="312" spans="2:22">
      <c r="B312" s="51" t="s">
        <v>761</v>
      </c>
      <c r="D312" t="s">
        <v>109</v>
      </c>
      <c r="F312" s="83">
        <f>SUM(G312:O312)</f>
        <v>0</v>
      </c>
      <c r="G312" s="29"/>
      <c r="H312" s="8"/>
      <c r="I312" s="29"/>
      <c r="J312" s="8"/>
      <c r="K312" s="29"/>
      <c r="L312" s="29"/>
      <c r="M312" s="29"/>
      <c r="N312" s="29"/>
      <c r="O312" s="8"/>
    </row>
    <row r="313" spans="2:22">
      <c r="B313" s="51" t="s">
        <v>426</v>
      </c>
      <c r="D313" t="s">
        <v>109</v>
      </c>
      <c r="F313" s="83">
        <f>SUM(G313:O313)</f>
        <v>0</v>
      </c>
      <c r="G313" s="29"/>
      <c r="H313" s="24">
        <f>SUM(H310:H312)</f>
        <v>0</v>
      </c>
      <c r="I313" s="29"/>
      <c r="J313" s="24">
        <f>SUM(J310:J312)</f>
        <v>0</v>
      </c>
      <c r="K313" s="29"/>
      <c r="L313" s="29"/>
      <c r="M313" s="29"/>
      <c r="N313" s="29"/>
      <c r="O313" s="24">
        <f>SUM(O310:O312)</f>
        <v>0</v>
      </c>
    </row>
    <row r="314" spans="2:22">
      <c r="F314" s="47"/>
      <c r="G314" s="28"/>
      <c r="I314" s="28"/>
      <c r="K314" s="28"/>
      <c r="L314" s="28"/>
      <c r="M314" s="28"/>
      <c r="N314" s="28"/>
    </row>
    <row r="315" spans="2:22">
      <c r="F315" s="47"/>
      <c r="G315" s="28"/>
      <c r="I315" s="28"/>
      <c r="K315" s="28"/>
      <c r="L315" s="28"/>
      <c r="M315" s="28"/>
      <c r="N315" s="28"/>
    </row>
    <row r="316" spans="2:22">
      <c r="B316" s="3" t="s">
        <v>423</v>
      </c>
      <c r="F316" s="47"/>
      <c r="G316" s="28"/>
      <c r="I316" s="28"/>
      <c r="K316" s="28"/>
      <c r="L316" s="28"/>
      <c r="M316" s="28"/>
      <c r="N316" s="28"/>
    </row>
    <row r="317" spans="2:22">
      <c r="F317" s="47"/>
      <c r="G317" s="28"/>
      <c r="I317" s="28"/>
      <c r="K317" s="28"/>
      <c r="L317" s="28"/>
      <c r="M317" s="28"/>
      <c r="N317" s="28"/>
    </row>
    <row r="318" spans="2:22">
      <c r="B318" s="51" t="s">
        <v>424</v>
      </c>
      <c r="D318" t="s">
        <v>109</v>
      </c>
      <c r="F318" s="84">
        <f>SUM(G318:O318)</f>
        <v>0</v>
      </c>
      <c r="G318" s="54"/>
      <c r="H318" s="21">
        <f>H305-H313</f>
        <v>0</v>
      </c>
      <c r="I318" s="54"/>
      <c r="J318" s="21">
        <f>J305-J313</f>
        <v>0</v>
      </c>
      <c r="K318" s="54"/>
      <c r="L318" s="54"/>
      <c r="M318" s="54"/>
      <c r="N318" s="54"/>
      <c r="O318" s="21">
        <f>O305-O313</f>
        <v>0</v>
      </c>
      <c r="V318" s="51" t="s">
        <v>573</v>
      </c>
    </row>
    <row r="319" spans="2:22" s="258" customFormat="1">
      <c r="F319" s="47"/>
    </row>
    <row r="320" spans="2:22" s="258" customFormat="1">
      <c r="B320" s="78" t="s">
        <v>776</v>
      </c>
      <c r="D320" s="258" t="s">
        <v>109</v>
      </c>
      <c r="F320" s="84">
        <f>SUM(G320:O320)</f>
        <v>0</v>
      </c>
      <c r="H320" s="98">
        <f>H302+H303*$F$11-H313</f>
        <v>0</v>
      </c>
      <c r="J320" s="98">
        <f>J302+J303*$F$11-J313</f>
        <v>0</v>
      </c>
      <c r="O320" s="98">
        <f>O302+O303*$F$11-O313</f>
        <v>0</v>
      </c>
    </row>
    <row r="321" spans="2:20">
      <c r="F321" s="47"/>
    </row>
    <row r="322" spans="2:20">
      <c r="F322" s="62"/>
      <c r="G322" s="42"/>
      <c r="H322" s="42"/>
      <c r="I322" s="42"/>
      <c r="J322" s="42"/>
      <c r="K322" s="42"/>
      <c r="L322" s="42"/>
      <c r="M322" s="42"/>
      <c r="N322" s="42"/>
    </row>
    <row r="323" spans="2:20" s="2" customFormat="1">
      <c r="B323" s="2" t="s">
        <v>179</v>
      </c>
      <c r="F323" s="49"/>
    </row>
    <row r="324" spans="2:20">
      <c r="F324" s="47"/>
    </row>
    <row r="325" spans="2:20">
      <c r="B325" s="3" t="s">
        <v>164</v>
      </c>
      <c r="F325" s="47"/>
      <c r="G325" s="3" t="s">
        <v>96</v>
      </c>
      <c r="H325" s="3" t="s">
        <v>407</v>
      </c>
      <c r="I325" s="3" t="s">
        <v>408</v>
      </c>
      <c r="J325" s="3" t="s">
        <v>98</v>
      </c>
      <c r="K325" s="3" t="s">
        <v>409</v>
      </c>
      <c r="L325" s="3" t="s">
        <v>99</v>
      </c>
      <c r="M325" s="3" t="s">
        <v>410</v>
      </c>
      <c r="N325" s="3" t="s">
        <v>411</v>
      </c>
      <c r="O325" s="3" t="s">
        <v>100</v>
      </c>
      <c r="P325" s="3" t="s">
        <v>412</v>
      </c>
      <c r="Q325" s="3" t="s">
        <v>413</v>
      </c>
      <c r="R325" s="3" t="s">
        <v>102</v>
      </c>
      <c r="S325" s="3" t="s">
        <v>103</v>
      </c>
      <c r="T325" s="3" t="s">
        <v>414</v>
      </c>
    </row>
    <row r="326" spans="2:20">
      <c r="F326" s="47"/>
    </row>
    <row r="327" spans="2:20">
      <c r="B327" s="3" t="s">
        <v>142</v>
      </c>
      <c r="F327" s="47"/>
    </row>
    <row r="328" spans="2:20">
      <c r="B328" t="s">
        <v>143</v>
      </c>
      <c r="D328" t="s">
        <v>110</v>
      </c>
      <c r="F328" s="83">
        <f>SUM(G328:T328)</f>
        <v>0</v>
      </c>
      <c r="G328" s="39">
        <f>'Import GAW-sheet'!G221</f>
        <v>0</v>
      </c>
      <c r="H328" s="39">
        <f>'Import GAW-sheet'!H221</f>
        <v>0</v>
      </c>
      <c r="I328" s="39">
        <f>'Import GAW-sheet'!I221</f>
        <v>0</v>
      </c>
      <c r="J328" s="39">
        <f>'Import GAW-sheet'!J221</f>
        <v>0</v>
      </c>
      <c r="K328" s="39">
        <f>'Import GAW-sheet'!K221</f>
        <v>0</v>
      </c>
      <c r="L328" s="39">
        <f>'Import GAW-sheet'!L221</f>
        <v>0</v>
      </c>
      <c r="M328" s="39">
        <f>'Import GAW-sheet'!M221</f>
        <v>0</v>
      </c>
      <c r="N328" s="39">
        <f>'Import GAW-sheet'!N221</f>
        <v>0</v>
      </c>
      <c r="O328" s="39">
        <f>'Import GAW-sheet'!O221</f>
        <v>0</v>
      </c>
      <c r="P328" s="39">
        <f>'Import GAW-sheet'!P221</f>
        <v>0</v>
      </c>
      <c r="Q328" s="39">
        <f>'Import GAW-sheet'!Q221</f>
        <v>0</v>
      </c>
      <c r="R328" s="39">
        <f>'Import GAW-sheet'!R221</f>
        <v>0</v>
      </c>
      <c r="S328" s="39">
        <f>'Import GAW-sheet'!S221</f>
        <v>0</v>
      </c>
      <c r="T328" s="39">
        <f>'Import GAW-sheet'!T221</f>
        <v>0</v>
      </c>
    </row>
    <row r="329" spans="2:20">
      <c r="B329" t="s">
        <v>144</v>
      </c>
      <c r="D329" t="s">
        <v>110</v>
      </c>
      <c r="F329" s="83">
        <f>SUM(G329:T329)</f>
        <v>21851604.483297314</v>
      </c>
      <c r="G329" s="39">
        <f>'Import GAW-sheet'!G222</f>
        <v>378113.64458533982</v>
      </c>
      <c r="H329" s="39">
        <f>'Import GAW-sheet'!H222</f>
        <v>633871.36516854295</v>
      </c>
      <c r="I329" s="39">
        <f>'Import GAW-sheet'!I222</f>
        <v>0</v>
      </c>
      <c r="J329" s="39">
        <f>'Import GAW-sheet'!J222</f>
        <v>450580.03856253065</v>
      </c>
      <c r="K329" s="39">
        <f>'Import GAW-sheet'!K222</f>
        <v>403309.75503043993</v>
      </c>
      <c r="L329" s="39">
        <f>'Import GAW-sheet'!L222</f>
        <v>4905302.0651455652</v>
      </c>
      <c r="M329" s="39">
        <f>'Import GAW-sheet'!M222</f>
        <v>529210.06887315889</v>
      </c>
      <c r="N329" s="39">
        <f>'Import GAW-sheet'!N222</f>
        <v>0</v>
      </c>
      <c r="O329" s="39">
        <f>'Import GAW-sheet'!O222</f>
        <v>3848278.2572335149</v>
      </c>
      <c r="P329" s="39">
        <f>'Import GAW-sheet'!P222</f>
        <v>137614.68049710247</v>
      </c>
      <c r="Q329" s="39">
        <f>'Import GAW-sheet'!Q222</f>
        <v>405267.03030917607</v>
      </c>
      <c r="R329" s="39">
        <f>'Import GAW-sheet'!R222</f>
        <v>10064933.943550268</v>
      </c>
      <c r="S329" s="39">
        <f>'Import GAW-sheet'!S222</f>
        <v>95123.634341674478</v>
      </c>
      <c r="T329" s="39">
        <f>'Import GAW-sheet'!T222</f>
        <v>0</v>
      </c>
    </row>
    <row r="330" spans="2:20">
      <c r="B330" t="s">
        <v>145</v>
      </c>
      <c r="D330" t="s">
        <v>110</v>
      </c>
      <c r="F330" s="83">
        <f>SUM(G330:T330)</f>
        <v>466199428.14506489</v>
      </c>
      <c r="G330" s="39">
        <f>'Import GAW-sheet'!G223</f>
        <v>8318500.1808774788</v>
      </c>
      <c r="H330" s="39">
        <f>'Import GAW-sheet'!H223</f>
        <v>12043555.938202323</v>
      </c>
      <c r="I330" s="39">
        <f>'Import GAW-sheet'!I223</f>
        <v>0</v>
      </c>
      <c r="J330" s="39">
        <f>'Import GAW-sheet'!J223</f>
        <v>8561020.7326880861</v>
      </c>
      <c r="K330" s="39">
        <f>'Import GAW-sheet'!K223</f>
        <v>7259575.5905479211</v>
      </c>
      <c r="L330" s="39">
        <f>'Import GAW-sheet'!L223</f>
        <v>107916645.43320242</v>
      </c>
      <c r="M330" s="39">
        <f>'Import GAW-sheet'!M223</f>
        <v>12701041.652955811</v>
      </c>
      <c r="N330" s="39">
        <f>'Import GAW-sheet'!N223</f>
        <v>0</v>
      </c>
      <c r="O330" s="39">
        <f>'Import GAW-sheet'!O223</f>
        <v>65420730.372969784</v>
      </c>
      <c r="P330" s="39">
        <f>'Import GAW-sheet'!P223</f>
        <v>2477064.2489478434</v>
      </c>
      <c r="Q330" s="39">
        <f>'Import GAW-sheet'!Q223</f>
        <v>8105340.6061835242</v>
      </c>
      <c r="R330" s="39">
        <f>'Import GAW-sheet'!R223</f>
        <v>231493480.70165622</v>
      </c>
      <c r="S330" s="39">
        <f>'Import GAW-sheet'!S223</f>
        <v>1902472.6868334897</v>
      </c>
      <c r="T330" s="39">
        <f>'Import GAW-sheet'!T223</f>
        <v>0</v>
      </c>
    </row>
    <row r="331" spans="2:20">
      <c r="F331" s="47"/>
      <c r="G331" s="29"/>
      <c r="H331" s="29"/>
      <c r="I331" s="29"/>
      <c r="J331" s="29"/>
      <c r="K331" s="29"/>
      <c r="L331" s="29"/>
      <c r="M331" s="29"/>
      <c r="N331" s="29"/>
    </row>
    <row r="332" spans="2:20">
      <c r="B332" s="3" t="s">
        <v>146</v>
      </c>
      <c r="F332" s="47"/>
      <c r="G332" s="29"/>
      <c r="H332" s="29"/>
      <c r="I332" s="29"/>
      <c r="J332" s="29"/>
      <c r="K332" s="29"/>
      <c r="L332" s="29"/>
      <c r="M332" s="29"/>
      <c r="N332" s="29"/>
    </row>
    <row r="333" spans="2:20">
      <c r="B333" t="s">
        <v>147</v>
      </c>
      <c r="D333" t="s">
        <v>110</v>
      </c>
      <c r="F333" s="83">
        <f>SUM(G333:T333)</f>
        <v>151258158.12281066</v>
      </c>
      <c r="G333" s="39">
        <f>'Import GAW-sheet'!G226</f>
        <v>2314237</v>
      </c>
      <c r="H333" s="39">
        <f>'Import GAW-sheet'!H226</f>
        <v>692301</v>
      </c>
      <c r="I333" s="39">
        <f>'Import GAW-sheet'!I226</f>
        <v>0</v>
      </c>
      <c r="J333" s="39">
        <f>'Import GAW-sheet'!J226</f>
        <v>1119274.5533492814</v>
      </c>
      <c r="K333" s="39">
        <f>'Import GAW-sheet'!K226</f>
        <v>0</v>
      </c>
      <c r="L333" s="39">
        <f>'Import GAW-sheet'!L226</f>
        <v>30562997</v>
      </c>
      <c r="M333" s="39">
        <f>'Import GAW-sheet'!M226</f>
        <v>0</v>
      </c>
      <c r="N333" s="39">
        <f>'Import GAW-sheet'!N226</f>
        <v>0</v>
      </c>
      <c r="O333" s="39">
        <f>'Import GAW-sheet'!O226</f>
        <v>66372065.724516019</v>
      </c>
      <c r="P333" s="39">
        <f>'Import GAW-sheet'!P226</f>
        <v>0</v>
      </c>
      <c r="Q333" s="39">
        <f>'Import GAW-sheet'!Q226</f>
        <v>820448.76</v>
      </c>
      <c r="R333" s="39">
        <f>'Import GAW-sheet'!R226</f>
        <v>49471670.140930884</v>
      </c>
      <c r="S333" s="39">
        <f>'Import GAW-sheet'!S226</f>
        <v>-94836.055985499494</v>
      </c>
      <c r="T333" s="39">
        <f>'Import GAW-sheet'!T226</f>
        <v>0</v>
      </c>
    </row>
    <row r="334" spans="2:20">
      <c r="B334" t="s">
        <v>139</v>
      </c>
      <c r="D334" t="s">
        <v>110</v>
      </c>
      <c r="F334" s="83">
        <f>SUM(G334:T334)</f>
        <v>9927658.0913337469</v>
      </c>
      <c r="G334" s="39">
        <f>'Import GAW-sheet'!G227</f>
        <v>192480.12077589738</v>
      </c>
      <c r="H334" s="39">
        <f>'Import GAW-sheet'!H227</f>
        <v>138312.40272010677</v>
      </c>
      <c r="I334" s="39">
        <f>'Import GAW-sheet'!I227</f>
        <v>0</v>
      </c>
      <c r="J334" s="39">
        <f>'Import GAW-sheet'!J227</f>
        <v>46018.190233099958</v>
      </c>
      <c r="K334" s="39">
        <f>'Import GAW-sheet'!K227</f>
        <v>3386.6406941611772</v>
      </c>
      <c r="L334" s="39">
        <f>'Import GAW-sheet'!L227</f>
        <v>2444540.6850410253</v>
      </c>
      <c r="M334" s="39">
        <f>'Import GAW-sheet'!M227</f>
        <v>132908.6379187839</v>
      </c>
      <c r="N334" s="39">
        <f>'Import GAW-sheet'!N227</f>
        <v>0</v>
      </c>
      <c r="O334" s="39">
        <f>'Import GAW-sheet'!O227</f>
        <v>3334754.1024906505</v>
      </c>
      <c r="P334" s="39">
        <f>'Import GAW-sheet'!P227</f>
        <v>9194.8021710001376</v>
      </c>
      <c r="Q334" s="39">
        <f>'Import GAW-sheet'!Q227</f>
        <v>112518.54988643754</v>
      </c>
      <c r="R334" s="39">
        <f>'Import GAW-sheet'!R227</f>
        <v>3522039.880725428</v>
      </c>
      <c r="S334" s="39">
        <f>'Import GAW-sheet'!S227</f>
        <v>-8495.9213228427343</v>
      </c>
      <c r="T334" s="39">
        <f>'Import GAW-sheet'!T227</f>
        <v>0</v>
      </c>
    </row>
    <row r="335" spans="2:20">
      <c r="B335" t="s">
        <v>148</v>
      </c>
      <c r="D335" t="s">
        <v>110</v>
      </c>
      <c r="F335" s="83">
        <f>SUM(G335:T335)</f>
        <v>442629902.63513559</v>
      </c>
      <c r="G335" s="39">
        <f>'Import GAW-sheet'!G228</f>
        <v>8217224.7920564078</v>
      </c>
      <c r="H335" s="39">
        <f>'Import GAW-sheet'!H228</f>
        <v>5424734.0107150096</v>
      </c>
      <c r="I335" s="39">
        <f>'Import GAW-sheet'!I228</f>
        <v>0</v>
      </c>
      <c r="J335" s="39">
        <f>'Import GAW-sheet'!J228</f>
        <v>2289746.9444413129</v>
      </c>
      <c r="K335" s="39">
        <f>'Import GAW-sheet'!K228</f>
        <v>124522.58926224626</v>
      </c>
      <c r="L335" s="39">
        <f>'Import GAW-sheet'!L228</f>
        <v>105433819.37213974</v>
      </c>
      <c r="M335" s="39">
        <f>'Import GAW-sheet'!M228</f>
        <v>4862549.2845913535</v>
      </c>
      <c r="N335" s="39">
        <f>'Import GAW-sheet'!N228</f>
        <v>0</v>
      </c>
      <c r="O335" s="39">
        <f>'Import GAW-sheet'!O228</f>
        <v>156881080.1194934</v>
      </c>
      <c r="P335" s="39">
        <f>'Import GAW-sheet'!P228</f>
        <v>332516.16516280966</v>
      </c>
      <c r="Q335" s="39">
        <f>'Import GAW-sheet'!Q228</f>
        <v>4514340.7905466724</v>
      </c>
      <c r="R335" s="39">
        <f>'Import GAW-sheet'!R228</f>
        <v>154924213.87585798</v>
      </c>
      <c r="S335" s="39">
        <f>'Import GAW-sheet'!S228</f>
        <v>-374845.30913131061</v>
      </c>
      <c r="T335" s="39">
        <f>'Import GAW-sheet'!T228</f>
        <v>0</v>
      </c>
    </row>
    <row r="336" spans="2:20">
      <c r="F336" s="47"/>
      <c r="G336" s="29"/>
      <c r="H336" s="29"/>
      <c r="I336" s="29"/>
      <c r="J336" s="29"/>
      <c r="K336" s="29"/>
      <c r="L336" s="29"/>
      <c r="M336" s="29"/>
      <c r="N336" s="29"/>
    </row>
    <row r="337" spans="2:20">
      <c r="B337" s="3" t="s">
        <v>157</v>
      </c>
      <c r="F337" s="47"/>
      <c r="G337" s="29"/>
      <c r="H337" s="29"/>
      <c r="I337" s="29"/>
      <c r="J337" s="29"/>
      <c r="K337" s="29"/>
      <c r="L337" s="29"/>
      <c r="M337" s="29"/>
      <c r="N337" s="29"/>
    </row>
    <row r="338" spans="2:20">
      <c r="B338" t="s">
        <v>158</v>
      </c>
      <c r="D338" t="s">
        <v>110</v>
      </c>
      <c r="F338" s="83">
        <f>SUM(G338:T338)</f>
        <v>0</v>
      </c>
      <c r="G338" s="39">
        <f>'Import GAW-sheet'!G231</f>
        <v>0</v>
      </c>
      <c r="H338" s="39">
        <f>'Import GAW-sheet'!H231</f>
        <v>0</v>
      </c>
      <c r="I338" s="39">
        <f>'Import GAW-sheet'!I231</f>
        <v>0</v>
      </c>
      <c r="J338" s="39">
        <f>'Import GAW-sheet'!J231</f>
        <v>0</v>
      </c>
      <c r="K338" s="39">
        <f>'Import GAW-sheet'!K231</f>
        <v>0</v>
      </c>
      <c r="L338" s="39">
        <f>'Import GAW-sheet'!L231</f>
        <v>0</v>
      </c>
      <c r="M338" s="39">
        <f>'Import GAW-sheet'!M231</f>
        <v>0</v>
      </c>
      <c r="N338" s="39">
        <f>'Import GAW-sheet'!N231</f>
        <v>0</v>
      </c>
      <c r="O338" s="39">
        <f>'Import GAW-sheet'!O231</f>
        <v>0</v>
      </c>
      <c r="P338" s="39">
        <f>'Import GAW-sheet'!P231</f>
        <v>0</v>
      </c>
      <c r="Q338" s="39">
        <f>'Import GAW-sheet'!Q231</f>
        <v>0</v>
      </c>
      <c r="R338" s="39">
        <f>'Import GAW-sheet'!R231</f>
        <v>0</v>
      </c>
      <c r="S338" s="39">
        <f>'Import GAW-sheet'!S231</f>
        <v>0</v>
      </c>
      <c r="T338" s="39">
        <f>'Import GAW-sheet'!T231</f>
        <v>0</v>
      </c>
    </row>
    <row r="339" spans="2:20">
      <c r="B339" t="s">
        <v>159</v>
      </c>
      <c r="D339" t="s">
        <v>110</v>
      </c>
      <c r="F339" s="83">
        <f>SUM(G339:T339)</f>
        <v>0</v>
      </c>
      <c r="G339" s="39">
        <f>'Import GAW-sheet'!G232</f>
        <v>0</v>
      </c>
      <c r="H339" s="39">
        <f>'Import GAW-sheet'!H232</f>
        <v>0</v>
      </c>
      <c r="I339" s="39">
        <f>'Import GAW-sheet'!I232</f>
        <v>0</v>
      </c>
      <c r="J339" s="39">
        <f>'Import GAW-sheet'!J232</f>
        <v>0</v>
      </c>
      <c r="K339" s="39">
        <f>'Import GAW-sheet'!K232</f>
        <v>0</v>
      </c>
      <c r="L339" s="39">
        <f>'Import GAW-sheet'!L232</f>
        <v>0</v>
      </c>
      <c r="M339" s="39">
        <f>'Import GAW-sheet'!M232</f>
        <v>0</v>
      </c>
      <c r="N339" s="39">
        <f>'Import GAW-sheet'!N232</f>
        <v>0</v>
      </c>
      <c r="O339" s="39">
        <f>'Import GAW-sheet'!O232</f>
        <v>0</v>
      </c>
      <c r="P339" s="39">
        <f>'Import GAW-sheet'!P232</f>
        <v>0</v>
      </c>
      <c r="Q339" s="39">
        <f>'Import GAW-sheet'!Q232</f>
        <v>0</v>
      </c>
      <c r="R339" s="39">
        <f>'Import GAW-sheet'!R232</f>
        <v>0</v>
      </c>
      <c r="S339" s="39">
        <f>'Import GAW-sheet'!S232</f>
        <v>0</v>
      </c>
      <c r="T339" s="39">
        <f>'Import GAW-sheet'!T232</f>
        <v>0</v>
      </c>
    </row>
    <row r="340" spans="2:20">
      <c r="B340" t="s">
        <v>160</v>
      </c>
      <c r="D340" t="s">
        <v>110</v>
      </c>
      <c r="F340" s="83">
        <f>SUM(G340:T340)</f>
        <v>0</v>
      </c>
      <c r="G340" s="39">
        <f>'Import GAW-sheet'!G233</f>
        <v>0</v>
      </c>
      <c r="H340" s="39">
        <f>'Import GAW-sheet'!H233</f>
        <v>0</v>
      </c>
      <c r="I340" s="39">
        <f>'Import GAW-sheet'!I233</f>
        <v>0</v>
      </c>
      <c r="J340" s="39">
        <f>'Import GAW-sheet'!J233</f>
        <v>0</v>
      </c>
      <c r="K340" s="39">
        <f>'Import GAW-sheet'!K233</f>
        <v>0</v>
      </c>
      <c r="L340" s="39">
        <f>'Import GAW-sheet'!L233</f>
        <v>0</v>
      </c>
      <c r="M340" s="39">
        <f>'Import GAW-sheet'!M233</f>
        <v>0</v>
      </c>
      <c r="N340" s="39">
        <f>'Import GAW-sheet'!N233</f>
        <v>0</v>
      </c>
      <c r="O340" s="39">
        <f>'Import GAW-sheet'!O233</f>
        <v>0</v>
      </c>
      <c r="P340" s="39">
        <f>'Import GAW-sheet'!P233</f>
        <v>0</v>
      </c>
      <c r="Q340" s="39">
        <f>'Import GAW-sheet'!Q233</f>
        <v>0</v>
      </c>
      <c r="R340" s="39">
        <f>'Import GAW-sheet'!R233</f>
        <v>0</v>
      </c>
      <c r="S340" s="39">
        <f>'Import GAW-sheet'!S233</f>
        <v>0</v>
      </c>
      <c r="T340" s="39">
        <f>'Import GAW-sheet'!T233</f>
        <v>0</v>
      </c>
    </row>
    <row r="341" spans="2:20">
      <c r="F341" s="47"/>
    </row>
    <row r="342" spans="2:20">
      <c r="F342" s="47"/>
    </row>
    <row r="343" spans="2:20">
      <c r="B343" s="3" t="s">
        <v>416</v>
      </c>
      <c r="F343" s="47"/>
      <c r="G343" s="3" t="s">
        <v>96</v>
      </c>
      <c r="H343" s="3" t="s">
        <v>407</v>
      </c>
      <c r="I343" s="3" t="s">
        <v>98</v>
      </c>
      <c r="J343" s="3" t="s">
        <v>99</v>
      </c>
      <c r="K343" s="3" t="s">
        <v>100</v>
      </c>
      <c r="L343" s="3" t="s">
        <v>413</v>
      </c>
      <c r="M343" s="3" t="s">
        <v>102</v>
      </c>
      <c r="N343" s="3" t="s">
        <v>103</v>
      </c>
      <c r="O343" s="3" t="s">
        <v>197</v>
      </c>
      <c r="P343" s="55"/>
      <c r="Q343" s="55"/>
      <c r="R343" s="55"/>
      <c r="S343" s="55"/>
      <c r="T343" s="55"/>
    </row>
    <row r="344" spans="2:20">
      <c r="F344" s="47"/>
      <c r="P344" s="28"/>
      <c r="Q344" s="28"/>
      <c r="R344" s="28"/>
      <c r="S344" s="28"/>
      <c r="T344" s="28"/>
    </row>
    <row r="345" spans="2:20">
      <c r="B345" s="3" t="s">
        <v>142</v>
      </c>
      <c r="F345" s="47"/>
      <c r="P345" s="28"/>
      <c r="Q345" s="28"/>
      <c r="R345" s="28"/>
      <c r="S345" s="28"/>
      <c r="T345" s="28"/>
    </row>
    <row r="346" spans="2:20">
      <c r="B346" t="s">
        <v>143</v>
      </c>
      <c r="D346" t="s">
        <v>110</v>
      </c>
      <c r="F346" s="83">
        <f>SUM(G346:O346)</f>
        <v>0</v>
      </c>
      <c r="G346" s="39">
        <f t="shared" ref="G346:H348" si="54">G328</f>
        <v>0</v>
      </c>
      <c r="H346" s="39">
        <f t="shared" si="54"/>
        <v>0</v>
      </c>
      <c r="I346" s="98">
        <f>J328+K328</f>
        <v>0</v>
      </c>
      <c r="J346" s="98">
        <f>L328+M328</f>
        <v>0</v>
      </c>
      <c r="K346" s="98">
        <f>O328+P328</f>
        <v>0</v>
      </c>
      <c r="L346" s="39">
        <f t="shared" ref="L346:N348" si="55">Q328</f>
        <v>0</v>
      </c>
      <c r="M346" s="39">
        <f t="shared" si="55"/>
        <v>0</v>
      </c>
      <c r="N346" s="39">
        <f t="shared" si="55"/>
        <v>0</v>
      </c>
      <c r="O346" s="39"/>
      <c r="P346" s="29"/>
      <c r="Q346" s="29"/>
      <c r="R346" s="29"/>
      <c r="S346" s="29"/>
      <c r="T346" s="29"/>
    </row>
    <row r="347" spans="2:20">
      <c r="B347" t="s">
        <v>144</v>
      </c>
      <c r="D347" t="s">
        <v>110</v>
      </c>
      <c r="F347" s="83">
        <f>SUM(G347:O347)</f>
        <v>21851604.483297314</v>
      </c>
      <c r="G347" s="39">
        <f t="shared" si="54"/>
        <v>378113.64458533982</v>
      </c>
      <c r="H347" s="39">
        <f t="shared" si="54"/>
        <v>633871.36516854295</v>
      </c>
      <c r="I347" s="98">
        <f>J329+K329</f>
        <v>853889.79359297059</v>
      </c>
      <c r="J347" s="98">
        <f>L329+M329</f>
        <v>5434512.1340187239</v>
      </c>
      <c r="K347" s="98">
        <f>O329+P329</f>
        <v>3985892.9377306174</v>
      </c>
      <c r="L347" s="39">
        <f t="shared" si="55"/>
        <v>405267.03030917607</v>
      </c>
      <c r="M347" s="39">
        <f t="shared" si="55"/>
        <v>10064933.943550268</v>
      </c>
      <c r="N347" s="39">
        <f t="shared" si="55"/>
        <v>95123.634341674478</v>
      </c>
      <c r="O347" s="39"/>
      <c r="P347" s="29"/>
      <c r="Q347" s="29"/>
      <c r="R347" s="29"/>
      <c r="S347" s="29"/>
      <c r="T347" s="29"/>
    </row>
    <row r="348" spans="2:20">
      <c r="B348" t="s">
        <v>145</v>
      </c>
      <c r="D348" t="s">
        <v>110</v>
      </c>
      <c r="F348" s="83">
        <f>SUM(G348:O348)</f>
        <v>466199428.14506489</v>
      </c>
      <c r="G348" s="39">
        <f t="shared" si="54"/>
        <v>8318500.1808774788</v>
      </c>
      <c r="H348" s="39">
        <f t="shared" si="54"/>
        <v>12043555.938202323</v>
      </c>
      <c r="I348" s="98">
        <f>J330+K330</f>
        <v>15820596.323236007</v>
      </c>
      <c r="J348" s="98">
        <f>L330+M330</f>
        <v>120617687.08615823</v>
      </c>
      <c r="K348" s="98">
        <f>O330+P330</f>
        <v>67897794.62191762</v>
      </c>
      <c r="L348" s="39">
        <f t="shared" si="55"/>
        <v>8105340.6061835242</v>
      </c>
      <c r="M348" s="39">
        <f t="shared" si="55"/>
        <v>231493480.70165622</v>
      </c>
      <c r="N348" s="39">
        <f t="shared" si="55"/>
        <v>1902472.6868334897</v>
      </c>
      <c r="O348" s="39"/>
      <c r="P348" s="29"/>
      <c r="Q348" s="29"/>
      <c r="R348" s="29"/>
      <c r="S348" s="29"/>
      <c r="T348" s="29"/>
    </row>
    <row r="349" spans="2:20">
      <c r="F349" s="47"/>
      <c r="G349" s="29"/>
      <c r="H349" s="29"/>
      <c r="I349" s="29"/>
      <c r="J349" s="29"/>
      <c r="K349" s="29"/>
      <c r="L349" s="29"/>
      <c r="M349" s="29"/>
      <c r="N349" s="29"/>
      <c r="O349" s="29"/>
      <c r="P349" s="28"/>
      <c r="Q349" s="28"/>
      <c r="R349" s="28"/>
      <c r="S349" s="28"/>
      <c r="T349" s="28"/>
    </row>
    <row r="350" spans="2:20">
      <c r="B350" s="3" t="s">
        <v>146</v>
      </c>
      <c r="F350" s="47"/>
      <c r="G350" s="29"/>
      <c r="H350" s="29"/>
      <c r="I350" s="29"/>
      <c r="J350" s="29"/>
      <c r="K350" s="29"/>
      <c r="L350" s="29"/>
      <c r="M350" s="29"/>
      <c r="N350" s="29"/>
      <c r="O350" s="29"/>
      <c r="P350" s="28"/>
      <c r="Q350" s="28"/>
      <c r="R350" s="28"/>
      <c r="S350" s="28"/>
      <c r="T350" s="28"/>
    </row>
    <row r="351" spans="2:20">
      <c r="B351" t="s">
        <v>147</v>
      </c>
      <c r="D351" t="s">
        <v>110</v>
      </c>
      <c r="F351" s="83">
        <f>SUM(G351:O351)</f>
        <v>151258158.12281066</v>
      </c>
      <c r="G351" s="39">
        <f t="shared" ref="G351:H353" si="56">G333</f>
        <v>2314237</v>
      </c>
      <c r="H351" s="39">
        <f t="shared" si="56"/>
        <v>692301</v>
      </c>
      <c r="I351" s="98">
        <f>J333+K333</f>
        <v>1119274.5533492814</v>
      </c>
      <c r="J351" s="98">
        <f>L333+M333</f>
        <v>30562997</v>
      </c>
      <c r="K351" s="98">
        <f>O333+P333</f>
        <v>66372065.724516019</v>
      </c>
      <c r="L351" s="39">
        <f t="shared" ref="L351:N353" si="57">Q333</f>
        <v>820448.76</v>
      </c>
      <c r="M351" s="39">
        <f t="shared" si="57"/>
        <v>49471670.140930884</v>
      </c>
      <c r="N351" s="39">
        <f t="shared" si="57"/>
        <v>-94836.055985499494</v>
      </c>
      <c r="O351" s="39"/>
      <c r="P351" s="29"/>
      <c r="Q351" s="29"/>
      <c r="R351" s="29"/>
      <c r="S351" s="29"/>
      <c r="T351" s="29"/>
    </row>
    <row r="352" spans="2:20">
      <c r="B352" t="s">
        <v>139</v>
      </c>
      <c r="D352" t="s">
        <v>110</v>
      </c>
      <c r="F352" s="83">
        <f>SUM(G352:O352)</f>
        <v>9927658.0913337469</v>
      </c>
      <c r="G352" s="39">
        <f t="shared" si="56"/>
        <v>192480.12077589738</v>
      </c>
      <c r="H352" s="39">
        <f t="shared" si="56"/>
        <v>138312.40272010677</v>
      </c>
      <c r="I352" s="98">
        <f>J334+K334</f>
        <v>49404.830927261137</v>
      </c>
      <c r="J352" s="98">
        <f>L334+M334</f>
        <v>2577449.3229598091</v>
      </c>
      <c r="K352" s="98">
        <f>O334+P334</f>
        <v>3343948.9046616508</v>
      </c>
      <c r="L352" s="39">
        <f t="shared" si="57"/>
        <v>112518.54988643754</v>
      </c>
      <c r="M352" s="39">
        <f t="shared" si="57"/>
        <v>3522039.880725428</v>
      </c>
      <c r="N352" s="39">
        <f t="shared" si="57"/>
        <v>-8495.9213228427343</v>
      </c>
      <c r="O352" s="39"/>
      <c r="P352" s="29"/>
      <c r="Q352" s="29"/>
      <c r="R352" s="29"/>
      <c r="S352" s="29"/>
      <c r="T352" s="29"/>
    </row>
    <row r="353" spans="2:22">
      <c r="B353" t="s">
        <v>148</v>
      </c>
      <c r="D353" t="s">
        <v>110</v>
      </c>
      <c r="F353" s="83">
        <f>SUM(G353:O353)</f>
        <v>442629902.63513559</v>
      </c>
      <c r="G353" s="39">
        <f t="shared" si="56"/>
        <v>8217224.7920564078</v>
      </c>
      <c r="H353" s="39">
        <f t="shared" si="56"/>
        <v>5424734.0107150096</v>
      </c>
      <c r="I353" s="98">
        <f>J335+K335</f>
        <v>2414269.5337035591</v>
      </c>
      <c r="J353" s="98">
        <f>L335+M335</f>
        <v>110296368.65673108</v>
      </c>
      <c r="K353" s="98">
        <f>O335+P335</f>
        <v>157213596.2846562</v>
      </c>
      <c r="L353" s="39">
        <f t="shared" si="57"/>
        <v>4514340.7905466724</v>
      </c>
      <c r="M353" s="39">
        <f t="shared" si="57"/>
        <v>154924213.87585798</v>
      </c>
      <c r="N353" s="39">
        <f t="shared" si="57"/>
        <v>-374845.30913131061</v>
      </c>
      <c r="O353" s="39"/>
      <c r="P353" s="29"/>
      <c r="Q353" s="29"/>
      <c r="R353" s="29"/>
      <c r="S353" s="29"/>
      <c r="T353" s="29"/>
    </row>
    <row r="354" spans="2:22">
      <c r="F354" s="47"/>
      <c r="G354" s="29"/>
      <c r="H354" s="29"/>
      <c r="I354" s="29"/>
      <c r="J354" s="29"/>
      <c r="K354" s="29"/>
      <c r="L354" s="29"/>
      <c r="M354" s="29"/>
      <c r="N354" s="29"/>
      <c r="O354" s="29"/>
      <c r="P354" s="28"/>
      <c r="Q354" s="28"/>
      <c r="R354" s="28"/>
      <c r="S354" s="28"/>
      <c r="T354" s="28"/>
    </row>
    <row r="355" spans="2:22">
      <c r="B355" s="3" t="s">
        <v>157</v>
      </c>
      <c r="F355" s="47"/>
      <c r="G355" s="29"/>
      <c r="H355" s="29"/>
      <c r="I355" s="29"/>
      <c r="J355" s="29"/>
      <c r="K355" s="29"/>
      <c r="L355" s="29"/>
      <c r="M355" s="29"/>
      <c r="N355" s="29"/>
      <c r="O355" s="29"/>
      <c r="P355" s="28"/>
      <c r="Q355" s="28"/>
      <c r="R355" s="28"/>
      <c r="S355" s="28"/>
      <c r="T355" s="28"/>
    </row>
    <row r="356" spans="2:22">
      <c r="B356" t="s">
        <v>158</v>
      </c>
      <c r="D356" t="s">
        <v>110</v>
      </c>
      <c r="F356" s="83">
        <f>SUM(G356:O356)</f>
        <v>0</v>
      </c>
      <c r="G356" s="39">
        <f t="shared" ref="G356:H358" si="58">G338</f>
        <v>0</v>
      </c>
      <c r="H356" s="39">
        <f t="shared" si="58"/>
        <v>0</v>
      </c>
      <c r="I356" s="98">
        <f>J338+K338</f>
        <v>0</v>
      </c>
      <c r="J356" s="98">
        <f>L338+M338</f>
        <v>0</v>
      </c>
      <c r="K356" s="98">
        <f>O338+P338</f>
        <v>0</v>
      </c>
      <c r="L356" s="39">
        <f t="shared" ref="L356:N358" si="59">Q338</f>
        <v>0</v>
      </c>
      <c r="M356" s="39">
        <f t="shared" si="59"/>
        <v>0</v>
      </c>
      <c r="N356" s="39">
        <f t="shared" si="59"/>
        <v>0</v>
      </c>
      <c r="O356" s="39"/>
      <c r="P356" s="29"/>
      <c r="Q356" s="29"/>
      <c r="R356" s="29"/>
      <c r="S356" s="29"/>
      <c r="T356" s="29"/>
    </row>
    <row r="357" spans="2:22">
      <c r="B357" t="s">
        <v>159</v>
      </c>
      <c r="D357" t="s">
        <v>110</v>
      </c>
      <c r="F357" s="83">
        <f>SUM(G357:O357)</f>
        <v>0</v>
      </c>
      <c r="G357" s="39">
        <f t="shared" si="58"/>
        <v>0</v>
      </c>
      <c r="H357" s="39">
        <f t="shared" si="58"/>
        <v>0</v>
      </c>
      <c r="I357" s="98">
        <f>J339+K339</f>
        <v>0</v>
      </c>
      <c r="J357" s="98">
        <f>L339+M339</f>
        <v>0</v>
      </c>
      <c r="K357" s="98">
        <f>O339+P339</f>
        <v>0</v>
      </c>
      <c r="L357" s="39">
        <f t="shared" si="59"/>
        <v>0</v>
      </c>
      <c r="M357" s="39">
        <f t="shared" si="59"/>
        <v>0</v>
      </c>
      <c r="N357" s="39">
        <f t="shared" si="59"/>
        <v>0</v>
      </c>
      <c r="O357" s="39"/>
      <c r="P357" s="29"/>
      <c r="Q357" s="29"/>
      <c r="R357" s="29"/>
      <c r="S357" s="29"/>
      <c r="T357" s="29"/>
    </row>
    <row r="358" spans="2:22">
      <c r="B358" t="s">
        <v>160</v>
      </c>
      <c r="D358" t="s">
        <v>110</v>
      </c>
      <c r="F358" s="83">
        <f>SUM(G358:O358)</f>
        <v>0</v>
      </c>
      <c r="G358" s="39">
        <f t="shared" si="58"/>
        <v>0</v>
      </c>
      <c r="H358" s="39">
        <f t="shared" si="58"/>
        <v>0</v>
      </c>
      <c r="I358" s="98">
        <f>J340+K340</f>
        <v>0</v>
      </c>
      <c r="J358" s="98">
        <f>L340+M340</f>
        <v>0</v>
      </c>
      <c r="K358" s="98">
        <f>O340+P340</f>
        <v>0</v>
      </c>
      <c r="L358" s="39">
        <f t="shared" si="59"/>
        <v>0</v>
      </c>
      <c r="M358" s="39">
        <f t="shared" si="59"/>
        <v>0</v>
      </c>
      <c r="N358" s="39">
        <f t="shared" si="59"/>
        <v>0</v>
      </c>
      <c r="O358" s="39"/>
      <c r="P358" s="29"/>
      <c r="Q358" s="29"/>
      <c r="R358" s="29"/>
      <c r="S358" s="29"/>
      <c r="T358" s="29"/>
    </row>
    <row r="359" spans="2:22">
      <c r="F359" s="47"/>
    </row>
    <row r="360" spans="2:22">
      <c r="F360" s="47"/>
    </row>
    <row r="361" spans="2:22">
      <c r="B361" s="3" t="s">
        <v>417</v>
      </c>
      <c r="F361" s="47"/>
    </row>
    <row r="362" spans="2:22">
      <c r="F362" s="47"/>
    </row>
    <row r="363" spans="2:22">
      <c r="B363" s="3" t="s">
        <v>171</v>
      </c>
      <c r="F363" s="47"/>
    </row>
    <row r="364" spans="2:22">
      <c r="B364" t="s">
        <v>139</v>
      </c>
      <c r="D364" t="s">
        <v>110</v>
      </c>
      <c r="F364" s="83">
        <f>SUM(G364:O364)</f>
        <v>31779262.574631061</v>
      </c>
      <c r="G364" s="24">
        <f t="shared" ref="G364:O364" si="60">G347+G352+G357</f>
        <v>570593.76536123722</v>
      </c>
      <c r="H364" s="24">
        <f t="shared" si="60"/>
        <v>772183.76788864972</v>
      </c>
      <c r="I364" s="24">
        <f t="shared" si="60"/>
        <v>903294.62452023174</v>
      </c>
      <c r="J364" s="24">
        <f t="shared" si="60"/>
        <v>8011961.4569785334</v>
      </c>
      <c r="K364" s="24">
        <f t="shared" si="60"/>
        <v>7329841.8423922677</v>
      </c>
      <c r="L364" s="24">
        <f t="shared" si="60"/>
        <v>517785.58019561361</v>
      </c>
      <c r="M364" s="24">
        <f t="shared" si="60"/>
        <v>13586973.824275697</v>
      </c>
      <c r="N364" s="24">
        <f t="shared" si="60"/>
        <v>86627.713018831739</v>
      </c>
      <c r="O364" s="24">
        <f t="shared" si="60"/>
        <v>0</v>
      </c>
      <c r="V364" s="51" t="s">
        <v>570</v>
      </c>
    </row>
    <row r="365" spans="2:22">
      <c r="B365" t="s">
        <v>165</v>
      </c>
      <c r="D365" t="s">
        <v>110</v>
      </c>
      <c r="F365" s="83">
        <f>SUM(G365:O365)</f>
        <v>908829330.78020048</v>
      </c>
      <c r="G365" s="24">
        <f t="shared" ref="G365:O365" si="61">G348+G353+G358</f>
        <v>16535724.972933887</v>
      </c>
      <c r="H365" s="24">
        <f t="shared" si="61"/>
        <v>17468289.948917333</v>
      </c>
      <c r="I365" s="24">
        <f t="shared" si="61"/>
        <v>18234865.856939565</v>
      </c>
      <c r="J365" s="24">
        <f t="shared" si="61"/>
        <v>230914055.74288931</v>
      </c>
      <c r="K365" s="24">
        <f t="shared" si="61"/>
        <v>225111390.90657383</v>
      </c>
      <c r="L365" s="24">
        <f t="shared" si="61"/>
        <v>12619681.396730196</v>
      </c>
      <c r="M365" s="24">
        <f t="shared" si="61"/>
        <v>386417694.57751417</v>
      </c>
      <c r="N365" s="24">
        <f t="shared" si="61"/>
        <v>1527627.3777021791</v>
      </c>
      <c r="O365" s="24">
        <f t="shared" si="61"/>
        <v>0</v>
      </c>
      <c r="V365" s="51" t="s">
        <v>571</v>
      </c>
    </row>
    <row r="366" spans="2:22">
      <c r="B366" t="s">
        <v>166</v>
      </c>
      <c r="D366" t="s">
        <v>110</v>
      </c>
      <c r="F366" s="83">
        <f>SUM(G366:O366)</f>
        <v>32717855.908087216</v>
      </c>
      <c r="G366" s="24">
        <f>G365*$F$12</f>
        <v>595286.09902561991</v>
      </c>
      <c r="H366" s="24">
        <f t="shared" ref="H366:O366" si="62">H365*$F$12</f>
        <v>628858.43816102389</v>
      </c>
      <c r="I366" s="24">
        <f t="shared" si="62"/>
        <v>656455.17084982432</v>
      </c>
      <c r="J366" s="24">
        <f t="shared" si="62"/>
        <v>8312906.006744015</v>
      </c>
      <c r="K366" s="24">
        <f t="shared" si="62"/>
        <v>8104010.0726366574</v>
      </c>
      <c r="L366" s="24">
        <f t="shared" si="62"/>
        <v>454308.53028228699</v>
      </c>
      <c r="M366" s="24">
        <f t="shared" si="62"/>
        <v>13911037.004790509</v>
      </c>
      <c r="N366" s="24">
        <f t="shared" si="62"/>
        <v>54994.585597278441</v>
      </c>
      <c r="O366" s="24">
        <f t="shared" si="62"/>
        <v>0</v>
      </c>
      <c r="V366" s="51" t="s">
        <v>572</v>
      </c>
    </row>
    <row r="367" spans="2:22">
      <c r="B367" t="s">
        <v>169</v>
      </c>
      <c r="D367" t="s">
        <v>110</v>
      </c>
      <c r="F367" s="83">
        <f>SUM(G367:O367)</f>
        <v>64497118.482718289</v>
      </c>
      <c r="G367" s="21">
        <f>G364+G366</f>
        <v>1165879.864386857</v>
      </c>
      <c r="H367" s="21">
        <f t="shared" ref="H367:O367" si="63">H364+H366</f>
        <v>1401042.2060496737</v>
      </c>
      <c r="I367" s="21">
        <f t="shared" si="63"/>
        <v>1559749.7953700561</v>
      </c>
      <c r="J367" s="21">
        <f t="shared" si="63"/>
        <v>16324867.463722549</v>
      </c>
      <c r="K367" s="21">
        <f t="shared" si="63"/>
        <v>15433851.915028926</v>
      </c>
      <c r="L367" s="21">
        <f t="shared" si="63"/>
        <v>972094.1104779006</v>
      </c>
      <c r="M367" s="21">
        <f t="shared" si="63"/>
        <v>27498010.829066206</v>
      </c>
      <c r="N367" s="21">
        <f t="shared" si="63"/>
        <v>141622.29861611017</v>
      </c>
      <c r="O367" s="21">
        <f t="shared" si="63"/>
        <v>0</v>
      </c>
      <c r="V367" s="51" t="s">
        <v>573</v>
      </c>
    </row>
    <row r="368" spans="2:22">
      <c r="F368" s="47"/>
    </row>
    <row r="369" spans="2:22">
      <c r="F369" s="47"/>
    </row>
    <row r="370" spans="2:22">
      <c r="B370" s="3" t="s">
        <v>170</v>
      </c>
      <c r="F370" s="47"/>
    </row>
    <row r="371" spans="2:22">
      <c r="F371" s="47"/>
    </row>
    <row r="372" spans="2:22">
      <c r="B372" s="51" t="s">
        <v>419</v>
      </c>
      <c r="D372" t="s">
        <v>110</v>
      </c>
      <c r="F372" s="83">
        <f>SUM(G372:O372)</f>
        <v>0</v>
      </c>
      <c r="G372" s="8"/>
      <c r="H372" s="8"/>
      <c r="I372" s="8"/>
      <c r="J372" s="8"/>
      <c r="K372" s="8"/>
      <c r="L372" s="8"/>
      <c r="M372" s="8"/>
      <c r="N372" s="8"/>
      <c r="O372" s="8"/>
    </row>
    <row r="373" spans="2:22">
      <c r="B373" t="s">
        <v>173</v>
      </c>
      <c r="D373" t="s">
        <v>110</v>
      </c>
      <c r="F373" s="83">
        <f>SUM(G373:O373)</f>
        <v>0</v>
      </c>
      <c r="G373" s="97">
        <f>'PRD Ov.Opbrengst AD (2009-2012)'!G215</f>
        <v>0</v>
      </c>
      <c r="H373" s="97">
        <f>'PRD Ov.Opbrengst AD (2009-2012)'!H215</f>
        <v>0</v>
      </c>
      <c r="I373" s="97">
        <f>'PRD Ov.Opbrengst AD (2009-2012)'!I215</f>
        <v>0</v>
      </c>
      <c r="J373" s="97">
        <f>'PRD Ov.Opbrengst AD (2009-2012)'!J215</f>
        <v>0</v>
      </c>
      <c r="K373" s="97">
        <f>'PRD Ov.Opbrengst AD (2009-2012)'!K215</f>
        <v>0</v>
      </c>
      <c r="L373" s="97">
        <f>'PRD Ov.Opbrengst AD (2009-2012)'!L215</f>
        <v>0</v>
      </c>
      <c r="M373" s="97">
        <f>'PRD Ov.Opbrengst AD (2009-2012)'!M215</f>
        <v>0</v>
      </c>
      <c r="N373" s="97">
        <f>'PRD Ov.Opbrengst AD (2009-2012)'!N215</f>
        <v>0</v>
      </c>
      <c r="O373" s="97">
        <f>'PRD Ov.Opbrengst AD (2009-2012)'!O215</f>
        <v>0</v>
      </c>
    </row>
    <row r="374" spans="2:22">
      <c r="B374" t="s">
        <v>174</v>
      </c>
      <c r="D374" t="s">
        <v>110</v>
      </c>
      <c r="F374" s="83">
        <f>SUM(G374:O374)</f>
        <v>0</v>
      </c>
      <c r="G374" s="8"/>
      <c r="H374" s="8"/>
      <c r="I374" s="8"/>
      <c r="J374" s="8"/>
      <c r="K374" s="8"/>
      <c r="L374" s="8"/>
      <c r="M374" s="8"/>
      <c r="N374" s="8"/>
      <c r="O374" s="8"/>
    </row>
    <row r="375" spans="2:22">
      <c r="B375" s="13" t="s">
        <v>187</v>
      </c>
      <c r="D375" t="s">
        <v>110</v>
      </c>
      <c r="F375" s="83">
        <f>SUM(G375:O375)</f>
        <v>0</v>
      </c>
      <c r="G375" s="24">
        <f t="shared" ref="G375:O375" si="64">SUM(G372:G374)</f>
        <v>0</v>
      </c>
      <c r="H375" s="24">
        <f t="shared" si="64"/>
        <v>0</v>
      </c>
      <c r="I375" s="24">
        <f t="shared" si="64"/>
        <v>0</v>
      </c>
      <c r="J375" s="24">
        <f t="shared" si="64"/>
        <v>0</v>
      </c>
      <c r="K375" s="24">
        <f t="shared" si="64"/>
        <v>0</v>
      </c>
      <c r="L375" s="24">
        <f t="shared" si="64"/>
        <v>0</v>
      </c>
      <c r="M375" s="24">
        <f t="shared" si="64"/>
        <v>0</v>
      </c>
      <c r="N375" s="24">
        <f t="shared" si="64"/>
        <v>0</v>
      </c>
      <c r="O375" s="24">
        <f t="shared" si="64"/>
        <v>0</v>
      </c>
    </row>
    <row r="376" spans="2:22">
      <c r="F376" s="47"/>
    </row>
    <row r="377" spans="2:22">
      <c r="F377" s="47"/>
    </row>
    <row r="378" spans="2:22">
      <c r="B378" s="3" t="s">
        <v>418</v>
      </c>
      <c r="F378" s="47"/>
    </row>
    <row r="379" spans="2:22">
      <c r="F379" s="47"/>
    </row>
    <row r="380" spans="2:22">
      <c r="B380" t="s">
        <v>175</v>
      </c>
      <c r="D380" t="s">
        <v>110</v>
      </c>
      <c r="F380" s="84">
        <f>SUM(G380:O380)</f>
        <v>64497118.482718289</v>
      </c>
      <c r="G380" s="21">
        <f t="shared" ref="G380:O380" si="65">G367-G375</f>
        <v>1165879.864386857</v>
      </c>
      <c r="H380" s="21">
        <f t="shared" si="65"/>
        <v>1401042.2060496737</v>
      </c>
      <c r="I380" s="21">
        <f t="shared" si="65"/>
        <v>1559749.7953700561</v>
      </c>
      <c r="J380" s="21">
        <f t="shared" si="65"/>
        <v>16324867.463722549</v>
      </c>
      <c r="K380" s="21">
        <f t="shared" si="65"/>
        <v>15433851.915028926</v>
      </c>
      <c r="L380" s="21">
        <f t="shared" si="65"/>
        <v>972094.1104779006</v>
      </c>
      <c r="M380" s="21">
        <f t="shared" si="65"/>
        <v>27498010.829066206</v>
      </c>
      <c r="N380" s="21">
        <f t="shared" si="65"/>
        <v>141622.29861611017</v>
      </c>
      <c r="O380" s="21">
        <f t="shared" si="65"/>
        <v>0</v>
      </c>
      <c r="V380" s="51" t="s">
        <v>573</v>
      </c>
    </row>
    <row r="381" spans="2:22" s="258" customFormat="1">
      <c r="F381" s="47"/>
    </row>
    <row r="382" spans="2:22" s="258" customFormat="1">
      <c r="B382" s="78" t="s">
        <v>762</v>
      </c>
      <c r="D382" s="258" t="s">
        <v>110</v>
      </c>
      <c r="F382" s="84">
        <f>SUM(G382:O382)</f>
        <v>88126681.083003491</v>
      </c>
      <c r="G382" s="98">
        <f>G364+G365*$F$11-G375</f>
        <v>1595808.7136831381</v>
      </c>
      <c r="H382" s="98">
        <f t="shared" ref="H382:O382" si="66">H364+H365*$F$11-H375</f>
        <v>1855217.7447215244</v>
      </c>
      <c r="I382" s="98">
        <f t="shared" si="66"/>
        <v>2033856.3076504848</v>
      </c>
      <c r="J382" s="98">
        <f t="shared" si="66"/>
        <v>22328632.913037673</v>
      </c>
      <c r="K382" s="98">
        <f t="shared" si="66"/>
        <v>21286748.078599848</v>
      </c>
      <c r="L382" s="98">
        <f t="shared" si="66"/>
        <v>1300205.8267928858</v>
      </c>
      <c r="M382" s="98">
        <f t="shared" si="66"/>
        <v>37544870.888081573</v>
      </c>
      <c r="N382" s="98">
        <f t="shared" si="66"/>
        <v>181340.61043636684</v>
      </c>
      <c r="O382" s="98">
        <f t="shared" si="66"/>
        <v>0</v>
      </c>
    </row>
    <row r="383" spans="2:22">
      <c r="F383" s="47"/>
    </row>
    <row r="384" spans="2:22">
      <c r="F384" s="62"/>
      <c r="G384" s="42"/>
      <c r="H384" s="42"/>
      <c r="I384" s="42"/>
      <c r="J384" s="42"/>
      <c r="K384" s="42"/>
      <c r="L384" s="42"/>
      <c r="M384" s="42"/>
      <c r="N384" s="42"/>
    </row>
    <row r="385" spans="2:20">
      <c r="B385" s="3" t="s">
        <v>421</v>
      </c>
      <c r="F385" s="47"/>
      <c r="G385" s="55"/>
      <c r="H385" s="3" t="s">
        <v>408</v>
      </c>
      <c r="I385" s="55"/>
      <c r="J385" s="3" t="s">
        <v>411</v>
      </c>
      <c r="K385" s="55"/>
      <c r="L385" s="55"/>
      <c r="M385" s="55"/>
      <c r="N385" s="55"/>
      <c r="O385" s="3" t="s">
        <v>420</v>
      </c>
      <c r="P385" s="55"/>
      <c r="Q385" s="55"/>
      <c r="R385" s="55"/>
      <c r="S385" s="55"/>
      <c r="T385" s="55"/>
    </row>
    <row r="386" spans="2:20">
      <c r="F386" s="47"/>
      <c r="G386" s="28"/>
      <c r="I386" s="28"/>
      <c r="K386" s="28"/>
      <c r="L386" s="28"/>
      <c r="M386" s="28"/>
      <c r="N386" s="28"/>
      <c r="P386" s="28"/>
      <c r="Q386" s="28"/>
      <c r="R386" s="28"/>
      <c r="S386" s="28"/>
      <c r="T386" s="28"/>
    </row>
    <row r="387" spans="2:20">
      <c r="B387" s="3" t="s">
        <v>142</v>
      </c>
      <c r="F387" s="47"/>
      <c r="G387" s="28"/>
      <c r="I387" s="28"/>
      <c r="K387" s="28"/>
      <c r="L387" s="28"/>
      <c r="M387" s="28"/>
      <c r="N387" s="28"/>
      <c r="P387" s="28"/>
      <c r="Q387" s="28"/>
      <c r="R387" s="28"/>
      <c r="S387" s="28"/>
      <c r="T387" s="28"/>
    </row>
    <row r="388" spans="2:20">
      <c r="B388" t="s">
        <v>143</v>
      </c>
      <c r="D388" t="s">
        <v>110</v>
      </c>
      <c r="F388" s="83">
        <f>SUM(G388:O388)</f>
        <v>0</v>
      </c>
      <c r="G388" s="29"/>
      <c r="H388" s="39">
        <f>I328</f>
        <v>0</v>
      </c>
      <c r="I388" s="29"/>
      <c r="J388" s="97">
        <f>N328</f>
        <v>0</v>
      </c>
      <c r="K388" s="29"/>
      <c r="L388" s="29"/>
      <c r="M388" s="29"/>
      <c r="N388" s="29"/>
      <c r="O388" s="97">
        <f>T328</f>
        <v>0</v>
      </c>
      <c r="P388" s="29"/>
      <c r="Q388" s="29"/>
      <c r="R388" s="29"/>
      <c r="S388" s="29"/>
      <c r="T388" s="29"/>
    </row>
    <row r="389" spans="2:20">
      <c r="B389" t="s">
        <v>144</v>
      </c>
      <c r="D389" t="s">
        <v>110</v>
      </c>
      <c r="F389" s="83">
        <f>SUM(G389:O389)</f>
        <v>0</v>
      </c>
      <c r="G389" s="29"/>
      <c r="H389" s="39">
        <f>I329</f>
        <v>0</v>
      </c>
      <c r="I389" s="29"/>
      <c r="J389" s="97">
        <f>N329</f>
        <v>0</v>
      </c>
      <c r="K389" s="29"/>
      <c r="L389" s="29"/>
      <c r="M389" s="29"/>
      <c r="N389" s="29"/>
      <c r="O389" s="97">
        <f>T329</f>
        <v>0</v>
      </c>
      <c r="P389" s="29"/>
      <c r="Q389" s="29"/>
      <c r="R389" s="29"/>
      <c r="S389" s="29"/>
      <c r="T389" s="29"/>
    </row>
    <row r="390" spans="2:20">
      <c r="B390" t="s">
        <v>145</v>
      </c>
      <c r="D390" t="s">
        <v>110</v>
      </c>
      <c r="F390" s="83">
        <f>SUM(G390:O390)</f>
        <v>0</v>
      </c>
      <c r="G390" s="29"/>
      <c r="H390" s="39">
        <f>I330</f>
        <v>0</v>
      </c>
      <c r="I390" s="29"/>
      <c r="J390" s="97">
        <f>N330</f>
        <v>0</v>
      </c>
      <c r="K390" s="29"/>
      <c r="L390" s="29"/>
      <c r="M390" s="29"/>
      <c r="N390" s="29"/>
      <c r="O390" s="97">
        <f>T330</f>
        <v>0</v>
      </c>
      <c r="P390" s="29"/>
      <c r="Q390" s="29"/>
      <c r="R390" s="29"/>
      <c r="S390" s="29"/>
      <c r="T390" s="29"/>
    </row>
    <row r="391" spans="2:20">
      <c r="F391" s="47"/>
      <c r="G391" s="29"/>
      <c r="H391" s="29"/>
      <c r="I391" s="29"/>
      <c r="J391" s="29"/>
      <c r="K391" s="29"/>
      <c r="L391" s="29"/>
      <c r="M391" s="29"/>
      <c r="N391" s="29"/>
      <c r="O391" s="28"/>
      <c r="P391" s="28"/>
      <c r="Q391" s="28"/>
      <c r="R391" s="28"/>
      <c r="S391" s="28"/>
      <c r="T391" s="28"/>
    </row>
    <row r="392" spans="2:20">
      <c r="B392" s="3" t="s">
        <v>146</v>
      </c>
      <c r="F392" s="47"/>
      <c r="G392" s="29"/>
      <c r="H392" s="29"/>
      <c r="I392" s="29"/>
      <c r="J392" s="29"/>
      <c r="K392" s="29"/>
      <c r="L392" s="29"/>
      <c r="M392" s="29"/>
      <c r="N392" s="29"/>
      <c r="O392" s="28"/>
      <c r="P392" s="28"/>
      <c r="Q392" s="28"/>
      <c r="R392" s="28"/>
      <c r="S392" s="28"/>
      <c r="T392" s="28"/>
    </row>
    <row r="393" spans="2:20">
      <c r="B393" t="s">
        <v>147</v>
      </c>
      <c r="D393" t="s">
        <v>110</v>
      </c>
      <c r="F393" s="83">
        <f>SUM(G393:O393)</f>
        <v>0</v>
      </c>
      <c r="G393" s="29"/>
      <c r="H393" s="39">
        <f>I333</f>
        <v>0</v>
      </c>
      <c r="I393" s="29"/>
      <c r="J393" s="97">
        <f>N333</f>
        <v>0</v>
      </c>
      <c r="K393" s="29"/>
      <c r="L393" s="29"/>
      <c r="M393" s="29"/>
      <c r="N393" s="29"/>
      <c r="O393" s="97">
        <f>T333</f>
        <v>0</v>
      </c>
      <c r="P393" s="29"/>
      <c r="Q393" s="29"/>
      <c r="R393" s="29"/>
      <c r="S393" s="29"/>
      <c r="T393" s="29"/>
    </row>
    <row r="394" spans="2:20">
      <c r="B394" t="s">
        <v>139</v>
      </c>
      <c r="D394" t="s">
        <v>110</v>
      </c>
      <c r="F394" s="83">
        <f>SUM(G394:O394)</f>
        <v>0</v>
      </c>
      <c r="G394" s="29"/>
      <c r="H394" s="39">
        <f>I334</f>
        <v>0</v>
      </c>
      <c r="I394" s="29"/>
      <c r="J394" s="97">
        <f>N334</f>
        <v>0</v>
      </c>
      <c r="K394" s="29"/>
      <c r="L394" s="29"/>
      <c r="M394" s="29"/>
      <c r="N394" s="29"/>
      <c r="O394" s="97">
        <f>T334</f>
        <v>0</v>
      </c>
      <c r="P394" s="29"/>
      <c r="Q394" s="29"/>
      <c r="R394" s="29"/>
      <c r="S394" s="29"/>
      <c r="T394" s="29"/>
    </row>
    <row r="395" spans="2:20">
      <c r="B395" t="s">
        <v>148</v>
      </c>
      <c r="D395" t="s">
        <v>110</v>
      </c>
      <c r="F395" s="83">
        <f>SUM(G395:O395)</f>
        <v>0</v>
      </c>
      <c r="G395" s="29"/>
      <c r="H395" s="39">
        <f>I335</f>
        <v>0</v>
      </c>
      <c r="I395" s="29"/>
      <c r="J395" s="97">
        <f>N335</f>
        <v>0</v>
      </c>
      <c r="K395" s="29"/>
      <c r="L395" s="29"/>
      <c r="M395" s="29"/>
      <c r="N395" s="29"/>
      <c r="O395" s="97">
        <f>T335</f>
        <v>0</v>
      </c>
      <c r="P395" s="29"/>
      <c r="Q395" s="29"/>
      <c r="R395" s="29"/>
      <c r="S395" s="29"/>
      <c r="T395" s="29"/>
    </row>
    <row r="396" spans="2:20">
      <c r="F396" s="47"/>
      <c r="G396" s="29"/>
      <c r="H396" s="29"/>
      <c r="I396" s="29"/>
      <c r="J396" s="29"/>
      <c r="K396" s="29"/>
      <c r="L396" s="29"/>
      <c r="M396" s="29"/>
      <c r="N396" s="29"/>
      <c r="O396" s="28"/>
      <c r="P396" s="28"/>
      <c r="Q396" s="28"/>
      <c r="R396" s="28"/>
      <c r="S396" s="28"/>
      <c r="T396" s="28"/>
    </row>
    <row r="397" spans="2:20">
      <c r="B397" s="3" t="s">
        <v>157</v>
      </c>
      <c r="F397" s="47"/>
      <c r="G397" s="29"/>
      <c r="H397" s="29"/>
      <c r="I397" s="29"/>
      <c r="J397" s="29"/>
      <c r="K397" s="29"/>
      <c r="L397" s="29"/>
      <c r="M397" s="29"/>
      <c r="N397" s="29"/>
      <c r="O397" s="28"/>
      <c r="P397" s="28"/>
      <c r="Q397" s="28"/>
      <c r="R397" s="28"/>
      <c r="S397" s="28"/>
      <c r="T397" s="28"/>
    </row>
    <row r="398" spans="2:20">
      <c r="B398" t="s">
        <v>158</v>
      </c>
      <c r="D398" t="s">
        <v>110</v>
      </c>
      <c r="F398" s="83">
        <f>SUM(G398:O398)</f>
        <v>0</v>
      </c>
      <c r="G398" s="29"/>
      <c r="H398" s="39">
        <f>I338</f>
        <v>0</v>
      </c>
      <c r="I398" s="29"/>
      <c r="J398" s="97">
        <f>N338</f>
        <v>0</v>
      </c>
      <c r="K398" s="29"/>
      <c r="L398" s="29"/>
      <c r="M398" s="29"/>
      <c r="N398" s="29"/>
      <c r="O398" s="97">
        <f>T338</f>
        <v>0</v>
      </c>
      <c r="P398" s="29"/>
      <c r="Q398" s="29"/>
      <c r="R398" s="29"/>
      <c r="S398" s="29"/>
      <c r="T398" s="29"/>
    </row>
    <row r="399" spans="2:20">
      <c r="B399" t="s">
        <v>159</v>
      </c>
      <c r="D399" t="s">
        <v>110</v>
      </c>
      <c r="F399" s="83">
        <f>SUM(G399:O399)</f>
        <v>0</v>
      </c>
      <c r="G399" s="29"/>
      <c r="H399" s="39">
        <f>I339</f>
        <v>0</v>
      </c>
      <c r="I399" s="29"/>
      <c r="J399" s="97">
        <f>N339</f>
        <v>0</v>
      </c>
      <c r="K399" s="29"/>
      <c r="L399" s="29"/>
      <c r="M399" s="29"/>
      <c r="N399" s="29"/>
      <c r="O399" s="97">
        <f>T339</f>
        <v>0</v>
      </c>
      <c r="P399" s="29"/>
      <c r="Q399" s="29"/>
      <c r="R399" s="29"/>
      <c r="S399" s="29"/>
      <c r="T399" s="29"/>
    </row>
    <row r="400" spans="2:20">
      <c r="B400" t="s">
        <v>160</v>
      </c>
      <c r="D400" t="s">
        <v>110</v>
      </c>
      <c r="F400" s="83">
        <f>SUM(G400:O400)</f>
        <v>0</v>
      </c>
      <c r="G400" s="29"/>
      <c r="H400" s="39">
        <f>I340</f>
        <v>0</v>
      </c>
      <c r="I400" s="29"/>
      <c r="J400" s="97">
        <f>N340</f>
        <v>0</v>
      </c>
      <c r="K400" s="29"/>
      <c r="L400" s="29"/>
      <c r="M400" s="29"/>
      <c r="N400" s="29"/>
      <c r="O400" s="97">
        <f>T340</f>
        <v>0</v>
      </c>
      <c r="P400" s="29"/>
      <c r="Q400" s="29"/>
      <c r="R400" s="29"/>
      <c r="S400" s="29"/>
      <c r="T400" s="29"/>
    </row>
    <row r="401" spans="2:22">
      <c r="F401" s="47"/>
    </row>
    <row r="402" spans="2:22">
      <c r="F402" s="47"/>
    </row>
    <row r="403" spans="2:22">
      <c r="B403" s="3" t="s">
        <v>422</v>
      </c>
      <c r="F403" s="47"/>
    </row>
    <row r="404" spans="2:22">
      <c r="F404" s="47"/>
    </row>
    <row r="405" spans="2:22">
      <c r="B405" s="3" t="s">
        <v>425</v>
      </c>
      <c r="F405" s="47"/>
    </row>
    <row r="406" spans="2:22">
      <c r="B406" t="s">
        <v>139</v>
      </c>
      <c r="D406" t="s">
        <v>110</v>
      </c>
      <c r="F406" s="83">
        <f>SUM(G406:O406)</f>
        <v>0</v>
      </c>
      <c r="G406" s="29"/>
      <c r="H406" s="24">
        <f>H389+H394+H399</f>
        <v>0</v>
      </c>
      <c r="I406" s="29"/>
      <c r="J406" s="24">
        <f>J389+J394+J399</f>
        <v>0</v>
      </c>
      <c r="K406" s="29"/>
      <c r="L406" s="29"/>
      <c r="M406" s="29"/>
      <c r="N406" s="29"/>
      <c r="O406" s="24">
        <f>O389+O394+O399</f>
        <v>0</v>
      </c>
      <c r="V406" s="51" t="s">
        <v>570</v>
      </c>
    </row>
    <row r="407" spans="2:22">
      <c r="B407" t="s">
        <v>165</v>
      </c>
      <c r="D407" t="s">
        <v>110</v>
      </c>
      <c r="F407" s="83">
        <f>SUM(G407:O407)</f>
        <v>0</v>
      </c>
      <c r="G407" s="29"/>
      <c r="H407" s="24">
        <f>H390+H395+H400</f>
        <v>0</v>
      </c>
      <c r="I407" s="29"/>
      <c r="J407" s="24">
        <f>J390+J395+J400</f>
        <v>0</v>
      </c>
      <c r="K407" s="29"/>
      <c r="L407" s="29"/>
      <c r="M407" s="29"/>
      <c r="N407" s="29"/>
      <c r="O407" s="24">
        <f>O390+O395+O400</f>
        <v>0</v>
      </c>
      <c r="V407" s="51" t="s">
        <v>571</v>
      </c>
    </row>
    <row r="408" spans="2:22">
      <c r="B408" t="s">
        <v>166</v>
      </c>
      <c r="D408" t="s">
        <v>110</v>
      </c>
      <c r="F408" s="83">
        <f>SUM(G408:O408)</f>
        <v>0</v>
      </c>
      <c r="G408" s="29"/>
      <c r="H408" s="24">
        <f t="shared" ref="H408" si="67">H407*$F$12</f>
        <v>0</v>
      </c>
      <c r="I408" s="29"/>
      <c r="J408" s="24">
        <f t="shared" ref="J408" si="68">J407*$F$12</f>
        <v>0</v>
      </c>
      <c r="K408" s="29"/>
      <c r="L408" s="29"/>
      <c r="M408" s="29"/>
      <c r="N408" s="29"/>
      <c r="O408" s="24">
        <f t="shared" ref="O408" si="69">O407*$F$12</f>
        <v>0</v>
      </c>
      <c r="V408" s="51" t="s">
        <v>572</v>
      </c>
    </row>
    <row r="409" spans="2:22">
      <c r="B409" t="s">
        <v>169</v>
      </c>
      <c r="D409" t="s">
        <v>110</v>
      </c>
      <c r="F409" s="83">
        <f>SUM(G409:O409)</f>
        <v>0</v>
      </c>
      <c r="G409" s="54"/>
      <c r="H409" s="21">
        <f t="shared" ref="H409" si="70">H406+H408</f>
        <v>0</v>
      </c>
      <c r="I409" s="54"/>
      <c r="J409" s="21">
        <f t="shared" ref="J409" si="71">J406+J408</f>
        <v>0</v>
      </c>
      <c r="K409" s="54"/>
      <c r="L409" s="54"/>
      <c r="M409" s="54"/>
      <c r="N409" s="54"/>
      <c r="O409" s="21">
        <f t="shared" ref="O409" si="72">O406+O408</f>
        <v>0</v>
      </c>
      <c r="V409" s="51" t="s">
        <v>573</v>
      </c>
    </row>
    <row r="410" spans="2:22">
      <c r="F410" s="47"/>
    </row>
    <row r="411" spans="2:22">
      <c r="F411" s="47"/>
    </row>
    <row r="412" spans="2:22">
      <c r="B412" s="3" t="s">
        <v>170</v>
      </c>
      <c r="F412" s="47"/>
      <c r="K412" s="28"/>
      <c r="L412" s="28"/>
      <c r="M412" s="28"/>
      <c r="N412" s="28"/>
    </row>
    <row r="413" spans="2:22">
      <c r="F413" s="47"/>
      <c r="G413" s="28"/>
      <c r="I413" s="28"/>
      <c r="K413" s="28"/>
      <c r="L413" s="28"/>
      <c r="M413" s="28"/>
      <c r="N413" s="28"/>
    </row>
    <row r="414" spans="2:22">
      <c r="B414" s="51" t="s">
        <v>427</v>
      </c>
      <c r="D414" t="s">
        <v>110</v>
      </c>
      <c r="F414" s="83">
        <f>SUM(G414:O414)</f>
        <v>0</v>
      </c>
      <c r="G414" s="29"/>
      <c r="H414" s="8"/>
      <c r="I414" s="29"/>
      <c r="J414" s="8"/>
      <c r="K414" s="29"/>
      <c r="L414" s="29"/>
      <c r="M414" s="29"/>
      <c r="N414" s="29"/>
      <c r="O414" s="8"/>
    </row>
    <row r="415" spans="2:22">
      <c r="B415" s="51" t="s">
        <v>760</v>
      </c>
      <c r="D415" t="s">
        <v>110</v>
      </c>
      <c r="F415" s="83">
        <f>SUM(G415:O415)</f>
        <v>0</v>
      </c>
      <c r="G415" s="29"/>
      <c r="H415" s="8"/>
      <c r="I415" s="29"/>
      <c r="J415" s="8"/>
      <c r="K415" s="29"/>
      <c r="L415" s="29"/>
      <c r="M415" s="29"/>
      <c r="N415" s="29"/>
      <c r="O415" s="8"/>
    </row>
    <row r="416" spans="2:22">
      <c r="B416" s="51" t="s">
        <v>761</v>
      </c>
      <c r="D416" t="s">
        <v>110</v>
      </c>
      <c r="F416" s="83">
        <f>SUM(G416:O416)</f>
        <v>0</v>
      </c>
      <c r="G416" s="29"/>
      <c r="H416" s="8"/>
      <c r="I416" s="29"/>
      <c r="J416" s="8"/>
      <c r="K416" s="29"/>
      <c r="L416" s="29"/>
      <c r="M416" s="29"/>
      <c r="N416" s="29"/>
      <c r="O416" s="8"/>
    </row>
    <row r="417" spans="2:22">
      <c r="B417" s="51" t="s">
        <v>426</v>
      </c>
      <c r="D417" t="s">
        <v>110</v>
      </c>
      <c r="F417" s="83">
        <f>SUM(G417:O417)</f>
        <v>0</v>
      </c>
      <c r="G417" s="29"/>
      <c r="H417" s="24">
        <f>SUM(H414:H416)</f>
        <v>0</v>
      </c>
      <c r="I417" s="29"/>
      <c r="J417" s="24">
        <f>SUM(J414:J416)</f>
        <v>0</v>
      </c>
      <c r="K417" s="29"/>
      <c r="L417" s="29"/>
      <c r="M417" s="29"/>
      <c r="N417" s="29"/>
      <c r="O417" s="24">
        <f>SUM(O414:O416)</f>
        <v>0</v>
      </c>
    </row>
    <row r="418" spans="2:22">
      <c r="F418" s="47"/>
      <c r="G418" s="28"/>
      <c r="I418" s="28"/>
      <c r="K418" s="28"/>
      <c r="L418" s="28"/>
      <c r="M418" s="28"/>
      <c r="N418" s="28"/>
    </row>
    <row r="419" spans="2:22">
      <c r="F419" s="47"/>
      <c r="G419" s="28"/>
      <c r="I419" s="28"/>
      <c r="K419" s="28"/>
      <c r="L419" s="28"/>
      <c r="M419" s="28"/>
      <c r="N419" s="28"/>
    </row>
    <row r="420" spans="2:22">
      <c r="B420" s="3" t="s">
        <v>423</v>
      </c>
      <c r="F420" s="47"/>
      <c r="G420" s="28"/>
      <c r="I420" s="28"/>
      <c r="K420" s="28"/>
      <c r="L420" s="28"/>
      <c r="M420" s="28"/>
      <c r="N420" s="28"/>
    </row>
    <row r="421" spans="2:22">
      <c r="F421" s="47"/>
      <c r="G421" s="28"/>
      <c r="I421" s="28"/>
      <c r="K421" s="28"/>
      <c r="L421" s="28"/>
      <c r="M421" s="28"/>
      <c r="N421" s="28"/>
    </row>
    <row r="422" spans="2:22">
      <c r="B422" s="51" t="s">
        <v>424</v>
      </c>
      <c r="D422" t="s">
        <v>110</v>
      </c>
      <c r="F422" s="84">
        <f>SUM(G422:O422)</f>
        <v>0</v>
      </c>
      <c r="G422" s="54"/>
      <c r="H422" s="21">
        <f>H409-H417</f>
        <v>0</v>
      </c>
      <c r="I422" s="54"/>
      <c r="J422" s="21">
        <f>J409-J417</f>
        <v>0</v>
      </c>
      <c r="K422" s="54"/>
      <c r="L422" s="54"/>
      <c r="M422" s="54"/>
      <c r="N422" s="54"/>
      <c r="O422" s="21">
        <f>O409-O417</f>
        <v>0</v>
      </c>
      <c r="V422" s="51" t="s">
        <v>573</v>
      </c>
    </row>
    <row r="423" spans="2:22" s="258" customFormat="1">
      <c r="F423" s="47"/>
    </row>
    <row r="424" spans="2:22" s="258" customFormat="1">
      <c r="B424" s="78" t="s">
        <v>776</v>
      </c>
      <c r="D424" s="258" t="s">
        <v>110</v>
      </c>
      <c r="F424" s="84">
        <f>SUM(G424:O424)</f>
        <v>0</v>
      </c>
      <c r="H424" s="98">
        <f>H406+H407*$F$11-H417</f>
        <v>0</v>
      </c>
      <c r="J424" s="98">
        <f>J406+J407*$F$11-J417</f>
        <v>0</v>
      </c>
      <c r="O424" s="98">
        <f>O406+O407*$F$11-O417</f>
        <v>0</v>
      </c>
    </row>
    <row r="425" spans="2:22">
      <c r="F425" s="47"/>
    </row>
    <row r="426" spans="2:22">
      <c r="F426" s="62"/>
      <c r="G426" s="42"/>
      <c r="H426" s="42"/>
      <c r="I426" s="42"/>
      <c r="J426" s="42"/>
      <c r="K426" s="42"/>
      <c r="L426" s="42"/>
      <c r="M426" s="42"/>
      <c r="N426" s="42"/>
    </row>
    <row r="427" spans="2:22">
      <c r="F427" s="4"/>
    </row>
    <row r="428" spans="2:22">
      <c r="F428" s="4"/>
    </row>
    <row r="429" spans="2:22">
      <c r="F429" s="4"/>
    </row>
    <row r="430" spans="2:22">
      <c r="F430" s="4"/>
    </row>
    <row r="431" spans="2:22">
      <c r="F431" s="4"/>
    </row>
    <row r="432" spans="2:22">
      <c r="F432" s="4"/>
    </row>
    <row r="433" spans="6:6">
      <c r="F433" s="4"/>
    </row>
    <row r="434" spans="6:6">
      <c r="F434" s="4"/>
    </row>
    <row r="435" spans="6:6">
      <c r="F435" s="4"/>
    </row>
    <row r="436" spans="6:6">
      <c r="F436" s="4"/>
    </row>
    <row r="437" spans="6:6">
      <c r="F437" s="4"/>
    </row>
    <row r="438" spans="6:6">
      <c r="F438" s="4"/>
    </row>
    <row r="439" spans="6:6">
      <c r="F439" s="4"/>
    </row>
    <row r="440" spans="6:6">
      <c r="F440" s="4"/>
    </row>
    <row r="441" spans="6:6">
      <c r="F441" s="4"/>
    </row>
    <row r="442" spans="6:6">
      <c r="F442" s="4"/>
    </row>
    <row r="443" spans="6:6">
      <c r="F443" s="4"/>
    </row>
    <row r="444" spans="6:6">
      <c r="F444" s="4"/>
    </row>
    <row r="445" spans="6:6">
      <c r="F445" s="4"/>
    </row>
    <row r="446" spans="6:6">
      <c r="F446" s="4"/>
    </row>
    <row r="447" spans="6:6">
      <c r="F447" s="4"/>
    </row>
    <row r="448" spans="6:6">
      <c r="F448" s="4"/>
    </row>
    <row r="449" spans="6:6">
      <c r="F449" s="4"/>
    </row>
    <row r="450" spans="6:6">
      <c r="F450" s="4"/>
    </row>
    <row r="451" spans="6:6">
      <c r="F451" s="4"/>
    </row>
    <row r="452" spans="6:6">
      <c r="F452" s="4"/>
    </row>
    <row r="453" spans="6:6">
      <c r="F453" s="4"/>
    </row>
    <row r="454" spans="6:6">
      <c r="F454" s="4"/>
    </row>
    <row r="455" spans="6:6">
      <c r="F455" s="4"/>
    </row>
    <row r="456" spans="6:6">
      <c r="F456" s="4"/>
    </row>
    <row r="457" spans="6:6">
      <c r="F457" s="4"/>
    </row>
    <row r="458" spans="6:6">
      <c r="F458" s="4"/>
    </row>
    <row r="459" spans="6:6">
      <c r="F459" s="4"/>
    </row>
    <row r="460" spans="6:6">
      <c r="F460" s="4"/>
    </row>
    <row r="461" spans="6:6">
      <c r="F461" s="4"/>
    </row>
    <row r="462" spans="6:6">
      <c r="F462" s="4"/>
    </row>
    <row r="463" spans="6:6">
      <c r="F463" s="4"/>
    </row>
    <row r="464" spans="6:6">
      <c r="F464" s="4"/>
    </row>
    <row r="465" spans="6:6">
      <c r="F465" s="4"/>
    </row>
    <row r="466" spans="6:6">
      <c r="F466" s="4"/>
    </row>
    <row r="467" spans="6:6">
      <c r="F467" s="4"/>
    </row>
    <row r="468" spans="6:6">
      <c r="F468" s="4"/>
    </row>
    <row r="469" spans="6:6">
      <c r="F469" s="4"/>
    </row>
    <row r="470" spans="6:6">
      <c r="F470" s="4"/>
    </row>
    <row r="471" spans="6:6">
      <c r="F471" s="4"/>
    </row>
    <row r="472" spans="6:6">
      <c r="F472" s="4"/>
    </row>
    <row r="473" spans="6:6">
      <c r="F473" s="4"/>
    </row>
    <row r="474" spans="6:6">
      <c r="F474" s="4"/>
    </row>
    <row r="475" spans="6:6">
      <c r="F475" s="4"/>
    </row>
    <row r="476" spans="6:6">
      <c r="F476" s="4"/>
    </row>
    <row r="477" spans="6:6">
      <c r="F477" s="4"/>
    </row>
    <row r="478" spans="6:6">
      <c r="F478" s="4"/>
    </row>
    <row r="479" spans="6:6">
      <c r="F479" s="4"/>
    </row>
    <row r="480" spans="6:6">
      <c r="F480" s="4"/>
    </row>
    <row r="481" spans="6:6">
      <c r="F481" s="4"/>
    </row>
    <row r="482" spans="6:6">
      <c r="F482" s="4"/>
    </row>
    <row r="483" spans="6:6">
      <c r="F483" s="4"/>
    </row>
    <row r="484" spans="6:6">
      <c r="F484" s="4"/>
    </row>
    <row r="485" spans="6:6">
      <c r="F485" s="4"/>
    </row>
    <row r="486" spans="6:6">
      <c r="F486" s="4"/>
    </row>
    <row r="487" spans="6:6">
      <c r="F487" s="4"/>
    </row>
    <row r="488" spans="6:6">
      <c r="F488" s="4"/>
    </row>
    <row r="489" spans="6:6">
      <c r="F489" s="4"/>
    </row>
    <row r="490" spans="6:6">
      <c r="F490" s="4"/>
    </row>
    <row r="491" spans="6:6">
      <c r="F491" s="4"/>
    </row>
    <row r="492" spans="6:6">
      <c r="F492" s="4"/>
    </row>
    <row r="493" spans="6:6">
      <c r="F493" s="4"/>
    </row>
    <row r="494" spans="6:6">
      <c r="F494" s="4"/>
    </row>
    <row r="495" spans="6:6">
      <c r="F495" s="4"/>
    </row>
    <row r="496" spans="6:6">
      <c r="F496" s="4"/>
    </row>
    <row r="497" spans="6:6">
      <c r="F497" s="4"/>
    </row>
    <row r="498" spans="6:6">
      <c r="F498" s="4"/>
    </row>
    <row r="499" spans="6:6">
      <c r="F499" s="4"/>
    </row>
    <row r="500" spans="6:6">
      <c r="F500" s="4"/>
    </row>
    <row r="501" spans="6:6">
      <c r="F501" s="4"/>
    </row>
    <row r="502" spans="6:6">
      <c r="F502" s="4"/>
    </row>
    <row r="503" spans="6:6">
      <c r="F503" s="4"/>
    </row>
    <row r="504" spans="6:6">
      <c r="F504" s="4"/>
    </row>
    <row r="505" spans="6:6">
      <c r="F505" s="4"/>
    </row>
    <row r="506" spans="6:6">
      <c r="F506" s="4"/>
    </row>
    <row r="507" spans="6:6">
      <c r="F507" s="4"/>
    </row>
    <row r="508" spans="6:6">
      <c r="F508" s="4"/>
    </row>
    <row r="509" spans="6:6">
      <c r="F509" s="4"/>
    </row>
    <row r="510" spans="6:6">
      <c r="F510" s="4"/>
    </row>
    <row r="511" spans="6:6">
      <c r="F511" s="4"/>
    </row>
    <row r="512" spans="6:6">
      <c r="F512" s="4"/>
    </row>
    <row r="513" spans="6:6">
      <c r="F513" s="4"/>
    </row>
    <row r="514" spans="6:6">
      <c r="F514" s="4"/>
    </row>
    <row r="515" spans="6:6">
      <c r="F515" s="4"/>
    </row>
    <row r="516" spans="6:6">
      <c r="F516" s="4"/>
    </row>
    <row r="517" spans="6:6">
      <c r="F517" s="4"/>
    </row>
    <row r="518" spans="6:6">
      <c r="F518" s="4"/>
    </row>
    <row r="519" spans="6:6">
      <c r="F519" s="4"/>
    </row>
    <row r="520" spans="6:6">
      <c r="F520" s="4"/>
    </row>
    <row r="521" spans="6:6">
      <c r="F521" s="4"/>
    </row>
    <row r="522" spans="6:6">
      <c r="F522" s="4"/>
    </row>
    <row r="523" spans="6:6">
      <c r="F523" s="4"/>
    </row>
    <row r="524" spans="6:6">
      <c r="F524" s="4"/>
    </row>
    <row r="525" spans="6:6">
      <c r="F525" s="4"/>
    </row>
    <row r="526" spans="6:6">
      <c r="F526" s="4"/>
    </row>
    <row r="527" spans="6:6">
      <c r="F527" s="4"/>
    </row>
    <row r="528" spans="6:6">
      <c r="F528" s="4"/>
    </row>
    <row r="529" spans="6:6">
      <c r="F529" s="4"/>
    </row>
    <row r="530" spans="6:6">
      <c r="F530" s="4"/>
    </row>
    <row r="531" spans="6:6">
      <c r="F531" s="4"/>
    </row>
    <row r="532" spans="6:6">
      <c r="F532" s="4"/>
    </row>
    <row r="533" spans="6:6">
      <c r="F533" s="4"/>
    </row>
    <row r="534" spans="6:6">
      <c r="F534" s="4"/>
    </row>
    <row r="535" spans="6:6">
      <c r="F535" s="4"/>
    </row>
    <row r="536" spans="6:6">
      <c r="F536" s="4"/>
    </row>
    <row r="537" spans="6:6">
      <c r="F537" s="4"/>
    </row>
    <row r="538" spans="6:6">
      <c r="F538" s="4"/>
    </row>
    <row r="539" spans="6:6">
      <c r="F539" s="4"/>
    </row>
    <row r="540" spans="6:6">
      <c r="F540" s="4"/>
    </row>
    <row r="541" spans="6:6">
      <c r="F541" s="4"/>
    </row>
    <row r="542" spans="6:6">
      <c r="F542" s="4"/>
    </row>
    <row r="543" spans="6:6">
      <c r="F543" s="4"/>
    </row>
    <row r="544" spans="6:6">
      <c r="F544" s="4"/>
    </row>
    <row r="545" spans="6:6">
      <c r="F545" s="4"/>
    </row>
    <row r="546" spans="6:6">
      <c r="F546" s="4"/>
    </row>
    <row r="547" spans="6:6">
      <c r="F547" s="4"/>
    </row>
    <row r="548" spans="6:6">
      <c r="F548" s="4"/>
    </row>
    <row r="549" spans="6:6">
      <c r="F549" s="4"/>
    </row>
    <row r="550" spans="6:6">
      <c r="F550" s="4"/>
    </row>
    <row r="551" spans="6:6">
      <c r="F551" s="4"/>
    </row>
    <row r="552" spans="6:6">
      <c r="F552" s="4"/>
    </row>
    <row r="553" spans="6:6">
      <c r="F553" s="4"/>
    </row>
    <row r="554" spans="6:6">
      <c r="F554" s="4"/>
    </row>
    <row r="555" spans="6:6">
      <c r="F555" s="4"/>
    </row>
    <row r="556" spans="6:6">
      <c r="F556" s="4"/>
    </row>
    <row r="557" spans="6:6">
      <c r="F557" s="4"/>
    </row>
    <row r="558" spans="6:6">
      <c r="F558" s="4"/>
    </row>
    <row r="559" spans="6:6">
      <c r="F559" s="4"/>
    </row>
    <row r="560" spans="6:6">
      <c r="F560" s="4"/>
    </row>
    <row r="561" spans="6:6">
      <c r="F561" s="4"/>
    </row>
    <row r="562" spans="6:6">
      <c r="F562" s="4"/>
    </row>
    <row r="563" spans="6:6">
      <c r="F563" s="4"/>
    </row>
    <row r="564" spans="6:6">
      <c r="F564" s="4"/>
    </row>
    <row r="565" spans="6:6">
      <c r="F565" s="4"/>
    </row>
    <row r="566" spans="6:6">
      <c r="F566" s="4"/>
    </row>
    <row r="567" spans="6:6">
      <c r="F567" s="4"/>
    </row>
    <row r="568" spans="6:6">
      <c r="F568" s="4"/>
    </row>
    <row r="569" spans="6:6">
      <c r="F569" s="4"/>
    </row>
    <row r="570" spans="6:6">
      <c r="F570" s="4"/>
    </row>
    <row r="571" spans="6:6">
      <c r="F571" s="4"/>
    </row>
    <row r="572" spans="6:6">
      <c r="F572" s="4"/>
    </row>
    <row r="573" spans="6:6">
      <c r="F573" s="4"/>
    </row>
    <row r="574" spans="6:6">
      <c r="F574" s="4"/>
    </row>
    <row r="575" spans="6:6">
      <c r="F575" s="4"/>
    </row>
    <row r="576" spans="6:6">
      <c r="F576" s="4"/>
    </row>
    <row r="577" spans="6:16">
      <c r="F577" s="4"/>
    </row>
    <row r="578" spans="6:16">
      <c r="F578" s="4"/>
    </row>
    <row r="579" spans="6:16">
      <c r="F579" s="4"/>
    </row>
    <row r="580" spans="6:16">
      <c r="F580" s="4"/>
    </row>
    <row r="581" spans="6:16">
      <c r="F581" s="4"/>
    </row>
    <row r="582" spans="6:16">
      <c r="F582" s="4"/>
    </row>
    <row r="583" spans="6:16">
      <c r="F583" s="4"/>
    </row>
    <row r="584" spans="6:16">
      <c r="F584" s="4"/>
    </row>
    <row r="585" spans="6:16">
      <c r="F585" s="4"/>
    </row>
    <row r="586" spans="6:16">
      <c r="F586" s="4"/>
    </row>
    <row r="587" spans="6:16">
      <c r="F587" s="4"/>
    </row>
    <row r="588" spans="6:16">
      <c r="F588" s="4"/>
    </row>
    <row r="589" spans="6:16">
      <c r="F589" s="4"/>
    </row>
    <row r="590" spans="6:16">
      <c r="F590" s="4"/>
    </row>
    <row r="591" spans="6:16">
      <c r="F591" s="4"/>
    </row>
    <row r="592" spans="6:16">
      <c r="P592" s="27"/>
    </row>
    <row r="593" spans="16:16">
      <c r="P593" s="27"/>
    </row>
    <row r="594" spans="16:16">
      <c r="P594" s="27"/>
    </row>
    <row r="595" spans="16:16">
      <c r="P595" s="27"/>
    </row>
    <row r="596" spans="16:16">
      <c r="P596" s="27"/>
    </row>
    <row r="597" spans="16:16">
      <c r="P597" s="27"/>
    </row>
    <row r="598" spans="16:16">
      <c r="P598" s="27"/>
    </row>
    <row r="599" spans="16:16">
      <c r="P599" s="27"/>
    </row>
    <row r="600" spans="16:16">
      <c r="P600" s="27"/>
    </row>
    <row r="601" spans="16:16">
      <c r="P601" s="27"/>
    </row>
    <row r="602" spans="16:16">
      <c r="P602" s="27"/>
    </row>
    <row r="603" spans="16:16">
      <c r="P603" s="27"/>
    </row>
    <row r="604" spans="16:16">
      <c r="P604" s="27"/>
    </row>
    <row r="605" spans="16:16">
      <c r="P605" s="27"/>
    </row>
    <row r="606" spans="16:16">
      <c r="P606" s="27"/>
    </row>
    <row r="607" spans="16:16">
      <c r="P607" s="27"/>
    </row>
    <row r="608" spans="16:16">
      <c r="P608" s="27"/>
    </row>
    <row r="609" spans="16:16">
      <c r="P609" s="27"/>
    </row>
    <row r="610" spans="16:16">
      <c r="P610" s="27"/>
    </row>
    <row r="611" spans="16:16">
      <c r="P611" s="27"/>
    </row>
    <row r="612" spans="16:16">
      <c r="P612" s="27"/>
    </row>
    <row r="613" spans="16:16">
      <c r="P613" s="27"/>
    </row>
    <row r="614" spans="16:16">
      <c r="P614" s="27"/>
    </row>
    <row r="615" spans="16:16">
      <c r="P615" s="27"/>
    </row>
    <row r="616" spans="16:16">
      <c r="P616" s="27"/>
    </row>
  </sheetData>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XFD126"/>
  <sheetViews>
    <sheetView showGridLines="0" zoomScale="85" zoomScaleNormal="85" workbookViewId="0"/>
  </sheetViews>
  <sheetFormatPr defaultRowHeight="15"/>
  <cols>
    <col min="1" max="1" width="2.5703125" style="368" customWidth="1"/>
    <col min="2" max="2" width="62.85546875" style="316" customWidth="1"/>
    <col min="3" max="3" width="2.5703125" style="368" customWidth="1"/>
    <col min="4" max="4" width="14.5703125" style="368" customWidth="1"/>
    <col min="5" max="5" width="2.5703125" style="368" customWidth="1"/>
    <col min="6" max="6" width="21.42578125" style="372" customWidth="1"/>
    <col min="7" max="14" width="14.85546875" style="371" customWidth="1"/>
    <col min="15" max="15" width="11.42578125" style="371" customWidth="1"/>
    <col min="16" max="16" width="20.7109375" style="371" customWidth="1"/>
    <col min="17" max="16384" width="9.140625" style="368"/>
  </cols>
  <sheetData>
    <row r="1" spans="1:16384" ht="12" customHeight="1"/>
    <row r="2" spans="1:16384" s="320" customFormat="1" ht="18">
      <c r="B2" s="320" t="s">
        <v>838</v>
      </c>
      <c r="F2" s="321" t="s">
        <v>105</v>
      </c>
      <c r="G2" s="322" t="s">
        <v>96</v>
      </c>
      <c r="H2" s="322" t="s">
        <v>97</v>
      </c>
      <c r="I2" s="322" t="s">
        <v>98</v>
      </c>
      <c r="J2" s="322" t="s">
        <v>99</v>
      </c>
      <c r="K2" s="322" t="s">
        <v>100</v>
      </c>
      <c r="L2" s="322" t="s">
        <v>101</v>
      </c>
      <c r="M2" s="322" t="s">
        <v>102</v>
      </c>
      <c r="N2" s="322" t="s">
        <v>103</v>
      </c>
      <c r="O2" s="322"/>
      <c r="P2" s="322" t="s">
        <v>567</v>
      </c>
    </row>
    <row r="3" spans="1:16384" s="398" customFormat="1" ht="15" customHeight="1">
      <c r="F3" s="365"/>
      <c r="G3" s="366"/>
      <c r="H3" s="366"/>
      <c r="I3" s="366"/>
      <c r="J3" s="366"/>
      <c r="K3" s="366"/>
      <c r="L3" s="366"/>
      <c r="M3" s="366"/>
      <c r="N3" s="366"/>
      <c r="O3" s="366"/>
      <c r="P3" s="366"/>
    </row>
    <row r="4" spans="1:16384" s="397" customFormat="1" ht="15" customHeight="1">
      <c r="A4" s="258"/>
      <c r="B4" s="51" t="s">
        <v>1003</v>
      </c>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8"/>
      <c r="CZ4" s="258"/>
      <c r="DA4" s="258"/>
      <c r="DB4" s="258"/>
      <c r="DC4" s="258"/>
      <c r="DD4" s="258"/>
      <c r="DE4" s="258"/>
      <c r="DF4" s="258"/>
      <c r="DG4" s="258"/>
      <c r="DH4" s="258"/>
      <c r="DI4" s="258"/>
      <c r="DJ4" s="258"/>
      <c r="DK4" s="258"/>
      <c r="DL4" s="258"/>
      <c r="DM4" s="258"/>
      <c r="DN4" s="258"/>
      <c r="DO4" s="258"/>
      <c r="DP4" s="258"/>
      <c r="DQ4" s="258"/>
      <c r="DR4" s="258"/>
      <c r="DS4" s="258"/>
      <c r="DT4" s="258"/>
      <c r="DU4" s="258"/>
      <c r="DV4" s="258"/>
      <c r="DW4" s="258"/>
      <c r="DX4" s="258"/>
      <c r="DY4" s="258"/>
      <c r="DZ4" s="258"/>
      <c r="EA4" s="258"/>
      <c r="EB4" s="258"/>
      <c r="EC4" s="258"/>
      <c r="ED4" s="258"/>
      <c r="EE4" s="258"/>
      <c r="EF4" s="258"/>
      <c r="EG4" s="258"/>
      <c r="EH4" s="258"/>
      <c r="EI4" s="258"/>
      <c r="EJ4" s="258"/>
      <c r="EK4" s="258"/>
      <c r="EL4" s="258"/>
      <c r="EM4" s="258"/>
      <c r="EN4" s="258"/>
      <c r="EO4" s="258"/>
      <c r="EP4" s="258"/>
      <c r="EQ4" s="258"/>
      <c r="ER4" s="258"/>
      <c r="ES4" s="258"/>
      <c r="ET4" s="258"/>
      <c r="EU4" s="258"/>
      <c r="EV4" s="258"/>
      <c r="EW4" s="258"/>
      <c r="EX4" s="258"/>
      <c r="EY4" s="258"/>
      <c r="EZ4" s="258"/>
      <c r="FA4" s="258"/>
      <c r="FB4" s="258"/>
      <c r="FC4" s="258"/>
      <c r="FD4" s="258"/>
      <c r="FE4" s="258"/>
      <c r="FF4" s="258"/>
      <c r="FG4" s="258"/>
      <c r="FH4" s="258"/>
      <c r="FI4" s="258"/>
      <c r="FJ4" s="258"/>
      <c r="FK4" s="258"/>
      <c r="FL4" s="258"/>
      <c r="FM4" s="258"/>
      <c r="FN4" s="258"/>
      <c r="FO4" s="258"/>
      <c r="FP4" s="258"/>
      <c r="FQ4" s="258"/>
      <c r="FR4" s="258"/>
      <c r="FS4" s="258"/>
      <c r="FT4" s="258"/>
      <c r="FU4" s="258"/>
      <c r="FV4" s="258"/>
      <c r="FW4" s="258"/>
      <c r="FX4" s="258"/>
      <c r="FY4" s="258"/>
      <c r="FZ4" s="258"/>
      <c r="GA4" s="258"/>
      <c r="GB4" s="258"/>
      <c r="GC4" s="258"/>
      <c r="GD4" s="258"/>
      <c r="GE4" s="258"/>
      <c r="GF4" s="258"/>
      <c r="GG4" s="258"/>
      <c r="GH4" s="258"/>
      <c r="GI4" s="258"/>
      <c r="GJ4" s="258"/>
      <c r="GK4" s="258"/>
      <c r="GL4" s="258"/>
      <c r="GM4" s="258"/>
      <c r="GN4" s="258"/>
      <c r="GO4" s="258"/>
      <c r="GP4" s="258"/>
      <c r="GQ4" s="258"/>
      <c r="GR4" s="258"/>
      <c r="GS4" s="258"/>
      <c r="GT4" s="258"/>
      <c r="GU4" s="258"/>
      <c r="GV4" s="258"/>
      <c r="GW4" s="258"/>
      <c r="GX4" s="258"/>
      <c r="GY4" s="258"/>
      <c r="GZ4" s="258"/>
      <c r="HA4" s="258"/>
      <c r="HB4" s="258"/>
      <c r="HC4" s="258"/>
      <c r="HD4" s="258"/>
      <c r="HE4" s="258"/>
      <c r="HF4" s="258"/>
      <c r="HG4" s="258"/>
      <c r="HH4" s="258"/>
      <c r="HI4" s="258"/>
      <c r="HJ4" s="258"/>
      <c r="HK4" s="258"/>
      <c r="HL4" s="258"/>
      <c r="HM4" s="258"/>
      <c r="HN4" s="258"/>
      <c r="HO4" s="258"/>
      <c r="HP4" s="258"/>
      <c r="HQ4" s="258"/>
      <c r="HR4" s="258"/>
      <c r="HS4" s="258"/>
      <c r="HT4" s="258"/>
      <c r="HU4" s="258"/>
      <c r="HV4" s="258"/>
      <c r="HW4" s="258"/>
      <c r="HX4" s="258"/>
      <c r="HY4" s="258"/>
      <c r="HZ4" s="258"/>
      <c r="IA4" s="258"/>
      <c r="IB4" s="258"/>
      <c r="IC4" s="258"/>
      <c r="ID4" s="258"/>
      <c r="IE4" s="258"/>
      <c r="IF4" s="258"/>
      <c r="IG4" s="258"/>
      <c r="IH4" s="258"/>
      <c r="II4" s="258"/>
      <c r="IJ4" s="258"/>
      <c r="IK4" s="258"/>
      <c r="IL4" s="258"/>
      <c r="IM4" s="258"/>
      <c r="IN4" s="258"/>
      <c r="IO4" s="258"/>
      <c r="IP4" s="258"/>
      <c r="IQ4" s="258"/>
      <c r="IR4" s="258"/>
      <c r="IS4" s="258"/>
      <c r="IT4" s="258"/>
      <c r="IU4" s="258"/>
      <c r="IV4" s="258"/>
      <c r="IW4" s="258"/>
      <c r="IX4" s="258"/>
      <c r="IY4" s="258"/>
      <c r="IZ4" s="258"/>
      <c r="JA4" s="258"/>
      <c r="JB4" s="258"/>
      <c r="JC4" s="258"/>
      <c r="JD4" s="258"/>
      <c r="JE4" s="258"/>
      <c r="JF4" s="258"/>
      <c r="JG4" s="258"/>
      <c r="JH4" s="258"/>
      <c r="JI4" s="258"/>
      <c r="JJ4" s="258"/>
      <c r="JK4" s="258"/>
      <c r="JL4" s="258"/>
      <c r="JM4" s="258"/>
      <c r="JN4" s="258"/>
      <c r="JO4" s="258"/>
      <c r="JP4" s="258"/>
      <c r="JQ4" s="258"/>
      <c r="JR4" s="258"/>
      <c r="JS4" s="258"/>
      <c r="JT4" s="258"/>
      <c r="JU4" s="258"/>
      <c r="JV4" s="258"/>
      <c r="JW4" s="258"/>
      <c r="JX4" s="258"/>
      <c r="JY4" s="258"/>
      <c r="JZ4" s="258"/>
      <c r="KA4" s="258"/>
      <c r="KB4" s="258"/>
      <c r="KC4" s="258"/>
      <c r="KD4" s="258"/>
      <c r="KE4" s="258"/>
      <c r="KF4" s="258"/>
      <c r="KG4" s="258"/>
      <c r="KH4" s="258"/>
      <c r="KI4" s="258"/>
      <c r="KJ4" s="258"/>
      <c r="KK4" s="258"/>
      <c r="KL4" s="258"/>
      <c r="KM4" s="258"/>
      <c r="KN4" s="258"/>
      <c r="KO4" s="258"/>
      <c r="KP4" s="258"/>
      <c r="KQ4" s="258"/>
      <c r="KR4" s="258"/>
      <c r="KS4" s="258"/>
      <c r="KT4" s="258"/>
      <c r="KU4" s="258"/>
      <c r="KV4" s="258"/>
      <c r="KW4" s="258"/>
      <c r="KX4" s="258"/>
      <c r="KY4" s="258"/>
      <c r="KZ4" s="258"/>
      <c r="LA4" s="258"/>
      <c r="LB4" s="258"/>
      <c r="LC4" s="258"/>
      <c r="LD4" s="258"/>
      <c r="LE4" s="258"/>
      <c r="LF4" s="258"/>
      <c r="LG4" s="258"/>
      <c r="LH4" s="258"/>
      <c r="LI4" s="258"/>
      <c r="LJ4" s="258"/>
      <c r="LK4" s="258"/>
      <c r="LL4" s="258"/>
      <c r="LM4" s="258"/>
      <c r="LN4" s="258"/>
      <c r="LO4" s="258"/>
      <c r="LP4" s="258"/>
      <c r="LQ4" s="258"/>
      <c r="LR4" s="258"/>
      <c r="LS4" s="258"/>
      <c r="LT4" s="258"/>
      <c r="LU4" s="258"/>
      <c r="LV4" s="258"/>
      <c r="LW4" s="258"/>
      <c r="LX4" s="258"/>
      <c r="LY4" s="258"/>
      <c r="LZ4" s="258"/>
      <c r="MA4" s="258"/>
      <c r="MB4" s="258"/>
      <c r="MC4" s="258"/>
      <c r="MD4" s="258"/>
      <c r="ME4" s="258"/>
      <c r="MF4" s="258"/>
      <c r="MG4" s="258"/>
      <c r="MH4" s="258"/>
      <c r="MI4" s="258"/>
      <c r="MJ4" s="258"/>
      <c r="MK4" s="258"/>
      <c r="ML4" s="258"/>
      <c r="MM4" s="258"/>
      <c r="MN4" s="258"/>
      <c r="MO4" s="258"/>
      <c r="MP4" s="258"/>
      <c r="MQ4" s="258"/>
      <c r="MR4" s="258"/>
      <c r="MS4" s="258"/>
      <c r="MT4" s="258"/>
      <c r="MU4" s="258"/>
      <c r="MV4" s="258"/>
      <c r="MW4" s="258"/>
      <c r="MX4" s="258"/>
      <c r="MY4" s="258"/>
      <c r="MZ4" s="258"/>
      <c r="NA4" s="258"/>
      <c r="NB4" s="258"/>
      <c r="NC4" s="258"/>
      <c r="ND4" s="258"/>
      <c r="NE4" s="258"/>
      <c r="NF4" s="258"/>
      <c r="NG4" s="258"/>
      <c r="NH4" s="258"/>
      <c r="NI4" s="258"/>
      <c r="NJ4" s="258"/>
      <c r="NK4" s="258"/>
      <c r="NL4" s="258"/>
      <c r="NM4" s="258"/>
      <c r="NN4" s="258"/>
      <c r="NO4" s="258"/>
      <c r="NP4" s="258"/>
      <c r="NQ4" s="258"/>
      <c r="NR4" s="258"/>
      <c r="NS4" s="258"/>
      <c r="NT4" s="258"/>
      <c r="NU4" s="258"/>
      <c r="NV4" s="258"/>
      <c r="NW4" s="258"/>
      <c r="NX4" s="258"/>
      <c r="NY4" s="258"/>
      <c r="NZ4" s="258"/>
      <c r="OA4" s="258"/>
      <c r="OB4" s="258"/>
      <c r="OC4" s="258"/>
      <c r="OD4" s="258"/>
      <c r="OE4" s="258"/>
      <c r="OF4" s="258"/>
      <c r="OG4" s="258"/>
      <c r="OH4" s="258"/>
      <c r="OI4" s="258"/>
      <c r="OJ4" s="258"/>
      <c r="OK4" s="258"/>
      <c r="OL4" s="258"/>
      <c r="OM4" s="258"/>
      <c r="ON4" s="258"/>
      <c r="OO4" s="258"/>
      <c r="OP4" s="258"/>
      <c r="OQ4" s="258"/>
      <c r="OR4" s="258"/>
      <c r="OS4" s="258"/>
      <c r="OT4" s="258"/>
      <c r="OU4" s="258"/>
      <c r="OV4" s="258"/>
      <c r="OW4" s="258"/>
      <c r="OX4" s="258"/>
      <c r="OY4" s="258"/>
      <c r="OZ4" s="258"/>
      <c r="PA4" s="258"/>
      <c r="PB4" s="258"/>
      <c r="PC4" s="258"/>
      <c r="PD4" s="258"/>
      <c r="PE4" s="258"/>
      <c r="PF4" s="258"/>
      <c r="PG4" s="258"/>
      <c r="PH4" s="258"/>
      <c r="PI4" s="258"/>
      <c r="PJ4" s="258"/>
      <c r="PK4" s="258"/>
      <c r="PL4" s="258"/>
      <c r="PM4" s="258"/>
      <c r="PN4" s="258"/>
      <c r="PO4" s="258"/>
      <c r="PP4" s="258"/>
      <c r="PQ4" s="258"/>
      <c r="PR4" s="258"/>
      <c r="PS4" s="258"/>
      <c r="PT4" s="258"/>
      <c r="PU4" s="258"/>
      <c r="PV4" s="258"/>
      <c r="PW4" s="258"/>
      <c r="PX4" s="258"/>
      <c r="PY4" s="258"/>
      <c r="PZ4" s="258"/>
      <c r="QA4" s="258"/>
      <c r="QB4" s="258"/>
      <c r="QC4" s="258"/>
      <c r="QD4" s="258"/>
      <c r="QE4" s="258"/>
      <c r="QF4" s="258"/>
      <c r="QG4" s="258"/>
      <c r="QH4" s="258"/>
      <c r="QI4" s="258"/>
      <c r="QJ4" s="258"/>
      <c r="QK4" s="258"/>
      <c r="QL4" s="258"/>
      <c r="QM4" s="258"/>
      <c r="QN4" s="258"/>
      <c r="QO4" s="258"/>
      <c r="QP4" s="258"/>
      <c r="QQ4" s="258"/>
      <c r="QR4" s="258"/>
      <c r="QS4" s="258"/>
      <c r="QT4" s="258"/>
      <c r="QU4" s="258"/>
      <c r="QV4" s="258"/>
      <c r="QW4" s="258"/>
      <c r="QX4" s="258"/>
      <c r="QY4" s="258"/>
      <c r="QZ4" s="258"/>
      <c r="RA4" s="258"/>
      <c r="RB4" s="258"/>
      <c r="RC4" s="258"/>
      <c r="RD4" s="258"/>
      <c r="RE4" s="258"/>
      <c r="RF4" s="258"/>
      <c r="RG4" s="258"/>
      <c r="RH4" s="258"/>
      <c r="RI4" s="258"/>
      <c r="RJ4" s="258"/>
      <c r="RK4" s="258"/>
      <c r="RL4" s="258"/>
      <c r="RM4" s="258"/>
      <c r="RN4" s="258"/>
      <c r="RO4" s="258"/>
      <c r="RP4" s="258"/>
      <c r="RQ4" s="258"/>
      <c r="RR4" s="258"/>
      <c r="RS4" s="258"/>
      <c r="RT4" s="258"/>
      <c r="RU4" s="258"/>
      <c r="RV4" s="258"/>
      <c r="RW4" s="258"/>
      <c r="RX4" s="258"/>
      <c r="RY4" s="258"/>
      <c r="RZ4" s="258"/>
      <c r="SA4" s="258"/>
      <c r="SB4" s="258"/>
      <c r="SC4" s="258"/>
      <c r="SD4" s="258"/>
      <c r="SE4" s="258"/>
      <c r="SF4" s="258"/>
      <c r="SG4" s="258"/>
      <c r="SH4" s="258"/>
      <c r="SI4" s="258"/>
      <c r="SJ4" s="258"/>
      <c r="SK4" s="258"/>
      <c r="SL4" s="258"/>
      <c r="SM4" s="258"/>
      <c r="SN4" s="258"/>
      <c r="SO4" s="258"/>
      <c r="SP4" s="258"/>
      <c r="SQ4" s="258"/>
      <c r="SR4" s="258"/>
      <c r="SS4" s="258"/>
      <c r="ST4" s="258"/>
      <c r="SU4" s="258"/>
      <c r="SV4" s="258"/>
      <c r="SW4" s="258"/>
      <c r="SX4" s="258"/>
      <c r="SY4" s="258"/>
      <c r="SZ4" s="258"/>
      <c r="TA4" s="258"/>
      <c r="TB4" s="258"/>
      <c r="TC4" s="258"/>
      <c r="TD4" s="258"/>
      <c r="TE4" s="258"/>
      <c r="TF4" s="258"/>
      <c r="TG4" s="258"/>
      <c r="TH4" s="258"/>
      <c r="TI4" s="258"/>
      <c r="TJ4" s="258"/>
      <c r="TK4" s="258"/>
      <c r="TL4" s="258"/>
      <c r="TM4" s="258"/>
      <c r="TN4" s="258"/>
      <c r="TO4" s="258"/>
      <c r="TP4" s="258"/>
      <c r="TQ4" s="258"/>
      <c r="TR4" s="258"/>
      <c r="TS4" s="258"/>
      <c r="TT4" s="258"/>
      <c r="TU4" s="258"/>
      <c r="TV4" s="258"/>
      <c r="TW4" s="258"/>
      <c r="TX4" s="258"/>
      <c r="TY4" s="258"/>
      <c r="TZ4" s="258"/>
      <c r="UA4" s="258"/>
      <c r="UB4" s="258"/>
      <c r="UC4" s="258"/>
      <c r="UD4" s="258"/>
      <c r="UE4" s="258"/>
      <c r="UF4" s="258"/>
      <c r="UG4" s="258"/>
      <c r="UH4" s="258"/>
      <c r="UI4" s="258"/>
      <c r="UJ4" s="258"/>
      <c r="UK4" s="258"/>
      <c r="UL4" s="258"/>
      <c r="UM4" s="258"/>
      <c r="UN4" s="258"/>
      <c r="UO4" s="258"/>
      <c r="UP4" s="258"/>
      <c r="UQ4" s="258"/>
      <c r="UR4" s="258"/>
      <c r="US4" s="258"/>
      <c r="UT4" s="258"/>
      <c r="UU4" s="258"/>
      <c r="UV4" s="258"/>
      <c r="UW4" s="258"/>
      <c r="UX4" s="258"/>
      <c r="UY4" s="258"/>
      <c r="UZ4" s="258"/>
      <c r="VA4" s="258"/>
      <c r="VB4" s="258"/>
      <c r="VC4" s="258"/>
      <c r="VD4" s="258"/>
      <c r="VE4" s="258"/>
      <c r="VF4" s="258"/>
      <c r="VG4" s="258"/>
      <c r="VH4" s="258"/>
      <c r="VI4" s="258"/>
      <c r="VJ4" s="258"/>
      <c r="VK4" s="258"/>
      <c r="VL4" s="258"/>
      <c r="VM4" s="258"/>
      <c r="VN4" s="258"/>
      <c r="VO4" s="258"/>
      <c r="VP4" s="258"/>
      <c r="VQ4" s="258"/>
      <c r="VR4" s="258"/>
      <c r="VS4" s="258"/>
      <c r="VT4" s="258"/>
      <c r="VU4" s="258"/>
      <c r="VV4" s="258"/>
      <c r="VW4" s="258"/>
      <c r="VX4" s="258"/>
      <c r="VY4" s="258"/>
      <c r="VZ4" s="258"/>
      <c r="WA4" s="258"/>
      <c r="WB4" s="258"/>
      <c r="WC4" s="258"/>
      <c r="WD4" s="258"/>
      <c r="WE4" s="258"/>
      <c r="WF4" s="258"/>
      <c r="WG4" s="258"/>
      <c r="WH4" s="258"/>
      <c r="WI4" s="258"/>
      <c r="WJ4" s="258"/>
      <c r="WK4" s="258"/>
      <c r="WL4" s="258"/>
      <c r="WM4" s="258"/>
      <c r="WN4" s="258"/>
      <c r="WO4" s="258"/>
      <c r="WP4" s="258"/>
      <c r="WQ4" s="258"/>
      <c r="WR4" s="258"/>
      <c r="WS4" s="258"/>
      <c r="WT4" s="258"/>
      <c r="WU4" s="258"/>
      <c r="WV4" s="258"/>
      <c r="WW4" s="258"/>
      <c r="WX4" s="258"/>
      <c r="WY4" s="258"/>
      <c r="WZ4" s="258"/>
      <c r="XA4" s="258"/>
      <c r="XB4" s="258"/>
      <c r="XC4" s="258"/>
      <c r="XD4" s="258"/>
      <c r="XE4" s="258"/>
      <c r="XF4" s="258"/>
      <c r="XG4" s="258"/>
      <c r="XH4" s="258"/>
      <c r="XI4" s="258"/>
      <c r="XJ4" s="258"/>
      <c r="XK4" s="258"/>
      <c r="XL4" s="258"/>
      <c r="XM4" s="258"/>
      <c r="XN4" s="258"/>
      <c r="XO4" s="258"/>
      <c r="XP4" s="258"/>
      <c r="XQ4" s="258"/>
      <c r="XR4" s="258"/>
      <c r="XS4" s="258"/>
      <c r="XT4" s="258"/>
      <c r="XU4" s="258"/>
      <c r="XV4" s="258"/>
      <c r="XW4" s="258"/>
      <c r="XX4" s="258"/>
      <c r="XY4" s="258"/>
      <c r="XZ4" s="258"/>
      <c r="YA4" s="258"/>
      <c r="YB4" s="258"/>
      <c r="YC4" s="258"/>
      <c r="YD4" s="258"/>
      <c r="YE4" s="258"/>
      <c r="YF4" s="258"/>
      <c r="YG4" s="258"/>
      <c r="YH4" s="258"/>
      <c r="YI4" s="258"/>
      <c r="YJ4" s="258"/>
      <c r="YK4" s="258"/>
      <c r="YL4" s="258"/>
      <c r="YM4" s="258"/>
      <c r="YN4" s="258"/>
      <c r="YO4" s="258"/>
      <c r="YP4" s="258"/>
      <c r="YQ4" s="258"/>
      <c r="YR4" s="258"/>
      <c r="YS4" s="258"/>
      <c r="YT4" s="258"/>
      <c r="YU4" s="258"/>
      <c r="YV4" s="258"/>
      <c r="YW4" s="258"/>
      <c r="YX4" s="258"/>
      <c r="YY4" s="258"/>
      <c r="YZ4" s="258"/>
      <c r="ZA4" s="258"/>
      <c r="ZB4" s="258"/>
      <c r="ZC4" s="258"/>
      <c r="ZD4" s="258"/>
      <c r="ZE4" s="258"/>
      <c r="ZF4" s="258"/>
      <c r="ZG4" s="258"/>
      <c r="ZH4" s="258"/>
      <c r="ZI4" s="258"/>
      <c r="ZJ4" s="258"/>
      <c r="ZK4" s="258"/>
      <c r="ZL4" s="258"/>
      <c r="ZM4" s="258"/>
      <c r="ZN4" s="258"/>
      <c r="ZO4" s="258"/>
      <c r="ZP4" s="258"/>
      <c r="ZQ4" s="258"/>
      <c r="ZR4" s="258"/>
      <c r="ZS4" s="258"/>
      <c r="ZT4" s="258"/>
      <c r="ZU4" s="258"/>
      <c r="ZV4" s="258"/>
      <c r="ZW4" s="258"/>
      <c r="ZX4" s="258"/>
      <c r="ZY4" s="258"/>
      <c r="ZZ4" s="258"/>
      <c r="AAA4" s="258"/>
      <c r="AAB4" s="258"/>
      <c r="AAC4" s="258"/>
      <c r="AAD4" s="258"/>
      <c r="AAE4" s="258"/>
      <c r="AAF4" s="258"/>
      <c r="AAG4" s="258"/>
      <c r="AAH4" s="258"/>
      <c r="AAI4" s="258"/>
      <c r="AAJ4" s="258"/>
      <c r="AAK4" s="258"/>
      <c r="AAL4" s="258"/>
      <c r="AAM4" s="258"/>
      <c r="AAN4" s="258"/>
      <c r="AAO4" s="258"/>
      <c r="AAP4" s="258"/>
      <c r="AAQ4" s="258"/>
      <c r="AAR4" s="258"/>
      <c r="AAS4" s="258"/>
      <c r="AAT4" s="258"/>
      <c r="AAU4" s="258"/>
      <c r="AAV4" s="258"/>
      <c r="AAW4" s="258"/>
      <c r="AAX4" s="258"/>
      <c r="AAY4" s="258"/>
      <c r="AAZ4" s="258"/>
      <c r="ABA4" s="258"/>
      <c r="ABB4" s="258"/>
      <c r="ABC4" s="258"/>
      <c r="ABD4" s="258"/>
      <c r="ABE4" s="258"/>
      <c r="ABF4" s="258"/>
      <c r="ABG4" s="258"/>
      <c r="ABH4" s="258"/>
      <c r="ABI4" s="258"/>
      <c r="ABJ4" s="258"/>
      <c r="ABK4" s="258"/>
      <c r="ABL4" s="258"/>
      <c r="ABM4" s="258"/>
      <c r="ABN4" s="258"/>
      <c r="ABO4" s="258"/>
      <c r="ABP4" s="258"/>
      <c r="ABQ4" s="258"/>
      <c r="ABR4" s="258"/>
      <c r="ABS4" s="258"/>
      <c r="ABT4" s="258"/>
      <c r="ABU4" s="258"/>
      <c r="ABV4" s="258"/>
      <c r="ABW4" s="258"/>
      <c r="ABX4" s="258"/>
      <c r="ABY4" s="258"/>
      <c r="ABZ4" s="258"/>
      <c r="ACA4" s="258"/>
      <c r="ACB4" s="258"/>
      <c r="ACC4" s="258"/>
      <c r="ACD4" s="258"/>
      <c r="ACE4" s="258"/>
      <c r="ACF4" s="258"/>
      <c r="ACG4" s="258"/>
      <c r="ACH4" s="258"/>
      <c r="ACI4" s="258"/>
      <c r="ACJ4" s="258"/>
      <c r="ACK4" s="258"/>
      <c r="ACL4" s="258"/>
      <c r="ACM4" s="258"/>
      <c r="ACN4" s="258"/>
      <c r="ACO4" s="258"/>
      <c r="ACP4" s="258"/>
      <c r="ACQ4" s="258"/>
      <c r="ACR4" s="258"/>
      <c r="ACS4" s="258"/>
      <c r="ACT4" s="258"/>
      <c r="ACU4" s="258"/>
      <c r="ACV4" s="258"/>
      <c r="ACW4" s="258"/>
      <c r="ACX4" s="258"/>
      <c r="ACY4" s="258"/>
      <c r="ACZ4" s="258"/>
      <c r="ADA4" s="258"/>
      <c r="ADB4" s="258"/>
      <c r="ADC4" s="258"/>
      <c r="ADD4" s="258"/>
      <c r="ADE4" s="258"/>
      <c r="ADF4" s="258"/>
      <c r="ADG4" s="258"/>
      <c r="ADH4" s="258"/>
      <c r="ADI4" s="258"/>
      <c r="ADJ4" s="258"/>
      <c r="ADK4" s="258"/>
      <c r="ADL4" s="258"/>
      <c r="ADM4" s="258"/>
      <c r="ADN4" s="258"/>
      <c r="ADO4" s="258"/>
      <c r="ADP4" s="258"/>
      <c r="ADQ4" s="258"/>
      <c r="ADR4" s="258"/>
      <c r="ADS4" s="258"/>
      <c r="ADT4" s="258"/>
      <c r="ADU4" s="258"/>
      <c r="ADV4" s="258"/>
      <c r="ADW4" s="258"/>
      <c r="ADX4" s="258"/>
      <c r="ADY4" s="258"/>
      <c r="ADZ4" s="258"/>
      <c r="AEA4" s="258"/>
      <c r="AEB4" s="258"/>
      <c r="AEC4" s="258"/>
      <c r="AED4" s="258"/>
      <c r="AEE4" s="258"/>
      <c r="AEF4" s="258"/>
      <c r="AEG4" s="258"/>
      <c r="AEH4" s="258"/>
      <c r="AEI4" s="258"/>
      <c r="AEJ4" s="258"/>
      <c r="AEK4" s="258"/>
      <c r="AEL4" s="258"/>
      <c r="AEM4" s="258"/>
      <c r="AEN4" s="258"/>
      <c r="AEO4" s="258"/>
      <c r="AEP4" s="258"/>
      <c r="AEQ4" s="258"/>
      <c r="AER4" s="258"/>
      <c r="AES4" s="258"/>
      <c r="AET4" s="258"/>
      <c r="AEU4" s="258"/>
      <c r="AEV4" s="258"/>
      <c r="AEW4" s="258"/>
      <c r="AEX4" s="258"/>
      <c r="AEY4" s="258"/>
      <c r="AEZ4" s="258"/>
      <c r="AFA4" s="258"/>
      <c r="AFB4" s="258"/>
      <c r="AFC4" s="258"/>
      <c r="AFD4" s="258"/>
      <c r="AFE4" s="258"/>
      <c r="AFF4" s="258"/>
      <c r="AFG4" s="258"/>
      <c r="AFH4" s="258"/>
      <c r="AFI4" s="258"/>
      <c r="AFJ4" s="258"/>
      <c r="AFK4" s="258"/>
      <c r="AFL4" s="258"/>
      <c r="AFM4" s="258"/>
      <c r="AFN4" s="258"/>
      <c r="AFO4" s="258"/>
      <c r="AFP4" s="258"/>
      <c r="AFQ4" s="258"/>
      <c r="AFR4" s="258"/>
      <c r="AFS4" s="258"/>
      <c r="AFT4" s="258"/>
      <c r="AFU4" s="258"/>
      <c r="AFV4" s="258"/>
      <c r="AFW4" s="258"/>
      <c r="AFX4" s="258"/>
      <c r="AFY4" s="258"/>
      <c r="AFZ4" s="258"/>
      <c r="AGA4" s="258"/>
      <c r="AGB4" s="258"/>
      <c r="AGC4" s="258"/>
      <c r="AGD4" s="258"/>
      <c r="AGE4" s="258"/>
      <c r="AGF4" s="258"/>
      <c r="AGG4" s="258"/>
      <c r="AGH4" s="258"/>
      <c r="AGI4" s="258"/>
      <c r="AGJ4" s="258"/>
      <c r="AGK4" s="258"/>
      <c r="AGL4" s="258"/>
      <c r="AGM4" s="258"/>
      <c r="AGN4" s="258"/>
      <c r="AGO4" s="258"/>
      <c r="AGP4" s="258"/>
      <c r="AGQ4" s="258"/>
      <c r="AGR4" s="258"/>
      <c r="AGS4" s="258"/>
      <c r="AGT4" s="258"/>
      <c r="AGU4" s="258"/>
      <c r="AGV4" s="258"/>
      <c r="AGW4" s="258"/>
      <c r="AGX4" s="258"/>
      <c r="AGY4" s="258"/>
      <c r="AGZ4" s="258"/>
      <c r="AHA4" s="258"/>
      <c r="AHB4" s="258"/>
      <c r="AHC4" s="258"/>
      <c r="AHD4" s="258"/>
      <c r="AHE4" s="258"/>
      <c r="AHF4" s="258"/>
      <c r="AHG4" s="258"/>
      <c r="AHH4" s="258"/>
      <c r="AHI4" s="258"/>
      <c r="AHJ4" s="258"/>
      <c r="AHK4" s="258"/>
      <c r="AHL4" s="258"/>
      <c r="AHM4" s="258"/>
      <c r="AHN4" s="258"/>
      <c r="AHO4" s="258"/>
      <c r="AHP4" s="258"/>
      <c r="AHQ4" s="258"/>
      <c r="AHR4" s="258"/>
      <c r="AHS4" s="258"/>
      <c r="AHT4" s="258"/>
      <c r="AHU4" s="258"/>
      <c r="AHV4" s="258"/>
      <c r="AHW4" s="258"/>
      <c r="AHX4" s="258"/>
      <c r="AHY4" s="258"/>
      <c r="AHZ4" s="258"/>
      <c r="AIA4" s="258"/>
      <c r="AIB4" s="258"/>
      <c r="AIC4" s="258"/>
      <c r="AID4" s="258"/>
      <c r="AIE4" s="258"/>
      <c r="AIF4" s="258"/>
      <c r="AIG4" s="258"/>
      <c r="AIH4" s="258"/>
      <c r="AII4" s="258"/>
      <c r="AIJ4" s="258"/>
      <c r="AIK4" s="258"/>
      <c r="AIL4" s="258"/>
      <c r="AIM4" s="258"/>
      <c r="AIN4" s="258"/>
      <c r="AIO4" s="258"/>
      <c r="AIP4" s="258"/>
      <c r="AIQ4" s="258"/>
      <c r="AIR4" s="258"/>
      <c r="AIS4" s="258"/>
      <c r="AIT4" s="258"/>
      <c r="AIU4" s="258"/>
      <c r="AIV4" s="258"/>
      <c r="AIW4" s="258"/>
      <c r="AIX4" s="258"/>
      <c r="AIY4" s="258"/>
      <c r="AIZ4" s="258"/>
      <c r="AJA4" s="258"/>
      <c r="AJB4" s="258"/>
      <c r="AJC4" s="258"/>
      <c r="AJD4" s="258"/>
      <c r="AJE4" s="258"/>
      <c r="AJF4" s="258"/>
      <c r="AJG4" s="258"/>
      <c r="AJH4" s="258"/>
      <c r="AJI4" s="258"/>
      <c r="AJJ4" s="258"/>
      <c r="AJK4" s="258"/>
      <c r="AJL4" s="258"/>
      <c r="AJM4" s="258"/>
      <c r="AJN4" s="258"/>
      <c r="AJO4" s="258"/>
      <c r="AJP4" s="258"/>
      <c r="AJQ4" s="258"/>
      <c r="AJR4" s="258"/>
      <c r="AJS4" s="258"/>
      <c r="AJT4" s="258"/>
      <c r="AJU4" s="258"/>
      <c r="AJV4" s="258"/>
      <c r="AJW4" s="258"/>
      <c r="AJX4" s="258"/>
      <c r="AJY4" s="258"/>
      <c r="AJZ4" s="258"/>
      <c r="AKA4" s="258"/>
      <c r="AKB4" s="258"/>
      <c r="AKC4" s="258"/>
      <c r="AKD4" s="258"/>
      <c r="AKE4" s="258"/>
      <c r="AKF4" s="258"/>
      <c r="AKG4" s="258"/>
      <c r="AKH4" s="258"/>
      <c r="AKI4" s="258"/>
      <c r="AKJ4" s="258"/>
      <c r="AKK4" s="258"/>
      <c r="AKL4" s="258"/>
      <c r="AKM4" s="258"/>
      <c r="AKN4" s="258"/>
      <c r="AKO4" s="258"/>
      <c r="AKP4" s="258"/>
      <c r="AKQ4" s="258"/>
      <c r="AKR4" s="258"/>
      <c r="AKS4" s="258"/>
      <c r="AKT4" s="258"/>
      <c r="AKU4" s="258"/>
      <c r="AKV4" s="258"/>
      <c r="AKW4" s="258"/>
      <c r="AKX4" s="258"/>
      <c r="AKY4" s="258"/>
      <c r="AKZ4" s="258"/>
      <c r="ALA4" s="258"/>
      <c r="ALB4" s="258"/>
      <c r="ALC4" s="258"/>
      <c r="ALD4" s="258"/>
      <c r="ALE4" s="258"/>
      <c r="ALF4" s="258"/>
      <c r="ALG4" s="258"/>
      <c r="ALH4" s="258"/>
      <c r="ALI4" s="258"/>
      <c r="ALJ4" s="258"/>
      <c r="ALK4" s="258"/>
      <c r="ALL4" s="258"/>
      <c r="ALM4" s="258"/>
      <c r="ALN4" s="258"/>
      <c r="ALO4" s="258"/>
      <c r="ALP4" s="258"/>
      <c r="ALQ4" s="258"/>
      <c r="ALR4" s="258"/>
      <c r="ALS4" s="258"/>
      <c r="ALT4" s="258"/>
      <c r="ALU4" s="258"/>
      <c r="ALV4" s="258"/>
      <c r="ALW4" s="258"/>
      <c r="ALX4" s="258"/>
      <c r="ALY4" s="258"/>
      <c r="ALZ4" s="258"/>
      <c r="AMA4" s="258"/>
      <c r="AMB4" s="258"/>
      <c r="AMC4" s="258"/>
      <c r="AMD4" s="258"/>
      <c r="AME4" s="258"/>
      <c r="AMF4" s="258"/>
      <c r="AMG4" s="258"/>
      <c r="AMH4" s="258"/>
      <c r="AMI4" s="258"/>
      <c r="AMJ4" s="258"/>
      <c r="AMK4" s="258"/>
      <c r="AML4" s="258"/>
      <c r="AMM4" s="258"/>
      <c r="AMN4" s="258"/>
      <c r="AMO4" s="258"/>
      <c r="AMP4" s="258"/>
      <c r="AMQ4" s="258"/>
      <c r="AMR4" s="258"/>
      <c r="AMS4" s="258"/>
      <c r="AMT4" s="258"/>
      <c r="AMU4" s="258"/>
      <c r="AMV4" s="258"/>
      <c r="AMW4" s="258"/>
      <c r="AMX4" s="258"/>
      <c r="AMY4" s="258"/>
      <c r="AMZ4" s="258"/>
      <c r="ANA4" s="258"/>
      <c r="ANB4" s="258"/>
      <c r="ANC4" s="258"/>
      <c r="AND4" s="258"/>
      <c r="ANE4" s="258"/>
      <c r="ANF4" s="258"/>
      <c r="ANG4" s="258"/>
      <c r="ANH4" s="258"/>
      <c r="ANI4" s="258"/>
      <c r="ANJ4" s="258"/>
      <c r="ANK4" s="258"/>
      <c r="ANL4" s="258"/>
      <c r="ANM4" s="258"/>
      <c r="ANN4" s="258"/>
      <c r="ANO4" s="258"/>
      <c r="ANP4" s="258"/>
      <c r="ANQ4" s="258"/>
      <c r="ANR4" s="258"/>
      <c r="ANS4" s="258"/>
      <c r="ANT4" s="258"/>
      <c r="ANU4" s="258"/>
      <c r="ANV4" s="258"/>
      <c r="ANW4" s="258"/>
      <c r="ANX4" s="258"/>
      <c r="ANY4" s="258"/>
      <c r="ANZ4" s="258"/>
      <c r="AOA4" s="258"/>
      <c r="AOB4" s="258"/>
      <c r="AOC4" s="258"/>
      <c r="AOD4" s="258"/>
      <c r="AOE4" s="258"/>
      <c r="AOF4" s="258"/>
      <c r="AOG4" s="258"/>
      <c r="AOH4" s="258"/>
      <c r="AOI4" s="258"/>
      <c r="AOJ4" s="258"/>
      <c r="AOK4" s="258"/>
      <c r="AOL4" s="258"/>
      <c r="AOM4" s="258"/>
      <c r="AON4" s="258"/>
      <c r="AOO4" s="258"/>
      <c r="AOP4" s="258"/>
      <c r="AOQ4" s="258"/>
      <c r="AOR4" s="258"/>
      <c r="AOS4" s="258"/>
      <c r="AOT4" s="258"/>
      <c r="AOU4" s="258"/>
      <c r="AOV4" s="258"/>
      <c r="AOW4" s="258"/>
      <c r="AOX4" s="258"/>
      <c r="AOY4" s="258"/>
      <c r="AOZ4" s="258"/>
      <c r="APA4" s="258"/>
      <c r="APB4" s="258"/>
      <c r="APC4" s="258"/>
      <c r="APD4" s="258"/>
      <c r="APE4" s="258"/>
      <c r="APF4" s="258"/>
      <c r="APG4" s="258"/>
      <c r="APH4" s="258"/>
      <c r="API4" s="258"/>
      <c r="APJ4" s="258"/>
      <c r="APK4" s="258"/>
      <c r="APL4" s="258"/>
      <c r="APM4" s="258"/>
      <c r="APN4" s="258"/>
      <c r="APO4" s="258"/>
      <c r="APP4" s="258"/>
      <c r="APQ4" s="258"/>
      <c r="APR4" s="258"/>
      <c r="APS4" s="258"/>
      <c r="APT4" s="258"/>
      <c r="APU4" s="258"/>
      <c r="APV4" s="258"/>
      <c r="APW4" s="258"/>
      <c r="APX4" s="258"/>
      <c r="APY4" s="258"/>
      <c r="APZ4" s="258"/>
      <c r="AQA4" s="258"/>
      <c r="AQB4" s="258"/>
      <c r="AQC4" s="258"/>
      <c r="AQD4" s="258"/>
      <c r="AQE4" s="258"/>
      <c r="AQF4" s="258"/>
      <c r="AQG4" s="258"/>
      <c r="AQH4" s="258"/>
      <c r="AQI4" s="258"/>
      <c r="AQJ4" s="258"/>
      <c r="AQK4" s="258"/>
      <c r="AQL4" s="258"/>
      <c r="AQM4" s="258"/>
      <c r="AQN4" s="258"/>
      <c r="AQO4" s="258"/>
      <c r="AQP4" s="258"/>
      <c r="AQQ4" s="258"/>
      <c r="AQR4" s="258"/>
      <c r="AQS4" s="258"/>
      <c r="AQT4" s="258"/>
      <c r="AQU4" s="258"/>
      <c r="AQV4" s="258"/>
      <c r="AQW4" s="258"/>
      <c r="AQX4" s="258"/>
      <c r="AQY4" s="258"/>
      <c r="AQZ4" s="258"/>
      <c r="ARA4" s="258"/>
      <c r="ARB4" s="258"/>
      <c r="ARC4" s="258"/>
      <c r="ARD4" s="258"/>
      <c r="ARE4" s="258"/>
      <c r="ARF4" s="258"/>
      <c r="ARG4" s="258"/>
      <c r="ARH4" s="258"/>
      <c r="ARI4" s="258"/>
      <c r="ARJ4" s="258"/>
      <c r="ARK4" s="258"/>
      <c r="ARL4" s="258"/>
      <c r="ARM4" s="258"/>
      <c r="ARN4" s="258"/>
      <c r="ARO4" s="258"/>
      <c r="ARP4" s="258"/>
      <c r="ARQ4" s="258"/>
      <c r="ARR4" s="258"/>
      <c r="ARS4" s="258"/>
      <c r="ART4" s="258"/>
      <c r="ARU4" s="258"/>
      <c r="ARV4" s="258"/>
      <c r="ARW4" s="258"/>
      <c r="ARX4" s="258"/>
      <c r="ARY4" s="258"/>
      <c r="ARZ4" s="258"/>
      <c r="ASA4" s="258"/>
      <c r="ASB4" s="258"/>
      <c r="ASC4" s="258"/>
      <c r="ASD4" s="258"/>
      <c r="ASE4" s="258"/>
      <c r="ASF4" s="258"/>
      <c r="ASG4" s="258"/>
      <c r="ASH4" s="258"/>
      <c r="ASI4" s="258"/>
      <c r="ASJ4" s="258"/>
      <c r="ASK4" s="258"/>
      <c r="ASL4" s="258"/>
      <c r="ASM4" s="258"/>
      <c r="ASN4" s="258"/>
      <c r="ASO4" s="258"/>
      <c r="ASP4" s="258"/>
      <c r="ASQ4" s="258"/>
      <c r="ASR4" s="258"/>
      <c r="ASS4" s="258"/>
      <c r="AST4" s="258"/>
      <c r="ASU4" s="258"/>
      <c r="ASV4" s="258"/>
      <c r="ASW4" s="258"/>
      <c r="ASX4" s="258"/>
      <c r="ASY4" s="258"/>
      <c r="ASZ4" s="258"/>
      <c r="ATA4" s="258"/>
      <c r="ATB4" s="258"/>
      <c r="ATC4" s="258"/>
      <c r="ATD4" s="258"/>
      <c r="ATE4" s="258"/>
      <c r="ATF4" s="258"/>
      <c r="ATG4" s="258"/>
      <c r="ATH4" s="258"/>
      <c r="ATI4" s="258"/>
      <c r="ATJ4" s="258"/>
      <c r="ATK4" s="258"/>
      <c r="ATL4" s="258"/>
      <c r="ATM4" s="258"/>
      <c r="ATN4" s="258"/>
      <c r="ATO4" s="258"/>
      <c r="ATP4" s="258"/>
      <c r="ATQ4" s="258"/>
      <c r="ATR4" s="258"/>
      <c r="ATS4" s="258"/>
      <c r="ATT4" s="258"/>
      <c r="ATU4" s="258"/>
      <c r="ATV4" s="258"/>
      <c r="ATW4" s="258"/>
      <c r="ATX4" s="258"/>
      <c r="ATY4" s="258"/>
      <c r="ATZ4" s="258"/>
      <c r="AUA4" s="258"/>
      <c r="AUB4" s="258"/>
      <c r="AUC4" s="258"/>
      <c r="AUD4" s="258"/>
      <c r="AUE4" s="258"/>
      <c r="AUF4" s="258"/>
      <c r="AUG4" s="258"/>
      <c r="AUH4" s="258"/>
      <c r="AUI4" s="258"/>
      <c r="AUJ4" s="258"/>
      <c r="AUK4" s="258"/>
      <c r="AUL4" s="258"/>
      <c r="AUM4" s="258"/>
      <c r="AUN4" s="258"/>
      <c r="AUO4" s="258"/>
      <c r="AUP4" s="258"/>
      <c r="AUQ4" s="258"/>
      <c r="AUR4" s="258"/>
      <c r="AUS4" s="258"/>
      <c r="AUT4" s="258"/>
      <c r="AUU4" s="258"/>
      <c r="AUV4" s="258"/>
      <c r="AUW4" s="258"/>
      <c r="AUX4" s="258"/>
      <c r="AUY4" s="258"/>
      <c r="AUZ4" s="258"/>
      <c r="AVA4" s="258"/>
      <c r="AVB4" s="258"/>
      <c r="AVC4" s="258"/>
      <c r="AVD4" s="258"/>
      <c r="AVE4" s="258"/>
      <c r="AVF4" s="258"/>
      <c r="AVG4" s="258"/>
      <c r="AVH4" s="258"/>
      <c r="AVI4" s="258"/>
      <c r="AVJ4" s="258"/>
      <c r="AVK4" s="258"/>
      <c r="AVL4" s="258"/>
      <c r="AVM4" s="258"/>
      <c r="AVN4" s="258"/>
      <c r="AVO4" s="258"/>
      <c r="AVP4" s="258"/>
      <c r="AVQ4" s="258"/>
      <c r="AVR4" s="258"/>
      <c r="AVS4" s="258"/>
      <c r="AVT4" s="258"/>
      <c r="AVU4" s="258"/>
      <c r="AVV4" s="258"/>
      <c r="AVW4" s="258"/>
      <c r="AVX4" s="258"/>
      <c r="AVY4" s="258"/>
      <c r="AVZ4" s="258"/>
      <c r="AWA4" s="258"/>
      <c r="AWB4" s="258"/>
      <c r="AWC4" s="258"/>
      <c r="AWD4" s="258"/>
      <c r="AWE4" s="258"/>
      <c r="AWF4" s="258"/>
      <c r="AWG4" s="258"/>
      <c r="AWH4" s="258"/>
      <c r="AWI4" s="258"/>
      <c r="AWJ4" s="258"/>
      <c r="AWK4" s="258"/>
      <c r="AWL4" s="258"/>
      <c r="AWM4" s="258"/>
      <c r="AWN4" s="258"/>
      <c r="AWO4" s="258"/>
      <c r="AWP4" s="258"/>
      <c r="AWQ4" s="258"/>
      <c r="AWR4" s="258"/>
      <c r="AWS4" s="258"/>
      <c r="AWT4" s="258"/>
      <c r="AWU4" s="258"/>
      <c r="AWV4" s="258"/>
      <c r="AWW4" s="258"/>
      <c r="AWX4" s="258"/>
      <c r="AWY4" s="258"/>
      <c r="AWZ4" s="258"/>
      <c r="AXA4" s="258"/>
      <c r="AXB4" s="258"/>
      <c r="AXC4" s="258"/>
      <c r="AXD4" s="258"/>
      <c r="AXE4" s="258"/>
      <c r="AXF4" s="258"/>
      <c r="AXG4" s="258"/>
      <c r="AXH4" s="258"/>
      <c r="AXI4" s="258"/>
      <c r="AXJ4" s="258"/>
      <c r="AXK4" s="258"/>
      <c r="AXL4" s="258"/>
      <c r="AXM4" s="258"/>
      <c r="AXN4" s="258"/>
      <c r="AXO4" s="258"/>
      <c r="AXP4" s="258"/>
      <c r="AXQ4" s="258"/>
      <c r="AXR4" s="258"/>
      <c r="AXS4" s="258"/>
      <c r="AXT4" s="258"/>
      <c r="AXU4" s="258"/>
      <c r="AXV4" s="258"/>
      <c r="AXW4" s="258"/>
      <c r="AXX4" s="258"/>
      <c r="AXY4" s="258"/>
      <c r="AXZ4" s="258"/>
      <c r="AYA4" s="258"/>
      <c r="AYB4" s="258"/>
      <c r="AYC4" s="258"/>
      <c r="AYD4" s="258"/>
      <c r="AYE4" s="258"/>
      <c r="AYF4" s="258"/>
      <c r="AYG4" s="258"/>
      <c r="AYH4" s="258"/>
      <c r="AYI4" s="258"/>
      <c r="AYJ4" s="258"/>
      <c r="AYK4" s="258"/>
      <c r="AYL4" s="258"/>
      <c r="AYM4" s="258"/>
      <c r="AYN4" s="258"/>
      <c r="AYO4" s="258"/>
      <c r="AYP4" s="258"/>
      <c r="AYQ4" s="258"/>
      <c r="AYR4" s="258"/>
      <c r="AYS4" s="258"/>
      <c r="AYT4" s="258"/>
      <c r="AYU4" s="258"/>
      <c r="AYV4" s="258"/>
      <c r="AYW4" s="258"/>
      <c r="AYX4" s="258"/>
      <c r="AYY4" s="258"/>
      <c r="AYZ4" s="258"/>
      <c r="AZA4" s="258"/>
      <c r="AZB4" s="258"/>
      <c r="AZC4" s="258"/>
      <c r="AZD4" s="258"/>
      <c r="AZE4" s="258"/>
      <c r="AZF4" s="258"/>
      <c r="AZG4" s="258"/>
      <c r="AZH4" s="258"/>
      <c r="AZI4" s="258"/>
      <c r="AZJ4" s="258"/>
      <c r="AZK4" s="258"/>
      <c r="AZL4" s="258"/>
      <c r="AZM4" s="258"/>
      <c r="AZN4" s="258"/>
      <c r="AZO4" s="258"/>
      <c r="AZP4" s="258"/>
      <c r="AZQ4" s="258"/>
      <c r="AZR4" s="258"/>
      <c r="AZS4" s="258"/>
      <c r="AZT4" s="258"/>
      <c r="AZU4" s="258"/>
      <c r="AZV4" s="258"/>
      <c r="AZW4" s="258"/>
      <c r="AZX4" s="258"/>
      <c r="AZY4" s="258"/>
      <c r="AZZ4" s="258"/>
      <c r="BAA4" s="258"/>
      <c r="BAB4" s="258"/>
      <c r="BAC4" s="258"/>
      <c r="BAD4" s="258"/>
      <c r="BAE4" s="258"/>
      <c r="BAF4" s="258"/>
      <c r="BAG4" s="258"/>
      <c r="BAH4" s="258"/>
      <c r="BAI4" s="258"/>
      <c r="BAJ4" s="258"/>
      <c r="BAK4" s="258"/>
      <c r="BAL4" s="258"/>
      <c r="BAM4" s="258"/>
      <c r="BAN4" s="258"/>
      <c r="BAO4" s="258"/>
      <c r="BAP4" s="258"/>
      <c r="BAQ4" s="258"/>
      <c r="BAR4" s="258"/>
      <c r="BAS4" s="258"/>
      <c r="BAT4" s="258"/>
      <c r="BAU4" s="258"/>
      <c r="BAV4" s="258"/>
      <c r="BAW4" s="258"/>
      <c r="BAX4" s="258"/>
      <c r="BAY4" s="258"/>
      <c r="BAZ4" s="258"/>
      <c r="BBA4" s="258"/>
      <c r="BBB4" s="258"/>
      <c r="BBC4" s="258"/>
      <c r="BBD4" s="258"/>
      <c r="BBE4" s="258"/>
      <c r="BBF4" s="258"/>
      <c r="BBG4" s="258"/>
      <c r="BBH4" s="258"/>
      <c r="BBI4" s="258"/>
      <c r="BBJ4" s="258"/>
      <c r="BBK4" s="258"/>
      <c r="BBL4" s="258"/>
      <c r="BBM4" s="258"/>
      <c r="BBN4" s="258"/>
      <c r="BBO4" s="258"/>
      <c r="BBP4" s="258"/>
      <c r="BBQ4" s="258"/>
      <c r="BBR4" s="258"/>
      <c r="BBS4" s="258"/>
      <c r="BBT4" s="258"/>
      <c r="BBU4" s="258"/>
      <c r="BBV4" s="258"/>
      <c r="BBW4" s="258"/>
      <c r="BBX4" s="258"/>
      <c r="BBY4" s="258"/>
      <c r="BBZ4" s="258"/>
      <c r="BCA4" s="258"/>
      <c r="BCB4" s="258"/>
      <c r="BCC4" s="258"/>
      <c r="BCD4" s="258"/>
      <c r="BCE4" s="258"/>
      <c r="BCF4" s="258"/>
      <c r="BCG4" s="258"/>
      <c r="BCH4" s="258"/>
      <c r="BCI4" s="258"/>
      <c r="BCJ4" s="258"/>
      <c r="BCK4" s="258"/>
      <c r="BCL4" s="258"/>
      <c r="BCM4" s="258"/>
      <c r="BCN4" s="258"/>
      <c r="BCO4" s="258"/>
      <c r="BCP4" s="258"/>
      <c r="BCQ4" s="258"/>
      <c r="BCR4" s="258"/>
      <c r="BCS4" s="258"/>
      <c r="BCT4" s="258"/>
      <c r="BCU4" s="258"/>
      <c r="BCV4" s="258"/>
      <c r="BCW4" s="258"/>
      <c r="BCX4" s="258"/>
      <c r="BCY4" s="258"/>
      <c r="BCZ4" s="258"/>
      <c r="BDA4" s="258"/>
      <c r="BDB4" s="258"/>
      <c r="BDC4" s="258"/>
      <c r="BDD4" s="258"/>
      <c r="BDE4" s="258"/>
      <c r="BDF4" s="258"/>
      <c r="BDG4" s="258"/>
      <c r="BDH4" s="258"/>
      <c r="BDI4" s="258"/>
      <c r="BDJ4" s="258"/>
      <c r="BDK4" s="258"/>
      <c r="BDL4" s="258"/>
      <c r="BDM4" s="258"/>
      <c r="BDN4" s="258"/>
      <c r="BDO4" s="258"/>
      <c r="BDP4" s="258"/>
      <c r="BDQ4" s="258"/>
      <c r="BDR4" s="258"/>
      <c r="BDS4" s="258"/>
      <c r="BDT4" s="258"/>
      <c r="BDU4" s="258"/>
      <c r="BDV4" s="258"/>
      <c r="BDW4" s="258"/>
      <c r="BDX4" s="258"/>
      <c r="BDY4" s="258"/>
      <c r="BDZ4" s="258"/>
      <c r="BEA4" s="258"/>
      <c r="BEB4" s="258"/>
      <c r="BEC4" s="258"/>
      <c r="BED4" s="258"/>
      <c r="BEE4" s="258"/>
      <c r="BEF4" s="258"/>
      <c r="BEG4" s="258"/>
      <c r="BEH4" s="258"/>
      <c r="BEI4" s="258"/>
      <c r="BEJ4" s="258"/>
      <c r="BEK4" s="258"/>
      <c r="BEL4" s="258"/>
      <c r="BEM4" s="258"/>
      <c r="BEN4" s="258"/>
      <c r="BEO4" s="258"/>
      <c r="BEP4" s="258"/>
      <c r="BEQ4" s="258"/>
      <c r="BER4" s="258"/>
      <c r="BES4" s="258"/>
      <c r="BET4" s="258"/>
      <c r="BEU4" s="258"/>
      <c r="BEV4" s="258"/>
      <c r="BEW4" s="258"/>
      <c r="BEX4" s="258"/>
      <c r="BEY4" s="258"/>
      <c r="BEZ4" s="258"/>
      <c r="BFA4" s="258"/>
      <c r="BFB4" s="258"/>
      <c r="BFC4" s="258"/>
      <c r="BFD4" s="258"/>
      <c r="BFE4" s="258"/>
      <c r="BFF4" s="258"/>
      <c r="BFG4" s="258"/>
      <c r="BFH4" s="258"/>
      <c r="BFI4" s="258"/>
      <c r="BFJ4" s="258"/>
      <c r="BFK4" s="258"/>
      <c r="BFL4" s="258"/>
      <c r="BFM4" s="258"/>
      <c r="BFN4" s="258"/>
      <c r="BFO4" s="258"/>
      <c r="BFP4" s="258"/>
      <c r="BFQ4" s="258"/>
      <c r="BFR4" s="258"/>
      <c r="BFS4" s="258"/>
      <c r="BFT4" s="258"/>
      <c r="BFU4" s="258"/>
      <c r="BFV4" s="258"/>
      <c r="BFW4" s="258"/>
      <c r="BFX4" s="258"/>
      <c r="BFY4" s="258"/>
      <c r="BFZ4" s="258"/>
      <c r="BGA4" s="258"/>
      <c r="BGB4" s="258"/>
      <c r="BGC4" s="258"/>
      <c r="BGD4" s="258"/>
      <c r="BGE4" s="258"/>
      <c r="BGF4" s="258"/>
      <c r="BGG4" s="258"/>
      <c r="BGH4" s="258"/>
      <c r="BGI4" s="258"/>
      <c r="BGJ4" s="258"/>
      <c r="BGK4" s="258"/>
      <c r="BGL4" s="258"/>
      <c r="BGM4" s="258"/>
      <c r="BGN4" s="258"/>
      <c r="BGO4" s="258"/>
      <c r="BGP4" s="258"/>
      <c r="BGQ4" s="258"/>
      <c r="BGR4" s="258"/>
      <c r="BGS4" s="258"/>
      <c r="BGT4" s="258"/>
      <c r="BGU4" s="258"/>
      <c r="BGV4" s="258"/>
      <c r="BGW4" s="258"/>
      <c r="BGX4" s="258"/>
      <c r="BGY4" s="258"/>
      <c r="BGZ4" s="258"/>
      <c r="BHA4" s="258"/>
      <c r="BHB4" s="258"/>
      <c r="BHC4" s="258"/>
      <c r="BHD4" s="258"/>
      <c r="BHE4" s="258"/>
      <c r="BHF4" s="258"/>
      <c r="BHG4" s="258"/>
      <c r="BHH4" s="258"/>
      <c r="BHI4" s="258"/>
      <c r="BHJ4" s="258"/>
      <c r="BHK4" s="258"/>
      <c r="BHL4" s="258"/>
      <c r="BHM4" s="258"/>
      <c r="BHN4" s="258"/>
      <c r="BHO4" s="258"/>
      <c r="BHP4" s="258"/>
      <c r="BHQ4" s="258"/>
      <c r="BHR4" s="258"/>
      <c r="BHS4" s="258"/>
      <c r="BHT4" s="258"/>
      <c r="BHU4" s="258"/>
      <c r="BHV4" s="258"/>
      <c r="BHW4" s="258"/>
      <c r="BHX4" s="258"/>
      <c r="BHY4" s="258"/>
      <c r="BHZ4" s="258"/>
      <c r="BIA4" s="258"/>
      <c r="BIB4" s="258"/>
      <c r="BIC4" s="258"/>
      <c r="BID4" s="258"/>
      <c r="BIE4" s="258"/>
      <c r="BIF4" s="258"/>
      <c r="BIG4" s="258"/>
      <c r="BIH4" s="258"/>
      <c r="BII4" s="258"/>
      <c r="BIJ4" s="258"/>
      <c r="BIK4" s="258"/>
      <c r="BIL4" s="258"/>
      <c r="BIM4" s="258"/>
      <c r="BIN4" s="258"/>
      <c r="BIO4" s="258"/>
      <c r="BIP4" s="258"/>
      <c r="BIQ4" s="258"/>
      <c r="BIR4" s="258"/>
      <c r="BIS4" s="258"/>
      <c r="BIT4" s="258"/>
      <c r="BIU4" s="258"/>
      <c r="BIV4" s="258"/>
      <c r="BIW4" s="258"/>
      <c r="BIX4" s="258"/>
      <c r="BIY4" s="258"/>
      <c r="BIZ4" s="258"/>
      <c r="BJA4" s="258"/>
      <c r="BJB4" s="258"/>
      <c r="BJC4" s="258"/>
      <c r="BJD4" s="258"/>
      <c r="BJE4" s="258"/>
      <c r="BJF4" s="258"/>
      <c r="BJG4" s="258"/>
      <c r="BJH4" s="258"/>
      <c r="BJI4" s="258"/>
      <c r="BJJ4" s="258"/>
      <c r="BJK4" s="258"/>
      <c r="BJL4" s="258"/>
      <c r="BJM4" s="258"/>
      <c r="BJN4" s="258"/>
      <c r="BJO4" s="258"/>
      <c r="BJP4" s="258"/>
      <c r="BJQ4" s="258"/>
      <c r="BJR4" s="258"/>
      <c r="BJS4" s="258"/>
      <c r="BJT4" s="258"/>
      <c r="BJU4" s="258"/>
      <c r="BJV4" s="258"/>
      <c r="BJW4" s="258"/>
      <c r="BJX4" s="258"/>
      <c r="BJY4" s="258"/>
      <c r="BJZ4" s="258"/>
      <c r="BKA4" s="258"/>
      <c r="BKB4" s="258"/>
      <c r="BKC4" s="258"/>
      <c r="BKD4" s="258"/>
      <c r="BKE4" s="258"/>
      <c r="BKF4" s="258"/>
      <c r="BKG4" s="258"/>
      <c r="BKH4" s="258"/>
      <c r="BKI4" s="258"/>
      <c r="BKJ4" s="258"/>
      <c r="BKK4" s="258"/>
      <c r="BKL4" s="258"/>
      <c r="BKM4" s="258"/>
      <c r="BKN4" s="258"/>
      <c r="BKO4" s="258"/>
      <c r="BKP4" s="258"/>
      <c r="BKQ4" s="258"/>
      <c r="BKR4" s="258"/>
      <c r="BKS4" s="258"/>
      <c r="BKT4" s="258"/>
      <c r="BKU4" s="258"/>
      <c r="BKV4" s="258"/>
      <c r="BKW4" s="258"/>
      <c r="BKX4" s="258"/>
      <c r="BKY4" s="258"/>
      <c r="BKZ4" s="258"/>
      <c r="BLA4" s="258"/>
      <c r="BLB4" s="258"/>
      <c r="BLC4" s="258"/>
      <c r="BLD4" s="258"/>
      <c r="BLE4" s="258"/>
      <c r="BLF4" s="258"/>
      <c r="BLG4" s="258"/>
      <c r="BLH4" s="258"/>
      <c r="BLI4" s="258"/>
      <c r="BLJ4" s="258"/>
      <c r="BLK4" s="258"/>
      <c r="BLL4" s="258"/>
      <c r="BLM4" s="258"/>
      <c r="BLN4" s="258"/>
      <c r="BLO4" s="258"/>
      <c r="BLP4" s="258"/>
      <c r="BLQ4" s="258"/>
      <c r="BLR4" s="258"/>
      <c r="BLS4" s="258"/>
      <c r="BLT4" s="258"/>
      <c r="BLU4" s="258"/>
      <c r="BLV4" s="258"/>
      <c r="BLW4" s="258"/>
      <c r="BLX4" s="258"/>
      <c r="BLY4" s="258"/>
      <c r="BLZ4" s="258"/>
      <c r="BMA4" s="258"/>
      <c r="BMB4" s="258"/>
      <c r="BMC4" s="258"/>
      <c r="BMD4" s="258"/>
      <c r="BME4" s="258"/>
      <c r="BMF4" s="258"/>
      <c r="BMG4" s="258"/>
      <c r="BMH4" s="258"/>
      <c r="BMI4" s="258"/>
      <c r="BMJ4" s="258"/>
      <c r="BMK4" s="258"/>
      <c r="BML4" s="258"/>
      <c r="BMM4" s="258"/>
      <c r="BMN4" s="258"/>
      <c r="BMO4" s="258"/>
      <c r="BMP4" s="258"/>
      <c r="BMQ4" s="258"/>
      <c r="BMR4" s="258"/>
      <c r="BMS4" s="258"/>
      <c r="BMT4" s="258"/>
      <c r="BMU4" s="258"/>
      <c r="BMV4" s="258"/>
      <c r="BMW4" s="258"/>
      <c r="BMX4" s="258"/>
      <c r="BMY4" s="258"/>
      <c r="BMZ4" s="258"/>
      <c r="BNA4" s="258"/>
      <c r="BNB4" s="258"/>
      <c r="BNC4" s="258"/>
      <c r="BND4" s="258"/>
      <c r="BNE4" s="258"/>
      <c r="BNF4" s="258"/>
      <c r="BNG4" s="258"/>
      <c r="BNH4" s="258"/>
      <c r="BNI4" s="258"/>
      <c r="BNJ4" s="258"/>
      <c r="BNK4" s="258"/>
      <c r="BNL4" s="258"/>
      <c r="BNM4" s="258"/>
      <c r="BNN4" s="258"/>
      <c r="BNO4" s="258"/>
      <c r="BNP4" s="258"/>
      <c r="BNQ4" s="258"/>
      <c r="BNR4" s="258"/>
      <c r="BNS4" s="258"/>
      <c r="BNT4" s="258"/>
      <c r="BNU4" s="258"/>
      <c r="BNV4" s="258"/>
      <c r="BNW4" s="258"/>
      <c r="BNX4" s="258"/>
      <c r="BNY4" s="258"/>
      <c r="BNZ4" s="258"/>
      <c r="BOA4" s="258"/>
      <c r="BOB4" s="258"/>
      <c r="BOC4" s="258"/>
      <c r="BOD4" s="258"/>
      <c r="BOE4" s="258"/>
      <c r="BOF4" s="258"/>
      <c r="BOG4" s="258"/>
      <c r="BOH4" s="258"/>
      <c r="BOI4" s="258"/>
      <c r="BOJ4" s="258"/>
      <c r="BOK4" s="258"/>
      <c r="BOL4" s="258"/>
      <c r="BOM4" s="258"/>
      <c r="BON4" s="258"/>
      <c r="BOO4" s="258"/>
      <c r="BOP4" s="258"/>
      <c r="BOQ4" s="258"/>
      <c r="BOR4" s="258"/>
      <c r="BOS4" s="258"/>
      <c r="BOT4" s="258"/>
      <c r="BOU4" s="258"/>
      <c r="BOV4" s="258"/>
      <c r="BOW4" s="258"/>
      <c r="BOX4" s="258"/>
      <c r="BOY4" s="258"/>
      <c r="BOZ4" s="258"/>
      <c r="BPA4" s="258"/>
      <c r="BPB4" s="258"/>
      <c r="BPC4" s="258"/>
      <c r="BPD4" s="258"/>
      <c r="BPE4" s="258"/>
      <c r="BPF4" s="258"/>
      <c r="BPG4" s="258"/>
      <c r="BPH4" s="258"/>
      <c r="BPI4" s="258"/>
      <c r="BPJ4" s="258"/>
      <c r="BPK4" s="258"/>
      <c r="BPL4" s="258"/>
      <c r="BPM4" s="258"/>
      <c r="BPN4" s="258"/>
      <c r="BPO4" s="258"/>
      <c r="BPP4" s="258"/>
      <c r="BPQ4" s="258"/>
      <c r="BPR4" s="258"/>
      <c r="BPS4" s="258"/>
      <c r="BPT4" s="258"/>
      <c r="BPU4" s="258"/>
      <c r="BPV4" s="258"/>
      <c r="BPW4" s="258"/>
      <c r="BPX4" s="258"/>
      <c r="BPY4" s="258"/>
      <c r="BPZ4" s="258"/>
      <c r="BQA4" s="258"/>
      <c r="BQB4" s="258"/>
      <c r="BQC4" s="258"/>
      <c r="BQD4" s="258"/>
      <c r="BQE4" s="258"/>
      <c r="BQF4" s="258"/>
      <c r="BQG4" s="258"/>
      <c r="BQH4" s="258"/>
      <c r="BQI4" s="258"/>
      <c r="BQJ4" s="258"/>
      <c r="BQK4" s="258"/>
      <c r="BQL4" s="258"/>
      <c r="BQM4" s="258"/>
      <c r="BQN4" s="258"/>
      <c r="BQO4" s="258"/>
      <c r="BQP4" s="258"/>
      <c r="BQQ4" s="258"/>
      <c r="BQR4" s="258"/>
      <c r="BQS4" s="258"/>
      <c r="BQT4" s="258"/>
      <c r="BQU4" s="258"/>
      <c r="BQV4" s="258"/>
      <c r="BQW4" s="258"/>
      <c r="BQX4" s="258"/>
      <c r="BQY4" s="258"/>
      <c r="BQZ4" s="258"/>
      <c r="BRA4" s="258"/>
      <c r="BRB4" s="258"/>
      <c r="BRC4" s="258"/>
      <c r="BRD4" s="258"/>
      <c r="BRE4" s="258"/>
      <c r="BRF4" s="258"/>
      <c r="BRG4" s="258"/>
      <c r="BRH4" s="258"/>
      <c r="BRI4" s="258"/>
      <c r="BRJ4" s="258"/>
      <c r="BRK4" s="258"/>
      <c r="BRL4" s="258"/>
      <c r="BRM4" s="258"/>
      <c r="BRN4" s="258"/>
      <c r="BRO4" s="258"/>
      <c r="BRP4" s="258"/>
      <c r="BRQ4" s="258"/>
      <c r="BRR4" s="258"/>
      <c r="BRS4" s="258"/>
      <c r="BRT4" s="258"/>
      <c r="BRU4" s="258"/>
      <c r="BRV4" s="258"/>
      <c r="BRW4" s="258"/>
      <c r="BRX4" s="258"/>
      <c r="BRY4" s="258"/>
      <c r="BRZ4" s="258"/>
      <c r="BSA4" s="258"/>
      <c r="BSB4" s="258"/>
      <c r="BSC4" s="258"/>
      <c r="BSD4" s="258"/>
      <c r="BSE4" s="258"/>
      <c r="BSF4" s="258"/>
      <c r="BSG4" s="258"/>
      <c r="BSH4" s="258"/>
      <c r="BSI4" s="258"/>
      <c r="BSJ4" s="258"/>
      <c r="BSK4" s="258"/>
      <c r="BSL4" s="258"/>
      <c r="BSM4" s="258"/>
      <c r="BSN4" s="258"/>
      <c r="BSO4" s="258"/>
      <c r="BSP4" s="258"/>
      <c r="BSQ4" s="258"/>
      <c r="BSR4" s="258"/>
      <c r="BSS4" s="258"/>
      <c r="BST4" s="258"/>
      <c r="BSU4" s="258"/>
      <c r="BSV4" s="258"/>
      <c r="BSW4" s="258"/>
      <c r="BSX4" s="258"/>
      <c r="BSY4" s="258"/>
      <c r="BSZ4" s="258"/>
      <c r="BTA4" s="258"/>
      <c r="BTB4" s="258"/>
      <c r="BTC4" s="258"/>
      <c r="BTD4" s="258"/>
      <c r="BTE4" s="258"/>
      <c r="BTF4" s="258"/>
      <c r="BTG4" s="258"/>
      <c r="BTH4" s="258"/>
      <c r="BTI4" s="258"/>
      <c r="BTJ4" s="258"/>
      <c r="BTK4" s="258"/>
      <c r="BTL4" s="258"/>
      <c r="BTM4" s="258"/>
      <c r="BTN4" s="258"/>
      <c r="BTO4" s="258"/>
      <c r="BTP4" s="258"/>
      <c r="BTQ4" s="258"/>
      <c r="BTR4" s="258"/>
      <c r="BTS4" s="258"/>
      <c r="BTT4" s="258"/>
      <c r="BTU4" s="258"/>
      <c r="BTV4" s="258"/>
      <c r="BTW4" s="258"/>
      <c r="BTX4" s="258"/>
      <c r="BTY4" s="258"/>
      <c r="BTZ4" s="258"/>
      <c r="BUA4" s="258"/>
      <c r="BUB4" s="258"/>
      <c r="BUC4" s="258"/>
      <c r="BUD4" s="258"/>
      <c r="BUE4" s="258"/>
      <c r="BUF4" s="258"/>
      <c r="BUG4" s="258"/>
      <c r="BUH4" s="258"/>
      <c r="BUI4" s="258"/>
      <c r="BUJ4" s="258"/>
      <c r="BUK4" s="258"/>
      <c r="BUL4" s="258"/>
      <c r="BUM4" s="258"/>
      <c r="BUN4" s="258"/>
      <c r="BUO4" s="258"/>
      <c r="BUP4" s="258"/>
      <c r="BUQ4" s="258"/>
      <c r="BUR4" s="258"/>
      <c r="BUS4" s="258"/>
      <c r="BUT4" s="258"/>
      <c r="BUU4" s="258"/>
      <c r="BUV4" s="258"/>
      <c r="BUW4" s="258"/>
      <c r="BUX4" s="258"/>
      <c r="BUY4" s="258"/>
      <c r="BUZ4" s="258"/>
      <c r="BVA4" s="258"/>
      <c r="BVB4" s="258"/>
      <c r="BVC4" s="258"/>
      <c r="BVD4" s="258"/>
      <c r="BVE4" s="258"/>
      <c r="BVF4" s="258"/>
      <c r="BVG4" s="258"/>
      <c r="BVH4" s="258"/>
      <c r="BVI4" s="258"/>
      <c r="BVJ4" s="258"/>
      <c r="BVK4" s="258"/>
      <c r="BVL4" s="258"/>
      <c r="BVM4" s="258"/>
      <c r="BVN4" s="258"/>
      <c r="BVO4" s="258"/>
      <c r="BVP4" s="258"/>
      <c r="BVQ4" s="258"/>
      <c r="BVR4" s="258"/>
      <c r="BVS4" s="258"/>
      <c r="BVT4" s="258"/>
      <c r="BVU4" s="258"/>
      <c r="BVV4" s="258"/>
      <c r="BVW4" s="258"/>
      <c r="BVX4" s="258"/>
      <c r="BVY4" s="258"/>
      <c r="BVZ4" s="258"/>
      <c r="BWA4" s="258"/>
      <c r="BWB4" s="258"/>
      <c r="BWC4" s="258"/>
      <c r="BWD4" s="258"/>
      <c r="BWE4" s="258"/>
      <c r="BWF4" s="258"/>
      <c r="BWG4" s="258"/>
      <c r="BWH4" s="258"/>
      <c r="BWI4" s="258"/>
      <c r="BWJ4" s="258"/>
      <c r="BWK4" s="258"/>
      <c r="BWL4" s="258"/>
      <c r="BWM4" s="258"/>
      <c r="BWN4" s="258"/>
      <c r="BWO4" s="258"/>
      <c r="BWP4" s="258"/>
      <c r="BWQ4" s="258"/>
      <c r="BWR4" s="258"/>
      <c r="BWS4" s="258"/>
      <c r="BWT4" s="258"/>
      <c r="BWU4" s="258"/>
      <c r="BWV4" s="258"/>
      <c r="BWW4" s="258"/>
      <c r="BWX4" s="258"/>
      <c r="BWY4" s="258"/>
      <c r="BWZ4" s="258"/>
      <c r="BXA4" s="258"/>
      <c r="BXB4" s="258"/>
      <c r="BXC4" s="258"/>
      <c r="BXD4" s="258"/>
      <c r="BXE4" s="258"/>
      <c r="BXF4" s="258"/>
      <c r="BXG4" s="258"/>
      <c r="BXH4" s="258"/>
      <c r="BXI4" s="258"/>
      <c r="BXJ4" s="258"/>
      <c r="BXK4" s="258"/>
      <c r="BXL4" s="258"/>
      <c r="BXM4" s="258"/>
      <c r="BXN4" s="258"/>
      <c r="BXO4" s="258"/>
      <c r="BXP4" s="258"/>
      <c r="BXQ4" s="258"/>
      <c r="BXR4" s="258"/>
      <c r="BXS4" s="258"/>
      <c r="BXT4" s="258"/>
      <c r="BXU4" s="258"/>
      <c r="BXV4" s="258"/>
      <c r="BXW4" s="258"/>
      <c r="BXX4" s="258"/>
      <c r="BXY4" s="258"/>
      <c r="BXZ4" s="258"/>
      <c r="BYA4" s="258"/>
      <c r="BYB4" s="258"/>
      <c r="BYC4" s="258"/>
      <c r="BYD4" s="258"/>
      <c r="BYE4" s="258"/>
      <c r="BYF4" s="258"/>
      <c r="BYG4" s="258"/>
      <c r="BYH4" s="258"/>
      <c r="BYI4" s="258"/>
      <c r="BYJ4" s="258"/>
      <c r="BYK4" s="258"/>
      <c r="BYL4" s="258"/>
      <c r="BYM4" s="258"/>
      <c r="BYN4" s="258"/>
      <c r="BYO4" s="258"/>
      <c r="BYP4" s="258"/>
      <c r="BYQ4" s="258"/>
      <c r="BYR4" s="258"/>
      <c r="BYS4" s="258"/>
      <c r="BYT4" s="258"/>
      <c r="BYU4" s="258"/>
      <c r="BYV4" s="258"/>
      <c r="BYW4" s="258"/>
      <c r="BYX4" s="258"/>
      <c r="BYY4" s="258"/>
      <c r="BYZ4" s="258"/>
      <c r="BZA4" s="258"/>
      <c r="BZB4" s="258"/>
      <c r="BZC4" s="258"/>
      <c r="BZD4" s="258"/>
      <c r="BZE4" s="258"/>
      <c r="BZF4" s="258"/>
      <c r="BZG4" s="258"/>
      <c r="BZH4" s="258"/>
      <c r="BZI4" s="258"/>
      <c r="BZJ4" s="258"/>
      <c r="BZK4" s="258"/>
      <c r="BZL4" s="258"/>
      <c r="BZM4" s="258"/>
      <c r="BZN4" s="258"/>
      <c r="BZO4" s="258"/>
      <c r="BZP4" s="258"/>
      <c r="BZQ4" s="258"/>
      <c r="BZR4" s="258"/>
      <c r="BZS4" s="258"/>
      <c r="BZT4" s="258"/>
      <c r="BZU4" s="258"/>
      <c r="BZV4" s="258"/>
      <c r="BZW4" s="258"/>
      <c r="BZX4" s="258"/>
      <c r="BZY4" s="258"/>
      <c r="BZZ4" s="258"/>
      <c r="CAA4" s="258"/>
      <c r="CAB4" s="258"/>
      <c r="CAC4" s="258"/>
      <c r="CAD4" s="258"/>
      <c r="CAE4" s="258"/>
      <c r="CAF4" s="258"/>
      <c r="CAG4" s="258"/>
      <c r="CAH4" s="258"/>
      <c r="CAI4" s="258"/>
      <c r="CAJ4" s="258"/>
      <c r="CAK4" s="258"/>
      <c r="CAL4" s="258"/>
      <c r="CAM4" s="258"/>
      <c r="CAN4" s="258"/>
      <c r="CAO4" s="258"/>
      <c r="CAP4" s="258"/>
      <c r="CAQ4" s="258"/>
      <c r="CAR4" s="258"/>
      <c r="CAS4" s="258"/>
      <c r="CAT4" s="258"/>
      <c r="CAU4" s="258"/>
      <c r="CAV4" s="258"/>
      <c r="CAW4" s="258"/>
      <c r="CAX4" s="258"/>
      <c r="CAY4" s="258"/>
      <c r="CAZ4" s="258"/>
      <c r="CBA4" s="258"/>
      <c r="CBB4" s="258"/>
      <c r="CBC4" s="258"/>
      <c r="CBD4" s="258"/>
      <c r="CBE4" s="258"/>
      <c r="CBF4" s="258"/>
      <c r="CBG4" s="258"/>
      <c r="CBH4" s="258"/>
      <c r="CBI4" s="258"/>
      <c r="CBJ4" s="258"/>
      <c r="CBK4" s="258"/>
      <c r="CBL4" s="258"/>
      <c r="CBM4" s="258"/>
      <c r="CBN4" s="258"/>
      <c r="CBO4" s="258"/>
      <c r="CBP4" s="258"/>
      <c r="CBQ4" s="258"/>
      <c r="CBR4" s="258"/>
      <c r="CBS4" s="258"/>
      <c r="CBT4" s="258"/>
      <c r="CBU4" s="258"/>
      <c r="CBV4" s="258"/>
      <c r="CBW4" s="258"/>
      <c r="CBX4" s="258"/>
      <c r="CBY4" s="258"/>
      <c r="CBZ4" s="258"/>
      <c r="CCA4" s="258"/>
      <c r="CCB4" s="258"/>
      <c r="CCC4" s="258"/>
      <c r="CCD4" s="258"/>
      <c r="CCE4" s="258"/>
      <c r="CCF4" s="258"/>
      <c r="CCG4" s="258"/>
      <c r="CCH4" s="258"/>
      <c r="CCI4" s="258"/>
      <c r="CCJ4" s="258"/>
      <c r="CCK4" s="258"/>
      <c r="CCL4" s="258"/>
      <c r="CCM4" s="258"/>
      <c r="CCN4" s="258"/>
      <c r="CCO4" s="258"/>
      <c r="CCP4" s="258"/>
      <c r="CCQ4" s="258"/>
      <c r="CCR4" s="258"/>
      <c r="CCS4" s="258"/>
      <c r="CCT4" s="258"/>
      <c r="CCU4" s="258"/>
      <c r="CCV4" s="258"/>
      <c r="CCW4" s="258"/>
      <c r="CCX4" s="258"/>
      <c r="CCY4" s="258"/>
      <c r="CCZ4" s="258"/>
      <c r="CDA4" s="258"/>
      <c r="CDB4" s="258"/>
      <c r="CDC4" s="258"/>
      <c r="CDD4" s="258"/>
      <c r="CDE4" s="258"/>
      <c r="CDF4" s="258"/>
      <c r="CDG4" s="258"/>
      <c r="CDH4" s="258"/>
      <c r="CDI4" s="258"/>
      <c r="CDJ4" s="258"/>
      <c r="CDK4" s="258"/>
      <c r="CDL4" s="258"/>
      <c r="CDM4" s="258"/>
      <c r="CDN4" s="258"/>
      <c r="CDO4" s="258"/>
      <c r="CDP4" s="258"/>
      <c r="CDQ4" s="258"/>
      <c r="CDR4" s="258"/>
      <c r="CDS4" s="258"/>
      <c r="CDT4" s="258"/>
      <c r="CDU4" s="258"/>
      <c r="CDV4" s="258"/>
      <c r="CDW4" s="258"/>
      <c r="CDX4" s="258"/>
      <c r="CDY4" s="258"/>
      <c r="CDZ4" s="258"/>
      <c r="CEA4" s="258"/>
      <c r="CEB4" s="258"/>
      <c r="CEC4" s="258"/>
      <c r="CED4" s="258"/>
      <c r="CEE4" s="258"/>
      <c r="CEF4" s="258"/>
      <c r="CEG4" s="258"/>
      <c r="CEH4" s="258"/>
      <c r="CEI4" s="258"/>
      <c r="CEJ4" s="258"/>
      <c r="CEK4" s="258"/>
      <c r="CEL4" s="258"/>
      <c r="CEM4" s="258"/>
      <c r="CEN4" s="258"/>
      <c r="CEO4" s="258"/>
      <c r="CEP4" s="258"/>
      <c r="CEQ4" s="258"/>
      <c r="CER4" s="258"/>
      <c r="CES4" s="258"/>
      <c r="CET4" s="258"/>
      <c r="CEU4" s="258"/>
      <c r="CEV4" s="258"/>
      <c r="CEW4" s="258"/>
      <c r="CEX4" s="258"/>
      <c r="CEY4" s="258"/>
      <c r="CEZ4" s="258"/>
      <c r="CFA4" s="258"/>
      <c r="CFB4" s="258"/>
      <c r="CFC4" s="258"/>
      <c r="CFD4" s="258"/>
      <c r="CFE4" s="258"/>
      <c r="CFF4" s="258"/>
      <c r="CFG4" s="258"/>
      <c r="CFH4" s="258"/>
      <c r="CFI4" s="258"/>
      <c r="CFJ4" s="258"/>
      <c r="CFK4" s="258"/>
      <c r="CFL4" s="258"/>
      <c r="CFM4" s="258"/>
      <c r="CFN4" s="258"/>
      <c r="CFO4" s="258"/>
      <c r="CFP4" s="258"/>
      <c r="CFQ4" s="258"/>
      <c r="CFR4" s="258"/>
      <c r="CFS4" s="258"/>
      <c r="CFT4" s="258"/>
      <c r="CFU4" s="258"/>
      <c r="CFV4" s="258"/>
      <c r="CFW4" s="258"/>
      <c r="CFX4" s="258"/>
      <c r="CFY4" s="258"/>
      <c r="CFZ4" s="258"/>
      <c r="CGA4" s="258"/>
      <c r="CGB4" s="258"/>
      <c r="CGC4" s="258"/>
      <c r="CGD4" s="258"/>
      <c r="CGE4" s="258"/>
      <c r="CGF4" s="258"/>
      <c r="CGG4" s="258"/>
      <c r="CGH4" s="258"/>
      <c r="CGI4" s="258"/>
      <c r="CGJ4" s="258"/>
      <c r="CGK4" s="258"/>
      <c r="CGL4" s="258"/>
      <c r="CGM4" s="258"/>
      <c r="CGN4" s="258"/>
      <c r="CGO4" s="258"/>
      <c r="CGP4" s="258"/>
      <c r="CGQ4" s="258"/>
      <c r="CGR4" s="258"/>
      <c r="CGS4" s="258"/>
      <c r="CGT4" s="258"/>
      <c r="CGU4" s="258"/>
      <c r="CGV4" s="258"/>
      <c r="CGW4" s="258"/>
      <c r="CGX4" s="258"/>
      <c r="CGY4" s="258"/>
      <c r="CGZ4" s="258"/>
      <c r="CHA4" s="258"/>
      <c r="CHB4" s="258"/>
      <c r="CHC4" s="258"/>
      <c r="CHD4" s="258"/>
      <c r="CHE4" s="258"/>
      <c r="CHF4" s="258"/>
      <c r="CHG4" s="258"/>
      <c r="CHH4" s="258"/>
      <c r="CHI4" s="258"/>
      <c r="CHJ4" s="258"/>
      <c r="CHK4" s="258"/>
      <c r="CHL4" s="258"/>
      <c r="CHM4" s="258"/>
      <c r="CHN4" s="258"/>
      <c r="CHO4" s="258"/>
      <c r="CHP4" s="258"/>
      <c r="CHQ4" s="258"/>
      <c r="CHR4" s="258"/>
      <c r="CHS4" s="258"/>
      <c r="CHT4" s="258"/>
      <c r="CHU4" s="258"/>
      <c r="CHV4" s="258"/>
      <c r="CHW4" s="258"/>
      <c r="CHX4" s="258"/>
      <c r="CHY4" s="258"/>
      <c r="CHZ4" s="258"/>
      <c r="CIA4" s="258"/>
      <c r="CIB4" s="258"/>
      <c r="CIC4" s="258"/>
      <c r="CID4" s="258"/>
      <c r="CIE4" s="258"/>
      <c r="CIF4" s="258"/>
      <c r="CIG4" s="258"/>
      <c r="CIH4" s="258"/>
      <c r="CII4" s="258"/>
      <c r="CIJ4" s="258"/>
      <c r="CIK4" s="258"/>
      <c r="CIL4" s="258"/>
      <c r="CIM4" s="258"/>
      <c r="CIN4" s="258"/>
      <c r="CIO4" s="258"/>
      <c r="CIP4" s="258"/>
      <c r="CIQ4" s="258"/>
      <c r="CIR4" s="258"/>
      <c r="CIS4" s="258"/>
      <c r="CIT4" s="258"/>
      <c r="CIU4" s="258"/>
      <c r="CIV4" s="258"/>
      <c r="CIW4" s="258"/>
      <c r="CIX4" s="258"/>
      <c r="CIY4" s="258"/>
      <c r="CIZ4" s="258"/>
      <c r="CJA4" s="258"/>
      <c r="CJB4" s="258"/>
      <c r="CJC4" s="258"/>
      <c r="CJD4" s="258"/>
      <c r="CJE4" s="258"/>
      <c r="CJF4" s="258"/>
      <c r="CJG4" s="258"/>
      <c r="CJH4" s="258"/>
      <c r="CJI4" s="258"/>
      <c r="CJJ4" s="258"/>
      <c r="CJK4" s="258"/>
      <c r="CJL4" s="258"/>
      <c r="CJM4" s="258"/>
      <c r="CJN4" s="258"/>
      <c r="CJO4" s="258"/>
      <c r="CJP4" s="258"/>
      <c r="CJQ4" s="258"/>
      <c r="CJR4" s="258"/>
      <c r="CJS4" s="258"/>
      <c r="CJT4" s="258"/>
      <c r="CJU4" s="258"/>
      <c r="CJV4" s="258"/>
      <c r="CJW4" s="258"/>
      <c r="CJX4" s="258"/>
      <c r="CJY4" s="258"/>
      <c r="CJZ4" s="258"/>
      <c r="CKA4" s="258"/>
      <c r="CKB4" s="258"/>
      <c r="CKC4" s="258"/>
      <c r="CKD4" s="258"/>
      <c r="CKE4" s="258"/>
      <c r="CKF4" s="258"/>
      <c r="CKG4" s="258"/>
      <c r="CKH4" s="258"/>
      <c r="CKI4" s="258"/>
      <c r="CKJ4" s="258"/>
      <c r="CKK4" s="258"/>
      <c r="CKL4" s="258"/>
      <c r="CKM4" s="258"/>
      <c r="CKN4" s="258"/>
      <c r="CKO4" s="258"/>
      <c r="CKP4" s="258"/>
      <c r="CKQ4" s="258"/>
      <c r="CKR4" s="258"/>
      <c r="CKS4" s="258"/>
      <c r="CKT4" s="258"/>
      <c r="CKU4" s="258"/>
      <c r="CKV4" s="258"/>
      <c r="CKW4" s="258"/>
      <c r="CKX4" s="258"/>
      <c r="CKY4" s="258"/>
      <c r="CKZ4" s="258"/>
      <c r="CLA4" s="258"/>
      <c r="CLB4" s="258"/>
      <c r="CLC4" s="258"/>
      <c r="CLD4" s="258"/>
      <c r="CLE4" s="258"/>
      <c r="CLF4" s="258"/>
      <c r="CLG4" s="258"/>
      <c r="CLH4" s="258"/>
      <c r="CLI4" s="258"/>
      <c r="CLJ4" s="258"/>
      <c r="CLK4" s="258"/>
      <c r="CLL4" s="258"/>
      <c r="CLM4" s="258"/>
      <c r="CLN4" s="258"/>
      <c r="CLO4" s="258"/>
      <c r="CLP4" s="258"/>
      <c r="CLQ4" s="258"/>
      <c r="CLR4" s="258"/>
      <c r="CLS4" s="258"/>
      <c r="CLT4" s="258"/>
      <c r="CLU4" s="258"/>
      <c r="CLV4" s="258"/>
      <c r="CLW4" s="258"/>
      <c r="CLX4" s="258"/>
      <c r="CLY4" s="258"/>
      <c r="CLZ4" s="258"/>
      <c r="CMA4" s="258"/>
      <c r="CMB4" s="258"/>
      <c r="CMC4" s="258"/>
      <c r="CMD4" s="258"/>
      <c r="CME4" s="258"/>
      <c r="CMF4" s="258"/>
      <c r="CMG4" s="258"/>
      <c r="CMH4" s="258"/>
      <c r="CMI4" s="258"/>
      <c r="CMJ4" s="258"/>
      <c r="CMK4" s="258"/>
      <c r="CML4" s="258"/>
      <c r="CMM4" s="258"/>
      <c r="CMN4" s="258"/>
      <c r="CMO4" s="258"/>
      <c r="CMP4" s="258"/>
      <c r="CMQ4" s="258"/>
      <c r="CMR4" s="258"/>
      <c r="CMS4" s="258"/>
      <c r="CMT4" s="258"/>
      <c r="CMU4" s="258"/>
      <c r="CMV4" s="258"/>
      <c r="CMW4" s="258"/>
      <c r="CMX4" s="258"/>
      <c r="CMY4" s="258"/>
      <c r="CMZ4" s="258"/>
      <c r="CNA4" s="258"/>
      <c r="CNB4" s="258"/>
      <c r="CNC4" s="258"/>
      <c r="CND4" s="258"/>
      <c r="CNE4" s="258"/>
      <c r="CNF4" s="258"/>
      <c r="CNG4" s="258"/>
      <c r="CNH4" s="258"/>
      <c r="CNI4" s="258"/>
      <c r="CNJ4" s="258"/>
      <c r="CNK4" s="258"/>
      <c r="CNL4" s="258"/>
      <c r="CNM4" s="258"/>
      <c r="CNN4" s="258"/>
      <c r="CNO4" s="258"/>
      <c r="CNP4" s="258"/>
      <c r="CNQ4" s="258"/>
      <c r="CNR4" s="258"/>
      <c r="CNS4" s="258"/>
      <c r="CNT4" s="258"/>
      <c r="CNU4" s="258"/>
      <c r="CNV4" s="258"/>
      <c r="CNW4" s="258"/>
      <c r="CNX4" s="258"/>
      <c r="CNY4" s="258"/>
      <c r="CNZ4" s="258"/>
      <c r="COA4" s="258"/>
      <c r="COB4" s="258"/>
      <c r="COC4" s="258"/>
      <c r="COD4" s="258"/>
      <c r="COE4" s="258"/>
      <c r="COF4" s="258"/>
      <c r="COG4" s="258"/>
      <c r="COH4" s="258"/>
      <c r="COI4" s="258"/>
      <c r="COJ4" s="258"/>
      <c r="COK4" s="258"/>
      <c r="COL4" s="258"/>
      <c r="COM4" s="258"/>
      <c r="CON4" s="258"/>
      <c r="COO4" s="258"/>
      <c r="COP4" s="258"/>
      <c r="COQ4" s="258"/>
      <c r="COR4" s="258"/>
      <c r="COS4" s="258"/>
      <c r="COT4" s="258"/>
      <c r="COU4" s="258"/>
      <c r="COV4" s="258"/>
      <c r="COW4" s="258"/>
      <c r="COX4" s="258"/>
      <c r="COY4" s="258"/>
      <c r="COZ4" s="258"/>
      <c r="CPA4" s="258"/>
      <c r="CPB4" s="258"/>
      <c r="CPC4" s="258"/>
      <c r="CPD4" s="258"/>
      <c r="CPE4" s="258"/>
      <c r="CPF4" s="258"/>
      <c r="CPG4" s="258"/>
      <c r="CPH4" s="258"/>
      <c r="CPI4" s="258"/>
      <c r="CPJ4" s="258"/>
      <c r="CPK4" s="258"/>
      <c r="CPL4" s="258"/>
      <c r="CPM4" s="258"/>
      <c r="CPN4" s="258"/>
      <c r="CPO4" s="258"/>
      <c r="CPP4" s="258"/>
      <c r="CPQ4" s="258"/>
      <c r="CPR4" s="258"/>
      <c r="CPS4" s="258"/>
      <c r="CPT4" s="258"/>
      <c r="CPU4" s="258"/>
      <c r="CPV4" s="258"/>
      <c r="CPW4" s="258"/>
      <c r="CPX4" s="258"/>
      <c r="CPY4" s="258"/>
      <c r="CPZ4" s="258"/>
      <c r="CQA4" s="258"/>
      <c r="CQB4" s="258"/>
      <c r="CQC4" s="258"/>
      <c r="CQD4" s="258"/>
      <c r="CQE4" s="258"/>
      <c r="CQF4" s="258"/>
      <c r="CQG4" s="258"/>
      <c r="CQH4" s="258"/>
      <c r="CQI4" s="258"/>
      <c r="CQJ4" s="258"/>
      <c r="CQK4" s="258"/>
      <c r="CQL4" s="258"/>
      <c r="CQM4" s="258"/>
      <c r="CQN4" s="258"/>
      <c r="CQO4" s="258"/>
      <c r="CQP4" s="258"/>
      <c r="CQQ4" s="258"/>
      <c r="CQR4" s="258"/>
      <c r="CQS4" s="258"/>
      <c r="CQT4" s="258"/>
      <c r="CQU4" s="258"/>
      <c r="CQV4" s="258"/>
      <c r="CQW4" s="258"/>
      <c r="CQX4" s="258"/>
      <c r="CQY4" s="258"/>
      <c r="CQZ4" s="258"/>
      <c r="CRA4" s="258"/>
      <c r="CRB4" s="258"/>
      <c r="CRC4" s="258"/>
      <c r="CRD4" s="258"/>
      <c r="CRE4" s="258"/>
      <c r="CRF4" s="258"/>
      <c r="CRG4" s="258"/>
      <c r="CRH4" s="258"/>
      <c r="CRI4" s="258"/>
      <c r="CRJ4" s="258"/>
      <c r="CRK4" s="258"/>
      <c r="CRL4" s="258"/>
      <c r="CRM4" s="258"/>
      <c r="CRN4" s="258"/>
      <c r="CRO4" s="258"/>
      <c r="CRP4" s="258"/>
      <c r="CRQ4" s="258"/>
      <c r="CRR4" s="258"/>
      <c r="CRS4" s="258"/>
      <c r="CRT4" s="258"/>
      <c r="CRU4" s="258"/>
      <c r="CRV4" s="258"/>
      <c r="CRW4" s="258"/>
      <c r="CRX4" s="258"/>
      <c r="CRY4" s="258"/>
      <c r="CRZ4" s="258"/>
      <c r="CSA4" s="258"/>
      <c r="CSB4" s="258"/>
      <c r="CSC4" s="258"/>
      <c r="CSD4" s="258"/>
      <c r="CSE4" s="258"/>
      <c r="CSF4" s="258"/>
      <c r="CSG4" s="258"/>
      <c r="CSH4" s="258"/>
      <c r="CSI4" s="258"/>
      <c r="CSJ4" s="258"/>
      <c r="CSK4" s="258"/>
      <c r="CSL4" s="258"/>
      <c r="CSM4" s="258"/>
      <c r="CSN4" s="258"/>
      <c r="CSO4" s="258"/>
      <c r="CSP4" s="258"/>
      <c r="CSQ4" s="258"/>
      <c r="CSR4" s="258"/>
      <c r="CSS4" s="258"/>
      <c r="CST4" s="258"/>
      <c r="CSU4" s="258"/>
      <c r="CSV4" s="258"/>
      <c r="CSW4" s="258"/>
      <c r="CSX4" s="258"/>
      <c r="CSY4" s="258"/>
      <c r="CSZ4" s="258"/>
      <c r="CTA4" s="258"/>
      <c r="CTB4" s="258"/>
      <c r="CTC4" s="258"/>
      <c r="CTD4" s="258"/>
      <c r="CTE4" s="258"/>
      <c r="CTF4" s="258"/>
      <c r="CTG4" s="258"/>
      <c r="CTH4" s="258"/>
      <c r="CTI4" s="258"/>
      <c r="CTJ4" s="258"/>
      <c r="CTK4" s="258"/>
      <c r="CTL4" s="258"/>
      <c r="CTM4" s="258"/>
      <c r="CTN4" s="258"/>
      <c r="CTO4" s="258"/>
      <c r="CTP4" s="258"/>
      <c r="CTQ4" s="258"/>
      <c r="CTR4" s="258"/>
      <c r="CTS4" s="258"/>
      <c r="CTT4" s="258"/>
      <c r="CTU4" s="258"/>
      <c r="CTV4" s="258"/>
      <c r="CTW4" s="258"/>
      <c r="CTX4" s="258"/>
      <c r="CTY4" s="258"/>
      <c r="CTZ4" s="258"/>
      <c r="CUA4" s="258"/>
      <c r="CUB4" s="258"/>
      <c r="CUC4" s="258"/>
      <c r="CUD4" s="258"/>
      <c r="CUE4" s="258"/>
      <c r="CUF4" s="258"/>
      <c r="CUG4" s="258"/>
      <c r="CUH4" s="258"/>
      <c r="CUI4" s="258"/>
      <c r="CUJ4" s="258"/>
      <c r="CUK4" s="258"/>
      <c r="CUL4" s="258"/>
      <c r="CUM4" s="258"/>
      <c r="CUN4" s="258"/>
      <c r="CUO4" s="258"/>
      <c r="CUP4" s="258"/>
      <c r="CUQ4" s="258"/>
      <c r="CUR4" s="258"/>
      <c r="CUS4" s="258"/>
      <c r="CUT4" s="258"/>
      <c r="CUU4" s="258"/>
      <c r="CUV4" s="258"/>
      <c r="CUW4" s="258"/>
      <c r="CUX4" s="258"/>
      <c r="CUY4" s="258"/>
      <c r="CUZ4" s="258"/>
      <c r="CVA4" s="258"/>
      <c r="CVB4" s="258"/>
      <c r="CVC4" s="258"/>
      <c r="CVD4" s="258"/>
      <c r="CVE4" s="258"/>
      <c r="CVF4" s="258"/>
      <c r="CVG4" s="258"/>
      <c r="CVH4" s="258"/>
      <c r="CVI4" s="258"/>
      <c r="CVJ4" s="258"/>
      <c r="CVK4" s="258"/>
      <c r="CVL4" s="258"/>
      <c r="CVM4" s="258"/>
      <c r="CVN4" s="258"/>
      <c r="CVO4" s="258"/>
      <c r="CVP4" s="258"/>
      <c r="CVQ4" s="258"/>
      <c r="CVR4" s="258"/>
      <c r="CVS4" s="258"/>
      <c r="CVT4" s="258"/>
      <c r="CVU4" s="258"/>
      <c r="CVV4" s="258"/>
      <c r="CVW4" s="258"/>
      <c r="CVX4" s="258"/>
      <c r="CVY4" s="258"/>
      <c r="CVZ4" s="258"/>
      <c r="CWA4" s="258"/>
      <c r="CWB4" s="258"/>
      <c r="CWC4" s="258"/>
      <c r="CWD4" s="258"/>
      <c r="CWE4" s="258"/>
      <c r="CWF4" s="258"/>
      <c r="CWG4" s="258"/>
      <c r="CWH4" s="258"/>
      <c r="CWI4" s="258"/>
      <c r="CWJ4" s="258"/>
      <c r="CWK4" s="258"/>
      <c r="CWL4" s="258"/>
      <c r="CWM4" s="258"/>
      <c r="CWN4" s="258"/>
      <c r="CWO4" s="258"/>
      <c r="CWP4" s="258"/>
      <c r="CWQ4" s="258"/>
      <c r="CWR4" s="258"/>
      <c r="CWS4" s="258"/>
      <c r="CWT4" s="258"/>
      <c r="CWU4" s="258"/>
      <c r="CWV4" s="258"/>
      <c r="CWW4" s="258"/>
      <c r="CWX4" s="258"/>
      <c r="CWY4" s="258"/>
      <c r="CWZ4" s="258"/>
      <c r="CXA4" s="258"/>
      <c r="CXB4" s="258"/>
      <c r="CXC4" s="258"/>
      <c r="CXD4" s="258"/>
      <c r="CXE4" s="258"/>
      <c r="CXF4" s="258"/>
      <c r="CXG4" s="258"/>
      <c r="CXH4" s="258"/>
      <c r="CXI4" s="258"/>
      <c r="CXJ4" s="258"/>
      <c r="CXK4" s="258"/>
      <c r="CXL4" s="258"/>
      <c r="CXM4" s="258"/>
      <c r="CXN4" s="258"/>
      <c r="CXO4" s="258"/>
      <c r="CXP4" s="258"/>
      <c r="CXQ4" s="258"/>
      <c r="CXR4" s="258"/>
      <c r="CXS4" s="258"/>
      <c r="CXT4" s="258"/>
      <c r="CXU4" s="258"/>
      <c r="CXV4" s="258"/>
      <c r="CXW4" s="258"/>
      <c r="CXX4" s="258"/>
      <c r="CXY4" s="258"/>
      <c r="CXZ4" s="258"/>
      <c r="CYA4" s="258"/>
      <c r="CYB4" s="258"/>
      <c r="CYC4" s="258"/>
      <c r="CYD4" s="258"/>
      <c r="CYE4" s="258"/>
      <c r="CYF4" s="258"/>
      <c r="CYG4" s="258"/>
      <c r="CYH4" s="258"/>
      <c r="CYI4" s="258"/>
      <c r="CYJ4" s="258"/>
      <c r="CYK4" s="258"/>
      <c r="CYL4" s="258"/>
      <c r="CYM4" s="258"/>
      <c r="CYN4" s="258"/>
      <c r="CYO4" s="258"/>
      <c r="CYP4" s="258"/>
      <c r="CYQ4" s="258"/>
      <c r="CYR4" s="258"/>
      <c r="CYS4" s="258"/>
      <c r="CYT4" s="258"/>
      <c r="CYU4" s="258"/>
      <c r="CYV4" s="258"/>
      <c r="CYW4" s="258"/>
      <c r="CYX4" s="258"/>
      <c r="CYY4" s="258"/>
      <c r="CYZ4" s="258"/>
      <c r="CZA4" s="258"/>
      <c r="CZB4" s="258"/>
      <c r="CZC4" s="258"/>
      <c r="CZD4" s="258"/>
      <c r="CZE4" s="258"/>
      <c r="CZF4" s="258"/>
      <c r="CZG4" s="258"/>
      <c r="CZH4" s="258"/>
      <c r="CZI4" s="258"/>
      <c r="CZJ4" s="258"/>
      <c r="CZK4" s="258"/>
      <c r="CZL4" s="258"/>
      <c r="CZM4" s="258"/>
      <c r="CZN4" s="258"/>
      <c r="CZO4" s="258"/>
      <c r="CZP4" s="258"/>
      <c r="CZQ4" s="258"/>
      <c r="CZR4" s="258"/>
      <c r="CZS4" s="258"/>
      <c r="CZT4" s="258"/>
      <c r="CZU4" s="258"/>
      <c r="CZV4" s="258"/>
      <c r="CZW4" s="258"/>
      <c r="CZX4" s="258"/>
      <c r="CZY4" s="258"/>
      <c r="CZZ4" s="258"/>
      <c r="DAA4" s="258"/>
      <c r="DAB4" s="258"/>
      <c r="DAC4" s="258"/>
      <c r="DAD4" s="258"/>
      <c r="DAE4" s="258"/>
      <c r="DAF4" s="258"/>
      <c r="DAG4" s="258"/>
      <c r="DAH4" s="258"/>
      <c r="DAI4" s="258"/>
      <c r="DAJ4" s="258"/>
      <c r="DAK4" s="258"/>
      <c r="DAL4" s="258"/>
      <c r="DAM4" s="258"/>
      <c r="DAN4" s="258"/>
      <c r="DAO4" s="258"/>
      <c r="DAP4" s="258"/>
      <c r="DAQ4" s="258"/>
      <c r="DAR4" s="258"/>
      <c r="DAS4" s="258"/>
      <c r="DAT4" s="258"/>
      <c r="DAU4" s="258"/>
      <c r="DAV4" s="258"/>
      <c r="DAW4" s="258"/>
      <c r="DAX4" s="258"/>
      <c r="DAY4" s="258"/>
      <c r="DAZ4" s="258"/>
      <c r="DBA4" s="258"/>
      <c r="DBB4" s="258"/>
      <c r="DBC4" s="258"/>
      <c r="DBD4" s="258"/>
      <c r="DBE4" s="258"/>
      <c r="DBF4" s="258"/>
      <c r="DBG4" s="258"/>
      <c r="DBH4" s="258"/>
      <c r="DBI4" s="258"/>
      <c r="DBJ4" s="258"/>
      <c r="DBK4" s="258"/>
      <c r="DBL4" s="258"/>
      <c r="DBM4" s="258"/>
      <c r="DBN4" s="258"/>
      <c r="DBO4" s="258"/>
      <c r="DBP4" s="258"/>
      <c r="DBQ4" s="258"/>
      <c r="DBR4" s="258"/>
      <c r="DBS4" s="258"/>
      <c r="DBT4" s="258"/>
      <c r="DBU4" s="258"/>
      <c r="DBV4" s="258"/>
      <c r="DBW4" s="258"/>
      <c r="DBX4" s="258"/>
      <c r="DBY4" s="258"/>
      <c r="DBZ4" s="258"/>
      <c r="DCA4" s="258"/>
      <c r="DCB4" s="258"/>
      <c r="DCC4" s="258"/>
      <c r="DCD4" s="258"/>
      <c r="DCE4" s="258"/>
      <c r="DCF4" s="258"/>
      <c r="DCG4" s="258"/>
      <c r="DCH4" s="258"/>
      <c r="DCI4" s="258"/>
      <c r="DCJ4" s="258"/>
      <c r="DCK4" s="258"/>
      <c r="DCL4" s="258"/>
      <c r="DCM4" s="258"/>
      <c r="DCN4" s="258"/>
      <c r="DCO4" s="258"/>
      <c r="DCP4" s="258"/>
      <c r="DCQ4" s="258"/>
      <c r="DCR4" s="258"/>
      <c r="DCS4" s="258"/>
      <c r="DCT4" s="258"/>
      <c r="DCU4" s="258"/>
      <c r="DCV4" s="258"/>
      <c r="DCW4" s="258"/>
      <c r="DCX4" s="258"/>
      <c r="DCY4" s="258"/>
      <c r="DCZ4" s="258"/>
      <c r="DDA4" s="258"/>
      <c r="DDB4" s="258"/>
      <c r="DDC4" s="258"/>
      <c r="DDD4" s="258"/>
      <c r="DDE4" s="258"/>
      <c r="DDF4" s="258"/>
      <c r="DDG4" s="258"/>
      <c r="DDH4" s="258"/>
      <c r="DDI4" s="258"/>
      <c r="DDJ4" s="258"/>
      <c r="DDK4" s="258"/>
      <c r="DDL4" s="258"/>
      <c r="DDM4" s="258"/>
      <c r="DDN4" s="258"/>
      <c r="DDO4" s="258"/>
      <c r="DDP4" s="258"/>
      <c r="DDQ4" s="258"/>
      <c r="DDR4" s="258"/>
      <c r="DDS4" s="258"/>
      <c r="DDT4" s="258"/>
      <c r="DDU4" s="258"/>
      <c r="DDV4" s="258"/>
      <c r="DDW4" s="258"/>
      <c r="DDX4" s="258"/>
      <c r="DDY4" s="258"/>
      <c r="DDZ4" s="258"/>
      <c r="DEA4" s="258"/>
      <c r="DEB4" s="258"/>
      <c r="DEC4" s="258"/>
      <c r="DED4" s="258"/>
      <c r="DEE4" s="258"/>
      <c r="DEF4" s="258"/>
      <c r="DEG4" s="258"/>
      <c r="DEH4" s="258"/>
      <c r="DEI4" s="258"/>
      <c r="DEJ4" s="258"/>
      <c r="DEK4" s="258"/>
      <c r="DEL4" s="258"/>
      <c r="DEM4" s="258"/>
      <c r="DEN4" s="258"/>
      <c r="DEO4" s="258"/>
      <c r="DEP4" s="258"/>
      <c r="DEQ4" s="258"/>
      <c r="DER4" s="258"/>
      <c r="DES4" s="258"/>
      <c r="DET4" s="258"/>
      <c r="DEU4" s="258"/>
      <c r="DEV4" s="258"/>
      <c r="DEW4" s="258"/>
      <c r="DEX4" s="258"/>
      <c r="DEY4" s="258"/>
      <c r="DEZ4" s="258"/>
      <c r="DFA4" s="258"/>
      <c r="DFB4" s="258"/>
      <c r="DFC4" s="258"/>
      <c r="DFD4" s="258"/>
      <c r="DFE4" s="258"/>
      <c r="DFF4" s="258"/>
      <c r="DFG4" s="258"/>
      <c r="DFH4" s="258"/>
      <c r="DFI4" s="258"/>
      <c r="DFJ4" s="258"/>
      <c r="DFK4" s="258"/>
      <c r="DFL4" s="258"/>
      <c r="DFM4" s="258"/>
      <c r="DFN4" s="258"/>
      <c r="DFO4" s="258"/>
      <c r="DFP4" s="258"/>
      <c r="DFQ4" s="258"/>
      <c r="DFR4" s="258"/>
      <c r="DFS4" s="258"/>
      <c r="DFT4" s="258"/>
      <c r="DFU4" s="258"/>
      <c r="DFV4" s="258"/>
      <c r="DFW4" s="258"/>
      <c r="DFX4" s="258"/>
      <c r="DFY4" s="258"/>
      <c r="DFZ4" s="258"/>
      <c r="DGA4" s="258"/>
      <c r="DGB4" s="258"/>
      <c r="DGC4" s="258"/>
      <c r="DGD4" s="258"/>
      <c r="DGE4" s="258"/>
      <c r="DGF4" s="258"/>
      <c r="DGG4" s="258"/>
      <c r="DGH4" s="258"/>
      <c r="DGI4" s="258"/>
      <c r="DGJ4" s="258"/>
      <c r="DGK4" s="258"/>
      <c r="DGL4" s="258"/>
      <c r="DGM4" s="258"/>
      <c r="DGN4" s="258"/>
      <c r="DGO4" s="258"/>
      <c r="DGP4" s="258"/>
      <c r="DGQ4" s="258"/>
      <c r="DGR4" s="258"/>
      <c r="DGS4" s="258"/>
      <c r="DGT4" s="258"/>
      <c r="DGU4" s="258"/>
      <c r="DGV4" s="258"/>
      <c r="DGW4" s="258"/>
      <c r="DGX4" s="258"/>
      <c r="DGY4" s="258"/>
      <c r="DGZ4" s="258"/>
      <c r="DHA4" s="258"/>
      <c r="DHB4" s="258"/>
      <c r="DHC4" s="258"/>
      <c r="DHD4" s="258"/>
      <c r="DHE4" s="258"/>
      <c r="DHF4" s="258"/>
      <c r="DHG4" s="258"/>
      <c r="DHH4" s="258"/>
      <c r="DHI4" s="258"/>
      <c r="DHJ4" s="258"/>
      <c r="DHK4" s="258"/>
      <c r="DHL4" s="258"/>
      <c r="DHM4" s="258"/>
      <c r="DHN4" s="258"/>
      <c r="DHO4" s="258"/>
      <c r="DHP4" s="258"/>
      <c r="DHQ4" s="258"/>
      <c r="DHR4" s="258"/>
      <c r="DHS4" s="258"/>
      <c r="DHT4" s="258"/>
      <c r="DHU4" s="258"/>
      <c r="DHV4" s="258"/>
      <c r="DHW4" s="258"/>
      <c r="DHX4" s="258"/>
      <c r="DHY4" s="258"/>
      <c r="DHZ4" s="258"/>
      <c r="DIA4" s="258"/>
      <c r="DIB4" s="258"/>
      <c r="DIC4" s="258"/>
      <c r="DID4" s="258"/>
      <c r="DIE4" s="258"/>
      <c r="DIF4" s="258"/>
      <c r="DIG4" s="258"/>
      <c r="DIH4" s="258"/>
      <c r="DII4" s="258"/>
      <c r="DIJ4" s="258"/>
      <c r="DIK4" s="258"/>
      <c r="DIL4" s="258"/>
      <c r="DIM4" s="258"/>
      <c r="DIN4" s="258"/>
      <c r="DIO4" s="258"/>
      <c r="DIP4" s="258"/>
      <c r="DIQ4" s="258"/>
      <c r="DIR4" s="258"/>
      <c r="DIS4" s="258"/>
      <c r="DIT4" s="258"/>
      <c r="DIU4" s="258"/>
      <c r="DIV4" s="258"/>
      <c r="DIW4" s="258"/>
      <c r="DIX4" s="258"/>
      <c r="DIY4" s="258"/>
      <c r="DIZ4" s="258"/>
      <c r="DJA4" s="258"/>
      <c r="DJB4" s="258"/>
      <c r="DJC4" s="258"/>
      <c r="DJD4" s="258"/>
      <c r="DJE4" s="258"/>
      <c r="DJF4" s="258"/>
      <c r="DJG4" s="258"/>
      <c r="DJH4" s="258"/>
      <c r="DJI4" s="258"/>
      <c r="DJJ4" s="258"/>
      <c r="DJK4" s="258"/>
      <c r="DJL4" s="258"/>
      <c r="DJM4" s="258"/>
      <c r="DJN4" s="258"/>
      <c r="DJO4" s="258"/>
      <c r="DJP4" s="258"/>
      <c r="DJQ4" s="258"/>
      <c r="DJR4" s="258"/>
      <c r="DJS4" s="258"/>
      <c r="DJT4" s="258"/>
      <c r="DJU4" s="258"/>
      <c r="DJV4" s="258"/>
      <c r="DJW4" s="258"/>
      <c r="DJX4" s="258"/>
      <c r="DJY4" s="258"/>
      <c r="DJZ4" s="258"/>
      <c r="DKA4" s="258"/>
      <c r="DKB4" s="258"/>
      <c r="DKC4" s="258"/>
      <c r="DKD4" s="258"/>
      <c r="DKE4" s="258"/>
      <c r="DKF4" s="258"/>
      <c r="DKG4" s="258"/>
      <c r="DKH4" s="258"/>
      <c r="DKI4" s="258"/>
      <c r="DKJ4" s="258"/>
      <c r="DKK4" s="258"/>
      <c r="DKL4" s="258"/>
      <c r="DKM4" s="258"/>
      <c r="DKN4" s="258"/>
      <c r="DKO4" s="258"/>
      <c r="DKP4" s="258"/>
      <c r="DKQ4" s="258"/>
      <c r="DKR4" s="258"/>
      <c r="DKS4" s="258"/>
      <c r="DKT4" s="258"/>
      <c r="DKU4" s="258"/>
      <c r="DKV4" s="258"/>
      <c r="DKW4" s="258"/>
      <c r="DKX4" s="258"/>
      <c r="DKY4" s="258"/>
      <c r="DKZ4" s="258"/>
      <c r="DLA4" s="258"/>
      <c r="DLB4" s="258"/>
      <c r="DLC4" s="258"/>
      <c r="DLD4" s="258"/>
      <c r="DLE4" s="258"/>
      <c r="DLF4" s="258"/>
      <c r="DLG4" s="258"/>
      <c r="DLH4" s="258"/>
      <c r="DLI4" s="258"/>
      <c r="DLJ4" s="258"/>
      <c r="DLK4" s="258"/>
      <c r="DLL4" s="258"/>
      <c r="DLM4" s="258"/>
      <c r="DLN4" s="258"/>
      <c r="DLO4" s="258"/>
      <c r="DLP4" s="258"/>
      <c r="DLQ4" s="258"/>
      <c r="DLR4" s="258"/>
      <c r="DLS4" s="258"/>
      <c r="DLT4" s="258"/>
      <c r="DLU4" s="258"/>
      <c r="DLV4" s="258"/>
      <c r="DLW4" s="258"/>
      <c r="DLX4" s="258"/>
      <c r="DLY4" s="258"/>
      <c r="DLZ4" s="258"/>
      <c r="DMA4" s="258"/>
      <c r="DMB4" s="258"/>
      <c r="DMC4" s="258"/>
      <c r="DMD4" s="258"/>
      <c r="DME4" s="258"/>
      <c r="DMF4" s="258"/>
      <c r="DMG4" s="258"/>
      <c r="DMH4" s="258"/>
      <c r="DMI4" s="258"/>
      <c r="DMJ4" s="258"/>
      <c r="DMK4" s="258"/>
      <c r="DML4" s="258"/>
      <c r="DMM4" s="258"/>
      <c r="DMN4" s="258"/>
      <c r="DMO4" s="258"/>
      <c r="DMP4" s="258"/>
      <c r="DMQ4" s="258"/>
      <c r="DMR4" s="258"/>
      <c r="DMS4" s="258"/>
      <c r="DMT4" s="258"/>
      <c r="DMU4" s="258"/>
      <c r="DMV4" s="258"/>
      <c r="DMW4" s="258"/>
      <c r="DMX4" s="258"/>
      <c r="DMY4" s="258"/>
      <c r="DMZ4" s="258"/>
      <c r="DNA4" s="258"/>
      <c r="DNB4" s="258"/>
      <c r="DNC4" s="258"/>
      <c r="DND4" s="258"/>
      <c r="DNE4" s="258"/>
      <c r="DNF4" s="258"/>
      <c r="DNG4" s="258"/>
      <c r="DNH4" s="258"/>
      <c r="DNI4" s="258"/>
      <c r="DNJ4" s="258"/>
      <c r="DNK4" s="258"/>
      <c r="DNL4" s="258"/>
      <c r="DNM4" s="258"/>
      <c r="DNN4" s="258"/>
      <c r="DNO4" s="258"/>
      <c r="DNP4" s="258"/>
      <c r="DNQ4" s="258"/>
      <c r="DNR4" s="258"/>
      <c r="DNS4" s="258"/>
      <c r="DNT4" s="258"/>
      <c r="DNU4" s="258"/>
      <c r="DNV4" s="258"/>
      <c r="DNW4" s="258"/>
      <c r="DNX4" s="258"/>
      <c r="DNY4" s="258"/>
      <c r="DNZ4" s="258"/>
      <c r="DOA4" s="258"/>
      <c r="DOB4" s="258"/>
      <c r="DOC4" s="258"/>
      <c r="DOD4" s="258"/>
      <c r="DOE4" s="258"/>
      <c r="DOF4" s="258"/>
      <c r="DOG4" s="258"/>
      <c r="DOH4" s="258"/>
      <c r="DOI4" s="258"/>
      <c r="DOJ4" s="258"/>
      <c r="DOK4" s="258"/>
      <c r="DOL4" s="258"/>
      <c r="DOM4" s="258"/>
      <c r="DON4" s="258"/>
      <c r="DOO4" s="258"/>
      <c r="DOP4" s="258"/>
      <c r="DOQ4" s="258"/>
      <c r="DOR4" s="258"/>
      <c r="DOS4" s="258"/>
      <c r="DOT4" s="258"/>
      <c r="DOU4" s="258"/>
      <c r="DOV4" s="258"/>
      <c r="DOW4" s="258"/>
      <c r="DOX4" s="258"/>
      <c r="DOY4" s="258"/>
      <c r="DOZ4" s="258"/>
      <c r="DPA4" s="258"/>
      <c r="DPB4" s="258"/>
      <c r="DPC4" s="258"/>
      <c r="DPD4" s="258"/>
      <c r="DPE4" s="258"/>
      <c r="DPF4" s="258"/>
      <c r="DPG4" s="258"/>
      <c r="DPH4" s="258"/>
      <c r="DPI4" s="258"/>
      <c r="DPJ4" s="258"/>
      <c r="DPK4" s="258"/>
      <c r="DPL4" s="258"/>
      <c r="DPM4" s="258"/>
      <c r="DPN4" s="258"/>
      <c r="DPO4" s="258"/>
      <c r="DPP4" s="258"/>
      <c r="DPQ4" s="258"/>
      <c r="DPR4" s="258"/>
      <c r="DPS4" s="258"/>
      <c r="DPT4" s="258"/>
      <c r="DPU4" s="258"/>
      <c r="DPV4" s="258"/>
      <c r="DPW4" s="258"/>
      <c r="DPX4" s="258"/>
      <c r="DPY4" s="258"/>
      <c r="DPZ4" s="258"/>
      <c r="DQA4" s="258"/>
      <c r="DQB4" s="258"/>
      <c r="DQC4" s="258"/>
      <c r="DQD4" s="258"/>
      <c r="DQE4" s="258"/>
      <c r="DQF4" s="258"/>
      <c r="DQG4" s="258"/>
      <c r="DQH4" s="258"/>
      <c r="DQI4" s="258"/>
      <c r="DQJ4" s="258"/>
      <c r="DQK4" s="258"/>
      <c r="DQL4" s="258"/>
      <c r="DQM4" s="258"/>
      <c r="DQN4" s="258"/>
      <c r="DQO4" s="258"/>
      <c r="DQP4" s="258"/>
      <c r="DQQ4" s="258"/>
      <c r="DQR4" s="258"/>
      <c r="DQS4" s="258"/>
      <c r="DQT4" s="258"/>
      <c r="DQU4" s="258"/>
      <c r="DQV4" s="258"/>
      <c r="DQW4" s="258"/>
      <c r="DQX4" s="258"/>
      <c r="DQY4" s="258"/>
      <c r="DQZ4" s="258"/>
      <c r="DRA4" s="258"/>
      <c r="DRB4" s="258"/>
      <c r="DRC4" s="258"/>
      <c r="DRD4" s="258"/>
      <c r="DRE4" s="258"/>
      <c r="DRF4" s="258"/>
      <c r="DRG4" s="258"/>
      <c r="DRH4" s="258"/>
      <c r="DRI4" s="258"/>
      <c r="DRJ4" s="258"/>
      <c r="DRK4" s="258"/>
      <c r="DRL4" s="258"/>
      <c r="DRM4" s="258"/>
      <c r="DRN4" s="258"/>
      <c r="DRO4" s="258"/>
      <c r="DRP4" s="258"/>
      <c r="DRQ4" s="258"/>
      <c r="DRR4" s="258"/>
      <c r="DRS4" s="258"/>
      <c r="DRT4" s="258"/>
      <c r="DRU4" s="258"/>
      <c r="DRV4" s="258"/>
      <c r="DRW4" s="258"/>
      <c r="DRX4" s="258"/>
      <c r="DRY4" s="258"/>
      <c r="DRZ4" s="258"/>
      <c r="DSA4" s="258"/>
      <c r="DSB4" s="258"/>
      <c r="DSC4" s="258"/>
      <c r="DSD4" s="258"/>
      <c r="DSE4" s="258"/>
      <c r="DSF4" s="258"/>
      <c r="DSG4" s="258"/>
      <c r="DSH4" s="258"/>
      <c r="DSI4" s="258"/>
      <c r="DSJ4" s="258"/>
      <c r="DSK4" s="258"/>
      <c r="DSL4" s="258"/>
      <c r="DSM4" s="258"/>
      <c r="DSN4" s="258"/>
      <c r="DSO4" s="258"/>
      <c r="DSP4" s="258"/>
      <c r="DSQ4" s="258"/>
      <c r="DSR4" s="258"/>
      <c r="DSS4" s="258"/>
      <c r="DST4" s="258"/>
      <c r="DSU4" s="258"/>
      <c r="DSV4" s="258"/>
      <c r="DSW4" s="258"/>
      <c r="DSX4" s="258"/>
      <c r="DSY4" s="258"/>
      <c r="DSZ4" s="258"/>
      <c r="DTA4" s="258"/>
      <c r="DTB4" s="258"/>
      <c r="DTC4" s="258"/>
      <c r="DTD4" s="258"/>
      <c r="DTE4" s="258"/>
      <c r="DTF4" s="258"/>
      <c r="DTG4" s="258"/>
      <c r="DTH4" s="258"/>
      <c r="DTI4" s="258"/>
      <c r="DTJ4" s="258"/>
      <c r="DTK4" s="258"/>
      <c r="DTL4" s="258"/>
      <c r="DTM4" s="258"/>
      <c r="DTN4" s="258"/>
      <c r="DTO4" s="258"/>
      <c r="DTP4" s="258"/>
      <c r="DTQ4" s="258"/>
      <c r="DTR4" s="258"/>
      <c r="DTS4" s="258"/>
      <c r="DTT4" s="258"/>
      <c r="DTU4" s="258"/>
      <c r="DTV4" s="258"/>
      <c r="DTW4" s="258"/>
      <c r="DTX4" s="258"/>
      <c r="DTY4" s="258"/>
      <c r="DTZ4" s="258"/>
      <c r="DUA4" s="258"/>
      <c r="DUB4" s="258"/>
      <c r="DUC4" s="258"/>
      <c r="DUD4" s="258"/>
      <c r="DUE4" s="258"/>
      <c r="DUF4" s="258"/>
      <c r="DUG4" s="258"/>
      <c r="DUH4" s="258"/>
      <c r="DUI4" s="258"/>
      <c r="DUJ4" s="258"/>
      <c r="DUK4" s="258"/>
      <c r="DUL4" s="258"/>
      <c r="DUM4" s="258"/>
      <c r="DUN4" s="258"/>
      <c r="DUO4" s="258"/>
      <c r="DUP4" s="258"/>
      <c r="DUQ4" s="258"/>
      <c r="DUR4" s="258"/>
      <c r="DUS4" s="258"/>
      <c r="DUT4" s="258"/>
      <c r="DUU4" s="258"/>
      <c r="DUV4" s="258"/>
      <c r="DUW4" s="258"/>
      <c r="DUX4" s="258"/>
      <c r="DUY4" s="258"/>
      <c r="DUZ4" s="258"/>
      <c r="DVA4" s="258"/>
      <c r="DVB4" s="258"/>
      <c r="DVC4" s="258"/>
      <c r="DVD4" s="258"/>
      <c r="DVE4" s="258"/>
      <c r="DVF4" s="258"/>
      <c r="DVG4" s="258"/>
      <c r="DVH4" s="258"/>
      <c r="DVI4" s="258"/>
      <c r="DVJ4" s="258"/>
      <c r="DVK4" s="258"/>
      <c r="DVL4" s="258"/>
      <c r="DVM4" s="258"/>
      <c r="DVN4" s="258"/>
      <c r="DVO4" s="258"/>
      <c r="DVP4" s="258"/>
      <c r="DVQ4" s="258"/>
      <c r="DVR4" s="258"/>
      <c r="DVS4" s="258"/>
      <c r="DVT4" s="258"/>
      <c r="DVU4" s="258"/>
      <c r="DVV4" s="258"/>
      <c r="DVW4" s="258"/>
      <c r="DVX4" s="258"/>
      <c r="DVY4" s="258"/>
      <c r="DVZ4" s="258"/>
      <c r="DWA4" s="258"/>
      <c r="DWB4" s="258"/>
      <c r="DWC4" s="258"/>
      <c r="DWD4" s="258"/>
      <c r="DWE4" s="258"/>
      <c r="DWF4" s="258"/>
      <c r="DWG4" s="258"/>
      <c r="DWH4" s="258"/>
      <c r="DWI4" s="258"/>
      <c r="DWJ4" s="258"/>
      <c r="DWK4" s="258"/>
      <c r="DWL4" s="258"/>
      <c r="DWM4" s="258"/>
      <c r="DWN4" s="258"/>
      <c r="DWO4" s="258"/>
      <c r="DWP4" s="258"/>
      <c r="DWQ4" s="258"/>
      <c r="DWR4" s="258"/>
      <c r="DWS4" s="258"/>
      <c r="DWT4" s="258"/>
      <c r="DWU4" s="258"/>
      <c r="DWV4" s="258"/>
      <c r="DWW4" s="258"/>
      <c r="DWX4" s="258"/>
      <c r="DWY4" s="258"/>
      <c r="DWZ4" s="258"/>
      <c r="DXA4" s="258"/>
      <c r="DXB4" s="258"/>
      <c r="DXC4" s="258"/>
      <c r="DXD4" s="258"/>
      <c r="DXE4" s="258"/>
      <c r="DXF4" s="258"/>
      <c r="DXG4" s="258"/>
      <c r="DXH4" s="258"/>
      <c r="DXI4" s="258"/>
      <c r="DXJ4" s="258"/>
      <c r="DXK4" s="258"/>
      <c r="DXL4" s="258"/>
      <c r="DXM4" s="258"/>
      <c r="DXN4" s="258"/>
      <c r="DXO4" s="258"/>
      <c r="DXP4" s="258"/>
      <c r="DXQ4" s="258"/>
      <c r="DXR4" s="258"/>
      <c r="DXS4" s="258"/>
      <c r="DXT4" s="258"/>
      <c r="DXU4" s="258"/>
      <c r="DXV4" s="258"/>
      <c r="DXW4" s="258"/>
      <c r="DXX4" s="258"/>
      <c r="DXY4" s="258"/>
      <c r="DXZ4" s="258"/>
      <c r="DYA4" s="258"/>
      <c r="DYB4" s="258"/>
      <c r="DYC4" s="258"/>
      <c r="DYD4" s="258"/>
      <c r="DYE4" s="258"/>
      <c r="DYF4" s="258"/>
      <c r="DYG4" s="258"/>
      <c r="DYH4" s="258"/>
      <c r="DYI4" s="258"/>
      <c r="DYJ4" s="258"/>
      <c r="DYK4" s="258"/>
      <c r="DYL4" s="258"/>
      <c r="DYM4" s="258"/>
      <c r="DYN4" s="258"/>
      <c r="DYO4" s="258"/>
      <c r="DYP4" s="258"/>
      <c r="DYQ4" s="258"/>
      <c r="DYR4" s="258"/>
      <c r="DYS4" s="258"/>
      <c r="DYT4" s="258"/>
      <c r="DYU4" s="258"/>
      <c r="DYV4" s="258"/>
      <c r="DYW4" s="258"/>
      <c r="DYX4" s="258"/>
      <c r="DYY4" s="258"/>
      <c r="DYZ4" s="258"/>
      <c r="DZA4" s="258"/>
      <c r="DZB4" s="258"/>
      <c r="DZC4" s="258"/>
      <c r="DZD4" s="258"/>
      <c r="DZE4" s="258"/>
      <c r="DZF4" s="258"/>
      <c r="DZG4" s="258"/>
      <c r="DZH4" s="258"/>
      <c r="DZI4" s="258"/>
      <c r="DZJ4" s="258"/>
      <c r="DZK4" s="258"/>
      <c r="DZL4" s="258"/>
      <c r="DZM4" s="258"/>
      <c r="DZN4" s="258"/>
      <c r="DZO4" s="258"/>
      <c r="DZP4" s="258"/>
      <c r="DZQ4" s="258"/>
      <c r="DZR4" s="258"/>
      <c r="DZS4" s="258"/>
      <c r="DZT4" s="258"/>
      <c r="DZU4" s="258"/>
      <c r="DZV4" s="258"/>
      <c r="DZW4" s="258"/>
      <c r="DZX4" s="258"/>
      <c r="DZY4" s="258"/>
      <c r="DZZ4" s="258"/>
      <c r="EAA4" s="258"/>
      <c r="EAB4" s="258"/>
      <c r="EAC4" s="258"/>
      <c r="EAD4" s="258"/>
      <c r="EAE4" s="258"/>
      <c r="EAF4" s="258"/>
      <c r="EAG4" s="258"/>
      <c r="EAH4" s="258"/>
      <c r="EAI4" s="258"/>
      <c r="EAJ4" s="258"/>
      <c r="EAK4" s="258"/>
      <c r="EAL4" s="258"/>
      <c r="EAM4" s="258"/>
      <c r="EAN4" s="258"/>
      <c r="EAO4" s="258"/>
      <c r="EAP4" s="258"/>
      <c r="EAQ4" s="258"/>
      <c r="EAR4" s="258"/>
      <c r="EAS4" s="258"/>
      <c r="EAT4" s="258"/>
      <c r="EAU4" s="258"/>
      <c r="EAV4" s="258"/>
      <c r="EAW4" s="258"/>
      <c r="EAX4" s="258"/>
      <c r="EAY4" s="258"/>
      <c r="EAZ4" s="258"/>
      <c r="EBA4" s="258"/>
      <c r="EBB4" s="258"/>
      <c r="EBC4" s="258"/>
      <c r="EBD4" s="258"/>
      <c r="EBE4" s="258"/>
      <c r="EBF4" s="258"/>
      <c r="EBG4" s="258"/>
      <c r="EBH4" s="258"/>
      <c r="EBI4" s="258"/>
      <c r="EBJ4" s="258"/>
      <c r="EBK4" s="258"/>
      <c r="EBL4" s="258"/>
      <c r="EBM4" s="258"/>
      <c r="EBN4" s="258"/>
      <c r="EBO4" s="258"/>
      <c r="EBP4" s="258"/>
      <c r="EBQ4" s="258"/>
      <c r="EBR4" s="258"/>
      <c r="EBS4" s="258"/>
      <c r="EBT4" s="258"/>
      <c r="EBU4" s="258"/>
      <c r="EBV4" s="258"/>
      <c r="EBW4" s="258"/>
      <c r="EBX4" s="258"/>
      <c r="EBY4" s="258"/>
      <c r="EBZ4" s="258"/>
      <c r="ECA4" s="258"/>
      <c r="ECB4" s="258"/>
      <c r="ECC4" s="258"/>
      <c r="ECD4" s="258"/>
      <c r="ECE4" s="258"/>
      <c r="ECF4" s="258"/>
      <c r="ECG4" s="258"/>
      <c r="ECH4" s="258"/>
      <c r="ECI4" s="258"/>
      <c r="ECJ4" s="258"/>
      <c r="ECK4" s="258"/>
      <c r="ECL4" s="258"/>
      <c r="ECM4" s="258"/>
      <c r="ECN4" s="258"/>
      <c r="ECO4" s="258"/>
      <c r="ECP4" s="258"/>
      <c r="ECQ4" s="258"/>
      <c r="ECR4" s="258"/>
      <c r="ECS4" s="258"/>
      <c r="ECT4" s="258"/>
      <c r="ECU4" s="258"/>
      <c r="ECV4" s="258"/>
      <c r="ECW4" s="258"/>
      <c r="ECX4" s="258"/>
      <c r="ECY4" s="258"/>
      <c r="ECZ4" s="258"/>
      <c r="EDA4" s="258"/>
      <c r="EDB4" s="258"/>
      <c r="EDC4" s="258"/>
      <c r="EDD4" s="258"/>
      <c r="EDE4" s="258"/>
      <c r="EDF4" s="258"/>
      <c r="EDG4" s="258"/>
      <c r="EDH4" s="258"/>
      <c r="EDI4" s="258"/>
      <c r="EDJ4" s="258"/>
      <c r="EDK4" s="258"/>
      <c r="EDL4" s="258"/>
      <c r="EDM4" s="258"/>
      <c r="EDN4" s="258"/>
      <c r="EDO4" s="258"/>
      <c r="EDP4" s="258"/>
      <c r="EDQ4" s="258"/>
      <c r="EDR4" s="258"/>
      <c r="EDS4" s="258"/>
      <c r="EDT4" s="258"/>
      <c r="EDU4" s="258"/>
      <c r="EDV4" s="258"/>
      <c r="EDW4" s="258"/>
      <c r="EDX4" s="258"/>
      <c r="EDY4" s="258"/>
      <c r="EDZ4" s="258"/>
      <c r="EEA4" s="258"/>
      <c r="EEB4" s="258"/>
      <c r="EEC4" s="258"/>
      <c r="EED4" s="258"/>
      <c r="EEE4" s="258"/>
      <c r="EEF4" s="258"/>
      <c r="EEG4" s="258"/>
      <c r="EEH4" s="258"/>
      <c r="EEI4" s="258"/>
      <c r="EEJ4" s="258"/>
      <c r="EEK4" s="258"/>
      <c r="EEL4" s="258"/>
      <c r="EEM4" s="258"/>
      <c r="EEN4" s="258"/>
      <c r="EEO4" s="258"/>
      <c r="EEP4" s="258"/>
      <c r="EEQ4" s="258"/>
      <c r="EER4" s="258"/>
      <c r="EES4" s="258"/>
      <c r="EET4" s="258"/>
      <c r="EEU4" s="258"/>
      <c r="EEV4" s="258"/>
      <c r="EEW4" s="258"/>
      <c r="EEX4" s="258"/>
      <c r="EEY4" s="258"/>
      <c r="EEZ4" s="258"/>
      <c r="EFA4" s="258"/>
      <c r="EFB4" s="258"/>
      <c r="EFC4" s="258"/>
      <c r="EFD4" s="258"/>
      <c r="EFE4" s="258"/>
      <c r="EFF4" s="258"/>
      <c r="EFG4" s="258"/>
      <c r="EFH4" s="258"/>
      <c r="EFI4" s="258"/>
      <c r="EFJ4" s="258"/>
      <c r="EFK4" s="258"/>
      <c r="EFL4" s="258"/>
      <c r="EFM4" s="258"/>
      <c r="EFN4" s="258"/>
      <c r="EFO4" s="258"/>
      <c r="EFP4" s="258"/>
      <c r="EFQ4" s="258"/>
      <c r="EFR4" s="258"/>
      <c r="EFS4" s="258"/>
      <c r="EFT4" s="258"/>
      <c r="EFU4" s="258"/>
      <c r="EFV4" s="258"/>
      <c r="EFW4" s="258"/>
      <c r="EFX4" s="258"/>
      <c r="EFY4" s="258"/>
      <c r="EFZ4" s="258"/>
      <c r="EGA4" s="258"/>
      <c r="EGB4" s="258"/>
      <c r="EGC4" s="258"/>
      <c r="EGD4" s="258"/>
      <c r="EGE4" s="258"/>
      <c r="EGF4" s="258"/>
      <c r="EGG4" s="258"/>
      <c r="EGH4" s="258"/>
      <c r="EGI4" s="258"/>
      <c r="EGJ4" s="258"/>
      <c r="EGK4" s="258"/>
      <c r="EGL4" s="258"/>
      <c r="EGM4" s="258"/>
      <c r="EGN4" s="258"/>
      <c r="EGO4" s="258"/>
      <c r="EGP4" s="258"/>
      <c r="EGQ4" s="258"/>
      <c r="EGR4" s="258"/>
      <c r="EGS4" s="258"/>
      <c r="EGT4" s="258"/>
      <c r="EGU4" s="258"/>
      <c r="EGV4" s="258"/>
      <c r="EGW4" s="258"/>
      <c r="EGX4" s="258"/>
      <c r="EGY4" s="258"/>
      <c r="EGZ4" s="258"/>
      <c r="EHA4" s="258"/>
      <c r="EHB4" s="258"/>
      <c r="EHC4" s="258"/>
      <c r="EHD4" s="258"/>
      <c r="EHE4" s="258"/>
      <c r="EHF4" s="258"/>
      <c r="EHG4" s="258"/>
      <c r="EHH4" s="258"/>
      <c r="EHI4" s="258"/>
      <c r="EHJ4" s="258"/>
      <c r="EHK4" s="258"/>
      <c r="EHL4" s="258"/>
      <c r="EHM4" s="258"/>
      <c r="EHN4" s="258"/>
      <c r="EHO4" s="258"/>
      <c r="EHP4" s="258"/>
      <c r="EHQ4" s="258"/>
      <c r="EHR4" s="258"/>
      <c r="EHS4" s="258"/>
      <c r="EHT4" s="258"/>
      <c r="EHU4" s="258"/>
      <c r="EHV4" s="258"/>
      <c r="EHW4" s="258"/>
      <c r="EHX4" s="258"/>
      <c r="EHY4" s="258"/>
      <c r="EHZ4" s="258"/>
      <c r="EIA4" s="258"/>
      <c r="EIB4" s="258"/>
      <c r="EIC4" s="258"/>
      <c r="EID4" s="258"/>
      <c r="EIE4" s="258"/>
      <c r="EIF4" s="258"/>
      <c r="EIG4" s="258"/>
      <c r="EIH4" s="258"/>
      <c r="EII4" s="258"/>
      <c r="EIJ4" s="258"/>
      <c r="EIK4" s="258"/>
      <c r="EIL4" s="258"/>
      <c r="EIM4" s="258"/>
      <c r="EIN4" s="258"/>
      <c r="EIO4" s="258"/>
      <c r="EIP4" s="258"/>
      <c r="EIQ4" s="258"/>
      <c r="EIR4" s="258"/>
      <c r="EIS4" s="258"/>
      <c r="EIT4" s="258"/>
      <c r="EIU4" s="258"/>
      <c r="EIV4" s="258"/>
      <c r="EIW4" s="258"/>
      <c r="EIX4" s="258"/>
      <c r="EIY4" s="258"/>
      <c r="EIZ4" s="258"/>
      <c r="EJA4" s="258"/>
      <c r="EJB4" s="258"/>
      <c r="EJC4" s="258"/>
      <c r="EJD4" s="258"/>
      <c r="EJE4" s="258"/>
      <c r="EJF4" s="258"/>
      <c r="EJG4" s="258"/>
      <c r="EJH4" s="258"/>
      <c r="EJI4" s="258"/>
      <c r="EJJ4" s="258"/>
      <c r="EJK4" s="258"/>
      <c r="EJL4" s="258"/>
      <c r="EJM4" s="258"/>
      <c r="EJN4" s="258"/>
      <c r="EJO4" s="258"/>
      <c r="EJP4" s="258"/>
      <c r="EJQ4" s="258"/>
      <c r="EJR4" s="258"/>
      <c r="EJS4" s="258"/>
      <c r="EJT4" s="258"/>
      <c r="EJU4" s="258"/>
      <c r="EJV4" s="258"/>
      <c r="EJW4" s="258"/>
      <c r="EJX4" s="258"/>
      <c r="EJY4" s="258"/>
      <c r="EJZ4" s="258"/>
      <c r="EKA4" s="258"/>
      <c r="EKB4" s="258"/>
      <c r="EKC4" s="258"/>
      <c r="EKD4" s="258"/>
      <c r="EKE4" s="258"/>
      <c r="EKF4" s="258"/>
      <c r="EKG4" s="258"/>
      <c r="EKH4" s="258"/>
      <c r="EKI4" s="258"/>
      <c r="EKJ4" s="258"/>
      <c r="EKK4" s="258"/>
      <c r="EKL4" s="258"/>
      <c r="EKM4" s="258"/>
      <c r="EKN4" s="258"/>
      <c r="EKO4" s="258"/>
      <c r="EKP4" s="258"/>
      <c r="EKQ4" s="258"/>
      <c r="EKR4" s="258"/>
      <c r="EKS4" s="258"/>
      <c r="EKT4" s="258"/>
      <c r="EKU4" s="258"/>
      <c r="EKV4" s="258"/>
      <c r="EKW4" s="258"/>
      <c r="EKX4" s="258"/>
      <c r="EKY4" s="258"/>
      <c r="EKZ4" s="258"/>
      <c r="ELA4" s="258"/>
      <c r="ELB4" s="258"/>
      <c r="ELC4" s="258"/>
      <c r="ELD4" s="258"/>
      <c r="ELE4" s="258"/>
      <c r="ELF4" s="258"/>
      <c r="ELG4" s="258"/>
      <c r="ELH4" s="258"/>
      <c r="ELI4" s="258"/>
      <c r="ELJ4" s="258"/>
      <c r="ELK4" s="258"/>
      <c r="ELL4" s="258"/>
      <c r="ELM4" s="258"/>
      <c r="ELN4" s="258"/>
      <c r="ELO4" s="258"/>
      <c r="ELP4" s="258"/>
      <c r="ELQ4" s="258"/>
      <c r="ELR4" s="258"/>
      <c r="ELS4" s="258"/>
      <c r="ELT4" s="258"/>
      <c r="ELU4" s="258"/>
      <c r="ELV4" s="258"/>
      <c r="ELW4" s="258"/>
      <c r="ELX4" s="258"/>
      <c r="ELY4" s="258"/>
      <c r="ELZ4" s="258"/>
      <c r="EMA4" s="258"/>
      <c r="EMB4" s="258"/>
      <c r="EMC4" s="258"/>
      <c r="EMD4" s="258"/>
      <c r="EME4" s="258"/>
      <c r="EMF4" s="258"/>
      <c r="EMG4" s="258"/>
      <c r="EMH4" s="258"/>
      <c r="EMI4" s="258"/>
      <c r="EMJ4" s="258"/>
      <c r="EMK4" s="258"/>
      <c r="EML4" s="258"/>
      <c r="EMM4" s="258"/>
      <c r="EMN4" s="258"/>
      <c r="EMO4" s="258"/>
      <c r="EMP4" s="258"/>
      <c r="EMQ4" s="258"/>
      <c r="EMR4" s="258"/>
      <c r="EMS4" s="258"/>
      <c r="EMT4" s="258"/>
      <c r="EMU4" s="258"/>
      <c r="EMV4" s="258"/>
      <c r="EMW4" s="258"/>
      <c r="EMX4" s="258"/>
      <c r="EMY4" s="258"/>
      <c r="EMZ4" s="258"/>
      <c r="ENA4" s="258"/>
      <c r="ENB4" s="258"/>
      <c r="ENC4" s="258"/>
      <c r="END4" s="258"/>
      <c r="ENE4" s="258"/>
      <c r="ENF4" s="258"/>
      <c r="ENG4" s="258"/>
      <c r="ENH4" s="258"/>
      <c r="ENI4" s="258"/>
      <c r="ENJ4" s="258"/>
      <c r="ENK4" s="258"/>
      <c r="ENL4" s="258"/>
      <c r="ENM4" s="258"/>
      <c r="ENN4" s="258"/>
      <c r="ENO4" s="258"/>
      <c r="ENP4" s="258"/>
      <c r="ENQ4" s="258"/>
      <c r="ENR4" s="258"/>
      <c r="ENS4" s="258"/>
      <c r="ENT4" s="258"/>
      <c r="ENU4" s="258"/>
      <c r="ENV4" s="258"/>
      <c r="ENW4" s="258"/>
      <c r="ENX4" s="258"/>
      <c r="ENY4" s="258"/>
      <c r="ENZ4" s="258"/>
      <c r="EOA4" s="258"/>
      <c r="EOB4" s="258"/>
      <c r="EOC4" s="258"/>
      <c r="EOD4" s="258"/>
      <c r="EOE4" s="258"/>
      <c r="EOF4" s="258"/>
      <c r="EOG4" s="258"/>
      <c r="EOH4" s="258"/>
      <c r="EOI4" s="258"/>
      <c r="EOJ4" s="258"/>
      <c r="EOK4" s="258"/>
      <c r="EOL4" s="258"/>
      <c r="EOM4" s="258"/>
      <c r="EON4" s="258"/>
      <c r="EOO4" s="258"/>
      <c r="EOP4" s="258"/>
      <c r="EOQ4" s="258"/>
      <c r="EOR4" s="258"/>
      <c r="EOS4" s="258"/>
      <c r="EOT4" s="258"/>
      <c r="EOU4" s="258"/>
      <c r="EOV4" s="258"/>
      <c r="EOW4" s="258"/>
      <c r="EOX4" s="258"/>
      <c r="EOY4" s="258"/>
      <c r="EOZ4" s="258"/>
      <c r="EPA4" s="258"/>
      <c r="EPB4" s="258"/>
      <c r="EPC4" s="258"/>
      <c r="EPD4" s="258"/>
      <c r="EPE4" s="258"/>
      <c r="EPF4" s="258"/>
      <c r="EPG4" s="258"/>
      <c r="EPH4" s="258"/>
      <c r="EPI4" s="258"/>
      <c r="EPJ4" s="258"/>
      <c r="EPK4" s="258"/>
      <c r="EPL4" s="258"/>
      <c r="EPM4" s="258"/>
      <c r="EPN4" s="258"/>
      <c r="EPO4" s="258"/>
      <c r="EPP4" s="258"/>
      <c r="EPQ4" s="258"/>
      <c r="EPR4" s="258"/>
      <c r="EPS4" s="258"/>
      <c r="EPT4" s="258"/>
      <c r="EPU4" s="258"/>
      <c r="EPV4" s="258"/>
      <c r="EPW4" s="258"/>
      <c r="EPX4" s="258"/>
      <c r="EPY4" s="258"/>
      <c r="EPZ4" s="258"/>
      <c r="EQA4" s="258"/>
      <c r="EQB4" s="258"/>
      <c r="EQC4" s="258"/>
      <c r="EQD4" s="258"/>
      <c r="EQE4" s="258"/>
      <c r="EQF4" s="258"/>
      <c r="EQG4" s="258"/>
      <c r="EQH4" s="258"/>
      <c r="EQI4" s="258"/>
      <c r="EQJ4" s="258"/>
      <c r="EQK4" s="258"/>
      <c r="EQL4" s="258"/>
      <c r="EQM4" s="258"/>
      <c r="EQN4" s="258"/>
      <c r="EQO4" s="258"/>
      <c r="EQP4" s="258"/>
      <c r="EQQ4" s="258"/>
      <c r="EQR4" s="258"/>
      <c r="EQS4" s="258"/>
      <c r="EQT4" s="258"/>
      <c r="EQU4" s="258"/>
      <c r="EQV4" s="258"/>
      <c r="EQW4" s="258"/>
      <c r="EQX4" s="258"/>
      <c r="EQY4" s="258"/>
      <c r="EQZ4" s="258"/>
      <c r="ERA4" s="258"/>
      <c r="ERB4" s="258"/>
      <c r="ERC4" s="258"/>
      <c r="ERD4" s="258"/>
      <c r="ERE4" s="258"/>
      <c r="ERF4" s="258"/>
      <c r="ERG4" s="258"/>
      <c r="ERH4" s="258"/>
      <c r="ERI4" s="258"/>
      <c r="ERJ4" s="258"/>
      <c r="ERK4" s="258"/>
      <c r="ERL4" s="258"/>
      <c r="ERM4" s="258"/>
      <c r="ERN4" s="258"/>
      <c r="ERO4" s="258"/>
      <c r="ERP4" s="258"/>
      <c r="ERQ4" s="258"/>
      <c r="ERR4" s="258"/>
      <c r="ERS4" s="258"/>
      <c r="ERT4" s="258"/>
      <c r="ERU4" s="258"/>
      <c r="ERV4" s="258"/>
      <c r="ERW4" s="258"/>
      <c r="ERX4" s="258"/>
      <c r="ERY4" s="258"/>
      <c r="ERZ4" s="258"/>
      <c r="ESA4" s="258"/>
      <c r="ESB4" s="258"/>
      <c r="ESC4" s="258"/>
      <c r="ESD4" s="258"/>
      <c r="ESE4" s="258"/>
      <c r="ESF4" s="258"/>
      <c r="ESG4" s="258"/>
      <c r="ESH4" s="258"/>
      <c r="ESI4" s="258"/>
      <c r="ESJ4" s="258"/>
      <c r="ESK4" s="258"/>
      <c r="ESL4" s="258"/>
      <c r="ESM4" s="258"/>
      <c r="ESN4" s="258"/>
      <c r="ESO4" s="258"/>
      <c r="ESP4" s="258"/>
      <c r="ESQ4" s="258"/>
      <c r="ESR4" s="258"/>
      <c r="ESS4" s="258"/>
      <c r="EST4" s="258"/>
      <c r="ESU4" s="258"/>
      <c r="ESV4" s="258"/>
      <c r="ESW4" s="258"/>
      <c r="ESX4" s="258"/>
      <c r="ESY4" s="258"/>
      <c r="ESZ4" s="258"/>
      <c r="ETA4" s="258"/>
      <c r="ETB4" s="258"/>
      <c r="ETC4" s="258"/>
      <c r="ETD4" s="258"/>
      <c r="ETE4" s="258"/>
      <c r="ETF4" s="258"/>
      <c r="ETG4" s="258"/>
      <c r="ETH4" s="258"/>
      <c r="ETI4" s="258"/>
      <c r="ETJ4" s="258"/>
      <c r="ETK4" s="258"/>
      <c r="ETL4" s="258"/>
      <c r="ETM4" s="258"/>
      <c r="ETN4" s="258"/>
      <c r="ETO4" s="258"/>
      <c r="ETP4" s="258"/>
      <c r="ETQ4" s="258"/>
      <c r="ETR4" s="258"/>
      <c r="ETS4" s="258"/>
      <c r="ETT4" s="258"/>
      <c r="ETU4" s="258"/>
      <c r="ETV4" s="258"/>
      <c r="ETW4" s="258"/>
      <c r="ETX4" s="258"/>
      <c r="ETY4" s="258"/>
      <c r="ETZ4" s="258"/>
      <c r="EUA4" s="258"/>
      <c r="EUB4" s="258"/>
      <c r="EUC4" s="258"/>
      <c r="EUD4" s="258"/>
      <c r="EUE4" s="258"/>
      <c r="EUF4" s="258"/>
      <c r="EUG4" s="258"/>
      <c r="EUH4" s="258"/>
      <c r="EUI4" s="258"/>
      <c r="EUJ4" s="258"/>
      <c r="EUK4" s="258"/>
      <c r="EUL4" s="258"/>
      <c r="EUM4" s="258"/>
      <c r="EUN4" s="258"/>
      <c r="EUO4" s="258"/>
      <c r="EUP4" s="258"/>
      <c r="EUQ4" s="258"/>
      <c r="EUR4" s="258"/>
      <c r="EUS4" s="258"/>
      <c r="EUT4" s="258"/>
      <c r="EUU4" s="258"/>
      <c r="EUV4" s="258"/>
      <c r="EUW4" s="258"/>
      <c r="EUX4" s="258"/>
      <c r="EUY4" s="258"/>
      <c r="EUZ4" s="258"/>
      <c r="EVA4" s="258"/>
      <c r="EVB4" s="258"/>
      <c r="EVC4" s="258"/>
      <c r="EVD4" s="258"/>
      <c r="EVE4" s="258"/>
      <c r="EVF4" s="258"/>
      <c r="EVG4" s="258"/>
      <c r="EVH4" s="258"/>
      <c r="EVI4" s="258"/>
      <c r="EVJ4" s="258"/>
      <c r="EVK4" s="258"/>
      <c r="EVL4" s="258"/>
      <c r="EVM4" s="258"/>
      <c r="EVN4" s="258"/>
      <c r="EVO4" s="258"/>
      <c r="EVP4" s="258"/>
      <c r="EVQ4" s="258"/>
      <c r="EVR4" s="258"/>
      <c r="EVS4" s="258"/>
      <c r="EVT4" s="258"/>
      <c r="EVU4" s="258"/>
      <c r="EVV4" s="258"/>
      <c r="EVW4" s="258"/>
      <c r="EVX4" s="258"/>
      <c r="EVY4" s="258"/>
      <c r="EVZ4" s="258"/>
      <c r="EWA4" s="258"/>
      <c r="EWB4" s="258"/>
      <c r="EWC4" s="258"/>
      <c r="EWD4" s="258"/>
      <c r="EWE4" s="258"/>
      <c r="EWF4" s="258"/>
      <c r="EWG4" s="258"/>
      <c r="EWH4" s="258"/>
      <c r="EWI4" s="258"/>
      <c r="EWJ4" s="258"/>
      <c r="EWK4" s="258"/>
      <c r="EWL4" s="258"/>
      <c r="EWM4" s="258"/>
      <c r="EWN4" s="258"/>
      <c r="EWO4" s="258"/>
      <c r="EWP4" s="258"/>
      <c r="EWQ4" s="258"/>
      <c r="EWR4" s="258"/>
      <c r="EWS4" s="258"/>
      <c r="EWT4" s="258"/>
      <c r="EWU4" s="258"/>
      <c r="EWV4" s="258"/>
      <c r="EWW4" s="258"/>
      <c r="EWX4" s="258"/>
      <c r="EWY4" s="258"/>
      <c r="EWZ4" s="258"/>
      <c r="EXA4" s="258"/>
      <c r="EXB4" s="258"/>
      <c r="EXC4" s="258"/>
      <c r="EXD4" s="258"/>
      <c r="EXE4" s="258"/>
      <c r="EXF4" s="258"/>
      <c r="EXG4" s="258"/>
      <c r="EXH4" s="258"/>
      <c r="EXI4" s="258"/>
      <c r="EXJ4" s="258"/>
      <c r="EXK4" s="258"/>
      <c r="EXL4" s="258"/>
      <c r="EXM4" s="258"/>
      <c r="EXN4" s="258"/>
      <c r="EXO4" s="258"/>
      <c r="EXP4" s="258"/>
      <c r="EXQ4" s="258"/>
      <c r="EXR4" s="258"/>
      <c r="EXS4" s="258"/>
      <c r="EXT4" s="258"/>
      <c r="EXU4" s="258"/>
      <c r="EXV4" s="258"/>
      <c r="EXW4" s="258"/>
      <c r="EXX4" s="258"/>
      <c r="EXY4" s="258"/>
      <c r="EXZ4" s="258"/>
      <c r="EYA4" s="258"/>
      <c r="EYB4" s="258"/>
      <c r="EYC4" s="258"/>
      <c r="EYD4" s="258"/>
      <c r="EYE4" s="258"/>
      <c r="EYF4" s="258"/>
      <c r="EYG4" s="258"/>
      <c r="EYH4" s="258"/>
      <c r="EYI4" s="258"/>
      <c r="EYJ4" s="258"/>
      <c r="EYK4" s="258"/>
      <c r="EYL4" s="258"/>
      <c r="EYM4" s="258"/>
      <c r="EYN4" s="258"/>
      <c r="EYO4" s="258"/>
      <c r="EYP4" s="258"/>
      <c r="EYQ4" s="258"/>
      <c r="EYR4" s="258"/>
      <c r="EYS4" s="258"/>
      <c r="EYT4" s="258"/>
      <c r="EYU4" s="258"/>
      <c r="EYV4" s="258"/>
      <c r="EYW4" s="258"/>
      <c r="EYX4" s="258"/>
      <c r="EYY4" s="258"/>
      <c r="EYZ4" s="258"/>
      <c r="EZA4" s="258"/>
      <c r="EZB4" s="258"/>
      <c r="EZC4" s="258"/>
      <c r="EZD4" s="258"/>
      <c r="EZE4" s="258"/>
      <c r="EZF4" s="258"/>
      <c r="EZG4" s="258"/>
      <c r="EZH4" s="258"/>
      <c r="EZI4" s="258"/>
      <c r="EZJ4" s="258"/>
      <c r="EZK4" s="258"/>
      <c r="EZL4" s="258"/>
      <c r="EZM4" s="258"/>
      <c r="EZN4" s="258"/>
      <c r="EZO4" s="258"/>
      <c r="EZP4" s="258"/>
      <c r="EZQ4" s="258"/>
      <c r="EZR4" s="258"/>
      <c r="EZS4" s="258"/>
      <c r="EZT4" s="258"/>
      <c r="EZU4" s="258"/>
      <c r="EZV4" s="258"/>
      <c r="EZW4" s="258"/>
      <c r="EZX4" s="258"/>
      <c r="EZY4" s="258"/>
      <c r="EZZ4" s="258"/>
      <c r="FAA4" s="258"/>
      <c r="FAB4" s="258"/>
      <c r="FAC4" s="258"/>
      <c r="FAD4" s="258"/>
      <c r="FAE4" s="258"/>
      <c r="FAF4" s="258"/>
      <c r="FAG4" s="258"/>
      <c r="FAH4" s="258"/>
      <c r="FAI4" s="258"/>
      <c r="FAJ4" s="258"/>
      <c r="FAK4" s="258"/>
      <c r="FAL4" s="258"/>
      <c r="FAM4" s="258"/>
      <c r="FAN4" s="258"/>
      <c r="FAO4" s="258"/>
      <c r="FAP4" s="258"/>
      <c r="FAQ4" s="258"/>
      <c r="FAR4" s="258"/>
      <c r="FAS4" s="258"/>
      <c r="FAT4" s="258"/>
      <c r="FAU4" s="258"/>
      <c r="FAV4" s="258"/>
      <c r="FAW4" s="258"/>
      <c r="FAX4" s="258"/>
      <c r="FAY4" s="258"/>
      <c r="FAZ4" s="258"/>
      <c r="FBA4" s="258"/>
      <c r="FBB4" s="258"/>
      <c r="FBC4" s="258"/>
      <c r="FBD4" s="258"/>
      <c r="FBE4" s="258"/>
      <c r="FBF4" s="258"/>
      <c r="FBG4" s="258"/>
      <c r="FBH4" s="258"/>
      <c r="FBI4" s="258"/>
      <c r="FBJ4" s="258"/>
      <c r="FBK4" s="258"/>
      <c r="FBL4" s="258"/>
      <c r="FBM4" s="258"/>
      <c r="FBN4" s="258"/>
      <c r="FBO4" s="258"/>
      <c r="FBP4" s="258"/>
      <c r="FBQ4" s="258"/>
      <c r="FBR4" s="258"/>
      <c r="FBS4" s="258"/>
      <c r="FBT4" s="258"/>
      <c r="FBU4" s="258"/>
      <c r="FBV4" s="258"/>
      <c r="FBW4" s="258"/>
      <c r="FBX4" s="258"/>
      <c r="FBY4" s="258"/>
      <c r="FBZ4" s="258"/>
      <c r="FCA4" s="258"/>
      <c r="FCB4" s="258"/>
      <c r="FCC4" s="258"/>
      <c r="FCD4" s="258"/>
      <c r="FCE4" s="258"/>
      <c r="FCF4" s="258"/>
      <c r="FCG4" s="258"/>
      <c r="FCH4" s="258"/>
      <c r="FCI4" s="258"/>
      <c r="FCJ4" s="258"/>
      <c r="FCK4" s="258"/>
      <c r="FCL4" s="258"/>
      <c r="FCM4" s="258"/>
      <c r="FCN4" s="258"/>
      <c r="FCO4" s="258"/>
      <c r="FCP4" s="258"/>
      <c r="FCQ4" s="258"/>
      <c r="FCR4" s="258"/>
      <c r="FCS4" s="258"/>
      <c r="FCT4" s="258"/>
      <c r="FCU4" s="258"/>
      <c r="FCV4" s="258"/>
      <c r="FCW4" s="258"/>
      <c r="FCX4" s="258"/>
      <c r="FCY4" s="258"/>
      <c r="FCZ4" s="258"/>
      <c r="FDA4" s="258"/>
      <c r="FDB4" s="258"/>
      <c r="FDC4" s="258"/>
      <c r="FDD4" s="258"/>
      <c r="FDE4" s="258"/>
      <c r="FDF4" s="258"/>
      <c r="FDG4" s="258"/>
      <c r="FDH4" s="258"/>
      <c r="FDI4" s="258"/>
      <c r="FDJ4" s="258"/>
      <c r="FDK4" s="258"/>
      <c r="FDL4" s="258"/>
      <c r="FDM4" s="258"/>
      <c r="FDN4" s="258"/>
      <c r="FDO4" s="258"/>
      <c r="FDP4" s="258"/>
      <c r="FDQ4" s="258"/>
      <c r="FDR4" s="258"/>
      <c r="FDS4" s="258"/>
      <c r="FDT4" s="258"/>
      <c r="FDU4" s="258"/>
      <c r="FDV4" s="258"/>
      <c r="FDW4" s="258"/>
      <c r="FDX4" s="258"/>
      <c r="FDY4" s="258"/>
      <c r="FDZ4" s="258"/>
      <c r="FEA4" s="258"/>
      <c r="FEB4" s="258"/>
      <c r="FEC4" s="258"/>
      <c r="FED4" s="258"/>
      <c r="FEE4" s="258"/>
      <c r="FEF4" s="258"/>
      <c r="FEG4" s="258"/>
      <c r="FEH4" s="258"/>
      <c r="FEI4" s="258"/>
      <c r="FEJ4" s="258"/>
      <c r="FEK4" s="258"/>
      <c r="FEL4" s="258"/>
      <c r="FEM4" s="258"/>
      <c r="FEN4" s="258"/>
      <c r="FEO4" s="258"/>
      <c r="FEP4" s="258"/>
      <c r="FEQ4" s="258"/>
      <c r="FER4" s="258"/>
      <c r="FES4" s="258"/>
      <c r="FET4" s="258"/>
      <c r="FEU4" s="258"/>
      <c r="FEV4" s="258"/>
      <c r="FEW4" s="258"/>
      <c r="FEX4" s="258"/>
      <c r="FEY4" s="258"/>
      <c r="FEZ4" s="258"/>
      <c r="FFA4" s="258"/>
      <c r="FFB4" s="258"/>
      <c r="FFC4" s="258"/>
      <c r="FFD4" s="258"/>
      <c r="FFE4" s="258"/>
      <c r="FFF4" s="258"/>
      <c r="FFG4" s="258"/>
      <c r="FFH4" s="258"/>
      <c r="FFI4" s="258"/>
      <c r="FFJ4" s="258"/>
      <c r="FFK4" s="258"/>
      <c r="FFL4" s="258"/>
      <c r="FFM4" s="258"/>
      <c r="FFN4" s="258"/>
      <c r="FFO4" s="258"/>
      <c r="FFP4" s="258"/>
      <c r="FFQ4" s="258"/>
      <c r="FFR4" s="258"/>
      <c r="FFS4" s="258"/>
      <c r="FFT4" s="258"/>
      <c r="FFU4" s="258"/>
      <c r="FFV4" s="258"/>
      <c r="FFW4" s="258"/>
      <c r="FFX4" s="258"/>
      <c r="FFY4" s="258"/>
      <c r="FFZ4" s="258"/>
      <c r="FGA4" s="258"/>
      <c r="FGB4" s="258"/>
      <c r="FGC4" s="258"/>
      <c r="FGD4" s="258"/>
      <c r="FGE4" s="258"/>
      <c r="FGF4" s="258"/>
      <c r="FGG4" s="258"/>
      <c r="FGH4" s="258"/>
      <c r="FGI4" s="258"/>
      <c r="FGJ4" s="258"/>
      <c r="FGK4" s="258"/>
      <c r="FGL4" s="258"/>
      <c r="FGM4" s="258"/>
      <c r="FGN4" s="258"/>
      <c r="FGO4" s="258"/>
      <c r="FGP4" s="258"/>
      <c r="FGQ4" s="258"/>
      <c r="FGR4" s="258"/>
      <c r="FGS4" s="258"/>
      <c r="FGT4" s="258"/>
      <c r="FGU4" s="258"/>
      <c r="FGV4" s="258"/>
      <c r="FGW4" s="258"/>
      <c r="FGX4" s="258"/>
      <c r="FGY4" s="258"/>
      <c r="FGZ4" s="258"/>
      <c r="FHA4" s="258"/>
      <c r="FHB4" s="258"/>
      <c r="FHC4" s="258"/>
      <c r="FHD4" s="258"/>
      <c r="FHE4" s="258"/>
      <c r="FHF4" s="258"/>
      <c r="FHG4" s="258"/>
      <c r="FHH4" s="258"/>
      <c r="FHI4" s="258"/>
      <c r="FHJ4" s="258"/>
      <c r="FHK4" s="258"/>
      <c r="FHL4" s="258"/>
      <c r="FHM4" s="258"/>
      <c r="FHN4" s="258"/>
      <c r="FHO4" s="258"/>
      <c r="FHP4" s="258"/>
      <c r="FHQ4" s="258"/>
      <c r="FHR4" s="258"/>
      <c r="FHS4" s="258"/>
      <c r="FHT4" s="258"/>
      <c r="FHU4" s="258"/>
      <c r="FHV4" s="258"/>
      <c r="FHW4" s="258"/>
      <c r="FHX4" s="258"/>
      <c r="FHY4" s="258"/>
      <c r="FHZ4" s="258"/>
      <c r="FIA4" s="258"/>
      <c r="FIB4" s="258"/>
      <c r="FIC4" s="258"/>
      <c r="FID4" s="258"/>
      <c r="FIE4" s="258"/>
      <c r="FIF4" s="258"/>
      <c r="FIG4" s="258"/>
      <c r="FIH4" s="258"/>
      <c r="FII4" s="258"/>
      <c r="FIJ4" s="258"/>
      <c r="FIK4" s="258"/>
      <c r="FIL4" s="258"/>
      <c r="FIM4" s="258"/>
      <c r="FIN4" s="258"/>
      <c r="FIO4" s="258"/>
      <c r="FIP4" s="258"/>
      <c r="FIQ4" s="258"/>
      <c r="FIR4" s="258"/>
      <c r="FIS4" s="258"/>
      <c r="FIT4" s="258"/>
      <c r="FIU4" s="258"/>
      <c r="FIV4" s="258"/>
      <c r="FIW4" s="258"/>
      <c r="FIX4" s="258"/>
      <c r="FIY4" s="258"/>
      <c r="FIZ4" s="258"/>
      <c r="FJA4" s="258"/>
      <c r="FJB4" s="258"/>
      <c r="FJC4" s="258"/>
      <c r="FJD4" s="258"/>
      <c r="FJE4" s="258"/>
      <c r="FJF4" s="258"/>
      <c r="FJG4" s="258"/>
      <c r="FJH4" s="258"/>
      <c r="FJI4" s="258"/>
      <c r="FJJ4" s="258"/>
      <c r="FJK4" s="258"/>
      <c r="FJL4" s="258"/>
      <c r="FJM4" s="258"/>
      <c r="FJN4" s="258"/>
      <c r="FJO4" s="258"/>
      <c r="FJP4" s="258"/>
      <c r="FJQ4" s="258"/>
      <c r="FJR4" s="258"/>
      <c r="FJS4" s="258"/>
      <c r="FJT4" s="258"/>
      <c r="FJU4" s="258"/>
      <c r="FJV4" s="258"/>
      <c r="FJW4" s="258"/>
      <c r="FJX4" s="258"/>
      <c r="FJY4" s="258"/>
      <c r="FJZ4" s="258"/>
      <c r="FKA4" s="258"/>
      <c r="FKB4" s="258"/>
      <c r="FKC4" s="258"/>
      <c r="FKD4" s="258"/>
      <c r="FKE4" s="258"/>
      <c r="FKF4" s="258"/>
      <c r="FKG4" s="258"/>
      <c r="FKH4" s="258"/>
      <c r="FKI4" s="258"/>
      <c r="FKJ4" s="258"/>
      <c r="FKK4" s="258"/>
      <c r="FKL4" s="258"/>
      <c r="FKM4" s="258"/>
      <c r="FKN4" s="258"/>
      <c r="FKO4" s="258"/>
      <c r="FKP4" s="258"/>
      <c r="FKQ4" s="258"/>
      <c r="FKR4" s="258"/>
      <c r="FKS4" s="258"/>
      <c r="FKT4" s="258"/>
      <c r="FKU4" s="258"/>
      <c r="FKV4" s="258"/>
      <c r="FKW4" s="258"/>
      <c r="FKX4" s="258"/>
      <c r="FKY4" s="258"/>
      <c r="FKZ4" s="258"/>
      <c r="FLA4" s="258"/>
      <c r="FLB4" s="258"/>
      <c r="FLC4" s="258"/>
      <c r="FLD4" s="258"/>
      <c r="FLE4" s="258"/>
      <c r="FLF4" s="258"/>
      <c r="FLG4" s="258"/>
      <c r="FLH4" s="258"/>
      <c r="FLI4" s="258"/>
      <c r="FLJ4" s="258"/>
      <c r="FLK4" s="258"/>
      <c r="FLL4" s="258"/>
      <c r="FLM4" s="258"/>
      <c r="FLN4" s="258"/>
      <c r="FLO4" s="258"/>
      <c r="FLP4" s="258"/>
      <c r="FLQ4" s="258"/>
      <c r="FLR4" s="258"/>
      <c r="FLS4" s="258"/>
      <c r="FLT4" s="258"/>
      <c r="FLU4" s="258"/>
      <c r="FLV4" s="258"/>
      <c r="FLW4" s="258"/>
      <c r="FLX4" s="258"/>
      <c r="FLY4" s="258"/>
      <c r="FLZ4" s="258"/>
      <c r="FMA4" s="258"/>
      <c r="FMB4" s="258"/>
      <c r="FMC4" s="258"/>
      <c r="FMD4" s="258"/>
      <c r="FME4" s="258"/>
      <c r="FMF4" s="258"/>
      <c r="FMG4" s="258"/>
      <c r="FMH4" s="258"/>
      <c r="FMI4" s="258"/>
      <c r="FMJ4" s="258"/>
      <c r="FMK4" s="258"/>
      <c r="FML4" s="258"/>
      <c r="FMM4" s="258"/>
      <c r="FMN4" s="258"/>
      <c r="FMO4" s="258"/>
      <c r="FMP4" s="258"/>
      <c r="FMQ4" s="258"/>
      <c r="FMR4" s="258"/>
      <c r="FMS4" s="258"/>
      <c r="FMT4" s="258"/>
      <c r="FMU4" s="258"/>
      <c r="FMV4" s="258"/>
      <c r="FMW4" s="258"/>
      <c r="FMX4" s="258"/>
      <c r="FMY4" s="258"/>
      <c r="FMZ4" s="258"/>
      <c r="FNA4" s="258"/>
      <c r="FNB4" s="258"/>
      <c r="FNC4" s="258"/>
      <c r="FND4" s="258"/>
      <c r="FNE4" s="258"/>
      <c r="FNF4" s="258"/>
      <c r="FNG4" s="258"/>
      <c r="FNH4" s="258"/>
      <c r="FNI4" s="258"/>
      <c r="FNJ4" s="258"/>
      <c r="FNK4" s="258"/>
      <c r="FNL4" s="258"/>
      <c r="FNM4" s="258"/>
      <c r="FNN4" s="258"/>
      <c r="FNO4" s="258"/>
      <c r="FNP4" s="258"/>
      <c r="FNQ4" s="258"/>
      <c r="FNR4" s="258"/>
      <c r="FNS4" s="258"/>
      <c r="FNT4" s="258"/>
      <c r="FNU4" s="258"/>
      <c r="FNV4" s="258"/>
      <c r="FNW4" s="258"/>
      <c r="FNX4" s="258"/>
      <c r="FNY4" s="258"/>
      <c r="FNZ4" s="258"/>
      <c r="FOA4" s="258"/>
      <c r="FOB4" s="258"/>
      <c r="FOC4" s="258"/>
      <c r="FOD4" s="258"/>
      <c r="FOE4" s="258"/>
      <c r="FOF4" s="258"/>
      <c r="FOG4" s="258"/>
      <c r="FOH4" s="258"/>
      <c r="FOI4" s="258"/>
      <c r="FOJ4" s="258"/>
      <c r="FOK4" s="258"/>
      <c r="FOL4" s="258"/>
      <c r="FOM4" s="258"/>
      <c r="FON4" s="258"/>
      <c r="FOO4" s="258"/>
      <c r="FOP4" s="258"/>
      <c r="FOQ4" s="258"/>
      <c r="FOR4" s="258"/>
      <c r="FOS4" s="258"/>
      <c r="FOT4" s="258"/>
      <c r="FOU4" s="258"/>
      <c r="FOV4" s="258"/>
      <c r="FOW4" s="258"/>
      <c r="FOX4" s="258"/>
      <c r="FOY4" s="258"/>
      <c r="FOZ4" s="258"/>
      <c r="FPA4" s="258"/>
      <c r="FPB4" s="258"/>
      <c r="FPC4" s="258"/>
      <c r="FPD4" s="258"/>
      <c r="FPE4" s="258"/>
      <c r="FPF4" s="258"/>
      <c r="FPG4" s="258"/>
      <c r="FPH4" s="258"/>
      <c r="FPI4" s="258"/>
      <c r="FPJ4" s="258"/>
      <c r="FPK4" s="258"/>
      <c r="FPL4" s="258"/>
      <c r="FPM4" s="258"/>
      <c r="FPN4" s="258"/>
      <c r="FPO4" s="258"/>
      <c r="FPP4" s="258"/>
      <c r="FPQ4" s="258"/>
      <c r="FPR4" s="258"/>
      <c r="FPS4" s="258"/>
      <c r="FPT4" s="258"/>
      <c r="FPU4" s="258"/>
      <c r="FPV4" s="258"/>
      <c r="FPW4" s="258"/>
      <c r="FPX4" s="258"/>
      <c r="FPY4" s="258"/>
      <c r="FPZ4" s="258"/>
      <c r="FQA4" s="258"/>
      <c r="FQB4" s="258"/>
      <c r="FQC4" s="258"/>
      <c r="FQD4" s="258"/>
      <c r="FQE4" s="258"/>
      <c r="FQF4" s="258"/>
      <c r="FQG4" s="258"/>
      <c r="FQH4" s="258"/>
      <c r="FQI4" s="258"/>
      <c r="FQJ4" s="258"/>
      <c r="FQK4" s="258"/>
      <c r="FQL4" s="258"/>
      <c r="FQM4" s="258"/>
      <c r="FQN4" s="258"/>
      <c r="FQO4" s="258"/>
      <c r="FQP4" s="258"/>
      <c r="FQQ4" s="258"/>
      <c r="FQR4" s="258"/>
      <c r="FQS4" s="258"/>
      <c r="FQT4" s="258"/>
      <c r="FQU4" s="258"/>
      <c r="FQV4" s="258"/>
      <c r="FQW4" s="258"/>
      <c r="FQX4" s="258"/>
      <c r="FQY4" s="258"/>
      <c r="FQZ4" s="258"/>
      <c r="FRA4" s="258"/>
      <c r="FRB4" s="258"/>
      <c r="FRC4" s="258"/>
      <c r="FRD4" s="258"/>
      <c r="FRE4" s="258"/>
      <c r="FRF4" s="258"/>
      <c r="FRG4" s="258"/>
      <c r="FRH4" s="258"/>
      <c r="FRI4" s="258"/>
      <c r="FRJ4" s="258"/>
      <c r="FRK4" s="258"/>
      <c r="FRL4" s="258"/>
      <c r="FRM4" s="258"/>
      <c r="FRN4" s="258"/>
      <c r="FRO4" s="258"/>
      <c r="FRP4" s="258"/>
      <c r="FRQ4" s="258"/>
      <c r="FRR4" s="258"/>
      <c r="FRS4" s="258"/>
      <c r="FRT4" s="258"/>
      <c r="FRU4" s="258"/>
      <c r="FRV4" s="258"/>
      <c r="FRW4" s="258"/>
      <c r="FRX4" s="258"/>
      <c r="FRY4" s="258"/>
      <c r="FRZ4" s="258"/>
      <c r="FSA4" s="258"/>
      <c r="FSB4" s="258"/>
      <c r="FSC4" s="258"/>
      <c r="FSD4" s="258"/>
      <c r="FSE4" s="258"/>
      <c r="FSF4" s="258"/>
      <c r="FSG4" s="258"/>
      <c r="FSH4" s="258"/>
      <c r="FSI4" s="258"/>
      <c r="FSJ4" s="258"/>
      <c r="FSK4" s="258"/>
      <c r="FSL4" s="258"/>
      <c r="FSM4" s="258"/>
      <c r="FSN4" s="258"/>
      <c r="FSO4" s="258"/>
      <c r="FSP4" s="258"/>
      <c r="FSQ4" s="258"/>
      <c r="FSR4" s="258"/>
      <c r="FSS4" s="258"/>
      <c r="FST4" s="258"/>
      <c r="FSU4" s="258"/>
      <c r="FSV4" s="258"/>
      <c r="FSW4" s="258"/>
      <c r="FSX4" s="258"/>
      <c r="FSY4" s="258"/>
      <c r="FSZ4" s="258"/>
      <c r="FTA4" s="258"/>
      <c r="FTB4" s="258"/>
      <c r="FTC4" s="258"/>
      <c r="FTD4" s="258"/>
      <c r="FTE4" s="258"/>
      <c r="FTF4" s="258"/>
      <c r="FTG4" s="258"/>
      <c r="FTH4" s="258"/>
      <c r="FTI4" s="258"/>
      <c r="FTJ4" s="258"/>
      <c r="FTK4" s="258"/>
      <c r="FTL4" s="258"/>
      <c r="FTM4" s="258"/>
      <c r="FTN4" s="258"/>
      <c r="FTO4" s="258"/>
      <c r="FTP4" s="258"/>
      <c r="FTQ4" s="258"/>
      <c r="FTR4" s="258"/>
      <c r="FTS4" s="258"/>
      <c r="FTT4" s="258"/>
      <c r="FTU4" s="258"/>
      <c r="FTV4" s="258"/>
      <c r="FTW4" s="258"/>
      <c r="FTX4" s="258"/>
      <c r="FTY4" s="258"/>
      <c r="FTZ4" s="258"/>
      <c r="FUA4" s="258"/>
      <c r="FUB4" s="258"/>
      <c r="FUC4" s="258"/>
      <c r="FUD4" s="258"/>
      <c r="FUE4" s="258"/>
      <c r="FUF4" s="258"/>
      <c r="FUG4" s="258"/>
      <c r="FUH4" s="258"/>
      <c r="FUI4" s="258"/>
      <c r="FUJ4" s="258"/>
      <c r="FUK4" s="258"/>
      <c r="FUL4" s="258"/>
      <c r="FUM4" s="258"/>
      <c r="FUN4" s="258"/>
      <c r="FUO4" s="258"/>
      <c r="FUP4" s="258"/>
      <c r="FUQ4" s="258"/>
      <c r="FUR4" s="258"/>
      <c r="FUS4" s="258"/>
      <c r="FUT4" s="258"/>
      <c r="FUU4" s="258"/>
      <c r="FUV4" s="258"/>
      <c r="FUW4" s="258"/>
      <c r="FUX4" s="258"/>
      <c r="FUY4" s="258"/>
      <c r="FUZ4" s="258"/>
      <c r="FVA4" s="258"/>
      <c r="FVB4" s="258"/>
      <c r="FVC4" s="258"/>
      <c r="FVD4" s="258"/>
      <c r="FVE4" s="258"/>
      <c r="FVF4" s="258"/>
      <c r="FVG4" s="258"/>
      <c r="FVH4" s="258"/>
      <c r="FVI4" s="258"/>
      <c r="FVJ4" s="258"/>
      <c r="FVK4" s="258"/>
      <c r="FVL4" s="258"/>
      <c r="FVM4" s="258"/>
      <c r="FVN4" s="258"/>
      <c r="FVO4" s="258"/>
      <c r="FVP4" s="258"/>
      <c r="FVQ4" s="258"/>
      <c r="FVR4" s="258"/>
      <c r="FVS4" s="258"/>
      <c r="FVT4" s="258"/>
      <c r="FVU4" s="258"/>
      <c r="FVV4" s="258"/>
      <c r="FVW4" s="258"/>
      <c r="FVX4" s="258"/>
      <c r="FVY4" s="258"/>
      <c r="FVZ4" s="258"/>
      <c r="FWA4" s="258"/>
      <c r="FWB4" s="258"/>
      <c r="FWC4" s="258"/>
      <c r="FWD4" s="258"/>
      <c r="FWE4" s="258"/>
      <c r="FWF4" s="258"/>
      <c r="FWG4" s="258"/>
      <c r="FWH4" s="258"/>
      <c r="FWI4" s="258"/>
      <c r="FWJ4" s="258"/>
      <c r="FWK4" s="258"/>
      <c r="FWL4" s="258"/>
      <c r="FWM4" s="258"/>
      <c r="FWN4" s="258"/>
      <c r="FWO4" s="258"/>
      <c r="FWP4" s="258"/>
      <c r="FWQ4" s="258"/>
      <c r="FWR4" s="258"/>
      <c r="FWS4" s="258"/>
      <c r="FWT4" s="258"/>
      <c r="FWU4" s="258"/>
      <c r="FWV4" s="258"/>
      <c r="FWW4" s="258"/>
      <c r="FWX4" s="258"/>
      <c r="FWY4" s="258"/>
      <c r="FWZ4" s="258"/>
      <c r="FXA4" s="258"/>
      <c r="FXB4" s="258"/>
      <c r="FXC4" s="258"/>
      <c r="FXD4" s="258"/>
      <c r="FXE4" s="258"/>
      <c r="FXF4" s="258"/>
      <c r="FXG4" s="258"/>
      <c r="FXH4" s="258"/>
      <c r="FXI4" s="258"/>
      <c r="FXJ4" s="258"/>
      <c r="FXK4" s="258"/>
      <c r="FXL4" s="258"/>
      <c r="FXM4" s="258"/>
      <c r="FXN4" s="258"/>
      <c r="FXO4" s="258"/>
      <c r="FXP4" s="258"/>
      <c r="FXQ4" s="258"/>
      <c r="FXR4" s="258"/>
      <c r="FXS4" s="258"/>
      <c r="FXT4" s="258"/>
      <c r="FXU4" s="258"/>
      <c r="FXV4" s="258"/>
      <c r="FXW4" s="258"/>
      <c r="FXX4" s="258"/>
      <c r="FXY4" s="258"/>
      <c r="FXZ4" s="258"/>
      <c r="FYA4" s="258"/>
      <c r="FYB4" s="258"/>
      <c r="FYC4" s="258"/>
      <c r="FYD4" s="258"/>
      <c r="FYE4" s="258"/>
      <c r="FYF4" s="258"/>
      <c r="FYG4" s="258"/>
      <c r="FYH4" s="258"/>
      <c r="FYI4" s="258"/>
      <c r="FYJ4" s="258"/>
      <c r="FYK4" s="258"/>
      <c r="FYL4" s="258"/>
      <c r="FYM4" s="258"/>
      <c r="FYN4" s="258"/>
      <c r="FYO4" s="258"/>
      <c r="FYP4" s="258"/>
      <c r="FYQ4" s="258"/>
      <c r="FYR4" s="258"/>
      <c r="FYS4" s="258"/>
      <c r="FYT4" s="258"/>
      <c r="FYU4" s="258"/>
      <c r="FYV4" s="258"/>
      <c r="FYW4" s="258"/>
      <c r="FYX4" s="258"/>
      <c r="FYY4" s="258"/>
      <c r="FYZ4" s="258"/>
      <c r="FZA4" s="258"/>
      <c r="FZB4" s="258"/>
      <c r="FZC4" s="258"/>
      <c r="FZD4" s="258"/>
      <c r="FZE4" s="258"/>
      <c r="FZF4" s="258"/>
      <c r="FZG4" s="258"/>
      <c r="FZH4" s="258"/>
      <c r="FZI4" s="258"/>
      <c r="FZJ4" s="258"/>
      <c r="FZK4" s="258"/>
      <c r="FZL4" s="258"/>
      <c r="FZM4" s="258"/>
      <c r="FZN4" s="258"/>
      <c r="FZO4" s="258"/>
      <c r="FZP4" s="258"/>
      <c r="FZQ4" s="258"/>
      <c r="FZR4" s="258"/>
      <c r="FZS4" s="258"/>
      <c r="FZT4" s="258"/>
      <c r="FZU4" s="258"/>
      <c r="FZV4" s="258"/>
      <c r="FZW4" s="258"/>
      <c r="FZX4" s="258"/>
      <c r="FZY4" s="258"/>
      <c r="FZZ4" s="258"/>
      <c r="GAA4" s="258"/>
      <c r="GAB4" s="258"/>
      <c r="GAC4" s="258"/>
      <c r="GAD4" s="258"/>
      <c r="GAE4" s="258"/>
      <c r="GAF4" s="258"/>
      <c r="GAG4" s="258"/>
      <c r="GAH4" s="258"/>
      <c r="GAI4" s="258"/>
      <c r="GAJ4" s="258"/>
      <c r="GAK4" s="258"/>
      <c r="GAL4" s="258"/>
      <c r="GAM4" s="258"/>
      <c r="GAN4" s="258"/>
      <c r="GAO4" s="258"/>
      <c r="GAP4" s="258"/>
      <c r="GAQ4" s="258"/>
      <c r="GAR4" s="258"/>
      <c r="GAS4" s="258"/>
      <c r="GAT4" s="258"/>
      <c r="GAU4" s="258"/>
      <c r="GAV4" s="258"/>
      <c r="GAW4" s="258"/>
      <c r="GAX4" s="258"/>
      <c r="GAY4" s="258"/>
      <c r="GAZ4" s="258"/>
      <c r="GBA4" s="258"/>
      <c r="GBB4" s="258"/>
      <c r="GBC4" s="258"/>
      <c r="GBD4" s="258"/>
      <c r="GBE4" s="258"/>
      <c r="GBF4" s="258"/>
      <c r="GBG4" s="258"/>
      <c r="GBH4" s="258"/>
      <c r="GBI4" s="258"/>
      <c r="GBJ4" s="258"/>
      <c r="GBK4" s="258"/>
      <c r="GBL4" s="258"/>
      <c r="GBM4" s="258"/>
      <c r="GBN4" s="258"/>
      <c r="GBO4" s="258"/>
      <c r="GBP4" s="258"/>
      <c r="GBQ4" s="258"/>
      <c r="GBR4" s="258"/>
      <c r="GBS4" s="258"/>
      <c r="GBT4" s="258"/>
      <c r="GBU4" s="258"/>
      <c r="GBV4" s="258"/>
      <c r="GBW4" s="258"/>
      <c r="GBX4" s="258"/>
      <c r="GBY4" s="258"/>
      <c r="GBZ4" s="258"/>
      <c r="GCA4" s="258"/>
      <c r="GCB4" s="258"/>
      <c r="GCC4" s="258"/>
      <c r="GCD4" s="258"/>
      <c r="GCE4" s="258"/>
      <c r="GCF4" s="258"/>
      <c r="GCG4" s="258"/>
      <c r="GCH4" s="258"/>
      <c r="GCI4" s="258"/>
      <c r="GCJ4" s="258"/>
      <c r="GCK4" s="258"/>
      <c r="GCL4" s="258"/>
      <c r="GCM4" s="258"/>
      <c r="GCN4" s="258"/>
      <c r="GCO4" s="258"/>
      <c r="GCP4" s="258"/>
      <c r="GCQ4" s="258"/>
      <c r="GCR4" s="258"/>
      <c r="GCS4" s="258"/>
      <c r="GCT4" s="258"/>
      <c r="GCU4" s="258"/>
      <c r="GCV4" s="258"/>
      <c r="GCW4" s="258"/>
      <c r="GCX4" s="258"/>
      <c r="GCY4" s="258"/>
      <c r="GCZ4" s="258"/>
      <c r="GDA4" s="258"/>
      <c r="GDB4" s="258"/>
      <c r="GDC4" s="258"/>
      <c r="GDD4" s="258"/>
      <c r="GDE4" s="258"/>
      <c r="GDF4" s="258"/>
      <c r="GDG4" s="258"/>
      <c r="GDH4" s="258"/>
      <c r="GDI4" s="258"/>
      <c r="GDJ4" s="258"/>
      <c r="GDK4" s="258"/>
      <c r="GDL4" s="258"/>
      <c r="GDM4" s="258"/>
      <c r="GDN4" s="258"/>
      <c r="GDO4" s="258"/>
      <c r="GDP4" s="258"/>
      <c r="GDQ4" s="258"/>
      <c r="GDR4" s="258"/>
      <c r="GDS4" s="258"/>
      <c r="GDT4" s="258"/>
      <c r="GDU4" s="258"/>
      <c r="GDV4" s="258"/>
      <c r="GDW4" s="258"/>
      <c r="GDX4" s="258"/>
      <c r="GDY4" s="258"/>
      <c r="GDZ4" s="258"/>
      <c r="GEA4" s="258"/>
      <c r="GEB4" s="258"/>
      <c r="GEC4" s="258"/>
      <c r="GED4" s="258"/>
      <c r="GEE4" s="258"/>
      <c r="GEF4" s="258"/>
      <c r="GEG4" s="258"/>
      <c r="GEH4" s="258"/>
      <c r="GEI4" s="258"/>
      <c r="GEJ4" s="258"/>
      <c r="GEK4" s="258"/>
      <c r="GEL4" s="258"/>
      <c r="GEM4" s="258"/>
      <c r="GEN4" s="258"/>
      <c r="GEO4" s="258"/>
      <c r="GEP4" s="258"/>
      <c r="GEQ4" s="258"/>
      <c r="GER4" s="258"/>
      <c r="GES4" s="258"/>
      <c r="GET4" s="258"/>
      <c r="GEU4" s="258"/>
      <c r="GEV4" s="258"/>
      <c r="GEW4" s="258"/>
      <c r="GEX4" s="258"/>
      <c r="GEY4" s="258"/>
      <c r="GEZ4" s="258"/>
      <c r="GFA4" s="258"/>
      <c r="GFB4" s="258"/>
      <c r="GFC4" s="258"/>
      <c r="GFD4" s="258"/>
      <c r="GFE4" s="258"/>
      <c r="GFF4" s="258"/>
      <c r="GFG4" s="258"/>
      <c r="GFH4" s="258"/>
      <c r="GFI4" s="258"/>
      <c r="GFJ4" s="258"/>
      <c r="GFK4" s="258"/>
      <c r="GFL4" s="258"/>
      <c r="GFM4" s="258"/>
      <c r="GFN4" s="258"/>
      <c r="GFO4" s="258"/>
      <c r="GFP4" s="258"/>
      <c r="GFQ4" s="258"/>
      <c r="GFR4" s="258"/>
      <c r="GFS4" s="258"/>
      <c r="GFT4" s="258"/>
      <c r="GFU4" s="258"/>
      <c r="GFV4" s="258"/>
      <c r="GFW4" s="258"/>
      <c r="GFX4" s="258"/>
      <c r="GFY4" s="258"/>
      <c r="GFZ4" s="258"/>
      <c r="GGA4" s="258"/>
      <c r="GGB4" s="258"/>
      <c r="GGC4" s="258"/>
      <c r="GGD4" s="258"/>
      <c r="GGE4" s="258"/>
      <c r="GGF4" s="258"/>
      <c r="GGG4" s="258"/>
      <c r="GGH4" s="258"/>
      <c r="GGI4" s="258"/>
      <c r="GGJ4" s="258"/>
      <c r="GGK4" s="258"/>
      <c r="GGL4" s="258"/>
      <c r="GGM4" s="258"/>
      <c r="GGN4" s="258"/>
      <c r="GGO4" s="258"/>
      <c r="GGP4" s="258"/>
      <c r="GGQ4" s="258"/>
      <c r="GGR4" s="258"/>
      <c r="GGS4" s="258"/>
      <c r="GGT4" s="258"/>
      <c r="GGU4" s="258"/>
      <c r="GGV4" s="258"/>
      <c r="GGW4" s="258"/>
      <c r="GGX4" s="258"/>
      <c r="GGY4" s="258"/>
      <c r="GGZ4" s="258"/>
      <c r="GHA4" s="258"/>
      <c r="GHB4" s="258"/>
      <c r="GHC4" s="258"/>
      <c r="GHD4" s="258"/>
      <c r="GHE4" s="258"/>
      <c r="GHF4" s="258"/>
      <c r="GHG4" s="258"/>
      <c r="GHH4" s="258"/>
      <c r="GHI4" s="258"/>
      <c r="GHJ4" s="258"/>
      <c r="GHK4" s="258"/>
      <c r="GHL4" s="258"/>
      <c r="GHM4" s="258"/>
      <c r="GHN4" s="258"/>
      <c r="GHO4" s="258"/>
      <c r="GHP4" s="258"/>
      <c r="GHQ4" s="258"/>
      <c r="GHR4" s="258"/>
      <c r="GHS4" s="258"/>
      <c r="GHT4" s="258"/>
      <c r="GHU4" s="258"/>
      <c r="GHV4" s="258"/>
      <c r="GHW4" s="258"/>
      <c r="GHX4" s="258"/>
      <c r="GHY4" s="258"/>
      <c r="GHZ4" s="258"/>
      <c r="GIA4" s="258"/>
      <c r="GIB4" s="258"/>
      <c r="GIC4" s="258"/>
      <c r="GID4" s="258"/>
      <c r="GIE4" s="258"/>
      <c r="GIF4" s="258"/>
      <c r="GIG4" s="258"/>
      <c r="GIH4" s="258"/>
      <c r="GII4" s="258"/>
      <c r="GIJ4" s="258"/>
      <c r="GIK4" s="258"/>
      <c r="GIL4" s="258"/>
      <c r="GIM4" s="258"/>
      <c r="GIN4" s="258"/>
      <c r="GIO4" s="258"/>
      <c r="GIP4" s="258"/>
      <c r="GIQ4" s="258"/>
      <c r="GIR4" s="258"/>
      <c r="GIS4" s="258"/>
      <c r="GIT4" s="258"/>
      <c r="GIU4" s="258"/>
      <c r="GIV4" s="258"/>
      <c r="GIW4" s="258"/>
      <c r="GIX4" s="258"/>
      <c r="GIY4" s="258"/>
      <c r="GIZ4" s="258"/>
      <c r="GJA4" s="258"/>
      <c r="GJB4" s="258"/>
      <c r="GJC4" s="258"/>
      <c r="GJD4" s="258"/>
      <c r="GJE4" s="258"/>
      <c r="GJF4" s="258"/>
      <c r="GJG4" s="258"/>
      <c r="GJH4" s="258"/>
      <c r="GJI4" s="258"/>
      <c r="GJJ4" s="258"/>
      <c r="GJK4" s="258"/>
      <c r="GJL4" s="258"/>
      <c r="GJM4" s="258"/>
      <c r="GJN4" s="258"/>
      <c r="GJO4" s="258"/>
      <c r="GJP4" s="258"/>
      <c r="GJQ4" s="258"/>
      <c r="GJR4" s="258"/>
      <c r="GJS4" s="258"/>
      <c r="GJT4" s="258"/>
      <c r="GJU4" s="258"/>
      <c r="GJV4" s="258"/>
      <c r="GJW4" s="258"/>
      <c r="GJX4" s="258"/>
      <c r="GJY4" s="258"/>
      <c r="GJZ4" s="258"/>
      <c r="GKA4" s="258"/>
      <c r="GKB4" s="258"/>
      <c r="GKC4" s="258"/>
      <c r="GKD4" s="258"/>
      <c r="GKE4" s="258"/>
      <c r="GKF4" s="258"/>
      <c r="GKG4" s="258"/>
      <c r="GKH4" s="258"/>
      <c r="GKI4" s="258"/>
      <c r="GKJ4" s="258"/>
      <c r="GKK4" s="258"/>
      <c r="GKL4" s="258"/>
      <c r="GKM4" s="258"/>
      <c r="GKN4" s="258"/>
      <c r="GKO4" s="258"/>
      <c r="GKP4" s="258"/>
      <c r="GKQ4" s="258"/>
      <c r="GKR4" s="258"/>
      <c r="GKS4" s="258"/>
      <c r="GKT4" s="258"/>
      <c r="GKU4" s="258"/>
      <c r="GKV4" s="258"/>
      <c r="GKW4" s="258"/>
      <c r="GKX4" s="258"/>
      <c r="GKY4" s="258"/>
      <c r="GKZ4" s="258"/>
      <c r="GLA4" s="258"/>
      <c r="GLB4" s="258"/>
      <c r="GLC4" s="258"/>
      <c r="GLD4" s="258"/>
      <c r="GLE4" s="258"/>
      <c r="GLF4" s="258"/>
      <c r="GLG4" s="258"/>
      <c r="GLH4" s="258"/>
      <c r="GLI4" s="258"/>
      <c r="GLJ4" s="258"/>
      <c r="GLK4" s="258"/>
      <c r="GLL4" s="258"/>
      <c r="GLM4" s="258"/>
      <c r="GLN4" s="258"/>
      <c r="GLO4" s="258"/>
      <c r="GLP4" s="258"/>
      <c r="GLQ4" s="258"/>
      <c r="GLR4" s="258"/>
      <c r="GLS4" s="258"/>
      <c r="GLT4" s="258"/>
      <c r="GLU4" s="258"/>
      <c r="GLV4" s="258"/>
      <c r="GLW4" s="258"/>
      <c r="GLX4" s="258"/>
      <c r="GLY4" s="258"/>
      <c r="GLZ4" s="258"/>
      <c r="GMA4" s="258"/>
      <c r="GMB4" s="258"/>
      <c r="GMC4" s="258"/>
      <c r="GMD4" s="258"/>
      <c r="GME4" s="258"/>
      <c r="GMF4" s="258"/>
      <c r="GMG4" s="258"/>
      <c r="GMH4" s="258"/>
      <c r="GMI4" s="258"/>
      <c r="GMJ4" s="258"/>
      <c r="GMK4" s="258"/>
      <c r="GML4" s="258"/>
      <c r="GMM4" s="258"/>
      <c r="GMN4" s="258"/>
      <c r="GMO4" s="258"/>
      <c r="GMP4" s="258"/>
      <c r="GMQ4" s="258"/>
      <c r="GMR4" s="258"/>
      <c r="GMS4" s="258"/>
      <c r="GMT4" s="258"/>
      <c r="GMU4" s="258"/>
      <c r="GMV4" s="258"/>
      <c r="GMW4" s="258"/>
      <c r="GMX4" s="258"/>
      <c r="GMY4" s="258"/>
      <c r="GMZ4" s="258"/>
      <c r="GNA4" s="258"/>
      <c r="GNB4" s="258"/>
      <c r="GNC4" s="258"/>
      <c r="GND4" s="258"/>
      <c r="GNE4" s="258"/>
      <c r="GNF4" s="258"/>
      <c r="GNG4" s="258"/>
      <c r="GNH4" s="258"/>
      <c r="GNI4" s="258"/>
      <c r="GNJ4" s="258"/>
      <c r="GNK4" s="258"/>
      <c r="GNL4" s="258"/>
      <c r="GNM4" s="258"/>
      <c r="GNN4" s="258"/>
      <c r="GNO4" s="258"/>
      <c r="GNP4" s="258"/>
      <c r="GNQ4" s="258"/>
      <c r="GNR4" s="258"/>
      <c r="GNS4" s="258"/>
      <c r="GNT4" s="258"/>
      <c r="GNU4" s="258"/>
      <c r="GNV4" s="258"/>
      <c r="GNW4" s="258"/>
      <c r="GNX4" s="258"/>
      <c r="GNY4" s="258"/>
      <c r="GNZ4" s="258"/>
      <c r="GOA4" s="258"/>
      <c r="GOB4" s="258"/>
      <c r="GOC4" s="258"/>
      <c r="GOD4" s="258"/>
      <c r="GOE4" s="258"/>
      <c r="GOF4" s="258"/>
      <c r="GOG4" s="258"/>
      <c r="GOH4" s="258"/>
      <c r="GOI4" s="258"/>
      <c r="GOJ4" s="258"/>
      <c r="GOK4" s="258"/>
      <c r="GOL4" s="258"/>
      <c r="GOM4" s="258"/>
      <c r="GON4" s="258"/>
      <c r="GOO4" s="258"/>
      <c r="GOP4" s="258"/>
      <c r="GOQ4" s="258"/>
      <c r="GOR4" s="258"/>
      <c r="GOS4" s="258"/>
      <c r="GOT4" s="258"/>
      <c r="GOU4" s="258"/>
      <c r="GOV4" s="258"/>
      <c r="GOW4" s="258"/>
      <c r="GOX4" s="258"/>
      <c r="GOY4" s="258"/>
      <c r="GOZ4" s="258"/>
      <c r="GPA4" s="258"/>
      <c r="GPB4" s="258"/>
      <c r="GPC4" s="258"/>
      <c r="GPD4" s="258"/>
      <c r="GPE4" s="258"/>
      <c r="GPF4" s="258"/>
      <c r="GPG4" s="258"/>
      <c r="GPH4" s="258"/>
      <c r="GPI4" s="258"/>
      <c r="GPJ4" s="258"/>
      <c r="GPK4" s="258"/>
      <c r="GPL4" s="258"/>
      <c r="GPM4" s="258"/>
      <c r="GPN4" s="258"/>
      <c r="GPO4" s="258"/>
      <c r="GPP4" s="258"/>
      <c r="GPQ4" s="258"/>
      <c r="GPR4" s="258"/>
      <c r="GPS4" s="258"/>
      <c r="GPT4" s="258"/>
      <c r="GPU4" s="258"/>
      <c r="GPV4" s="258"/>
      <c r="GPW4" s="258"/>
      <c r="GPX4" s="258"/>
      <c r="GPY4" s="258"/>
      <c r="GPZ4" s="258"/>
      <c r="GQA4" s="258"/>
      <c r="GQB4" s="258"/>
      <c r="GQC4" s="258"/>
      <c r="GQD4" s="258"/>
      <c r="GQE4" s="258"/>
      <c r="GQF4" s="258"/>
      <c r="GQG4" s="258"/>
      <c r="GQH4" s="258"/>
      <c r="GQI4" s="258"/>
      <c r="GQJ4" s="258"/>
      <c r="GQK4" s="258"/>
      <c r="GQL4" s="258"/>
      <c r="GQM4" s="258"/>
      <c r="GQN4" s="258"/>
      <c r="GQO4" s="258"/>
      <c r="GQP4" s="258"/>
      <c r="GQQ4" s="258"/>
      <c r="GQR4" s="258"/>
      <c r="GQS4" s="258"/>
      <c r="GQT4" s="258"/>
      <c r="GQU4" s="258"/>
      <c r="GQV4" s="258"/>
      <c r="GQW4" s="258"/>
      <c r="GQX4" s="258"/>
      <c r="GQY4" s="258"/>
      <c r="GQZ4" s="258"/>
      <c r="GRA4" s="258"/>
      <c r="GRB4" s="258"/>
      <c r="GRC4" s="258"/>
      <c r="GRD4" s="258"/>
      <c r="GRE4" s="258"/>
      <c r="GRF4" s="258"/>
      <c r="GRG4" s="258"/>
      <c r="GRH4" s="258"/>
      <c r="GRI4" s="258"/>
      <c r="GRJ4" s="258"/>
      <c r="GRK4" s="258"/>
      <c r="GRL4" s="258"/>
      <c r="GRM4" s="258"/>
      <c r="GRN4" s="258"/>
      <c r="GRO4" s="258"/>
      <c r="GRP4" s="258"/>
      <c r="GRQ4" s="258"/>
      <c r="GRR4" s="258"/>
      <c r="GRS4" s="258"/>
      <c r="GRT4" s="258"/>
      <c r="GRU4" s="258"/>
      <c r="GRV4" s="258"/>
      <c r="GRW4" s="258"/>
      <c r="GRX4" s="258"/>
      <c r="GRY4" s="258"/>
      <c r="GRZ4" s="258"/>
      <c r="GSA4" s="258"/>
      <c r="GSB4" s="258"/>
      <c r="GSC4" s="258"/>
      <c r="GSD4" s="258"/>
      <c r="GSE4" s="258"/>
      <c r="GSF4" s="258"/>
      <c r="GSG4" s="258"/>
      <c r="GSH4" s="258"/>
      <c r="GSI4" s="258"/>
      <c r="GSJ4" s="258"/>
      <c r="GSK4" s="258"/>
      <c r="GSL4" s="258"/>
      <c r="GSM4" s="258"/>
      <c r="GSN4" s="258"/>
      <c r="GSO4" s="258"/>
      <c r="GSP4" s="258"/>
      <c r="GSQ4" s="258"/>
      <c r="GSR4" s="258"/>
      <c r="GSS4" s="258"/>
      <c r="GST4" s="258"/>
      <c r="GSU4" s="258"/>
      <c r="GSV4" s="258"/>
      <c r="GSW4" s="258"/>
      <c r="GSX4" s="258"/>
      <c r="GSY4" s="258"/>
      <c r="GSZ4" s="258"/>
      <c r="GTA4" s="258"/>
      <c r="GTB4" s="258"/>
      <c r="GTC4" s="258"/>
      <c r="GTD4" s="258"/>
      <c r="GTE4" s="258"/>
      <c r="GTF4" s="258"/>
      <c r="GTG4" s="258"/>
      <c r="GTH4" s="258"/>
      <c r="GTI4" s="258"/>
      <c r="GTJ4" s="258"/>
      <c r="GTK4" s="258"/>
      <c r="GTL4" s="258"/>
      <c r="GTM4" s="258"/>
      <c r="GTN4" s="258"/>
      <c r="GTO4" s="258"/>
      <c r="GTP4" s="258"/>
      <c r="GTQ4" s="258"/>
      <c r="GTR4" s="258"/>
      <c r="GTS4" s="258"/>
      <c r="GTT4" s="258"/>
      <c r="GTU4" s="258"/>
      <c r="GTV4" s="258"/>
      <c r="GTW4" s="258"/>
      <c r="GTX4" s="258"/>
      <c r="GTY4" s="258"/>
      <c r="GTZ4" s="258"/>
      <c r="GUA4" s="258"/>
      <c r="GUB4" s="258"/>
      <c r="GUC4" s="258"/>
      <c r="GUD4" s="258"/>
      <c r="GUE4" s="258"/>
      <c r="GUF4" s="258"/>
      <c r="GUG4" s="258"/>
      <c r="GUH4" s="258"/>
      <c r="GUI4" s="258"/>
      <c r="GUJ4" s="258"/>
      <c r="GUK4" s="258"/>
      <c r="GUL4" s="258"/>
      <c r="GUM4" s="258"/>
      <c r="GUN4" s="258"/>
      <c r="GUO4" s="258"/>
      <c r="GUP4" s="258"/>
      <c r="GUQ4" s="258"/>
      <c r="GUR4" s="258"/>
      <c r="GUS4" s="258"/>
      <c r="GUT4" s="258"/>
      <c r="GUU4" s="258"/>
      <c r="GUV4" s="258"/>
      <c r="GUW4" s="258"/>
      <c r="GUX4" s="258"/>
      <c r="GUY4" s="258"/>
      <c r="GUZ4" s="258"/>
      <c r="GVA4" s="258"/>
      <c r="GVB4" s="258"/>
      <c r="GVC4" s="258"/>
      <c r="GVD4" s="258"/>
      <c r="GVE4" s="258"/>
      <c r="GVF4" s="258"/>
      <c r="GVG4" s="258"/>
      <c r="GVH4" s="258"/>
      <c r="GVI4" s="258"/>
      <c r="GVJ4" s="258"/>
      <c r="GVK4" s="258"/>
      <c r="GVL4" s="258"/>
      <c r="GVM4" s="258"/>
      <c r="GVN4" s="258"/>
      <c r="GVO4" s="258"/>
      <c r="GVP4" s="258"/>
      <c r="GVQ4" s="258"/>
      <c r="GVR4" s="258"/>
      <c r="GVS4" s="258"/>
      <c r="GVT4" s="258"/>
      <c r="GVU4" s="258"/>
      <c r="GVV4" s="258"/>
      <c r="GVW4" s="258"/>
      <c r="GVX4" s="258"/>
      <c r="GVY4" s="258"/>
      <c r="GVZ4" s="258"/>
      <c r="GWA4" s="258"/>
      <c r="GWB4" s="258"/>
      <c r="GWC4" s="258"/>
      <c r="GWD4" s="258"/>
      <c r="GWE4" s="258"/>
      <c r="GWF4" s="258"/>
      <c r="GWG4" s="258"/>
      <c r="GWH4" s="258"/>
      <c r="GWI4" s="258"/>
      <c r="GWJ4" s="258"/>
      <c r="GWK4" s="258"/>
      <c r="GWL4" s="258"/>
      <c r="GWM4" s="258"/>
      <c r="GWN4" s="258"/>
      <c r="GWO4" s="258"/>
      <c r="GWP4" s="258"/>
      <c r="GWQ4" s="258"/>
      <c r="GWR4" s="258"/>
      <c r="GWS4" s="258"/>
      <c r="GWT4" s="258"/>
      <c r="GWU4" s="258"/>
      <c r="GWV4" s="258"/>
      <c r="GWW4" s="258"/>
      <c r="GWX4" s="258"/>
      <c r="GWY4" s="258"/>
      <c r="GWZ4" s="258"/>
      <c r="GXA4" s="258"/>
      <c r="GXB4" s="258"/>
      <c r="GXC4" s="258"/>
      <c r="GXD4" s="258"/>
      <c r="GXE4" s="258"/>
      <c r="GXF4" s="258"/>
      <c r="GXG4" s="258"/>
      <c r="GXH4" s="258"/>
      <c r="GXI4" s="258"/>
      <c r="GXJ4" s="258"/>
      <c r="GXK4" s="258"/>
      <c r="GXL4" s="258"/>
      <c r="GXM4" s="258"/>
      <c r="GXN4" s="258"/>
      <c r="GXO4" s="258"/>
      <c r="GXP4" s="258"/>
      <c r="GXQ4" s="258"/>
      <c r="GXR4" s="258"/>
      <c r="GXS4" s="258"/>
      <c r="GXT4" s="258"/>
      <c r="GXU4" s="258"/>
      <c r="GXV4" s="258"/>
      <c r="GXW4" s="258"/>
      <c r="GXX4" s="258"/>
      <c r="GXY4" s="258"/>
      <c r="GXZ4" s="258"/>
      <c r="GYA4" s="258"/>
      <c r="GYB4" s="258"/>
      <c r="GYC4" s="258"/>
      <c r="GYD4" s="258"/>
      <c r="GYE4" s="258"/>
      <c r="GYF4" s="258"/>
      <c r="GYG4" s="258"/>
      <c r="GYH4" s="258"/>
      <c r="GYI4" s="258"/>
      <c r="GYJ4" s="258"/>
      <c r="GYK4" s="258"/>
      <c r="GYL4" s="258"/>
      <c r="GYM4" s="258"/>
      <c r="GYN4" s="258"/>
      <c r="GYO4" s="258"/>
      <c r="GYP4" s="258"/>
      <c r="GYQ4" s="258"/>
      <c r="GYR4" s="258"/>
      <c r="GYS4" s="258"/>
      <c r="GYT4" s="258"/>
      <c r="GYU4" s="258"/>
      <c r="GYV4" s="258"/>
      <c r="GYW4" s="258"/>
      <c r="GYX4" s="258"/>
      <c r="GYY4" s="258"/>
      <c r="GYZ4" s="258"/>
      <c r="GZA4" s="258"/>
      <c r="GZB4" s="258"/>
      <c r="GZC4" s="258"/>
      <c r="GZD4" s="258"/>
      <c r="GZE4" s="258"/>
      <c r="GZF4" s="258"/>
      <c r="GZG4" s="258"/>
      <c r="GZH4" s="258"/>
      <c r="GZI4" s="258"/>
      <c r="GZJ4" s="258"/>
      <c r="GZK4" s="258"/>
      <c r="GZL4" s="258"/>
      <c r="GZM4" s="258"/>
      <c r="GZN4" s="258"/>
      <c r="GZO4" s="258"/>
      <c r="GZP4" s="258"/>
      <c r="GZQ4" s="258"/>
      <c r="GZR4" s="258"/>
      <c r="GZS4" s="258"/>
      <c r="GZT4" s="258"/>
      <c r="GZU4" s="258"/>
      <c r="GZV4" s="258"/>
      <c r="GZW4" s="258"/>
      <c r="GZX4" s="258"/>
      <c r="GZY4" s="258"/>
      <c r="GZZ4" s="258"/>
      <c r="HAA4" s="258"/>
      <c r="HAB4" s="258"/>
      <c r="HAC4" s="258"/>
      <c r="HAD4" s="258"/>
      <c r="HAE4" s="258"/>
      <c r="HAF4" s="258"/>
      <c r="HAG4" s="258"/>
      <c r="HAH4" s="258"/>
      <c r="HAI4" s="258"/>
      <c r="HAJ4" s="258"/>
      <c r="HAK4" s="258"/>
      <c r="HAL4" s="258"/>
      <c r="HAM4" s="258"/>
      <c r="HAN4" s="258"/>
      <c r="HAO4" s="258"/>
      <c r="HAP4" s="258"/>
      <c r="HAQ4" s="258"/>
      <c r="HAR4" s="258"/>
      <c r="HAS4" s="258"/>
      <c r="HAT4" s="258"/>
      <c r="HAU4" s="258"/>
      <c r="HAV4" s="258"/>
      <c r="HAW4" s="258"/>
      <c r="HAX4" s="258"/>
      <c r="HAY4" s="258"/>
      <c r="HAZ4" s="258"/>
      <c r="HBA4" s="258"/>
      <c r="HBB4" s="258"/>
      <c r="HBC4" s="258"/>
      <c r="HBD4" s="258"/>
      <c r="HBE4" s="258"/>
      <c r="HBF4" s="258"/>
      <c r="HBG4" s="258"/>
      <c r="HBH4" s="258"/>
      <c r="HBI4" s="258"/>
      <c r="HBJ4" s="258"/>
      <c r="HBK4" s="258"/>
      <c r="HBL4" s="258"/>
      <c r="HBM4" s="258"/>
      <c r="HBN4" s="258"/>
      <c r="HBO4" s="258"/>
      <c r="HBP4" s="258"/>
      <c r="HBQ4" s="258"/>
      <c r="HBR4" s="258"/>
      <c r="HBS4" s="258"/>
      <c r="HBT4" s="258"/>
      <c r="HBU4" s="258"/>
      <c r="HBV4" s="258"/>
      <c r="HBW4" s="258"/>
      <c r="HBX4" s="258"/>
      <c r="HBY4" s="258"/>
      <c r="HBZ4" s="258"/>
      <c r="HCA4" s="258"/>
      <c r="HCB4" s="258"/>
      <c r="HCC4" s="258"/>
      <c r="HCD4" s="258"/>
      <c r="HCE4" s="258"/>
      <c r="HCF4" s="258"/>
      <c r="HCG4" s="258"/>
      <c r="HCH4" s="258"/>
      <c r="HCI4" s="258"/>
      <c r="HCJ4" s="258"/>
      <c r="HCK4" s="258"/>
      <c r="HCL4" s="258"/>
      <c r="HCM4" s="258"/>
      <c r="HCN4" s="258"/>
      <c r="HCO4" s="258"/>
      <c r="HCP4" s="258"/>
      <c r="HCQ4" s="258"/>
      <c r="HCR4" s="258"/>
      <c r="HCS4" s="258"/>
      <c r="HCT4" s="258"/>
      <c r="HCU4" s="258"/>
      <c r="HCV4" s="258"/>
      <c r="HCW4" s="258"/>
      <c r="HCX4" s="258"/>
      <c r="HCY4" s="258"/>
      <c r="HCZ4" s="258"/>
      <c r="HDA4" s="258"/>
      <c r="HDB4" s="258"/>
      <c r="HDC4" s="258"/>
      <c r="HDD4" s="258"/>
      <c r="HDE4" s="258"/>
      <c r="HDF4" s="258"/>
      <c r="HDG4" s="258"/>
      <c r="HDH4" s="258"/>
      <c r="HDI4" s="258"/>
      <c r="HDJ4" s="258"/>
      <c r="HDK4" s="258"/>
      <c r="HDL4" s="258"/>
      <c r="HDM4" s="258"/>
      <c r="HDN4" s="258"/>
      <c r="HDO4" s="258"/>
      <c r="HDP4" s="258"/>
      <c r="HDQ4" s="258"/>
      <c r="HDR4" s="258"/>
      <c r="HDS4" s="258"/>
      <c r="HDT4" s="258"/>
      <c r="HDU4" s="258"/>
      <c r="HDV4" s="258"/>
      <c r="HDW4" s="258"/>
      <c r="HDX4" s="258"/>
      <c r="HDY4" s="258"/>
      <c r="HDZ4" s="258"/>
      <c r="HEA4" s="258"/>
      <c r="HEB4" s="258"/>
      <c r="HEC4" s="258"/>
      <c r="HED4" s="258"/>
      <c r="HEE4" s="258"/>
      <c r="HEF4" s="258"/>
      <c r="HEG4" s="258"/>
      <c r="HEH4" s="258"/>
      <c r="HEI4" s="258"/>
      <c r="HEJ4" s="258"/>
      <c r="HEK4" s="258"/>
      <c r="HEL4" s="258"/>
      <c r="HEM4" s="258"/>
      <c r="HEN4" s="258"/>
      <c r="HEO4" s="258"/>
      <c r="HEP4" s="258"/>
      <c r="HEQ4" s="258"/>
      <c r="HER4" s="258"/>
      <c r="HES4" s="258"/>
      <c r="HET4" s="258"/>
      <c r="HEU4" s="258"/>
      <c r="HEV4" s="258"/>
      <c r="HEW4" s="258"/>
      <c r="HEX4" s="258"/>
      <c r="HEY4" s="258"/>
      <c r="HEZ4" s="258"/>
      <c r="HFA4" s="258"/>
      <c r="HFB4" s="258"/>
      <c r="HFC4" s="258"/>
      <c r="HFD4" s="258"/>
      <c r="HFE4" s="258"/>
      <c r="HFF4" s="258"/>
      <c r="HFG4" s="258"/>
      <c r="HFH4" s="258"/>
      <c r="HFI4" s="258"/>
      <c r="HFJ4" s="258"/>
      <c r="HFK4" s="258"/>
      <c r="HFL4" s="258"/>
      <c r="HFM4" s="258"/>
      <c r="HFN4" s="258"/>
      <c r="HFO4" s="258"/>
      <c r="HFP4" s="258"/>
      <c r="HFQ4" s="258"/>
      <c r="HFR4" s="258"/>
      <c r="HFS4" s="258"/>
      <c r="HFT4" s="258"/>
      <c r="HFU4" s="258"/>
      <c r="HFV4" s="258"/>
      <c r="HFW4" s="258"/>
      <c r="HFX4" s="258"/>
      <c r="HFY4" s="258"/>
      <c r="HFZ4" s="258"/>
      <c r="HGA4" s="258"/>
      <c r="HGB4" s="258"/>
      <c r="HGC4" s="258"/>
      <c r="HGD4" s="258"/>
      <c r="HGE4" s="258"/>
      <c r="HGF4" s="258"/>
      <c r="HGG4" s="258"/>
      <c r="HGH4" s="258"/>
      <c r="HGI4" s="258"/>
      <c r="HGJ4" s="258"/>
      <c r="HGK4" s="258"/>
      <c r="HGL4" s="258"/>
      <c r="HGM4" s="258"/>
      <c r="HGN4" s="258"/>
      <c r="HGO4" s="258"/>
      <c r="HGP4" s="258"/>
      <c r="HGQ4" s="258"/>
      <c r="HGR4" s="258"/>
      <c r="HGS4" s="258"/>
      <c r="HGT4" s="258"/>
      <c r="HGU4" s="258"/>
      <c r="HGV4" s="258"/>
      <c r="HGW4" s="258"/>
      <c r="HGX4" s="258"/>
      <c r="HGY4" s="258"/>
      <c r="HGZ4" s="258"/>
      <c r="HHA4" s="258"/>
      <c r="HHB4" s="258"/>
      <c r="HHC4" s="258"/>
      <c r="HHD4" s="258"/>
      <c r="HHE4" s="258"/>
      <c r="HHF4" s="258"/>
      <c r="HHG4" s="258"/>
      <c r="HHH4" s="258"/>
      <c r="HHI4" s="258"/>
      <c r="HHJ4" s="258"/>
      <c r="HHK4" s="258"/>
      <c r="HHL4" s="258"/>
      <c r="HHM4" s="258"/>
      <c r="HHN4" s="258"/>
      <c r="HHO4" s="258"/>
      <c r="HHP4" s="258"/>
      <c r="HHQ4" s="258"/>
      <c r="HHR4" s="258"/>
      <c r="HHS4" s="258"/>
      <c r="HHT4" s="258"/>
      <c r="HHU4" s="258"/>
      <c r="HHV4" s="258"/>
      <c r="HHW4" s="258"/>
      <c r="HHX4" s="258"/>
      <c r="HHY4" s="258"/>
      <c r="HHZ4" s="258"/>
      <c r="HIA4" s="258"/>
      <c r="HIB4" s="258"/>
      <c r="HIC4" s="258"/>
      <c r="HID4" s="258"/>
      <c r="HIE4" s="258"/>
      <c r="HIF4" s="258"/>
      <c r="HIG4" s="258"/>
      <c r="HIH4" s="258"/>
      <c r="HII4" s="258"/>
      <c r="HIJ4" s="258"/>
      <c r="HIK4" s="258"/>
      <c r="HIL4" s="258"/>
      <c r="HIM4" s="258"/>
      <c r="HIN4" s="258"/>
      <c r="HIO4" s="258"/>
      <c r="HIP4" s="258"/>
      <c r="HIQ4" s="258"/>
      <c r="HIR4" s="258"/>
      <c r="HIS4" s="258"/>
      <c r="HIT4" s="258"/>
      <c r="HIU4" s="258"/>
      <c r="HIV4" s="258"/>
      <c r="HIW4" s="258"/>
      <c r="HIX4" s="258"/>
      <c r="HIY4" s="258"/>
      <c r="HIZ4" s="258"/>
      <c r="HJA4" s="258"/>
      <c r="HJB4" s="258"/>
      <c r="HJC4" s="258"/>
      <c r="HJD4" s="258"/>
      <c r="HJE4" s="258"/>
      <c r="HJF4" s="258"/>
      <c r="HJG4" s="258"/>
      <c r="HJH4" s="258"/>
      <c r="HJI4" s="258"/>
      <c r="HJJ4" s="258"/>
      <c r="HJK4" s="258"/>
      <c r="HJL4" s="258"/>
      <c r="HJM4" s="258"/>
      <c r="HJN4" s="258"/>
      <c r="HJO4" s="258"/>
      <c r="HJP4" s="258"/>
      <c r="HJQ4" s="258"/>
      <c r="HJR4" s="258"/>
      <c r="HJS4" s="258"/>
      <c r="HJT4" s="258"/>
      <c r="HJU4" s="258"/>
      <c r="HJV4" s="258"/>
      <c r="HJW4" s="258"/>
      <c r="HJX4" s="258"/>
      <c r="HJY4" s="258"/>
      <c r="HJZ4" s="258"/>
      <c r="HKA4" s="258"/>
      <c r="HKB4" s="258"/>
      <c r="HKC4" s="258"/>
      <c r="HKD4" s="258"/>
      <c r="HKE4" s="258"/>
      <c r="HKF4" s="258"/>
      <c r="HKG4" s="258"/>
      <c r="HKH4" s="258"/>
      <c r="HKI4" s="258"/>
      <c r="HKJ4" s="258"/>
      <c r="HKK4" s="258"/>
      <c r="HKL4" s="258"/>
      <c r="HKM4" s="258"/>
      <c r="HKN4" s="258"/>
      <c r="HKO4" s="258"/>
      <c r="HKP4" s="258"/>
      <c r="HKQ4" s="258"/>
      <c r="HKR4" s="258"/>
      <c r="HKS4" s="258"/>
      <c r="HKT4" s="258"/>
      <c r="HKU4" s="258"/>
      <c r="HKV4" s="258"/>
      <c r="HKW4" s="258"/>
      <c r="HKX4" s="258"/>
      <c r="HKY4" s="258"/>
      <c r="HKZ4" s="258"/>
      <c r="HLA4" s="258"/>
      <c r="HLB4" s="258"/>
      <c r="HLC4" s="258"/>
      <c r="HLD4" s="258"/>
      <c r="HLE4" s="258"/>
      <c r="HLF4" s="258"/>
      <c r="HLG4" s="258"/>
      <c r="HLH4" s="258"/>
      <c r="HLI4" s="258"/>
      <c r="HLJ4" s="258"/>
      <c r="HLK4" s="258"/>
      <c r="HLL4" s="258"/>
      <c r="HLM4" s="258"/>
      <c r="HLN4" s="258"/>
      <c r="HLO4" s="258"/>
      <c r="HLP4" s="258"/>
      <c r="HLQ4" s="258"/>
      <c r="HLR4" s="258"/>
      <c r="HLS4" s="258"/>
      <c r="HLT4" s="258"/>
      <c r="HLU4" s="258"/>
      <c r="HLV4" s="258"/>
      <c r="HLW4" s="258"/>
      <c r="HLX4" s="258"/>
      <c r="HLY4" s="258"/>
      <c r="HLZ4" s="258"/>
      <c r="HMA4" s="258"/>
      <c r="HMB4" s="258"/>
      <c r="HMC4" s="258"/>
      <c r="HMD4" s="258"/>
      <c r="HME4" s="258"/>
      <c r="HMF4" s="258"/>
      <c r="HMG4" s="258"/>
      <c r="HMH4" s="258"/>
      <c r="HMI4" s="258"/>
      <c r="HMJ4" s="258"/>
      <c r="HMK4" s="258"/>
      <c r="HML4" s="258"/>
      <c r="HMM4" s="258"/>
      <c r="HMN4" s="258"/>
      <c r="HMO4" s="258"/>
      <c r="HMP4" s="258"/>
      <c r="HMQ4" s="258"/>
      <c r="HMR4" s="258"/>
      <c r="HMS4" s="258"/>
      <c r="HMT4" s="258"/>
      <c r="HMU4" s="258"/>
      <c r="HMV4" s="258"/>
      <c r="HMW4" s="258"/>
      <c r="HMX4" s="258"/>
      <c r="HMY4" s="258"/>
      <c r="HMZ4" s="258"/>
      <c r="HNA4" s="258"/>
      <c r="HNB4" s="258"/>
      <c r="HNC4" s="258"/>
      <c r="HND4" s="258"/>
      <c r="HNE4" s="258"/>
      <c r="HNF4" s="258"/>
      <c r="HNG4" s="258"/>
      <c r="HNH4" s="258"/>
      <c r="HNI4" s="258"/>
      <c r="HNJ4" s="258"/>
      <c r="HNK4" s="258"/>
      <c r="HNL4" s="258"/>
      <c r="HNM4" s="258"/>
      <c r="HNN4" s="258"/>
      <c r="HNO4" s="258"/>
      <c r="HNP4" s="258"/>
      <c r="HNQ4" s="258"/>
      <c r="HNR4" s="258"/>
      <c r="HNS4" s="258"/>
      <c r="HNT4" s="258"/>
      <c r="HNU4" s="258"/>
      <c r="HNV4" s="258"/>
      <c r="HNW4" s="258"/>
      <c r="HNX4" s="258"/>
      <c r="HNY4" s="258"/>
      <c r="HNZ4" s="258"/>
      <c r="HOA4" s="258"/>
      <c r="HOB4" s="258"/>
      <c r="HOC4" s="258"/>
      <c r="HOD4" s="258"/>
      <c r="HOE4" s="258"/>
      <c r="HOF4" s="258"/>
      <c r="HOG4" s="258"/>
      <c r="HOH4" s="258"/>
      <c r="HOI4" s="258"/>
      <c r="HOJ4" s="258"/>
      <c r="HOK4" s="258"/>
      <c r="HOL4" s="258"/>
      <c r="HOM4" s="258"/>
      <c r="HON4" s="258"/>
      <c r="HOO4" s="258"/>
      <c r="HOP4" s="258"/>
      <c r="HOQ4" s="258"/>
      <c r="HOR4" s="258"/>
      <c r="HOS4" s="258"/>
      <c r="HOT4" s="258"/>
      <c r="HOU4" s="258"/>
      <c r="HOV4" s="258"/>
      <c r="HOW4" s="258"/>
      <c r="HOX4" s="258"/>
      <c r="HOY4" s="258"/>
      <c r="HOZ4" s="258"/>
      <c r="HPA4" s="258"/>
      <c r="HPB4" s="258"/>
      <c r="HPC4" s="258"/>
      <c r="HPD4" s="258"/>
      <c r="HPE4" s="258"/>
      <c r="HPF4" s="258"/>
      <c r="HPG4" s="258"/>
      <c r="HPH4" s="258"/>
      <c r="HPI4" s="258"/>
      <c r="HPJ4" s="258"/>
      <c r="HPK4" s="258"/>
      <c r="HPL4" s="258"/>
      <c r="HPM4" s="258"/>
      <c r="HPN4" s="258"/>
      <c r="HPO4" s="258"/>
      <c r="HPP4" s="258"/>
      <c r="HPQ4" s="258"/>
      <c r="HPR4" s="258"/>
      <c r="HPS4" s="258"/>
      <c r="HPT4" s="258"/>
      <c r="HPU4" s="258"/>
      <c r="HPV4" s="258"/>
      <c r="HPW4" s="258"/>
      <c r="HPX4" s="258"/>
      <c r="HPY4" s="258"/>
      <c r="HPZ4" s="258"/>
      <c r="HQA4" s="258"/>
      <c r="HQB4" s="258"/>
      <c r="HQC4" s="258"/>
      <c r="HQD4" s="258"/>
      <c r="HQE4" s="258"/>
      <c r="HQF4" s="258"/>
      <c r="HQG4" s="258"/>
      <c r="HQH4" s="258"/>
      <c r="HQI4" s="258"/>
      <c r="HQJ4" s="258"/>
      <c r="HQK4" s="258"/>
      <c r="HQL4" s="258"/>
      <c r="HQM4" s="258"/>
      <c r="HQN4" s="258"/>
      <c r="HQO4" s="258"/>
      <c r="HQP4" s="258"/>
      <c r="HQQ4" s="258"/>
      <c r="HQR4" s="258"/>
      <c r="HQS4" s="258"/>
      <c r="HQT4" s="258"/>
      <c r="HQU4" s="258"/>
      <c r="HQV4" s="258"/>
      <c r="HQW4" s="258"/>
      <c r="HQX4" s="258"/>
      <c r="HQY4" s="258"/>
      <c r="HQZ4" s="258"/>
      <c r="HRA4" s="258"/>
      <c r="HRB4" s="258"/>
      <c r="HRC4" s="258"/>
      <c r="HRD4" s="258"/>
      <c r="HRE4" s="258"/>
      <c r="HRF4" s="258"/>
      <c r="HRG4" s="258"/>
      <c r="HRH4" s="258"/>
      <c r="HRI4" s="258"/>
      <c r="HRJ4" s="258"/>
      <c r="HRK4" s="258"/>
      <c r="HRL4" s="258"/>
      <c r="HRM4" s="258"/>
      <c r="HRN4" s="258"/>
      <c r="HRO4" s="258"/>
      <c r="HRP4" s="258"/>
      <c r="HRQ4" s="258"/>
      <c r="HRR4" s="258"/>
      <c r="HRS4" s="258"/>
      <c r="HRT4" s="258"/>
      <c r="HRU4" s="258"/>
      <c r="HRV4" s="258"/>
      <c r="HRW4" s="258"/>
      <c r="HRX4" s="258"/>
      <c r="HRY4" s="258"/>
      <c r="HRZ4" s="258"/>
      <c r="HSA4" s="258"/>
      <c r="HSB4" s="258"/>
      <c r="HSC4" s="258"/>
      <c r="HSD4" s="258"/>
      <c r="HSE4" s="258"/>
      <c r="HSF4" s="258"/>
      <c r="HSG4" s="258"/>
      <c r="HSH4" s="258"/>
      <c r="HSI4" s="258"/>
      <c r="HSJ4" s="258"/>
      <c r="HSK4" s="258"/>
      <c r="HSL4" s="258"/>
      <c r="HSM4" s="258"/>
      <c r="HSN4" s="258"/>
      <c r="HSO4" s="258"/>
      <c r="HSP4" s="258"/>
      <c r="HSQ4" s="258"/>
      <c r="HSR4" s="258"/>
      <c r="HSS4" s="258"/>
      <c r="HST4" s="258"/>
      <c r="HSU4" s="258"/>
      <c r="HSV4" s="258"/>
      <c r="HSW4" s="258"/>
      <c r="HSX4" s="258"/>
      <c r="HSY4" s="258"/>
      <c r="HSZ4" s="258"/>
      <c r="HTA4" s="258"/>
      <c r="HTB4" s="258"/>
      <c r="HTC4" s="258"/>
      <c r="HTD4" s="258"/>
      <c r="HTE4" s="258"/>
      <c r="HTF4" s="258"/>
      <c r="HTG4" s="258"/>
      <c r="HTH4" s="258"/>
      <c r="HTI4" s="258"/>
      <c r="HTJ4" s="258"/>
      <c r="HTK4" s="258"/>
      <c r="HTL4" s="258"/>
      <c r="HTM4" s="258"/>
      <c r="HTN4" s="258"/>
      <c r="HTO4" s="258"/>
      <c r="HTP4" s="258"/>
      <c r="HTQ4" s="258"/>
      <c r="HTR4" s="258"/>
      <c r="HTS4" s="258"/>
      <c r="HTT4" s="258"/>
      <c r="HTU4" s="258"/>
      <c r="HTV4" s="258"/>
      <c r="HTW4" s="258"/>
      <c r="HTX4" s="258"/>
      <c r="HTY4" s="258"/>
      <c r="HTZ4" s="258"/>
      <c r="HUA4" s="258"/>
      <c r="HUB4" s="258"/>
      <c r="HUC4" s="258"/>
      <c r="HUD4" s="258"/>
      <c r="HUE4" s="258"/>
      <c r="HUF4" s="258"/>
      <c r="HUG4" s="258"/>
      <c r="HUH4" s="258"/>
      <c r="HUI4" s="258"/>
      <c r="HUJ4" s="258"/>
      <c r="HUK4" s="258"/>
      <c r="HUL4" s="258"/>
      <c r="HUM4" s="258"/>
      <c r="HUN4" s="258"/>
      <c r="HUO4" s="258"/>
      <c r="HUP4" s="258"/>
      <c r="HUQ4" s="258"/>
      <c r="HUR4" s="258"/>
      <c r="HUS4" s="258"/>
      <c r="HUT4" s="258"/>
      <c r="HUU4" s="258"/>
      <c r="HUV4" s="258"/>
      <c r="HUW4" s="258"/>
      <c r="HUX4" s="258"/>
      <c r="HUY4" s="258"/>
      <c r="HUZ4" s="258"/>
      <c r="HVA4" s="258"/>
      <c r="HVB4" s="258"/>
      <c r="HVC4" s="258"/>
      <c r="HVD4" s="258"/>
      <c r="HVE4" s="258"/>
      <c r="HVF4" s="258"/>
      <c r="HVG4" s="258"/>
      <c r="HVH4" s="258"/>
      <c r="HVI4" s="258"/>
      <c r="HVJ4" s="258"/>
      <c r="HVK4" s="258"/>
      <c r="HVL4" s="258"/>
      <c r="HVM4" s="258"/>
      <c r="HVN4" s="258"/>
      <c r="HVO4" s="258"/>
      <c r="HVP4" s="258"/>
      <c r="HVQ4" s="258"/>
      <c r="HVR4" s="258"/>
      <c r="HVS4" s="258"/>
      <c r="HVT4" s="258"/>
      <c r="HVU4" s="258"/>
      <c r="HVV4" s="258"/>
      <c r="HVW4" s="258"/>
      <c r="HVX4" s="258"/>
      <c r="HVY4" s="258"/>
      <c r="HVZ4" s="258"/>
      <c r="HWA4" s="258"/>
      <c r="HWB4" s="258"/>
      <c r="HWC4" s="258"/>
      <c r="HWD4" s="258"/>
      <c r="HWE4" s="258"/>
      <c r="HWF4" s="258"/>
      <c r="HWG4" s="258"/>
      <c r="HWH4" s="258"/>
      <c r="HWI4" s="258"/>
      <c r="HWJ4" s="258"/>
      <c r="HWK4" s="258"/>
      <c r="HWL4" s="258"/>
      <c r="HWM4" s="258"/>
      <c r="HWN4" s="258"/>
      <c r="HWO4" s="258"/>
      <c r="HWP4" s="258"/>
      <c r="HWQ4" s="258"/>
      <c r="HWR4" s="258"/>
      <c r="HWS4" s="258"/>
      <c r="HWT4" s="258"/>
      <c r="HWU4" s="258"/>
      <c r="HWV4" s="258"/>
      <c r="HWW4" s="258"/>
      <c r="HWX4" s="258"/>
      <c r="HWY4" s="258"/>
      <c r="HWZ4" s="258"/>
      <c r="HXA4" s="258"/>
      <c r="HXB4" s="258"/>
      <c r="HXC4" s="258"/>
      <c r="HXD4" s="258"/>
      <c r="HXE4" s="258"/>
      <c r="HXF4" s="258"/>
      <c r="HXG4" s="258"/>
      <c r="HXH4" s="258"/>
      <c r="HXI4" s="258"/>
      <c r="HXJ4" s="258"/>
      <c r="HXK4" s="258"/>
      <c r="HXL4" s="258"/>
      <c r="HXM4" s="258"/>
      <c r="HXN4" s="258"/>
      <c r="HXO4" s="258"/>
      <c r="HXP4" s="258"/>
      <c r="HXQ4" s="258"/>
      <c r="HXR4" s="258"/>
      <c r="HXS4" s="258"/>
      <c r="HXT4" s="258"/>
      <c r="HXU4" s="258"/>
      <c r="HXV4" s="258"/>
      <c r="HXW4" s="258"/>
      <c r="HXX4" s="258"/>
      <c r="HXY4" s="258"/>
      <c r="HXZ4" s="258"/>
      <c r="HYA4" s="258"/>
      <c r="HYB4" s="258"/>
      <c r="HYC4" s="258"/>
      <c r="HYD4" s="258"/>
      <c r="HYE4" s="258"/>
      <c r="HYF4" s="258"/>
      <c r="HYG4" s="258"/>
      <c r="HYH4" s="258"/>
      <c r="HYI4" s="258"/>
      <c r="HYJ4" s="258"/>
      <c r="HYK4" s="258"/>
      <c r="HYL4" s="258"/>
      <c r="HYM4" s="258"/>
      <c r="HYN4" s="258"/>
      <c r="HYO4" s="258"/>
      <c r="HYP4" s="258"/>
      <c r="HYQ4" s="258"/>
      <c r="HYR4" s="258"/>
      <c r="HYS4" s="258"/>
      <c r="HYT4" s="258"/>
      <c r="HYU4" s="258"/>
      <c r="HYV4" s="258"/>
      <c r="HYW4" s="258"/>
      <c r="HYX4" s="258"/>
      <c r="HYY4" s="258"/>
      <c r="HYZ4" s="258"/>
      <c r="HZA4" s="258"/>
      <c r="HZB4" s="258"/>
      <c r="HZC4" s="258"/>
      <c r="HZD4" s="258"/>
      <c r="HZE4" s="258"/>
      <c r="HZF4" s="258"/>
      <c r="HZG4" s="258"/>
      <c r="HZH4" s="258"/>
      <c r="HZI4" s="258"/>
      <c r="HZJ4" s="258"/>
      <c r="HZK4" s="258"/>
      <c r="HZL4" s="258"/>
      <c r="HZM4" s="258"/>
      <c r="HZN4" s="258"/>
      <c r="HZO4" s="258"/>
      <c r="HZP4" s="258"/>
      <c r="HZQ4" s="258"/>
      <c r="HZR4" s="258"/>
      <c r="HZS4" s="258"/>
      <c r="HZT4" s="258"/>
      <c r="HZU4" s="258"/>
      <c r="HZV4" s="258"/>
      <c r="HZW4" s="258"/>
      <c r="HZX4" s="258"/>
      <c r="HZY4" s="258"/>
      <c r="HZZ4" s="258"/>
      <c r="IAA4" s="258"/>
      <c r="IAB4" s="258"/>
      <c r="IAC4" s="258"/>
      <c r="IAD4" s="258"/>
      <c r="IAE4" s="258"/>
      <c r="IAF4" s="258"/>
      <c r="IAG4" s="258"/>
      <c r="IAH4" s="258"/>
      <c r="IAI4" s="258"/>
      <c r="IAJ4" s="258"/>
      <c r="IAK4" s="258"/>
      <c r="IAL4" s="258"/>
      <c r="IAM4" s="258"/>
      <c r="IAN4" s="258"/>
      <c r="IAO4" s="258"/>
      <c r="IAP4" s="258"/>
      <c r="IAQ4" s="258"/>
      <c r="IAR4" s="258"/>
      <c r="IAS4" s="258"/>
      <c r="IAT4" s="258"/>
      <c r="IAU4" s="258"/>
      <c r="IAV4" s="258"/>
      <c r="IAW4" s="258"/>
      <c r="IAX4" s="258"/>
      <c r="IAY4" s="258"/>
      <c r="IAZ4" s="258"/>
      <c r="IBA4" s="258"/>
      <c r="IBB4" s="258"/>
      <c r="IBC4" s="258"/>
      <c r="IBD4" s="258"/>
      <c r="IBE4" s="258"/>
      <c r="IBF4" s="258"/>
      <c r="IBG4" s="258"/>
      <c r="IBH4" s="258"/>
      <c r="IBI4" s="258"/>
      <c r="IBJ4" s="258"/>
      <c r="IBK4" s="258"/>
      <c r="IBL4" s="258"/>
      <c r="IBM4" s="258"/>
      <c r="IBN4" s="258"/>
      <c r="IBO4" s="258"/>
      <c r="IBP4" s="258"/>
      <c r="IBQ4" s="258"/>
      <c r="IBR4" s="258"/>
      <c r="IBS4" s="258"/>
      <c r="IBT4" s="258"/>
      <c r="IBU4" s="258"/>
      <c r="IBV4" s="258"/>
      <c r="IBW4" s="258"/>
      <c r="IBX4" s="258"/>
      <c r="IBY4" s="258"/>
      <c r="IBZ4" s="258"/>
      <c r="ICA4" s="258"/>
      <c r="ICB4" s="258"/>
      <c r="ICC4" s="258"/>
      <c r="ICD4" s="258"/>
      <c r="ICE4" s="258"/>
      <c r="ICF4" s="258"/>
      <c r="ICG4" s="258"/>
      <c r="ICH4" s="258"/>
      <c r="ICI4" s="258"/>
      <c r="ICJ4" s="258"/>
      <c r="ICK4" s="258"/>
      <c r="ICL4" s="258"/>
      <c r="ICM4" s="258"/>
      <c r="ICN4" s="258"/>
      <c r="ICO4" s="258"/>
      <c r="ICP4" s="258"/>
      <c r="ICQ4" s="258"/>
      <c r="ICR4" s="258"/>
      <c r="ICS4" s="258"/>
      <c r="ICT4" s="258"/>
      <c r="ICU4" s="258"/>
      <c r="ICV4" s="258"/>
      <c r="ICW4" s="258"/>
      <c r="ICX4" s="258"/>
      <c r="ICY4" s="258"/>
      <c r="ICZ4" s="258"/>
      <c r="IDA4" s="258"/>
      <c r="IDB4" s="258"/>
      <c r="IDC4" s="258"/>
      <c r="IDD4" s="258"/>
      <c r="IDE4" s="258"/>
      <c r="IDF4" s="258"/>
      <c r="IDG4" s="258"/>
      <c r="IDH4" s="258"/>
      <c r="IDI4" s="258"/>
      <c r="IDJ4" s="258"/>
      <c r="IDK4" s="258"/>
      <c r="IDL4" s="258"/>
      <c r="IDM4" s="258"/>
      <c r="IDN4" s="258"/>
      <c r="IDO4" s="258"/>
      <c r="IDP4" s="258"/>
      <c r="IDQ4" s="258"/>
      <c r="IDR4" s="258"/>
      <c r="IDS4" s="258"/>
      <c r="IDT4" s="258"/>
      <c r="IDU4" s="258"/>
      <c r="IDV4" s="258"/>
      <c r="IDW4" s="258"/>
      <c r="IDX4" s="258"/>
      <c r="IDY4" s="258"/>
      <c r="IDZ4" s="258"/>
      <c r="IEA4" s="258"/>
      <c r="IEB4" s="258"/>
      <c r="IEC4" s="258"/>
      <c r="IED4" s="258"/>
      <c r="IEE4" s="258"/>
      <c r="IEF4" s="258"/>
      <c r="IEG4" s="258"/>
      <c r="IEH4" s="258"/>
      <c r="IEI4" s="258"/>
      <c r="IEJ4" s="258"/>
      <c r="IEK4" s="258"/>
      <c r="IEL4" s="258"/>
      <c r="IEM4" s="258"/>
      <c r="IEN4" s="258"/>
      <c r="IEO4" s="258"/>
      <c r="IEP4" s="258"/>
      <c r="IEQ4" s="258"/>
      <c r="IER4" s="258"/>
      <c r="IES4" s="258"/>
      <c r="IET4" s="258"/>
      <c r="IEU4" s="258"/>
      <c r="IEV4" s="258"/>
      <c r="IEW4" s="258"/>
      <c r="IEX4" s="258"/>
      <c r="IEY4" s="258"/>
      <c r="IEZ4" s="258"/>
      <c r="IFA4" s="258"/>
      <c r="IFB4" s="258"/>
      <c r="IFC4" s="258"/>
      <c r="IFD4" s="258"/>
      <c r="IFE4" s="258"/>
      <c r="IFF4" s="258"/>
      <c r="IFG4" s="258"/>
      <c r="IFH4" s="258"/>
      <c r="IFI4" s="258"/>
      <c r="IFJ4" s="258"/>
      <c r="IFK4" s="258"/>
      <c r="IFL4" s="258"/>
      <c r="IFM4" s="258"/>
      <c r="IFN4" s="258"/>
      <c r="IFO4" s="258"/>
      <c r="IFP4" s="258"/>
      <c r="IFQ4" s="258"/>
      <c r="IFR4" s="258"/>
      <c r="IFS4" s="258"/>
      <c r="IFT4" s="258"/>
      <c r="IFU4" s="258"/>
      <c r="IFV4" s="258"/>
      <c r="IFW4" s="258"/>
      <c r="IFX4" s="258"/>
      <c r="IFY4" s="258"/>
      <c r="IFZ4" s="258"/>
      <c r="IGA4" s="258"/>
      <c r="IGB4" s="258"/>
      <c r="IGC4" s="258"/>
      <c r="IGD4" s="258"/>
      <c r="IGE4" s="258"/>
      <c r="IGF4" s="258"/>
      <c r="IGG4" s="258"/>
      <c r="IGH4" s="258"/>
      <c r="IGI4" s="258"/>
      <c r="IGJ4" s="258"/>
      <c r="IGK4" s="258"/>
      <c r="IGL4" s="258"/>
      <c r="IGM4" s="258"/>
      <c r="IGN4" s="258"/>
      <c r="IGO4" s="258"/>
      <c r="IGP4" s="258"/>
      <c r="IGQ4" s="258"/>
      <c r="IGR4" s="258"/>
      <c r="IGS4" s="258"/>
      <c r="IGT4" s="258"/>
      <c r="IGU4" s="258"/>
      <c r="IGV4" s="258"/>
      <c r="IGW4" s="258"/>
      <c r="IGX4" s="258"/>
      <c r="IGY4" s="258"/>
      <c r="IGZ4" s="258"/>
      <c r="IHA4" s="258"/>
      <c r="IHB4" s="258"/>
      <c r="IHC4" s="258"/>
      <c r="IHD4" s="258"/>
      <c r="IHE4" s="258"/>
      <c r="IHF4" s="258"/>
      <c r="IHG4" s="258"/>
      <c r="IHH4" s="258"/>
      <c r="IHI4" s="258"/>
      <c r="IHJ4" s="258"/>
      <c r="IHK4" s="258"/>
      <c r="IHL4" s="258"/>
      <c r="IHM4" s="258"/>
      <c r="IHN4" s="258"/>
      <c r="IHO4" s="258"/>
      <c r="IHP4" s="258"/>
      <c r="IHQ4" s="258"/>
      <c r="IHR4" s="258"/>
      <c r="IHS4" s="258"/>
      <c r="IHT4" s="258"/>
      <c r="IHU4" s="258"/>
      <c r="IHV4" s="258"/>
      <c r="IHW4" s="258"/>
      <c r="IHX4" s="258"/>
      <c r="IHY4" s="258"/>
      <c r="IHZ4" s="258"/>
      <c r="IIA4" s="258"/>
      <c r="IIB4" s="258"/>
      <c r="IIC4" s="258"/>
      <c r="IID4" s="258"/>
      <c r="IIE4" s="258"/>
      <c r="IIF4" s="258"/>
      <c r="IIG4" s="258"/>
      <c r="IIH4" s="258"/>
      <c r="III4" s="258"/>
      <c r="IIJ4" s="258"/>
      <c r="IIK4" s="258"/>
      <c r="IIL4" s="258"/>
      <c r="IIM4" s="258"/>
      <c r="IIN4" s="258"/>
      <c r="IIO4" s="258"/>
      <c r="IIP4" s="258"/>
      <c r="IIQ4" s="258"/>
      <c r="IIR4" s="258"/>
      <c r="IIS4" s="258"/>
      <c r="IIT4" s="258"/>
      <c r="IIU4" s="258"/>
      <c r="IIV4" s="258"/>
      <c r="IIW4" s="258"/>
      <c r="IIX4" s="258"/>
      <c r="IIY4" s="258"/>
      <c r="IIZ4" s="258"/>
      <c r="IJA4" s="258"/>
      <c r="IJB4" s="258"/>
      <c r="IJC4" s="258"/>
      <c r="IJD4" s="258"/>
      <c r="IJE4" s="258"/>
      <c r="IJF4" s="258"/>
      <c r="IJG4" s="258"/>
      <c r="IJH4" s="258"/>
      <c r="IJI4" s="258"/>
      <c r="IJJ4" s="258"/>
      <c r="IJK4" s="258"/>
      <c r="IJL4" s="258"/>
      <c r="IJM4" s="258"/>
      <c r="IJN4" s="258"/>
      <c r="IJO4" s="258"/>
      <c r="IJP4" s="258"/>
      <c r="IJQ4" s="258"/>
      <c r="IJR4" s="258"/>
      <c r="IJS4" s="258"/>
      <c r="IJT4" s="258"/>
      <c r="IJU4" s="258"/>
      <c r="IJV4" s="258"/>
      <c r="IJW4" s="258"/>
      <c r="IJX4" s="258"/>
      <c r="IJY4" s="258"/>
      <c r="IJZ4" s="258"/>
      <c r="IKA4" s="258"/>
      <c r="IKB4" s="258"/>
      <c r="IKC4" s="258"/>
      <c r="IKD4" s="258"/>
      <c r="IKE4" s="258"/>
      <c r="IKF4" s="258"/>
      <c r="IKG4" s="258"/>
      <c r="IKH4" s="258"/>
      <c r="IKI4" s="258"/>
      <c r="IKJ4" s="258"/>
      <c r="IKK4" s="258"/>
      <c r="IKL4" s="258"/>
      <c r="IKM4" s="258"/>
      <c r="IKN4" s="258"/>
      <c r="IKO4" s="258"/>
      <c r="IKP4" s="258"/>
      <c r="IKQ4" s="258"/>
      <c r="IKR4" s="258"/>
      <c r="IKS4" s="258"/>
      <c r="IKT4" s="258"/>
      <c r="IKU4" s="258"/>
      <c r="IKV4" s="258"/>
      <c r="IKW4" s="258"/>
      <c r="IKX4" s="258"/>
      <c r="IKY4" s="258"/>
      <c r="IKZ4" s="258"/>
      <c r="ILA4" s="258"/>
      <c r="ILB4" s="258"/>
      <c r="ILC4" s="258"/>
      <c r="ILD4" s="258"/>
      <c r="ILE4" s="258"/>
      <c r="ILF4" s="258"/>
      <c r="ILG4" s="258"/>
      <c r="ILH4" s="258"/>
      <c r="ILI4" s="258"/>
      <c r="ILJ4" s="258"/>
      <c r="ILK4" s="258"/>
      <c r="ILL4" s="258"/>
      <c r="ILM4" s="258"/>
      <c r="ILN4" s="258"/>
      <c r="ILO4" s="258"/>
      <c r="ILP4" s="258"/>
      <c r="ILQ4" s="258"/>
      <c r="ILR4" s="258"/>
      <c r="ILS4" s="258"/>
      <c r="ILT4" s="258"/>
      <c r="ILU4" s="258"/>
      <c r="ILV4" s="258"/>
      <c r="ILW4" s="258"/>
      <c r="ILX4" s="258"/>
      <c r="ILY4" s="258"/>
      <c r="ILZ4" s="258"/>
      <c r="IMA4" s="258"/>
      <c r="IMB4" s="258"/>
      <c r="IMC4" s="258"/>
      <c r="IMD4" s="258"/>
      <c r="IME4" s="258"/>
      <c r="IMF4" s="258"/>
      <c r="IMG4" s="258"/>
      <c r="IMH4" s="258"/>
      <c r="IMI4" s="258"/>
      <c r="IMJ4" s="258"/>
      <c r="IMK4" s="258"/>
      <c r="IML4" s="258"/>
      <c r="IMM4" s="258"/>
      <c r="IMN4" s="258"/>
      <c r="IMO4" s="258"/>
      <c r="IMP4" s="258"/>
      <c r="IMQ4" s="258"/>
      <c r="IMR4" s="258"/>
      <c r="IMS4" s="258"/>
      <c r="IMT4" s="258"/>
      <c r="IMU4" s="258"/>
      <c r="IMV4" s="258"/>
      <c r="IMW4" s="258"/>
      <c r="IMX4" s="258"/>
      <c r="IMY4" s="258"/>
      <c r="IMZ4" s="258"/>
      <c r="INA4" s="258"/>
      <c r="INB4" s="258"/>
      <c r="INC4" s="258"/>
      <c r="IND4" s="258"/>
      <c r="INE4" s="258"/>
      <c r="INF4" s="258"/>
      <c r="ING4" s="258"/>
      <c r="INH4" s="258"/>
      <c r="INI4" s="258"/>
      <c r="INJ4" s="258"/>
      <c r="INK4" s="258"/>
      <c r="INL4" s="258"/>
      <c r="INM4" s="258"/>
      <c r="INN4" s="258"/>
      <c r="INO4" s="258"/>
      <c r="INP4" s="258"/>
      <c r="INQ4" s="258"/>
      <c r="INR4" s="258"/>
      <c r="INS4" s="258"/>
      <c r="INT4" s="258"/>
      <c r="INU4" s="258"/>
      <c r="INV4" s="258"/>
      <c r="INW4" s="258"/>
      <c r="INX4" s="258"/>
      <c r="INY4" s="258"/>
      <c r="INZ4" s="258"/>
      <c r="IOA4" s="258"/>
      <c r="IOB4" s="258"/>
      <c r="IOC4" s="258"/>
      <c r="IOD4" s="258"/>
      <c r="IOE4" s="258"/>
      <c r="IOF4" s="258"/>
      <c r="IOG4" s="258"/>
      <c r="IOH4" s="258"/>
      <c r="IOI4" s="258"/>
      <c r="IOJ4" s="258"/>
      <c r="IOK4" s="258"/>
      <c r="IOL4" s="258"/>
      <c r="IOM4" s="258"/>
      <c r="ION4" s="258"/>
      <c r="IOO4" s="258"/>
      <c r="IOP4" s="258"/>
      <c r="IOQ4" s="258"/>
      <c r="IOR4" s="258"/>
      <c r="IOS4" s="258"/>
      <c r="IOT4" s="258"/>
      <c r="IOU4" s="258"/>
      <c r="IOV4" s="258"/>
      <c r="IOW4" s="258"/>
      <c r="IOX4" s="258"/>
      <c r="IOY4" s="258"/>
      <c r="IOZ4" s="258"/>
      <c r="IPA4" s="258"/>
      <c r="IPB4" s="258"/>
      <c r="IPC4" s="258"/>
      <c r="IPD4" s="258"/>
      <c r="IPE4" s="258"/>
      <c r="IPF4" s="258"/>
      <c r="IPG4" s="258"/>
      <c r="IPH4" s="258"/>
      <c r="IPI4" s="258"/>
      <c r="IPJ4" s="258"/>
      <c r="IPK4" s="258"/>
      <c r="IPL4" s="258"/>
      <c r="IPM4" s="258"/>
      <c r="IPN4" s="258"/>
      <c r="IPO4" s="258"/>
      <c r="IPP4" s="258"/>
      <c r="IPQ4" s="258"/>
      <c r="IPR4" s="258"/>
      <c r="IPS4" s="258"/>
      <c r="IPT4" s="258"/>
      <c r="IPU4" s="258"/>
      <c r="IPV4" s="258"/>
      <c r="IPW4" s="258"/>
      <c r="IPX4" s="258"/>
      <c r="IPY4" s="258"/>
      <c r="IPZ4" s="258"/>
      <c r="IQA4" s="258"/>
      <c r="IQB4" s="258"/>
      <c r="IQC4" s="258"/>
      <c r="IQD4" s="258"/>
      <c r="IQE4" s="258"/>
      <c r="IQF4" s="258"/>
      <c r="IQG4" s="258"/>
      <c r="IQH4" s="258"/>
      <c r="IQI4" s="258"/>
      <c r="IQJ4" s="258"/>
      <c r="IQK4" s="258"/>
      <c r="IQL4" s="258"/>
      <c r="IQM4" s="258"/>
      <c r="IQN4" s="258"/>
      <c r="IQO4" s="258"/>
      <c r="IQP4" s="258"/>
      <c r="IQQ4" s="258"/>
      <c r="IQR4" s="258"/>
      <c r="IQS4" s="258"/>
      <c r="IQT4" s="258"/>
      <c r="IQU4" s="258"/>
      <c r="IQV4" s="258"/>
      <c r="IQW4" s="258"/>
      <c r="IQX4" s="258"/>
      <c r="IQY4" s="258"/>
      <c r="IQZ4" s="258"/>
      <c r="IRA4" s="258"/>
      <c r="IRB4" s="258"/>
      <c r="IRC4" s="258"/>
      <c r="IRD4" s="258"/>
      <c r="IRE4" s="258"/>
      <c r="IRF4" s="258"/>
      <c r="IRG4" s="258"/>
      <c r="IRH4" s="258"/>
      <c r="IRI4" s="258"/>
      <c r="IRJ4" s="258"/>
      <c r="IRK4" s="258"/>
      <c r="IRL4" s="258"/>
      <c r="IRM4" s="258"/>
      <c r="IRN4" s="258"/>
      <c r="IRO4" s="258"/>
      <c r="IRP4" s="258"/>
      <c r="IRQ4" s="258"/>
      <c r="IRR4" s="258"/>
      <c r="IRS4" s="258"/>
      <c r="IRT4" s="258"/>
      <c r="IRU4" s="258"/>
      <c r="IRV4" s="258"/>
      <c r="IRW4" s="258"/>
      <c r="IRX4" s="258"/>
      <c r="IRY4" s="258"/>
      <c r="IRZ4" s="258"/>
      <c r="ISA4" s="258"/>
      <c r="ISB4" s="258"/>
      <c r="ISC4" s="258"/>
      <c r="ISD4" s="258"/>
      <c r="ISE4" s="258"/>
      <c r="ISF4" s="258"/>
      <c r="ISG4" s="258"/>
      <c r="ISH4" s="258"/>
      <c r="ISI4" s="258"/>
      <c r="ISJ4" s="258"/>
      <c r="ISK4" s="258"/>
      <c r="ISL4" s="258"/>
      <c r="ISM4" s="258"/>
      <c r="ISN4" s="258"/>
      <c r="ISO4" s="258"/>
      <c r="ISP4" s="258"/>
      <c r="ISQ4" s="258"/>
      <c r="ISR4" s="258"/>
      <c r="ISS4" s="258"/>
      <c r="IST4" s="258"/>
      <c r="ISU4" s="258"/>
      <c r="ISV4" s="258"/>
      <c r="ISW4" s="258"/>
      <c r="ISX4" s="258"/>
      <c r="ISY4" s="258"/>
      <c r="ISZ4" s="258"/>
      <c r="ITA4" s="258"/>
      <c r="ITB4" s="258"/>
      <c r="ITC4" s="258"/>
      <c r="ITD4" s="258"/>
      <c r="ITE4" s="258"/>
      <c r="ITF4" s="258"/>
      <c r="ITG4" s="258"/>
      <c r="ITH4" s="258"/>
      <c r="ITI4" s="258"/>
      <c r="ITJ4" s="258"/>
      <c r="ITK4" s="258"/>
      <c r="ITL4" s="258"/>
      <c r="ITM4" s="258"/>
      <c r="ITN4" s="258"/>
      <c r="ITO4" s="258"/>
      <c r="ITP4" s="258"/>
      <c r="ITQ4" s="258"/>
      <c r="ITR4" s="258"/>
      <c r="ITS4" s="258"/>
      <c r="ITT4" s="258"/>
      <c r="ITU4" s="258"/>
      <c r="ITV4" s="258"/>
      <c r="ITW4" s="258"/>
      <c r="ITX4" s="258"/>
      <c r="ITY4" s="258"/>
      <c r="ITZ4" s="258"/>
      <c r="IUA4" s="258"/>
      <c r="IUB4" s="258"/>
      <c r="IUC4" s="258"/>
      <c r="IUD4" s="258"/>
      <c r="IUE4" s="258"/>
      <c r="IUF4" s="258"/>
      <c r="IUG4" s="258"/>
      <c r="IUH4" s="258"/>
      <c r="IUI4" s="258"/>
      <c r="IUJ4" s="258"/>
      <c r="IUK4" s="258"/>
      <c r="IUL4" s="258"/>
      <c r="IUM4" s="258"/>
      <c r="IUN4" s="258"/>
      <c r="IUO4" s="258"/>
      <c r="IUP4" s="258"/>
      <c r="IUQ4" s="258"/>
      <c r="IUR4" s="258"/>
      <c r="IUS4" s="258"/>
      <c r="IUT4" s="258"/>
      <c r="IUU4" s="258"/>
      <c r="IUV4" s="258"/>
      <c r="IUW4" s="258"/>
      <c r="IUX4" s="258"/>
      <c r="IUY4" s="258"/>
      <c r="IUZ4" s="258"/>
      <c r="IVA4" s="258"/>
      <c r="IVB4" s="258"/>
      <c r="IVC4" s="258"/>
      <c r="IVD4" s="258"/>
      <c r="IVE4" s="258"/>
      <c r="IVF4" s="258"/>
      <c r="IVG4" s="258"/>
      <c r="IVH4" s="258"/>
      <c r="IVI4" s="258"/>
      <c r="IVJ4" s="258"/>
      <c r="IVK4" s="258"/>
      <c r="IVL4" s="258"/>
      <c r="IVM4" s="258"/>
      <c r="IVN4" s="258"/>
      <c r="IVO4" s="258"/>
      <c r="IVP4" s="258"/>
      <c r="IVQ4" s="258"/>
      <c r="IVR4" s="258"/>
      <c r="IVS4" s="258"/>
      <c r="IVT4" s="258"/>
      <c r="IVU4" s="258"/>
      <c r="IVV4" s="258"/>
      <c r="IVW4" s="258"/>
      <c r="IVX4" s="258"/>
      <c r="IVY4" s="258"/>
      <c r="IVZ4" s="258"/>
      <c r="IWA4" s="258"/>
      <c r="IWB4" s="258"/>
      <c r="IWC4" s="258"/>
      <c r="IWD4" s="258"/>
      <c r="IWE4" s="258"/>
      <c r="IWF4" s="258"/>
      <c r="IWG4" s="258"/>
      <c r="IWH4" s="258"/>
      <c r="IWI4" s="258"/>
      <c r="IWJ4" s="258"/>
      <c r="IWK4" s="258"/>
      <c r="IWL4" s="258"/>
      <c r="IWM4" s="258"/>
      <c r="IWN4" s="258"/>
      <c r="IWO4" s="258"/>
      <c r="IWP4" s="258"/>
      <c r="IWQ4" s="258"/>
      <c r="IWR4" s="258"/>
      <c r="IWS4" s="258"/>
      <c r="IWT4" s="258"/>
      <c r="IWU4" s="258"/>
      <c r="IWV4" s="258"/>
      <c r="IWW4" s="258"/>
      <c r="IWX4" s="258"/>
      <c r="IWY4" s="258"/>
      <c r="IWZ4" s="258"/>
      <c r="IXA4" s="258"/>
      <c r="IXB4" s="258"/>
      <c r="IXC4" s="258"/>
      <c r="IXD4" s="258"/>
      <c r="IXE4" s="258"/>
      <c r="IXF4" s="258"/>
      <c r="IXG4" s="258"/>
      <c r="IXH4" s="258"/>
      <c r="IXI4" s="258"/>
      <c r="IXJ4" s="258"/>
      <c r="IXK4" s="258"/>
      <c r="IXL4" s="258"/>
      <c r="IXM4" s="258"/>
      <c r="IXN4" s="258"/>
      <c r="IXO4" s="258"/>
      <c r="IXP4" s="258"/>
      <c r="IXQ4" s="258"/>
      <c r="IXR4" s="258"/>
      <c r="IXS4" s="258"/>
      <c r="IXT4" s="258"/>
      <c r="IXU4" s="258"/>
      <c r="IXV4" s="258"/>
      <c r="IXW4" s="258"/>
      <c r="IXX4" s="258"/>
      <c r="IXY4" s="258"/>
      <c r="IXZ4" s="258"/>
      <c r="IYA4" s="258"/>
      <c r="IYB4" s="258"/>
      <c r="IYC4" s="258"/>
      <c r="IYD4" s="258"/>
      <c r="IYE4" s="258"/>
      <c r="IYF4" s="258"/>
      <c r="IYG4" s="258"/>
      <c r="IYH4" s="258"/>
      <c r="IYI4" s="258"/>
      <c r="IYJ4" s="258"/>
      <c r="IYK4" s="258"/>
      <c r="IYL4" s="258"/>
      <c r="IYM4" s="258"/>
      <c r="IYN4" s="258"/>
      <c r="IYO4" s="258"/>
      <c r="IYP4" s="258"/>
      <c r="IYQ4" s="258"/>
      <c r="IYR4" s="258"/>
      <c r="IYS4" s="258"/>
      <c r="IYT4" s="258"/>
      <c r="IYU4" s="258"/>
      <c r="IYV4" s="258"/>
      <c r="IYW4" s="258"/>
      <c r="IYX4" s="258"/>
      <c r="IYY4" s="258"/>
      <c r="IYZ4" s="258"/>
      <c r="IZA4" s="258"/>
      <c r="IZB4" s="258"/>
      <c r="IZC4" s="258"/>
      <c r="IZD4" s="258"/>
      <c r="IZE4" s="258"/>
      <c r="IZF4" s="258"/>
      <c r="IZG4" s="258"/>
      <c r="IZH4" s="258"/>
      <c r="IZI4" s="258"/>
      <c r="IZJ4" s="258"/>
      <c r="IZK4" s="258"/>
      <c r="IZL4" s="258"/>
      <c r="IZM4" s="258"/>
      <c r="IZN4" s="258"/>
      <c r="IZO4" s="258"/>
      <c r="IZP4" s="258"/>
      <c r="IZQ4" s="258"/>
      <c r="IZR4" s="258"/>
      <c r="IZS4" s="258"/>
      <c r="IZT4" s="258"/>
      <c r="IZU4" s="258"/>
      <c r="IZV4" s="258"/>
      <c r="IZW4" s="258"/>
      <c r="IZX4" s="258"/>
      <c r="IZY4" s="258"/>
      <c r="IZZ4" s="258"/>
      <c r="JAA4" s="258"/>
      <c r="JAB4" s="258"/>
      <c r="JAC4" s="258"/>
      <c r="JAD4" s="258"/>
      <c r="JAE4" s="258"/>
      <c r="JAF4" s="258"/>
      <c r="JAG4" s="258"/>
      <c r="JAH4" s="258"/>
      <c r="JAI4" s="258"/>
      <c r="JAJ4" s="258"/>
      <c r="JAK4" s="258"/>
      <c r="JAL4" s="258"/>
      <c r="JAM4" s="258"/>
      <c r="JAN4" s="258"/>
      <c r="JAO4" s="258"/>
      <c r="JAP4" s="258"/>
      <c r="JAQ4" s="258"/>
      <c r="JAR4" s="258"/>
      <c r="JAS4" s="258"/>
      <c r="JAT4" s="258"/>
      <c r="JAU4" s="258"/>
      <c r="JAV4" s="258"/>
      <c r="JAW4" s="258"/>
      <c r="JAX4" s="258"/>
      <c r="JAY4" s="258"/>
      <c r="JAZ4" s="258"/>
      <c r="JBA4" s="258"/>
      <c r="JBB4" s="258"/>
      <c r="JBC4" s="258"/>
      <c r="JBD4" s="258"/>
      <c r="JBE4" s="258"/>
      <c r="JBF4" s="258"/>
      <c r="JBG4" s="258"/>
      <c r="JBH4" s="258"/>
      <c r="JBI4" s="258"/>
      <c r="JBJ4" s="258"/>
      <c r="JBK4" s="258"/>
      <c r="JBL4" s="258"/>
      <c r="JBM4" s="258"/>
      <c r="JBN4" s="258"/>
      <c r="JBO4" s="258"/>
      <c r="JBP4" s="258"/>
      <c r="JBQ4" s="258"/>
      <c r="JBR4" s="258"/>
      <c r="JBS4" s="258"/>
      <c r="JBT4" s="258"/>
      <c r="JBU4" s="258"/>
      <c r="JBV4" s="258"/>
      <c r="JBW4" s="258"/>
      <c r="JBX4" s="258"/>
      <c r="JBY4" s="258"/>
      <c r="JBZ4" s="258"/>
      <c r="JCA4" s="258"/>
      <c r="JCB4" s="258"/>
      <c r="JCC4" s="258"/>
      <c r="JCD4" s="258"/>
      <c r="JCE4" s="258"/>
      <c r="JCF4" s="258"/>
      <c r="JCG4" s="258"/>
      <c r="JCH4" s="258"/>
      <c r="JCI4" s="258"/>
      <c r="JCJ4" s="258"/>
      <c r="JCK4" s="258"/>
      <c r="JCL4" s="258"/>
      <c r="JCM4" s="258"/>
      <c r="JCN4" s="258"/>
      <c r="JCO4" s="258"/>
      <c r="JCP4" s="258"/>
      <c r="JCQ4" s="258"/>
      <c r="JCR4" s="258"/>
      <c r="JCS4" s="258"/>
      <c r="JCT4" s="258"/>
      <c r="JCU4" s="258"/>
      <c r="JCV4" s="258"/>
      <c r="JCW4" s="258"/>
      <c r="JCX4" s="258"/>
      <c r="JCY4" s="258"/>
      <c r="JCZ4" s="258"/>
      <c r="JDA4" s="258"/>
      <c r="JDB4" s="258"/>
      <c r="JDC4" s="258"/>
      <c r="JDD4" s="258"/>
      <c r="JDE4" s="258"/>
      <c r="JDF4" s="258"/>
      <c r="JDG4" s="258"/>
      <c r="JDH4" s="258"/>
      <c r="JDI4" s="258"/>
      <c r="JDJ4" s="258"/>
      <c r="JDK4" s="258"/>
      <c r="JDL4" s="258"/>
      <c r="JDM4" s="258"/>
      <c r="JDN4" s="258"/>
      <c r="JDO4" s="258"/>
      <c r="JDP4" s="258"/>
      <c r="JDQ4" s="258"/>
      <c r="JDR4" s="258"/>
      <c r="JDS4" s="258"/>
      <c r="JDT4" s="258"/>
      <c r="JDU4" s="258"/>
      <c r="JDV4" s="258"/>
      <c r="JDW4" s="258"/>
      <c r="JDX4" s="258"/>
      <c r="JDY4" s="258"/>
      <c r="JDZ4" s="258"/>
      <c r="JEA4" s="258"/>
      <c r="JEB4" s="258"/>
      <c r="JEC4" s="258"/>
      <c r="JED4" s="258"/>
      <c r="JEE4" s="258"/>
      <c r="JEF4" s="258"/>
      <c r="JEG4" s="258"/>
      <c r="JEH4" s="258"/>
      <c r="JEI4" s="258"/>
      <c r="JEJ4" s="258"/>
      <c r="JEK4" s="258"/>
      <c r="JEL4" s="258"/>
      <c r="JEM4" s="258"/>
      <c r="JEN4" s="258"/>
      <c r="JEO4" s="258"/>
      <c r="JEP4" s="258"/>
      <c r="JEQ4" s="258"/>
      <c r="JER4" s="258"/>
      <c r="JES4" s="258"/>
      <c r="JET4" s="258"/>
      <c r="JEU4" s="258"/>
      <c r="JEV4" s="258"/>
      <c r="JEW4" s="258"/>
      <c r="JEX4" s="258"/>
      <c r="JEY4" s="258"/>
      <c r="JEZ4" s="258"/>
      <c r="JFA4" s="258"/>
      <c r="JFB4" s="258"/>
      <c r="JFC4" s="258"/>
      <c r="JFD4" s="258"/>
      <c r="JFE4" s="258"/>
      <c r="JFF4" s="258"/>
      <c r="JFG4" s="258"/>
      <c r="JFH4" s="258"/>
      <c r="JFI4" s="258"/>
      <c r="JFJ4" s="258"/>
      <c r="JFK4" s="258"/>
      <c r="JFL4" s="258"/>
      <c r="JFM4" s="258"/>
      <c r="JFN4" s="258"/>
      <c r="JFO4" s="258"/>
      <c r="JFP4" s="258"/>
      <c r="JFQ4" s="258"/>
      <c r="JFR4" s="258"/>
      <c r="JFS4" s="258"/>
      <c r="JFT4" s="258"/>
      <c r="JFU4" s="258"/>
      <c r="JFV4" s="258"/>
      <c r="JFW4" s="258"/>
      <c r="JFX4" s="258"/>
      <c r="JFY4" s="258"/>
      <c r="JFZ4" s="258"/>
      <c r="JGA4" s="258"/>
      <c r="JGB4" s="258"/>
      <c r="JGC4" s="258"/>
      <c r="JGD4" s="258"/>
      <c r="JGE4" s="258"/>
      <c r="JGF4" s="258"/>
      <c r="JGG4" s="258"/>
      <c r="JGH4" s="258"/>
      <c r="JGI4" s="258"/>
      <c r="JGJ4" s="258"/>
      <c r="JGK4" s="258"/>
      <c r="JGL4" s="258"/>
      <c r="JGM4" s="258"/>
      <c r="JGN4" s="258"/>
      <c r="JGO4" s="258"/>
      <c r="JGP4" s="258"/>
      <c r="JGQ4" s="258"/>
      <c r="JGR4" s="258"/>
      <c r="JGS4" s="258"/>
      <c r="JGT4" s="258"/>
      <c r="JGU4" s="258"/>
      <c r="JGV4" s="258"/>
      <c r="JGW4" s="258"/>
      <c r="JGX4" s="258"/>
      <c r="JGY4" s="258"/>
      <c r="JGZ4" s="258"/>
      <c r="JHA4" s="258"/>
      <c r="JHB4" s="258"/>
      <c r="JHC4" s="258"/>
      <c r="JHD4" s="258"/>
      <c r="JHE4" s="258"/>
      <c r="JHF4" s="258"/>
      <c r="JHG4" s="258"/>
      <c r="JHH4" s="258"/>
      <c r="JHI4" s="258"/>
      <c r="JHJ4" s="258"/>
      <c r="JHK4" s="258"/>
      <c r="JHL4" s="258"/>
      <c r="JHM4" s="258"/>
      <c r="JHN4" s="258"/>
      <c r="JHO4" s="258"/>
      <c r="JHP4" s="258"/>
      <c r="JHQ4" s="258"/>
      <c r="JHR4" s="258"/>
      <c r="JHS4" s="258"/>
      <c r="JHT4" s="258"/>
      <c r="JHU4" s="258"/>
      <c r="JHV4" s="258"/>
      <c r="JHW4" s="258"/>
      <c r="JHX4" s="258"/>
      <c r="JHY4" s="258"/>
      <c r="JHZ4" s="258"/>
      <c r="JIA4" s="258"/>
      <c r="JIB4" s="258"/>
      <c r="JIC4" s="258"/>
      <c r="JID4" s="258"/>
      <c r="JIE4" s="258"/>
      <c r="JIF4" s="258"/>
      <c r="JIG4" s="258"/>
      <c r="JIH4" s="258"/>
      <c r="JII4" s="258"/>
      <c r="JIJ4" s="258"/>
      <c r="JIK4" s="258"/>
      <c r="JIL4" s="258"/>
      <c r="JIM4" s="258"/>
      <c r="JIN4" s="258"/>
      <c r="JIO4" s="258"/>
      <c r="JIP4" s="258"/>
      <c r="JIQ4" s="258"/>
      <c r="JIR4" s="258"/>
      <c r="JIS4" s="258"/>
      <c r="JIT4" s="258"/>
      <c r="JIU4" s="258"/>
      <c r="JIV4" s="258"/>
      <c r="JIW4" s="258"/>
      <c r="JIX4" s="258"/>
      <c r="JIY4" s="258"/>
      <c r="JIZ4" s="258"/>
      <c r="JJA4" s="258"/>
      <c r="JJB4" s="258"/>
      <c r="JJC4" s="258"/>
      <c r="JJD4" s="258"/>
      <c r="JJE4" s="258"/>
      <c r="JJF4" s="258"/>
      <c r="JJG4" s="258"/>
      <c r="JJH4" s="258"/>
      <c r="JJI4" s="258"/>
      <c r="JJJ4" s="258"/>
      <c r="JJK4" s="258"/>
      <c r="JJL4" s="258"/>
      <c r="JJM4" s="258"/>
      <c r="JJN4" s="258"/>
      <c r="JJO4" s="258"/>
      <c r="JJP4" s="258"/>
      <c r="JJQ4" s="258"/>
      <c r="JJR4" s="258"/>
      <c r="JJS4" s="258"/>
      <c r="JJT4" s="258"/>
      <c r="JJU4" s="258"/>
      <c r="JJV4" s="258"/>
      <c r="JJW4" s="258"/>
      <c r="JJX4" s="258"/>
      <c r="JJY4" s="258"/>
      <c r="JJZ4" s="258"/>
      <c r="JKA4" s="258"/>
      <c r="JKB4" s="258"/>
      <c r="JKC4" s="258"/>
      <c r="JKD4" s="258"/>
      <c r="JKE4" s="258"/>
      <c r="JKF4" s="258"/>
      <c r="JKG4" s="258"/>
      <c r="JKH4" s="258"/>
      <c r="JKI4" s="258"/>
      <c r="JKJ4" s="258"/>
      <c r="JKK4" s="258"/>
      <c r="JKL4" s="258"/>
      <c r="JKM4" s="258"/>
      <c r="JKN4" s="258"/>
      <c r="JKO4" s="258"/>
      <c r="JKP4" s="258"/>
      <c r="JKQ4" s="258"/>
      <c r="JKR4" s="258"/>
      <c r="JKS4" s="258"/>
      <c r="JKT4" s="258"/>
      <c r="JKU4" s="258"/>
      <c r="JKV4" s="258"/>
      <c r="JKW4" s="258"/>
      <c r="JKX4" s="258"/>
      <c r="JKY4" s="258"/>
      <c r="JKZ4" s="258"/>
      <c r="JLA4" s="258"/>
      <c r="JLB4" s="258"/>
      <c r="JLC4" s="258"/>
      <c r="JLD4" s="258"/>
      <c r="JLE4" s="258"/>
      <c r="JLF4" s="258"/>
      <c r="JLG4" s="258"/>
      <c r="JLH4" s="258"/>
      <c r="JLI4" s="258"/>
      <c r="JLJ4" s="258"/>
      <c r="JLK4" s="258"/>
      <c r="JLL4" s="258"/>
      <c r="JLM4" s="258"/>
      <c r="JLN4" s="258"/>
      <c r="JLO4" s="258"/>
      <c r="JLP4" s="258"/>
      <c r="JLQ4" s="258"/>
      <c r="JLR4" s="258"/>
      <c r="JLS4" s="258"/>
      <c r="JLT4" s="258"/>
      <c r="JLU4" s="258"/>
      <c r="JLV4" s="258"/>
      <c r="JLW4" s="258"/>
      <c r="JLX4" s="258"/>
      <c r="JLY4" s="258"/>
      <c r="JLZ4" s="258"/>
      <c r="JMA4" s="258"/>
      <c r="JMB4" s="258"/>
      <c r="JMC4" s="258"/>
      <c r="JMD4" s="258"/>
      <c r="JME4" s="258"/>
      <c r="JMF4" s="258"/>
      <c r="JMG4" s="258"/>
      <c r="JMH4" s="258"/>
      <c r="JMI4" s="258"/>
      <c r="JMJ4" s="258"/>
      <c r="JMK4" s="258"/>
      <c r="JML4" s="258"/>
      <c r="JMM4" s="258"/>
      <c r="JMN4" s="258"/>
      <c r="JMO4" s="258"/>
      <c r="JMP4" s="258"/>
      <c r="JMQ4" s="258"/>
      <c r="JMR4" s="258"/>
      <c r="JMS4" s="258"/>
      <c r="JMT4" s="258"/>
      <c r="JMU4" s="258"/>
      <c r="JMV4" s="258"/>
      <c r="JMW4" s="258"/>
      <c r="JMX4" s="258"/>
      <c r="JMY4" s="258"/>
      <c r="JMZ4" s="258"/>
      <c r="JNA4" s="258"/>
      <c r="JNB4" s="258"/>
      <c r="JNC4" s="258"/>
      <c r="JND4" s="258"/>
      <c r="JNE4" s="258"/>
      <c r="JNF4" s="258"/>
      <c r="JNG4" s="258"/>
      <c r="JNH4" s="258"/>
      <c r="JNI4" s="258"/>
      <c r="JNJ4" s="258"/>
      <c r="JNK4" s="258"/>
      <c r="JNL4" s="258"/>
      <c r="JNM4" s="258"/>
      <c r="JNN4" s="258"/>
      <c r="JNO4" s="258"/>
      <c r="JNP4" s="258"/>
      <c r="JNQ4" s="258"/>
      <c r="JNR4" s="258"/>
      <c r="JNS4" s="258"/>
      <c r="JNT4" s="258"/>
      <c r="JNU4" s="258"/>
      <c r="JNV4" s="258"/>
      <c r="JNW4" s="258"/>
      <c r="JNX4" s="258"/>
      <c r="JNY4" s="258"/>
      <c r="JNZ4" s="258"/>
      <c r="JOA4" s="258"/>
      <c r="JOB4" s="258"/>
      <c r="JOC4" s="258"/>
      <c r="JOD4" s="258"/>
      <c r="JOE4" s="258"/>
      <c r="JOF4" s="258"/>
      <c r="JOG4" s="258"/>
      <c r="JOH4" s="258"/>
      <c r="JOI4" s="258"/>
      <c r="JOJ4" s="258"/>
      <c r="JOK4" s="258"/>
      <c r="JOL4" s="258"/>
      <c r="JOM4" s="258"/>
      <c r="JON4" s="258"/>
      <c r="JOO4" s="258"/>
      <c r="JOP4" s="258"/>
      <c r="JOQ4" s="258"/>
      <c r="JOR4" s="258"/>
      <c r="JOS4" s="258"/>
      <c r="JOT4" s="258"/>
      <c r="JOU4" s="258"/>
      <c r="JOV4" s="258"/>
      <c r="JOW4" s="258"/>
      <c r="JOX4" s="258"/>
      <c r="JOY4" s="258"/>
      <c r="JOZ4" s="258"/>
      <c r="JPA4" s="258"/>
      <c r="JPB4" s="258"/>
      <c r="JPC4" s="258"/>
      <c r="JPD4" s="258"/>
      <c r="JPE4" s="258"/>
      <c r="JPF4" s="258"/>
      <c r="JPG4" s="258"/>
      <c r="JPH4" s="258"/>
      <c r="JPI4" s="258"/>
      <c r="JPJ4" s="258"/>
      <c r="JPK4" s="258"/>
      <c r="JPL4" s="258"/>
      <c r="JPM4" s="258"/>
      <c r="JPN4" s="258"/>
      <c r="JPO4" s="258"/>
      <c r="JPP4" s="258"/>
      <c r="JPQ4" s="258"/>
      <c r="JPR4" s="258"/>
      <c r="JPS4" s="258"/>
      <c r="JPT4" s="258"/>
      <c r="JPU4" s="258"/>
      <c r="JPV4" s="258"/>
      <c r="JPW4" s="258"/>
      <c r="JPX4" s="258"/>
      <c r="JPY4" s="258"/>
      <c r="JPZ4" s="258"/>
      <c r="JQA4" s="258"/>
      <c r="JQB4" s="258"/>
      <c r="JQC4" s="258"/>
      <c r="JQD4" s="258"/>
      <c r="JQE4" s="258"/>
      <c r="JQF4" s="258"/>
      <c r="JQG4" s="258"/>
      <c r="JQH4" s="258"/>
      <c r="JQI4" s="258"/>
      <c r="JQJ4" s="258"/>
      <c r="JQK4" s="258"/>
      <c r="JQL4" s="258"/>
      <c r="JQM4" s="258"/>
      <c r="JQN4" s="258"/>
      <c r="JQO4" s="258"/>
      <c r="JQP4" s="258"/>
      <c r="JQQ4" s="258"/>
      <c r="JQR4" s="258"/>
      <c r="JQS4" s="258"/>
      <c r="JQT4" s="258"/>
      <c r="JQU4" s="258"/>
      <c r="JQV4" s="258"/>
      <c r="JQW4" s="258"/>
      <c r="JQX4" s="258"/>
      <c r="JQY4" s="258"/>
      <c r="JQZ4" s="258"/>
      <c r="JRA4" s="258"/>
      <c r="JRB4" s="258"/>
      <c r="JRC4" s="258"/>
      <c r="JRD4" s="258"/>
      <c r="JRE4" s="258"/>
      <c r="JRF4" s="258"/>
      <c r="JRG4" s="258"/>
      <c r="JRH4" s="258"/>
      <c r="JRI4" s="258"/>
      <c r="JRJ4" s="258"/>
      <c r="JRK4" s="258"/>
      <c r="JRL4" s="258"/>
      <c r="JRM4" s="258"/>
      <c r="JRN4" s="258"/>
      <c r="JRO4" s="258"/>
      <c r="JRP4" s="258"/>
      <c r="JRQ4" s="258"/>
      <c r="JRR4" s="258"/>
      <c r="JRS4" s="258"/>
      <c r="JRT4" s="258"/>
      <c r="JRU4" s="258"/>
      <c r="JRV4" s="258"/>
      <c r="JRW4" s="258"/>
      <c r="JRX4" s="258"/>
      <c r="JRY4" s="258"/>
      <c r="JRZ4" s="258"/>
      <c r="JSA4" s="258"/>
      <c r="JSB4" s="258"/>
      <c r="JSC4" s="258"/>
      <c r="JSD4" s="258"/>
      <c r="JSE4" s="258"/>
      <c r="JSF4" s="258"/>
      <c r="JSG4" s="258"/>
      <c r="JSH4" s="258"/>
      <c r="JSI4" s="258"/>
      <c r="JSJ4" s="258"/>
      <c r="JSK4" s="258"/>
      <c r="JSL4" s="258"/>
      <c r="JSM4" s="258"/>
      <c r="JSN4" s="258"/>
      <c r="JSO4" s="258"/>
      <c r="JSP4" s="258"/>
      <c r="JSQ4" s="258"/>
      <c r="JSR4" s="258"/>
      <c r="JSS4" s="258"/>
      <c r="JST4" s="258"/>
      <c r="JSU4" s="258"/>
      <c r="JSV4" s="258"/>
      <c r="JSW4" s="258"/>
      <c r="JSX4" s="258"/>
      <c r="JSY4" s="258"/>
      <c r="JSZ4" s="258"/>
      <c r="JTA4" s="258"/>
      <c r="JTB4" s="258"/>
      <c r="JTC4" s="258"/>
      <c r="JTD4" s="258"/>
      <c r="JTE4" s="258"/>
      <c r="JTF4" s="258"/>
      <c r="JTG4" s="258"/>
      <c r="JTH4" s="258"/>
      <c r="JTI4" s="258"/>
      <c r="JTJ4" s="258"/>
      <c r="JTK4" s="258"/>
      <c r="JTL4" s="258"/>
      <c r="JTM4" s="258"/>
      <c r="JTN4" s="258"/>
      <c r="JTO4" s="258"/>
      <c r="JTP4" s="258"/>
      <c r="JTQ4" s="258"/>
      <c r="JTR4" s="258"/>
      <c r="JTS4" s="258"/>
      <c r="JTT4" s="258"/>
      <c r="JTU4" s="258"/>
      <c r="JTV4" s="258"/>
      <c r="JTW4" s="258"/>
      <c r="JTX4" s="258"/>
      <c r="JTY4" s="258"/>
      <c r="JTZ4" s="258"/>
      <c r="JUA4" s="258"/>
      <c r="JUB4" s="258"/>
      <c r="JUC4" s="258"/>
      <c r="JUD4" s="258"/>
      <c r="JUE4" s="258"/>
      <c r="JUF4" s="258"/>
      <c r="JUG4" s="258"/>
      <c r="JUH4" s="258"/>
      <c r="JUI4" s="258"/>
      <c r="JUJ4" s="258"/>
      <c r="JUK4" s="258"/>
      <c r="JUL4" s="258"/>
      <c r="JUM4" s="258"/>
      <c r="JUN4" s="258"/>
      <c r="JUO4" s="258"/>
      <c r="JUP4" s="258"/>
      <c r="JUQ4" s="258"/>
      <c r="JUR4" s="258"/>
      <c r="JUS4" s="258"/>
      <c r="JUT4" s="258"/>
      <c r="JUU4" s="258"/>
      <c r="JUV4" s="258"/>
      <c r="JUW4" s="258"/>
      <c r="JUX4" s="258"/>
      <c r="JUY4" s="258"/>
      <c r="JUZ4" s="258"/>
      <c r="JVA4" s="258"/>
      <c r="JVB4" s="258"/>
      <c r="JVC4" s="258"/>
      <c r="JVD4" s="258"/>
      <c r="JVE4" s="258"/>
      <c r="JVF4" s="258"/>
      <c r="JVG4" s="258"/>
      <c r="JVH4" s="258"/>
      <c r="JVI4" s="258"/>
      <c r="JVJ4" s="258"/>
      <c r="JVK4" s="258"/>
      <c r="JVL4" s="258"/>
      <c r="JVM4" s="258"/>
      <c r="JVN4" s="258"/>
      <c r="JVO4" s="258"/>
      <c r="JVP4" s="258"/>
      <c r="JVQ4" s="258"/>
      <c r="JVR4" s="258"/>
      <c r="JVS4" s="258"/>
      <c r="JVT4" s="258"/>
      <c r="JVU4" s="258"/>
      <c r="JVV4" s="258"/>
      <c r="JVW4" s="258"/>
      <c r="JVX4" s="258"/>
      <c r="JVY4" s="258"/>
      <c r="JVZ4" s="258"/>
      <c r="JWA4" s="258"/>
      <c r="JWB4" s="258"/>
      <c r="JWC4" s="258"/>
      <c r="JWD4" s="258"/>
      <c r="JWE4" s="258"/>
      <c r="JWF4" s="258"/>
      <c r="JWG4" s="258"/>
      <c r="JWH4" s="258"/>
      <c r="JWI4" s="258"/>
      <c r="JWJ4" s="258"/>
      <c r="JWK4" s="258"/>
      <c r="JWL4" s="258"/>
      <c r="JWM4" s="258"/>
      <c r="JWN4" s="258"/>
      <c r="JWO4" s="258"/>
      <c r="JWP4" s="258"/>
      <c r="JWQ4" s="258"/>
      <c r="JWR4" s="258"/>
      <c r="JWS4" s="258"/>
      <c r="JWT4" s="258"/>
      <c r="JWU4" s="258"/>
      <c r="JWV4" s="258"/>
      <c r="JWW4" s="258"/>
      <c r="JWX4" s="258"/>
      <c r="JWY4" s="258"/>
      <c r="JWZ4" s="258"/>
      <c r="JXA4" s="258"/>
      <c r="JXB4" s="258"/>
      <c r="JXC4" s="258"/>
      <c r="JXD4" s="258"/>
      <c r="JXE4" s="258"/>
      <c r="JXF4" s="258"/>
      <c r="JXG4" s="258"/>
      <c r="JXH4" s="258"/>
      <c r="JXI4" s="258"/>
      <c r="JXJ4" s="258"/>
      <c r="JXK4" s="258"/>
      <c r="JXL4" s="258"/>
      <c r="JXM4" s="258"/>
      <c r="JXN4" s="258"/>
      <c r="JXO4" s="258"/>
      <c r="JXP4" s="258"/>
      <c r="JXQ4" s="258"/>
      <c r="JXR4" s="258"/>
      <c r="JXS4" s="258"/>
      <c r="JXT4" s="258"/>
      <c r="JXU4" s="258"/>
      <c r="JXV4" s="258"/>
      <c r="JXW4" s="258"/>
      <c r="JXX4" s="258"/>
      <c r="JXY4" s="258"/>
      <c r="JXZ4" s="258"/>
      <c r="JYA4" s="258"/>
      <c r="JYB4" s="258"/>
      <c r="JYC4" s="258"/>
      <c r="JYD4" s="258"/>
      <c r="JYE4" s="258"/>
      <c r="JYF4" s="258"/>
      <c r="JYG4" s="258"/>
      <c r="JYH4" s="258"/>
      <c r="JYI4" s="258"/>
      <c r="JYJ4" s="258"/>
      <c r="JYK4" s="258"/>
      <c r="JYL4" s="258"/>
      <c r="JYM4" s="258"/>
      <c r="JYN4" s="258"/>
      <c r="JYO4" s="258"/>
      <c r="JYP4" s="258"/>
      <c r="JYQ4" s="258"/>
      <c r="JYR4" s="258"/>
      <c r="JYS4" s="258"/>
      <c r="JYT4" s="258"/>
      <c r="JYU4" s="258"/>
      <c r="JYV4" s="258"/>
      <c r="JYW4" s="258"/>
      <c r="JYX4" s="258"/>
      <c r="JYY4" s="258"/>
      <c r="JYZ4" s="258"/>
      <c r="JZA4" s="258"/>
      <c r="JZB4" s="258"/>
      <c r="JZC4" s="258"/>
      <c r="JZD4" s="258"/>
      <c r="JZE4" s="258"/>
      <c r="JZF4" s="258"/>
      <c r="JZG4" s="258"/>
      <c r="JZH4" s="258"/>
      <c r="JZI4" s="258"/>
      <c r="JZJ4" s="258"/>
      <c r="JZK4" s="258"/>
      <c r="JZL4" s="258"/>
      <c r="JZM4" s="258"/>
      <c r="JZN4" s="258"/>
      <c r="JZO4" s="258"/>
      <c r="JZP4" s="258"/>
      <c r="JZQ4" s="258"/>
      <c r="JZR4" s="258"/>
      <c r="JZS4" s="258"/>
      <c r="JZT4" s="258"/>
      <c r="JZU4" s="258"/>
      <c r="JZV4" s="258"/>
      <c r="JZW4" s="258"/>
      <c r="JZX4" s="258"/>
      <c r="JZY4" s="258"/>
      <c r="JZZ4" s="258"/>
      <c r="KAA4" s="258"/>
      <c r="KAB4" s="258"/>
      <c r="KAC4" s="258"/>
      <c r="KAD4" s="258"/>
      <c r="KAE4" s="258"/>
      <c r="KAF4" s="258"/>
      <c r="KAG4" s="258"/>
      <c r="KAH4" s="258"/>
      <c r="KAI4" s="258"/>
      <c r="KAJ4" s="258"/>
      <c r="KAK4" s="258"/>
      <c r="KAL4" s="258"/>
      <c r="KAM4" s="258"/>
      <c r="KAN4" s="258"/>
      <c r="KAO4" s="258"/>
      <c r="KAP4" s="258"/>
      <c r="KAQ4" s="258"/>
      <c r="KAR4" s="258"/>
      <c r="KAS4" s="258"/>
      <c r="KAT4" s="258"/>
      <c r="KAU4" s="258"/>
      <c r="KAV4" s="258"/>
      <c r="KAW4" s="258"/>
      <c r="KAX4" s="258"/>
      <c r="KAY4" s="258"/>
      <c r="KAZ4" s="258"/>
      <c r="KBA4" s="258"/>
      <c r="KBB4" s="258"/>
      <c r="KBC4" s="258"/>
      <c r="KBD4" s="258"/>
      <c r="KBE4" s="258"/>
      <c r="KBF4" s="258"/>
      <c r="KBG4" s="258"/>
      <c r="KBH4" s="258"/>
      <c r="KBI4" s="258"/>
      <c r="KBJ4" s="258"/>
      <c r="KBK4" s="258"/>
      <c r="KBL4" s="258"/>
      <c r="KBM4" s="258"/>
      <c r="KBN4" s="258"/>
      <c r="KBO4" s="258"/>
      <c r="KBP4" s="258"/>
      <c r="KBQ4" s="258"/>
      <c r="KBR4" s="258"/>
      <c r="KBS4" s="258"/>
      <c r="KBT4" s="258"/>
      <c r="KBU4" s="258"/>
      <c r="KBV4" s="258"/>
      <c r="KBW4" s="258"/>
      <c r="KBX4" s="258"/>
      <c r="KBY4" s="258"/>
      <c r="KBZ4" s="258"/>
      <c r="KCA4" s="258"/>
      <c r="KCB4" s="258"/>
      <c r="KCC4" s="258"/>
      <c r="KCD4" s="258"/>
      <c r="KCE4" s="258"/>
      <c r="KCF4" s="258"/>
      <c r="KCG4" s="258"/>
      <c r="KCH4" s="258"/>
      <c r="KCI4" s="258"/>
      <c r="KCJ4" s="258"/>
      <c r="KCK4" s="258"/>
      <c r="KCL4" s="258"/>
      <c r="KCM4" s="258"/>
      <c r="KCN4" s="258"/>
      <c r="KCO4" s="258"/>
      <c r="KCP4" s="258"/>
      <c r="KCQ4" s="258"/>
      <c r="KCR4" s="258"/>
      <c r="KCS4" s="258"/>
      <c r="KCT4" s="258"/>
      <c r="KCU4" s="258"/>
      <c r="KCV4" s="258"/>
      <c r="KCW4" s="258"/>
      <c r="KCX4" s="258"/>
      <c r="KCY4" s="258"/>
      <c r="KCZ4" s="258"/>
      <c r="KDA4" s="258"/>
      <c r="KDB4" s="258"/>
      <c r="KDC4" s="258"/>
      <c r="KDD4" s="258"/>
      <c r="KDE4" s="258"/>
      <c r="KDF4" s="258"/>
      <c r="KDG4" s="258"/>
      <c r="KDH4" s="258"/>
      <c r="KDI4" s="258"/>
      <c r="KDJ4" s="258"/>
      <c r="KDK4" s="258"/>
      <c r="KDL4" s="258"/>
      <c r="KDM4" s="258"/>
      <c r="KDN4" s="258"/>
      <c r="KDO4" s="258"/>
      <c r="KDP4" s="258"/>
      <c r="KDQ4" s="258"/>
      <c r="KDR4" s="258"/>
      <c r="KDS4" s="258"/>
      <c r="KDT4" s="258"/>
      <c r="KDU4" s="258"/>
      <c r="KDV4" s="258"/>
      <c r="KDW4" s="258"/>
      <c r="KDX4" s="258"/>
      <c r="KDY4" s="258"/>
      <c r="KDZ4" s="258"/>
      <c r="KEA4" s="258"/>
      <c r="KEB4" s="258"/>
      <c r="KEC4" s="258"/>
      <c r="KED4" s="258"/>
      <c r="KEE4" s="258"/>
      <c r="KEF4" s="258"/>
      <c r="KEG4" s="258"/>
      <c r="KEH4" s="258"/>
      <c r="KEI4" s="258"/>
      <c r="KEJ4" s="258"/>
      <c r="KEK4" s="258"/>
      <c r="KEL4" s="258"/>
      <c r="KEM4" s="258"/>
      <c r="KEN4" s="258"/>
      <c r="KEO4" s="258"/>
      <c r="KEP4" s="258"/>
      <c r="KEQ4" s="258"/>
      <c r="KER4" s="258"/>
      <c r="KES4" s="258"/>
      <c r="KET4" s="258"/>
      <c r="KEU4" s="258"/>
      <c r="KEV4" s="258"/>
      <c r="KEW4" s="258"/>
      <c r="KEX4" s="258"/>
      <c r="KEY4" s="258"/>
      <c r="KEZ4" s="258"/>
      <c r="KFA4" s="258"/>
      <c r="KFB4" s="258"/>
      <c r="KFC4" s="258"/>
      <c r="KFD4" s="258"/>
      <c r="KFE4" s="258"/>
      <c r="KFF4" s="258"/>
      <c r="KFG4" s="258"/>
      <c r="KFH4" s="258"/>
      <c r="KFI4" s="258"/>
      <c r="KFJ4" s="258"/>
      <c r="KFK4" s="258"/>
      <c r="KFL4" s="258"/>
      <c r="KFM4" s="258"/>
      <c r="KFN4" s="258"/>
      <c r="KFO4" s="258"/>
      <c r="KFP4" s="258"/>
      <c r="KFQ4" s="258"/>
      <c r="KFR4" s="258"/>
      <c r="KFS4" s="258"/>
      <c r="KFT4" s="258"/>
      <c r="KFU4" s="258"/>
      <c r="KFV4" s="258"/>
      <c r="KFW4" s="258"/>
      <c r="KFX4" s="258"/>
      <c r="KFY4" s="258"/>
      <c r="KFZ4" s="258"/>
      <c r="KGA4" s="258"/>
      <c r="KGB4" s="258"/>
      <c r="KGC4" s="258"/>
      <c r="KGD4" s="258"/>
      <c r="KGE4" s="258"/>
      <c r="KGF4" s="258"/>
      <c r="KGG4" s="258"/>
      <c r="KGH4" s="258"/>
      <c r="KGI4" s="258"/>
      <c r="KGJ4" s="258"/>
      <c r="KGK4" s="258"/>
      <c r="KGL4" s="258"/>
      <c r="KGM4" s="258"/>
      <c r="KGN4" s="258"/>
      <c r="KGO4" s="258"/>
      <c r="KGP4" s="258"/>
      <c r="KGQ4" s="258"/>
      <c r="KGR4" s="258"/>
      <c r="KGS4" s="258"/>
      <c r="KGT4" s="258"/>
      <c r="KGU4" s="258"/>
      <c r="KGV4" s="258"/>
      <c r="KGW4" s="258"/>
      <c r="KGX4" s="258"/>
      <c r="KGY4" s="258"/>
      <c r="KGZ4" s="258"/>
      <c r="KHA4" s="258"/>
      <c r="KHB4" s="258"/>
      <c r="KHC4" s="258"/>
      <c r="KHD4" s="258"/>
      <c r="KHE4" s="258"/>
      <c r="KHF4" s="258"/>
      <c r="KHG4" s="258"/>
      <c r="KHH4" s="258"/>
      <c r="KHI4" s="258"/>
      <c r="KHJ4" s="258"/>
      <c r="KHK4" s="258"/>
      <c r="KHL4" s="258"/>
      <c r="KHM4" s="258"/>
      <c r="KHN4" s="258"/>
      <c r="KHO4" s="258"/>
      <c r="KHP4" s="258"/>
      <c r="KHQ4" s="258"/>
      <c r="KHR4" s="258"/>
      <c r="KHS4" s="258"/>
      <c r="KHT4" s="258"/>
      <c r="KHU4" s="258"/>
      <c r="KHV4" s="258"/>
      <c r="KHW4" s="258"/>
      <c r="KHX4" s="258"/>
      <c r="KHY4" s="258"/>
      <c r="KHZ4" s="258"/>
      <c r="KIA4" s="258"/>
      <c r="KIB4" s="258"/>
      <c r="KIC4" s="258"/>
      <c r="KID4" s="258"/>
      <c r="KIE4" s="258"/>
      <c r="KIF4" s="258"/>
      <c r="KIG4" s="258"/>
      <c r="KIH4" s="258"/>
      <c r="KII4" s="258"/>
      <c r="KIJ4" s="258"/>
      <c r="KIK4" s="258"/>
      <c r="KIL4" s="258"/>
      <c r="KIM4" s="258"/>
      <c r="KIN4" s="258"/>
      <c r="KIO4" s="258"/>
      <c r="KIP4" s="258"/>
      <c r="KIQ4" s="258"/>
      <c r="KIR4" s="258"/>
      <c r="KIS4" s="258"/>
      <c r="KIT4" s="258"/>
      <c r="KIU4" s="258"/>
      <c r="KIV4" s="258"/>
      <c r="KIW4" s="258"/>
      <c r="KIX4" s="258"/>
      <c r="KIY4" s="258"/>
      <c r="KIZ4" s="258"/>
      <c r="KJA4" s="258"/>
      <c r="KJB4" s="258"/>
      <c r="KJC4" s="258"/>
      <c r="KJD4" s="258"/>
      <c r="KJE4" s="258"/>
      <c r="KJF4" s="258"/>
      <c r="KJG4" s="258"/>
      <c r="KJH4" s="258"/>
      <c r="KJI4" s="258"/>
      <c r="KJJ4" s="258"/>
      <c r="KJK4" s="258"/>
      <c r="KJL4" s="258"/>
      <c r="KJM4" s="258"/>
      <c r="KJN4" s="258"/>
      <c r="KJO4" s="258"/>
      <c r="KJP4" s="258"/>
      <c r="KJQ4" s="258"/>
      <c r="KJR4" s="258"/>
      <c r="KJS4" s="258"/>
      <c r="KJT4" s="258"/>
      <c r="KJU4" s="258"/>
      <c r="KJV4" s="258"/>
      <c r="KJW4" s="258"/>
      <c r="KJX4" s="258"/>
      <c r="KJY4" s="258"/>
      <c r="KJZ4" s="258"/>
      <c r="KKA4" s="258"/>
      <c r="KKB4" s="258"/>
      <c r="KKC4" s="258"/>
      <c r="KKD4" s="258"/>
      <c r="KKE4" s="258"/>
      <c r="KKF4" s="258"/>
      <c r="KKG4" s="258"/>
      <c r="KKH4" s="258"/>
      <c r="KKI4" s="258"/>
      <c r="KKJ4" s="258"/>
      <c r="KKK4" s="258"/>
      <c r="KKL4" s="258"/>
      <c r="KKM4" s="258"/>
      <c r="KKN4" s="258"/>
      <c r="KKO4" s="258"/>
      <c r="KKP4" s="258"/>
      <c r="KKQ4" s="258"/>
      <c r="KKR4" s="258"/>
      <c r="KKS4" s="258"/>
      <c r="KKT4" s="258"/>
      <c r="KKU4" s="258"/>
      <c r="KKV4" s="258"/>
      <c r="KKW4" s="258"/>
      <c r="KKX4" s="258"/>
      <c r="KKY4" s="258"/>
      <c r="KKZ4" s="258"/>
      <c r="KLA4" s="258"/>
      <c r="KLB4" s="258"/>
      <c r="KLC4" s="258"/>
      <c r="KLD4" s="258"/>
      <c r="KLE4" s="258"/>
      <c r="KLF4" s="258"/>
      <c r="KLG4" s="258"/>
      <c r="KLH4" s="258"/>
      <c r="KLI4" s="258"/>
      <c r="KLJ4" s="258"/>
      <c r="KLK4" s="258"/>
      <c r="KLL4" s="258"/>
      <c r="KLM4" s="258"/>
      <c r="KLN4" s="258"/>
      <c r="KLO4" s="258"/>
      <c r="KLP4" s="258"/>
      <c r="KLQ4" s="258"/>
      <c r="KLR4" s="258"/>
      <c r="KLS4" s="258"/>
      <c r="KLT4" s="258"/>
      <c r="KLU4" s="258"/>
      <c r="KLV4" s="258"/>
      <c r="KLW4" s="258"/>
      <c r="KLX4" s="258"/>
      <c r="KLY4" s="258"/>
      <c r="KLZ4" s="258"/>
      <c r="KMA4" s="258"/>
      <c r="KMB4" s="258"/>
      <c r="KMC4" s="258"/>
      <c r="KMD4" s="258"/>
      <c r="KME4" s="258"/>
      <c r="KMF4" s="258"/>
      <c r="KMG4" s="258"/>
      <c r="KMH4" s="258"/>
      <c r="KMI4" s="258"/>
      <c r="KMJ4" s="258"/>
      <c r="KMK4" s="258"/>
      <c r="KML4" s="258"/>
      <c r="KMM4" s="258"/>
      <c r="KMN4" s="258"/>
      <c r="KMO4" s="258"/>
      <c r="KMP4" s="258"/>
      <c r="KMQ4" s="258"/>
      <c r="KMR4" s="258"/>
      <c r="KMS4" s="258"/>
      <c r="KMT4" s="258"/>
      <c r="KMU4" s="258"/>
      <c r="KMV4" s="258"/>
      <c r="KMW4" s="258"/>
      <c r="KMX4" s="258"/>
      <c r="KMY4" s="258"/>
      <c r="KMZ4" s="258"/>
      <c r="KNA4" s="258"/>
      <c r="KNB4" s="258"/>
      <c r="KNC4" s="258"/>
      <c r="KND4" s="258"/>
      <c r="KNE4" s="258"/>
      <c r="KNF4" s="258"/>
      <c r="KNG4" s="258"/>
      <c r="KNH4" s="258"/>
      <c r="KNI4" s="258"/>
      <c r="KNJ4" s="258"/>
      <c r="KNK4" s="258"/>
      <c r="KNL4" s="258"/>
      <c r="KNM4" s="258"/>
      <c r="KNN4" s="258"/>
      <c r="KNO4" s="258"/>
      <c r="KNP4" s="258"/>
      <c r="KNQ4" s="258"/>
      <c r="KNR4" s="258"/>
      <c r="KNS4" s="258"/>
      <c r="KNT4" s="258"/>
      <c r="KNU4" s="258"/>
      <c r="KNV4" s="258"/>
      <c r="KNW4" s="258"/>
      <c r="KNX4" s="258"/>
      <c r="KNY4" s="258"/>
      <c r="KNZ4" s="258"/>
      <c r="KOA4" s="258"/>
      <c r="KOB4" s="258"/>
      <c r="KOC4" s="258"/>
      <c r="KOD4" s="258"/>
      <c r="KOE4" s="258"/>
      <c r="KOF4" s="258"/>
      <c r="KOG4" s="258"/>
      <c r="KOH4" s="258"/>
      <c r="KOI4" s="258"/>
      <c r="KOJ4" s="258"/>
      <c r="KOK4" s="258"/>
      <c r="KOL4" s="258"/>
      <c r="KOM4" s="258"/>
      <c r="KON4" s="258"/>
      <c r="KOO4" s="258"/>
      <c r="KOP4" s="258"/>
      <c r="KOQ4" s="258"/>
      <c r="KOR4" s="258"/>
      <c r="KOS4" s="258"/>
      <c r="KOT4" s="258"/>
      <c r="KOU4" s="258"/>
      <c r="KOV4" s="258"/>
      <c r="KOW4" s="258"/>
      <c r="KOX4" s="258"/>
      <c r="KOY4" s="258"/>
      <c r="KOZ4" s="258"/>
      <c r="KPA4" s="258"/>
      <c r="KPB4" s="258"/>
      <c r="KPC4" s="258"/>
      <c r="KPD4" s="258"/>
      <c r="KPE4" s="258"/>
      <c r="KPF4" s="258"/>
      <c r="KPG4" s="258"/>
      <c r="KPH4" s="258"/>
      <c r="KPI4" s="258"/>
      <c r="KPJ4" s="258"/>
      <c r="KPK4" s="258"/>
      <c r="KPL4" s="258"/>
      <c r="KPM4" s="258"/>
      <c r="KPN4" s="258"/>
      <c r="KPO4" s="258"/>
      <c r="KPP4" s="258"/>
      <c r="KPQ4" s="258"/>
      <c r="KPR4" s="258"/>
      <c r="KPS4" s="258"/>
      <c r="KPT4" s="258"/>
      <c r="KPU4" s="258"/>
      <c r="KPV4" s="258"/>
      <c r="KPW4" s="258"/>
      <c r="KPX4" s="258"/>
      <c r="KPY4" s="258"/>
      <c r="KPZ4" s="258"/>
      <c r="KQA4" s="258"/>
      <c r="KQB4" s="258"/>
      <c r="KQC4" s="258"/>
      <c r="KQD4" s="258"/>
      <c r="KQE4" s="258"/>
      <c r="KQF4" s="258"/>
      <c r="KQG4" s="258"/>
      <c r="KQH4" s="258"/>
      <c r="KQI4" s="258"/>
      <c r="KQJ4" s="258"/>
      <c r="KQK4" s="258"/>
      <c r="KQL4" s="258"/>
      <c r="KQM4" s="258"/>
      <c r="KQN4" s="258"/>
      <c r="KQO4" s="258"/>
      <c r="KQP4" s="258"/>
      <c r="KQQ4" s="258"/>
      <c r="KQR4" s="258"/>
      <c r="KQS4" s="258"/>
      <c r="KQT4" s="258"/>
      <c r="KQU4" s="258"/>
      <c r="KQV4" s="258"/>
      <c r="KQW4" s="258"/>
      <c r="KQX4" s="258"/>
      <c r="KQY4" s="258"/>
      <c r="KQZ4" s="258"/>
      <c r="KRA4" s="258"/>
      <c r="KRB4" s="258"/>
      <c r="KRC4" s="258"/>
      <c r="KRD4" s="258"/>
      <c r="KRE4" s="258"/>
      <c r="KRF4" s="258"/>
      <c r="KRG4" s="258"/>
      <c r="KRH4" s="258"/>
      <c r="KRI4" s="258"/>
      <c r="KRJ4" s="258"/>
      <c r="KRK4" s="258"/>
      <c r="KRL4" s="258"/>
      <c r="KRM4" s="258"/>
      <c r="KRN4" s="258"/>
      <c r="KRO4" s="258"/>
      <c r="KRP4" s="258"/>
      <c r="KRQ4" s="258"/>
      <c r="KRR4" s="258"/>
      <c r="KRS4" s="258"/>
      <c r="KRT4" s="258"/>
      <c r="KRU4" s="258"/>
      <c r="KRV4" s="258"/>
      <c r="KRW4" s="258"/>
      <c r="KRX4" s="258"/>
      <c r="KRY4" s="258"/>
      <c r="KRZ4" s="258"/>
      <c r="KSA4" s="258"/>
      <c r="KSB4" s="258"/>
      <c r="KSC4" s="258"/>
      <c r="KSD4" s="258"/>
      <c r="KSE4" s="258"/>
      <c r="KSF4" s="258"/>
      <c r="KSG4" s="258"/>
      <c r="KSH4" s="258"/>
      <c r="KSI4" s="258"/>
      <c r="KSJ4" s="258"/>
      <c r="KSK4" s="258"/>
      <c r="KSL4" s="258"/>
      <c r="KSM4" s="258"/>
      <c r="KSN4" s="258"/>
      <c r="KSO4" s="258"/>
      <c r="KSP4" s="258"/>
      <c r="KSQ4" s="258"/>
      <c r="KSR4" s="258"/>
      <c r="KSS4" s="258"/>
      <c r="KST4" s="258"/>
      <c r="KSU4" s="258"/>
      <c r="KSV4" s="258"/>
      <c r="KSW4" s="258"/>
      <c r="KSX4" s="258"/>
      <c r="KSY4" s="258"/>
      <c r="KSZ4" s="258"/>
      <c r="KTA4" s="258"/>
      <c r="KTB4" s="258"/>
      <c r="KTC4" s="258"/>
      <c r="KTD4" s="258"/>
      <c r="KTE4" s="258"/>
      <c r="KTF4" s="258"/>
      <c r="KTG4" s="258"/>
      <c r="KTH4" s="258"/>
      <c r="KTI4" s="258"/>
      <c r="KTJ4" s="258"/>
      <c r="KTK4" s="258"/>
      <c r="KTL4" s="258"/>
      <c r="KTM4" s="258"/>
      <c r="KTN4" s="258"/>
      <c r="KTO4" s="258"/>
      <c r="KTP4" s="258"/>
      <c r="KTQ4" s="258"/>
      <c r="KTR4" s="258"/>
      <c r="KTS4" s="258"/>
      <c r="KTT4" s="258"/>
      <c r="KTU4" s="258"/>
      <c r="KTV4" s="258"/>
      <c r="KTW4" s="258"/>
      <c r="KTX4" s="258"/>
      <c r="KTY4" s="258"/>
      <c r="KTZ4" s="258"/>
      <c r="KUA4" s="258"/>
      <c r="KUB4" s="258"/>
      <c r="KUC4" s="258"/>
      <c r="KUD4" s="258"/>
      <c r="KUE4" s="258"/>
      <c r="KUF4" s="258"/>
      <c r="KUG4" s="258"/>
      <c r="KUH4" s="258"/>
      <c r="KUI4" s="258"/>
      <c r="KUJ4" s="258"/>
      <c r="KUK4" s="258"/>
      <c r="KUL4" s="258"/>
      <c r="KUM4" s="258"/>
      <c r="KUN4" s="258"/>
      <c r="KUO4" s="258"/>
      <c r="KUP4" s="258"/>
      <c r="KUQ4" s="258"/>
      <c r="KUR4" s="258"/>
      <c r="KUS4" s="258"/>
      <c r="KUT4" s="258"/>
      <c r="KUU4" s="258"/>
      <c r="KUV4" s="258"/>
      <c r="KUW4" s="258"/>
      <c r="KUX4" s="258"/>
      <c r="KUY4" s="258"/>
      <c r="KUZ4" s="258"/>
      <c r="KVA4" s="258"/>
      <c r="KVB4" s="258"/>
      <c r="KVC4" s="258"/>
      <c r="KVD4" s="258"/>
      <c r="KVE4" s="258"/>
      <c r="KVF4" s="258"/>
      <c r="KVG4" s="258"/>
      <c r="KVH4" s="258"/>
      <c r="KVI4" s="258"/>
      <c r="KVJ4" s="258"/>
      <c r="KVK4" s="258"/>
      <c r="KVL4" s="258"/>
      <c r="KVM4" s="258"/>
      <c r="KVN4" s="258"/>
      <c r="KVO4" s="258"/>
      <c r="KVP4" s="258"/>
      <c r="KVQ4" s="258"/>
      <c r="KVR4" s="258"/>
      <c r="KVS4" s="258"/>
      <c r="KVT4" s="258"/>
      <c r="KVU4" s="258"/>
      <c r="KVV4" s="258"/>
      <c r="KVW4" s="258"/>
      <c r="KVX4" s="258"/>
      <c r="KVY4" s="258"/>
      <c r="KVZ4" s="258"/>
      <c r="KWA4" s="258"/>
      <c r="KWB4" s="258"/>
      <c r="KWC4" s="258"/>
      <c r="KWD4" s="258"/>
      <c r="KWE4" s="258"/>
      <c r="KWF4" s="258"/>
      <c r="KWG4" s="258"/>
      <c r="KWH4" s="258"/>
      <c r="KWI4" s="258"/>
      <c r="KWJ4" s="258"/>
      <c r="KWK4" s="258"/>
      <c r="KWL4" s="258"/>
      <c r="KWM4" s="258"/>
      <c r="KWN4" s="258"/>
      <c r="KWO4" s="258"/>
      <c r="KWP4" s="258"/>
      <c r="KWQ4" s="258"/>
      <c r="KWR4" s="258"/>
      <c r="KWS4" s="258"/>
      <c r="KWT4" s="258"/>
      <c r="KWU4" s="258"/>
      <c r="KWV4" s="258"/>
      <c r="KWW4" s="258"/>
      <c r="KWX4" s="258"/>
      <c r="KWY4" s="258"/>
      <c r="KWZ4" s="258"/>
      <c r="KXA4" s="258"/>
      <c r="KXB4" s="258"/>
      <c r="KXC4" s="258"/>
      <c r="KXD4" s="258"/>
      <c r="KXE4" s="258"/>
      <c r="KXF4" s="258"/>
      <c r="KXG4" s="258"/>
      <c r="KXH4" s="258"/>
      <c r="KXI4" s="258"/>
      <c r="KXJ4" s="258"/>
      <c r="KXK4" s="258"/>
      <c r="KXL4" s="258"/>
      <c r="KXM4" s="258"/>
      <c r="KXN4" s="258"/>
      <c r="KXO4" s="258"/>
      <c r="KXP4" s="258"/>
      <c r="KXQ4" s="258"/>
      <c r="KXR4" s="258"/>
      <c r="KXS4" s="258"/>
      <c r="KXT4" s="258"/>
      <c r="KXU4" s="258"/>
      <c r="KXV4" s="258"/>
      <c r="KXW4" s="258"/>
      <c r="KXX4" s="258"/>
      <c r="KXY4" s="258"/>
      <c r="KXZ4" s="258"/>
      <c r="KYA4" s="258"/>
      <c r="KYB4" s="258"/>
      <c r="KYC4" s="258"/>
      <c r="KYD4" s="258"/>
      <c r="KYE4" s="258"/>
      <c r="KYF4" s="258"/>
      <c r="KYG4" s="258"/>
      <c r="KYH4" s="258"/>
      <c r="KYI4" s="258"/>
      <c r="KYJ4" s="258"/>
      <c r="KYK4" s="258"/>
      <c r="KYL4" s="258"/>
      <c r="KYM4" s="258"/>
      <c r="KYN4" s="258"/>
      <c r="KYO4" s="258"/>
      <c r="KYP4" s="258"/>
      <c r="KYQ4" s="258"/>
      <c r="KYR4" s="258"/>
      <c r="KYS4" s="258"/>
      <c r="KYT4" s="258"/>
      <c r="KYU4" s="258"/>
      <c r="KYV4" s="258"/>
      <c r="KYW4" s="258"/>
      <c r="KYX4" s="258"/>
      <c r="KYY4" s="258"/>
      <c r="KYZ4" s="258"/>
      <c r="KZA4" s="258"/>
      <c r="KZB4" s="258"/>
      <c r="KZC4" s="258"/>
      <c r="KZD4" s="258"/>
      <c r="KZE4" s="258"/>
      <c r="KZF4" s="258"/>
      <c r="KZG4" s="258"/>
      <c r="KZH4" s="258"/>
      <c r="KZI4" s="258"/>
      <c r="KZJ4" s="258"/>
      <c r="KZK4" s="258"/>
      <c r="KZL4" s="258"/>
      <c r="KZM4" s="258"/>
      <c r="KZN4" s="258"/>
      <c r="KZO4" s="258"/>
      <c r="KZP4" s="258"/>
      <c r="KZQ4" s="258"/>
      <c r="KZR4" s="258"/>
      <c r="KZS4" s="258"/>
      <c r="KZT4" s="258"/>
      <c r="KZU4" s="258"/>
      <c r="KZV4" s="258"/>
      <c r="KZW4" s="258"/>
      <c r="KZX4" s="258"/>
      <c r="KZY4" s="258"/>
      <c r="KZZ4" s="258"/>
      <c r="LAA4" s="258"/>
      <c r="LAB4" s="258"/>
      <c r="LAC4" s="258"/>
      <c r="LAD4" s="258"/>
      <c r="LAE4" s="258"/>
      <c r="LAF4" s="258"/>
      <c r="LAG4" s="258"/>
      <c r="LAH4" s="258"/>
      <c r="LAI4" s="258"/>
      <c r="LAJ4" s="258"/>
      <c r="LAK4" s="258"/>
      <c r="LAL4" s="258"/>
      <c r="LAM4" s="258"/>
      <c r="LAN4" s="258"/>
      <c r="LAO4" s="258"/>
      <c r="LAP4" s="258"/>
      <c r="LAQ4" s="258"/>
      <c r="LAR4" s="258"/>
      <c r="LAS4" s="258"/>
      <c r="LAT4" s="258"/>
      <c r="LAU4" s="258"/>
      <c r="LAV4" s="258"/>
      <c r="LAW4" s="258"/>
      <c r="LAX4" s="258"/>
      <c r="LAY4" s="258"/>
      <c r="LAZ4" s="258"/>
      <c r="LBA4" s="258"/>
      <c r="LBB4" s="258"/>
      <c r="LBC4" s="258"/>
      <c r="LBD4" s="258"/>
      <c r="LBE4" s="258"/>
      <c r="LBF4" s="258"/>
      <c r="LBG4" s="258"/>
      <c r="LBH4" s="258"/>
      <c r="LBI4" s="258"/>
      <c r="LBJ4" s="258"/>
      <c r="LBK4" s="258"/>
      <c r="LBL4" s="258"/>
      <c r="LBM4" s="258"/>
      <c r="LBN4" s="258"/>
      <c r="LBO4" s="258"/>
      <c r="LBP4" s="258"/>
      <c r="LBQ4" s="258"/>
      <c r="LBR4" s="258"/>
      <c r="LBS4" s="258"/>
      <c r="LBT4" s="258"/>
      <c r="LBU4" s="258"/>
      <c r="LBV4" s="258"/>
      <c r="LBW4" s="258"/>
      <c r="LBX4" s="258"/>
      <c r="LBY4" s="258"/>
      <c r="LBZ4" s="258"/>
      <c r="LCA4" s="258"/>
      <c r="LCB4" s="258"/>
      <c r="LCC4" s="258"/>
      <c r="LCD4" s="258"/>
      <c r="LCE4" s="258"/>
      <c r="LCF4" s="258"/>
      <c r="LCG4" s="258"/>
      <c r="LCH4" s="258"/>
      <c r="LCI4" s="258"/>
      <c r="LCJ4" s="258"/>
      <c r="LCK4" s="258"/>
      <c r="LCL4" s="258"/>
      <c r="LCM4" s="258"/>
      <c r="LCN4" s="258"/>
      <c r="LCO4" s="258"/>
      <c r="LCP4" s="258"/>
      <c r="LCQ4" s="258"/>
      <c r="LCR4" s="258"/>
      <c r="LCS4" s="258"/>
      <c r="LCT4" s="258"/>
      <c r="LCU4" s="258"/>
      <c r="LCV4" s="258"/>
      <c r="LCW4" s="258"/>
      <c r="LCX4" s="258"/>
      <c r="LCY4" s="258"/>
      <c r="LCZ4" s="258"/>
      <c r="LDA4" s="258"/>
      <c r="LDB4" s="258"/>
      <c r="LDC4" s="258"/>
      <c r="LDD4" s="258"/>
      <c r="LDE4" s="258"/>
      <c r="LDF4" s="258"/>
      <c r="LDG4" s="258"/>
      <c r="LDH4" s="258"/>
      <c r="LDI4" s="258"/>
      <c r="LDJ4" s="258"/>
      <c r="LDK4" s="258"/>
      <c r="LDL4" s="258"/>
      <c r="LDM4" s="258"/>
      <c r="LDN4" s="258"/>
      <c r="LDO4" s="258"/>
      <c r="LDP4" s="258"/>
      <c r="LDQ4" s="258"/>
      <c r="LDR4" s="258"/>
      <c r="LDS4" s="258"/>
      <c r="LDT4" s="258"/>
      <c r="LDU4" s="258"/>
      <c r="LDV4" s="258"/>
      <c r="LDW4" s="258"/>
      <c r="LDX4" s="258"/>
      <c r="LDY4" s="258"/>
      <c r="LDZ4" s="258"/>
      <c r="LEA4" s="258"/>
      <c r="LEB4" s="258"/>
      <c r="LEC4" s="258"/>
      <c r="LED4" s="258"/>
      <c r="LEE4" s="258"/>
      <c r="LEF4" s="258"/>
      <c r="LEG4" s="258"/>
      <c r="LEH4" s="258"/>
      <c r="LEI4" s="258"/>
      <c r="LEJ4" s="258"/>
      <c r="LEK4" s="258"/>
      <c r="LEL4" s="258"/>
      <c r="LEM4" s="258"/>
      <c r="LEN4" s="258"/>
      <c r="LEO4" s="258"/>
      <c r="LEP4" s="258"/>
      <c r="LEQ4" s="258"/>
      <c r="LER4" s="258"/>
      <c r="LES4" s="258"/>
      <c r="LET4" s="258"/>
      <c r="LEU4" s="258"/>
      <c r="LEV4" s="258"/>
      <c r="LEW4" s="258"/>
      <c r="LEX4" s="258"/>
      <c r="LEY4" s="258"/>
      <c r="LEZ4" s="258"/>
      <c r="LFA4" s="258"/>
      <c r="LFB4" s="258"/>
      <c r="LFC4" s="258"/>
      <c r="LFD4" s="258"/>
      <c r="LFE4" s="258"/>
      <c r="LFF4" s="258"/>
      <c r="LFG4" s="258"/>
      <c r="LFH4" s="258"/>
      <c r="LFI4" s="258"/>
      <c r="LFJ4" s="258"/>
      <c r="LFK4" s="258"/>
      <c r="LFL4" s="258"/>
      <c r="LFM4" s="258"/>
      <c r="LFN4" s="258"/>
      <c r="LFO4" s="258"/>
      <c r="LFP4" s="258"/>
      <c r="LFQ4" s="258"/>
      <c r="LFR4" s="258"/>
      <c r="LFS4" s="258"/>
      <c r="LFT4" s="258"/>
      <c r="LFU4" s="258"/>
      <c r="LFV4" s="258"/>
      <c r="LFW4" s="258"/>
      <c r="LFX4" s="258"/>
      <c r="LFY4" s="258"/>
      <c r="LFZ4" s="258"/>
      <c r="LGA4" s="258"/>
      <c r="LGB4" s="258"/>
      <c r="LGC4" s="258"/>
      <c r="LGD4" s="258"/>
      <c r="LGE4" s="258"/>
      <c r="LGF4" s="258"/>
      <c r="LGG4" s="258"/>
      <c r="LGH4" s="258"/>
      <c r="LGI4" s="258"/>
      <c r="LGJ4" s="258"/>
      <c r="LGK4" s="258"/>
      <c r="LGL4" s="258"/>
      <c r="LGM4" s="258"/>
      <c r="LGN4" s="258"/>
      <c r="LGO4" s="258"/>
      <c r="LGP4" s="258"/>
      <c r="LGQ4" s="258"/>
      <c r="LGR4" s="258"/>
      <c r="LGS4" s="258"/>
      <c r="LGT4" s="258"/>
      <c r="LGU4" s="258"/>
      <c r="LGV4" s="258"/>
      <c r="LGW4" s="258"/>
      <c r="LGX4" s="258"/>
      <c r="LGY4" s="258"/>
      <c r="LGZ4" s="258"/>
      <c r="LHA4" s="258"/>
      <c r="LHB4" s="258"/>
      <c r="LHC4" s="258"/>
      <c r="LHD4" s="258"/>
      <c r="LHE4" s="258"/>
      <c r="LHF4" s="258"/>
      <c r="LHG4" s="258"/>
      <c r="LHH4" s="258"/>
      <c r="LHI4" s="258"/>
      <c r="LHJ4" s="258"/>
      <c r="LHK4" s="258"/>
      <c r="LHL4" s="258"/>
      <c r="LHM4" s="258"/>
      <c r="LHN4" s="258"/>
      <c r="LHO4" s="258"/>
      <c r="LHP4" s="258"/>
      <c r="LHQ4" s="258"/>
      <c r="LHR4" s="258"/>
      <c r="LHS4" s="258"/>
      <c r="LHT4" s="258"/>
      <c r="LHU4" s="258"/>
      <c r="LHV4" s="258"/>
      <c r="LHW4" s="258"/>
      <c r="LHX4" s="258"/>
      <c r="LHY4" s="258"/>
      <c r="LHZ4" s="258"/>
      <c r="LIA4" s="258"/>
      <c r="LIB4" s="258"/>
      <c r="LIC4" s="258"/>
      <c r="LID4" s="258"/>
      <c r="LIE4" s="258"/>
      <c r="LIF4" s="258"/>
      <c r="LIG4" s="258"/>
      <c r="LIH4" s="258"/>
      <c r="LII4" s="258"/>
      <c r="LIJ4" s="258"/>
      <c r="LIK4" s="258"/>
      <c r="LIL4" s="258"/>
      <c r="LIM4" s="258"/>
      <c r="LIN4" s="258"/>
      <c r="LIO4" s="258"/>
      <c r="LIP4" s="258"/>
      <c r="LIQ4" s="258"/>
      <c r="LIR4" s="258"/>
      <c r="LIS4" s="258"/>
      <c r="LIT4" s="258"/>
      <c r="LIU4" s="258"/>
      <c r="LIV4" s="258"/>
      <c r="LIW4" s="258"/>
      <c r="LIX4" s="258"/>
      <c r="LIY4" s="258"/>
      <c r="LIZ4" s="258"/>
      <c r="LJA4" s="258"/>
      <c r="LJB4" s="258"/>
      <c r="LJC4" s="258"/>
      <c r="LJD4" s="258"/>
      <c r="LJE4" s="258"/>
      <c r="LJF4" s="258"/>
      <c r="LJG4" s="258"/>
      <c r="LJH4" s="258"/>
      <c r="LJI4" s="258"/>
      <c r="LJJ4" s="258"/>
      <c r="LJK4" s="258"/>
      <c r="LJL4" s="258"/>
      <c r="LJM4" s="258"/>
      <c r="LJN4" s="258"/>
      <c r="LJO4" s="258"/>
      <c r="LJP4" s="258"/>
      <c r="LJQ4" s="258"/>
      <c r="LJR4" s="258"/>
      <c r="LJS4" s="258"/>
      <c r="LJT4" s="258"/>
      <c r="LJU4" s="258"/>
      <c r="LJV4" s="258"/>
      <c r="LJW4" s="258"/>
      <c r="LJX4" s="258"/>
      <c r="LJY4" s="258"/>
      <c r="LJZ4" s="258"/>
      <c r="LKA4" s="258"/>
      <c r="LKB4" s="258"/>
      <c r="LKC4" s="258"/>
      <c r="LKD4" s="258"/>
      <c r="LKE4" s="258"/>
      <c r="LKF4" s="258"/>
      <c r="LKG4" s="258"/>
      <c r="LKH4" s="258"/>
      <c r="LKI4" s="258"/>
      <c r="LKJ4" s="258"/>
      <c r="LKK4" s="258"/>
      <c r="LKL4" s="258"/>
      <c r="LKM4" s="258"/>
      <c r="LKN4" s="258"/>
      <c r="LKO4" s="258"/>
      <c r="LKP4" s="258"/>
      <c r="LKQ4" s="258"/>
      <c r="LKR4" s="258"/>
      <c r="LKS4" s="258"/>
      <c r="LKT4" s="258"/>
      <c r="LKU4" s="258"/>
      <c r="LKV4" s="258"/>
      <c r="LKW4" s="258"/>
      <c r="LKX4" s="258"/>
      <c r="LKY4" s="258"/>
      <c r="LKZ4" s="258"/>
      <c r="LLA4" s="258"/>
      <c r="LLB4" s="258"/>
      <c r="LLC4" s="258"/>
      <c r="LLD4" s="258"/>
      <c r="LLE4" s="258"/>
      <c r="LLF4" s="258"/>
      <c r="LLG4" s="258"/>
      <c r="LLH4" s="258"/>
      <c r="LLI4" s="258"/>
      <c r="LLJ4" s="258"/>
      <c r="LLK4" s="258"/>
      <c r="LLL4" s="258"/>
      <c r="LLM4" s="258"/>
      <c r="LLN4" s="258"/>
      <c r="LLO4" s="258"/>
      <c r="LLP4" s="258"/>
      <c r="LLQ4" s="258"/>
      <c r="LLR4" s="258"/>
      <c r="LLS4" s="258"/>
      <c r="LLT4" s="258"/>
      <c r="LLU4" s="258"/>
      <c r="LLV4" s="258"/>
      <c r="LLW4" s="258"/>
      <c r="LLX4" s="258"/>
      <c r="LLY4" s="258"/>
      <c r="LLZ4" s="258"/>
      <c r="LMA4" s="258"/>
      <c r="LMB4" s="258"/>
      <c r="LMC4" s="258"/>
      <c r="LMD4" s="258"/>
      <c r="LME4" s="258"/>
      <c r="LMF4" s="258"/>
      <c r="LMG4" s="258"/>
      <c r="LMH4" s="258"/>
      <c r="LMI4" s="258"/>
      <c r="LMJ4" s="258"/>
      <c r="LMK4" s="258"/>
      <c r="LML4" s="258"/>
      <c r="LMM4" s="258"/>
      <c r="LMN4" s="258"/>
      <c r="LMO4" s="258"/>
      <c r="LMP4" s="258"/>
      <c r="LMQ4" s="258"/>
      <c r="LMR4" s="258"/>
      <c r="LMS4" s="258"/>
      <c r="LMT4" s="258"/>
      <c r="LMU4" s="258"/>
      <c r="LMV4" s="258"/>
      <c r="LMW4" s="258"/>
      <c r="LMX4" s="258"/>
      <c r="LMY4" s="258"/>
      <c r="LMZ4" s="258"/>
      <c r="LNA4" s="258"/>
      <c r="LNB4" s="258"/>
      <c r="LNC4" s="258"/>
      <c r="LND4" s="258"/>
      <c r="LNE4" s="258"/>
      <c r="LNF4" s="258"/>
      <c r="LNG4" s="258"/>
      <c r="LNH4" s="258"/>
      <c r="LNI4" s="258"/>
      <c r="LNJ4" s="258"/>
      <c r="LNK4" s="258"/>
      <c r="LNL4" s="258"/>
      <c r="LNM4" s="258"/>
      <c r="LNN4" s="258"/>
      <c r="LNO4" s="258"/>
      <c r="LNP4" s="258"/>
      <c r="LNQ4" s="258"/>
      <c r="LNR4" s="258"/>
      <c r="LNS4" s="258"/>
      <c r="LNT4" s="258"/>
      <c r="LNU4" s="258"/>
      <c r="LNV4" s="258"/>
      <c r="LNW4" s="258"/>
      <c r="LNX4" s="258"/>
      <c r="LNY4" s="258"/>
      <c r="LNZ4" s="258"/>
      <c r="LOA4" s="258"/>
      <c r="LOB4" s="258"/>
      <c r="LOC4" s="258"/>
      <c r="LOD4" s="258"/>
      <c r="LOE4" s="258"/>
      <c r="LOF4" s="258"/>
      <c r="LOG4" s="258"/>
      <c r="LOH4" s="258"/>
      <c r="LOI4" s="258"/>
      <c r="LOJ4" s="258"/>
      <c r="LOK4" s="258"/>
      <c r="LOL4" s="258"/>
      <c r="LOM4" s="258"/>
      <c r="LON4" s="258"/>
      <c r="LOO4" s="258"/>
      <c r="LOP4" s="258"/>
      <c r="LOQ4" s="258"/>
      <c r="LOR4" s="258"/>
      <c r="LOS4" s="258"/>
      <c r="LOT4" s="258"/>
      <c r="LOU4" s="258"/>
      <c r="LOV4" s="258"/>
      <c r="LOW4" s="258"/>
      <c r="LOX4" s="258"/>
      <c r="LOY4" s="258"/>
      <c r="LOZ4" s="258"/>
      <c r="LPA4" s="258"/>
      <c r="LPB4" s="258"/>
      <c r="LPC4" s="258"/>
      <c r="LPD4" s="258"/>
      <c r="LPE4" s="258"/>
      <c r="LPF4" s="258"/>
      <c r="LPG4" s="258"/>
      <c r="LPH4" s="258"/>
      <c r="LPI4" s="258"/>
      <c r="LPJ4" s="258"/>
      <c r="LPK4" s="258"/>
      <c r="LPL4" s="258"/>
      <c r="LPM4" s="258"/>
      <c r="LPN4" s="258"/>
      <c r="LPO4" s="258"/>
      <c r="LPP4" s="258"/>
      <c r="LPQ4" s="258"/>
      <c r="LPR4" s="258"/>
      <c r="LPS4" s="258"/>
      <c r="LPT4" s="258"/>
      <c r="LPU4" s="258"/>
      <c r="LPV4" s="258"/>
      <c r="LPW4" s="258"/>
      <c r="LPX4" s="258"/>
      <c r="LPY4" s="258"/>
      <c r="LPZ4" s="258"/>
      <c r="LQA4" s="258"/>
      <c r="LQB4" s="258"/>
      <c r="LQC4" s="258"/>
      <c r="LQD4" s="258"/>
      <c r="LQE4" s="258"/>
      <c r="LQF4" s="258"/>
      <c r="LQG4" s="258"/>
      <c r="LQH4" s="258"/>
      <c r="LQI4" s="258"/>
      <c r="LQJ4" s="258"/>
      <c r="LQK4" s="258"/>
      <c r="LQL4" s="258"/>
      <c r="LQM4" s="258"/>
      <c r="LQN4" s="258"/>
      <c r="LQO4" s="258"/>
      <c r="LQP4" s="258"/>
      <c r="LQQ4" s="258"/>
      <c r="LQR4" s="258"/>
      <c r="LQS4" s="258"/>
      <c r="LQT4" s="258"/>
      <c r="LQU4" s="258"/>
      <c r="LQV4" s="258"/>
      <c r="LQW4" s="258"/>
      <c r="LQX4" s="258"/>
      <c r="LQY4" s="258"/>
      <c r="LQZ4" s="258"/>
      <c r="LRA4" s="258"/>
      <c r="LRB4" s="258"/>
      <c r="LRC4" s="258"/>
      <c r="LRD4" s="258"/>
      <c r="LRE4" s="258"/>
      <c r="LRF4" s="258"/>
      <c r="LRG4" s="258"/>
      <c r="LRH4" s="258"/>
      <c r="LRI4" s="258"/>
      <c r="LRJ4" s="258"/>
      <c r="LRK4" s="258"/>
      <c r="LRL4" s="258"/>
      <c r="LRM4" s="258"/>
      <c r="LRN4" s="258"/>
      <c r="LRO4" s="258"/>
      <c r="LRP4" s="258"/>
      <c r="LRQ4" s="258"/>
      <c r="LRR4" s="258"/>
      <c r="LRS4" s="258"/>
      <c r="LRT4" s="258"/>
      <c r="LRU4" s="258"/>
      <c r="LRV4" s="258"/>
      <c r="LRW4" s="258"/>
      <c r="LRX4" s="258"/>
      <c r="LRY4" s="258"/>
      <c r="LRZ4" s="258"/>
      <c r="LSA4" s="258"/>
      <c r="LSB4" s="258"/>
      <c r="LSC4" s="258"/>
      <c r="LSD4" s="258"/>
      <c r="LSE4" s="258"/>
      <c r="LSF4" s="258"/>
      <c r="LSG4" s="258"/>
      <c r="LSH4" s="258"/>
      <c r="LSI4" s="258"/>
      <c r="LSJ4" s="258"/>
      <c r="LSK4" s="258"/>
      <c r="LSL4" s="258"/>
      <c r="LSM4" s="258"/>
      <c r="LSN4" s="258"/>
      <c r="LSO4" s="258"/>
      <c r="LSP4" s="258"/>
      <c r="LSQ4" s="258"/>
      <c r="LSR4" s="258"/>
      <c r="LSS4" s="258"/>
      <c r="LST4" s="258"/>
      <c r="LSU4" s="258"/>
      <c r="LSV4" s="258"/>
      <c r="LSW4" s="258"/>
      <c r="LSX4" s="258"/>
      <c r="LSY4" s="258"/>
      <c r="LSZ4" s="258"/>
      <c r="LTA4" s="258"/>
      <c r="LTB4" s="258"/>
      <c r="LTC4" s="258"/>
      <c r="LTD4" s="258"/>
      <c r="LTE4" s="258"/>
      <c r="LTF4" s="258"/>
      <c r="LTG4" s="258"/>
      <c r="LTH4" s="258"/>
      <c r="LTI4" s="258"/>
      <c r="LTJ4" s="258"/>
      <c r="LTK4" s="258"/>
      <c r="LTL4" s="258"/>
      <c r="LTM4" s="258"/>
      <c r="LTN4" s="258"/>
      <c r="LTO4" s="258"/>
      <c r="LTP4" s="258"/>
      <c r="LTQ4" s="258"/>
      <c r="LTR4" s="258"/>
      <c r="LTS4" s="258"/>
      <c r="LTT4" s="258"/>
      <c r="LTU4" s="258"/>
      <c r="LTV4" s="258"/>
      <c r="LTW4" s="258"/>
      <c r="LTX4" s="258"/>
      <c r="LTY4" s="258"/>
      <c r="LTZ4" s="258"/>
      <c r="LUA4" s="258"/>
      <c r="LUB4" s="258"/>
      <c r="LUC4" s="258"/>
      <c r="LUD4" s="258"/>
      <c r="LUE4" s="258"/>
      <c r="LUF4" s="258"/>
      <c r="LUG4" s="258"/>
      <c r="LUH4" s="258"/>
      <c r="LUI4" s="258"/>
      <c r="LUJ4" s="258"/>
      <c r="LUK4" s="258"/>
      <c r="LUL4" s="258"/>
      <c r="LUM4" s="258"/>
      <c r="LUN4" s="258"/>
      <c r="LUO4" s="258"/>
      <c r="LUP4" s="258"/>
      <c r="LUQ4" s="258"/>
      <c r="LUR4" s="258"/>
      <c r="LUS4" s="258"/>
      <c r="LUT4" s="258"/>
      <c r="LUU4" s="258"/>
      <c r="LUV4" s="258"/>
      <c r="LUW4" s="258"/>
      <c r="LUX4" s="258"/>
      <c r="LUY4" s="258"/>
      <c r="LUZ4" s="258"/>
      <c r="LVA4" s="258"/>
      <c r="LVB4" s="258"/>
      <c r="LVC4" s="258"/>
      <c r="LVD4" s="258"/>
      <c r="LVE4" s="258"/>
      <c r="LVF4" s="258"/>
      <c r="LVG4" s="258"/>
      <c r="LVH4" s="258"/>
      <c r="LVI4" s="258"/>
      <c r="LVJ4" s="258"/>
      <c r="LVK4" s="258"/>
      <c r="LVL4" s="258"/>
      <c r="LVM4" s="258"/>
      <c r="LVN4" s="258"/>
      <c r="LVO4" s="258"/>
      <c r="LVP4" s="258"/>
      <c r="LVQ4" s="258"/>
      <c r="LVR4" s="258"/>
      <c r="LVS4" s="258"/>
      <c r="LVT4" s="258"/>
      <c r="LVU4" s="258"/>
      <c r="LVV4" s="258"/>
      <c r="LVW4" s="258"/>
      <c r="LVX4" s="258"/>
      <c r="LVY4" s="258"/>
      <c r="LVZ4" s="258"/>
      <c r="LWA4" s="258"/>
      <c r="LWB4" s="258"/>
      <c r="LWC4" s="258"/>
      <c r="LWD4" s="258"/>
      <c r="LWE4" s="258"/>
      <c r="LWF4" s="258"/>
      <c r="LWG4" s="258"/>
      <c r="LWH4" s="258"/>
      <c r="LWI4" s="258"/>
      <c r="LWJ4" s="258"/>
      <c r="LWK4" s="258"/>
      <c r="LWL4" s="258"/>
      <c r="LWM4" s="258"/>
      <c r="LWN4" s="258"/>
      <c r="LWO4" s="258"/>
      <c r="LWP4" s="258"/>
      <c r="LWQ4" s="258"/>
      <c r="LWR4" s="258"/>
      <c r="LWS4" s="258"/>
      <c r="LWT4" s="258"/>
      <c r="LWU4" s="258"/>
      <c r="LWV4" s="258"/>
      <c r="LWW4" s="258"/>
      <c r="LWX4" s="258"/>
      <c r="LWY4" s="258"/>
      <c r="LWZ4" s="258"/>
      <c r="LXA4" s="258"/>
      <c r="LXB4" s="258"/>
      <c r="LXC4" s="258"/>
      <c r="LXD4" s="258"/>
      <c r="LXE4" s="258"/>
      <c r="LXF4" s="258"/>
      <c r="LXG4" s="258"/>
      <c r="LXH4" s="258"/>
      <c r="LXI4" s="258"/>
      <c r="LXJ4" s="258"/>
      <c r="LXK4" s="258"/>
      <c r="LXL4" s="258"/>
      <c r="LXM4" s="258"/>
      <c r="LXN4" s="258"/>
      <c r="LXO4" s="258"/>
      <c r="LXP4" s="258"/>
      <c r="LXQ4" s="258"/>
      <c r="LXR4" s="258"/>
      <c r="LXS4" s="258"/>
      <c r="LXT4" s="258"/>
      <c r="LXU4" s="258"/>
      <c r="LXV4" s="258"/>
      <c r="LXW4" s="258"/>
      <c r="LXX4" s="258"/>
      <c r="LXY4" s="258"/>
      <c r="LXZ4" s="258"/>
      <c r="LYA4" s="258"/>
      <c r="LYB4" s="258"/>
      <c r="LYC4" s="258"/>
      <c r="LYD4" s="258"/>
      <c r="LYE4" s="258"/>
      <c r="LYF4" s="258"/>
      <c r="LYG4" s="258"/>
      <c r="LYH4" s="258"/>
      <c r="LYI4" s="258"/>
      <c r="LYJ4" s="258"/>
      <c r="LYK4" s="258"/>
      <c r="LYL4" s="258"/>
      <c r="LYM4" s="258"/>
      <c r="LYN4" s="258"/>
      <c r="LYO4" s="258"/>
      <c r="LYP4" s="258"/>
      <c r="LYQ4" s="258"/>
      <c r="LYR4" s="258"/>
      <c r="LYS4" s="258"/>
      <c r="LYT4" s="258"/>
      <c r="LYU4" s="258"/>
      <c r="LYV4" s="258"/>
      <c r="LYW4" s="258"/>
      <c r="LYX4" s="258"/>
      <c r="LYY4" s="258"/>
      <c r="LYZ4" s="258"/>
      <c r="LZA4" s="258"/>
      <c r="LZB4" s="258"/>
      <c r="LZC4" s="258"/>
      <c r="LZD4" s="258"/>
      <c r="LZE4" s="258"/>
      <c r="LZF4" s="258"/>
      <c r="LZG4" s="258"/>
      <c r="LZH4" s="258"/>
      <c r="LZI4" s="258"/>
      <c r="LZJ4" s="258"/>
      <c r="LZK4" s="258"/>
      <c r="LZL4" s="258"/>
      <c r="LZM4" s="258"/>
      <c r="LZN4" s="258"/>
      <c r="LZO4" s="258"/>
      <c r="LZP4" s="258"/>
      <c r="LZQ4" s="258"/>
      <c r="LZR4" s="258"/>
      <c r="LZS4" s="258"/>
      <c r="LZT4" s="258"/>
      <c r="LZU4" s="258"/>
      <c r="LZV4" s="258"/>
      <c r="LZW4" s="258"/>
      <c r="LZX4" s="258"/>
      <c r="LZY4" s="258"/>
      <c r="LZZ4" s="258"/>
      <c r="MAA4" s="258"/>
      <c r="MAB4" s="258"/>
      <c r="MAC4" s="258"/>
      <c r="MAD4" s="258"/>
      <c r="MAE4" s="258"/>
      <c r="MAF4" s="258"/>
      <c r="MAG4" s="258"/>
      <c r="MAH4" s="258"/>
      <c r="MAI4" s="258"/>
      <c r="MAJ4" s="258"/>
      <c r="MAK4" s="258"/>
      <c r="MAL4" s="258"/>
      <c r="MAM4" s="258"/>
      <c r="MAN4" s="258"/>
      <c r="MAO4" s="258"/>
      <c r="MAP4" s="258"/>
      <c r="MAQ4" s="258"/>
      <c r="MAR4" s="258"/>
      <c r="MAS4" s="258"/>
      <c r="MAT4" s="258"/>
      <c r="MAU4" s="258"/>
      <c r="MAV4" s="258"/>
      <c r="MAW4" s="258"/>
      <c r="MAX4" s="258"/>
      <c r="MAY4" s="258"/>
      <c r="MAZ4" s="258"/>
      <c r="MBA4" s="258"/>
      <c r="MBB4" s="258"/>
      <c r="MBC4" s="258"/>
      <c r="MBD4" s="258"/>
      <c r="MBE4" s="258"/>
      <c r="MBF4" s="258"/>
      <c r="MBG4" s="258"/>
      <c r="MBH4" s="258"/>
      <c r="MBI4" s="258"/>
      <c r="MBJ4" s="258"/>
      <c r="MBK4" s="258"/>
      <c r="MBL4" s="258"/>
      <c r="MBM4" s="258"/>
      <c r="MBN4" s="258"/>
      <c r="MBO4" s="258"/>
      <c r="MBP4" s="258"/>
      <c r="MBQ4" s="258"/>
      <c r="MBR4" s="258"/>
      <c r="MBS4" s="258"/>
      <c r="MBT4" s="258"/>
      <c r="MBU4" s="258"/>
      <c r="MBV4" s="258"/>
      <c r="MBW4" s="258"/>
      <c r="MBX4" s="258"/>
      <c r="MBY4" s="258"/>
      <c r="MBZ4" s="258"/>
      <c r="MCA4" s="258"/>
      <c r="MCB4" s="258"/>
      <c r="MCC4" s="258"/>
      <c r="MCD4" s="258"/>
      <c r="MCE4" s="258"/>
      <c r="MCF4" s="258"/>
      <c r="MCG4" s="258"/>
      <c r="MCH4" s="258"/>
      <c r="MCI4" s="258"/>
      <c r="MCJ4" s="258"/>
      <c r="MCK4" s="258"/>
      <c r="MCL4" s="258"/>
      <c r="MCM4" s="258"/>
      <c r="MCN4" s="258"/>
      <c r="MCO4" s="258"/>
      <c r="MCP4" s="258"/>
      <c r="MCQ4" s="258"/>
      <c r="MCR4" s="258"/>
      <c r="MCS4" s="258"/>
      <c r="MCT4" s="258"/>
      <c r="MCU4" s="258"/>
      <c r="MCV4" s="258"/>
      <c r="MCW4" s="258"/>
      <c r="MCX4" s="258"/>
      <c r="MCY4" s="258"/>
      <c r="MCZ4" s="258"/>
      <c r="MDA4" s="258"/>
      <c r="MDB4" s="258"/>
      <c r="MDC4" s="258"/>
      <c r="MDD4" s="258"/>
      <c r="MDE4" s="258"/>
      <c r="MDF4" s="258"/>
      <c r="MDG4" s="258"/>
      <c r="MDH4" s="258"/>
      <c r="MDI4" s="258"/>
      <c r="MDJ4" s="258"/>
      <c r="MDK4" s="258"/>
      <c r="MDL4" s="258"/>
      <c r="MDM4" s="258"/>
      <c r="MDN4" s="258"/>
      <c r="MDO4" s="258"/>
      <c r="MDP4" s="258"/>
      <c r="MDQ4" s="258"/>
      <c r="MDR4" s="258"/>
      <c r="MDS4" s="258"/>
      <c r="MDT4" s="258"/>
      <c r="MDU4" s="258"/>
      <c r="MDV4" s="258"/>
      <c r="MDW4" s="258"/>
      <c r="MDX4" s="258"/>
      <c r="MDY4" s="258"/>
      <c r="MDZ4" s="258"/>
      <c r="MEA4" s="258"/>
      <c r="MEB4" s="258"/>
      <c r="MEC4" s="258"/>
      <c r="MED4" s="258"/>
      <c r="MEE4" s="258"/>
      <c r="MEF4" s="258"/>
      <c r="MEG4" s="258"/>
      <c r="MEH4" s="258"/>
      <c r="MEI4" s="258"/>
      <c r="MEJ4" s="258"/>
      <c r="MEK4" s="258"/>
      <c r="MEL4" s="258"/>
      <c r="MEM4" s="258"/>
      <c r="MEN4" s="258"/>
      <c r="MEO4" s="258"/>
      <c r="MEP4" s="258"/>
      <c r="MEQ4" s="258"/>
      <c r="MER4" s="258"/>
      <c r="MES4" s="258"/>
      <c r="MET4" s="258"/>
      <c r="MEU4" s="258"/>
      <c r="MEV4" s="258"/>
      <c r="MEW4" s="258"/>
      <c r="MEX4" s="258"/>
      <c r="MEY4" s="258"/>
      <c r="MEZ4" s="258"/>
      <c r="MFA4" s="258"/>
      <c r="MFB4" s="258"/>
      <c r="MFC4" s="258"/>
      <c r="MFD4" s="258"/>
      <c r="MFE4" s="258"/>
      <c r="MFF4" s="258"/>
      <c r="MFG4" s="258"/>
      <c r="MFH4" s="258"/>
      <c r="MFI4" s="258"/>
      <c r="MFJ4" s="258"/>
      <c r="MFK4" s="258"/>
      <c r="MFL4" s="258"/>
      <c r="MFM4" s="258"/>
      <c r="MFN4" s="258"/>
      <c r="MFO4" s="258"/>
      <c r="MFP4" s="258"/>
      <c r="MFQ4" s="258"/>
      <c r="MFR4" s="258"/>
      <c r="MFS4" s="258"/>
      <c r="MFT4" s="258"/>
      <c r="MFU4" s="258"/>
      <c r="MFV4" s="258"/>
      <c r="MFW4" s="258"/>
      <c r="MFX4" s="258"/>
      <c r="MFY4" s="258"/>
      <c r="MFZ4" s="258"/>
      <c r="MGA4" s="258"/>
      <c r="MGB4" s="258"/>
      <c r="MGC4" s="258"/>
      <c r="MGD4" s="258"/>
      <c r="MGE4" s="258"/>
      <c r="MGF4" s="258"/>
      <c r="MGG4" s="258"/>
      <c r="MGH4" s="258"/>
      <c r="MGI4" s="258"/>
      <c r="MGJ4" s="258"/>
      <c r="MGK4" s="258"/>
      <c r="MGL4" s="258"/>
      <c r="MGM4" s="258"/>
      <c r="MGN4" s="258"/>
      <c r="MGO4" s="258"/>
      <c r="MGP4" s="258"/>
      <c r="MGQ4" s="258"/>
      <c r="MGR4" s="258"/>
      <c r="MGS4" s="258"/>
      <c r="MGT4" s="258"/>
      <c r="MGU4" s="258"/>
      <c r="MGV4" s="258"/>
      <c r="MGW4" s="258"/>
      <c r="MGX4" s="258"/>
      <c r="MGY4" s="258"/>
      <c r="MGZ4" s="258"/>
      <c r="MHA4" s="258"/>
      <c r="MHB4" s="258"/>
      <c r="MHC4" s="258"/>
      <c r="MHD4" s="258"/>
      <c r="MHE4" s="258"/>
      <c r="MHF4" s="258"/>
      <c r="MHG4" s="258"/>
      <c r="MHH4" s="258"/>
      <c r="MHI4" s="258"/>
      <c r="MHJ4" s="258"/>
      <c r="MHK4" s="258"/>
      <c r="MHL4" s="258"/>
      <c r="MHM4" s="258"/>
      <c r="MHN4" s="258"/>
      <c r="MHO4" s="258"/>
      <c r="MHP4" s="258"/>
      <c r="MHQ4" s="258"/>
      <c r="MHR4" s="258"/>
      <c r="MHS4" s="258"/>
      <c r="MHT4" s="258"/>
      <c r="MHU4" s="258"/>
      <c r="MHV4" s="258"/>
      <c r="MHW4" s="258"/>
      <c r="MHX4" s="258"/>
      <c r="MHY4" s="258"/>
      <c r="MHZ4" s="258"/>
      <c r="MIA4" s="258"/>
      <c r="MIB4" s="258"/>
      <c r="MIC4" s="258"/>
      <c r="MID4" s="258"/>
      <c r="MIE4" s="258"/>
      <c r="MIF4" s="258"/>
      <c r="MIG4" s="258"/>
      <c r="MIH4" s="258"/>
      <c r="MII4" s="258"/>
      <c r="MIJ4" s="258"/>
      <c r="MIK4" s="258"/>
      <c r="MIL4" s="258"/>
      <c r="MIM4" s="258"/>
      <c r="MIN4" s="258"/>
      <c r="MIO4" s="258"/>
      <c r="MIP4" s="258"/>
      <c r="MIQ4" s="258"/>
      <c r="MIR4" s="258"/>
      <c r="MIS4" s="258"/>
      <c r="MIT4" s="258"/>
      <c r="MIU4" s="258"/>
      <c r="MIV4" s="258"/>
      <c r="MIW4" s="258"/>
      <c r="MIX4" s="258"/>
      <c r="MIY4" s="258"/>
      <c r="MIZ4" s="258"/>
      <c r="MJA4" s="258"/>
      <c r="MJB4" s="258"/>
      <c r="MJC4" s="258"/>
      <c r="MJD4" s="258"/>
      <c r="MJE4" s="258"/>
      <c r="MJF4" s="258"/>
      <c r="MJG4" s="258"/>
      <c r="MJH4" s="258"/>
      <c r="MJI4" s="258"/>
      <c r="MJJ4" s="258"/>
      <c r="MJK4" s="258"/>
      <c r="MJL4" s="258"/>
      <c r="MJM4" s="258"/>
      <c r="MJN4" s="258"/>
      <c r="MJO4" s="258"/>
      <c r="MJP4" s="258"/>
      <c r="MJQ4" s="258"/>
      <c r="MJR4" s="258"/>
      <c r="MJS4" s="258"/>
      <c r="MJT4" s="258"/>
      <c r="MJU4" s="258"/>
      <c r="MJV4" s="258"/>
      <c r="MJW4" s="258"/>
      <c r="MJX4" s="258"/>
      <c r="MJY4" s="258"/>
      <c r="MJZ4" s="258"/>
      <c r="MKA4" s="258"/>
      <c r="MKB4" s="258"/>
      <c r="MKC4" s="258"/>
      <c r="MKD4" s="258"/>
      <c r="MKE4" s="258"/>
      <c r="MKF4" s="258"/>
      <c r="MKG4" s="258"/>
      <c r="MKH4" s="258"/>
      <c r="MKI4" s="258"/>
      <c r="MKJ4" s="258"/>
      <c r="MKK4" s="258"/>
      <c r="MKL4" s="258"/>
      <c r="MKM4" s="258"/>
      <c r="MKN4" s="258"/>
      <c r="MKO4" s="258"/>
      <c r="MKP4" s="258"/>
      <c r="MKQ4" s="258"/>
      <c r="MKR4" s="258"/>
      <c r="MKS4" s="258"/>
      <c r="MKT4" s="258"/>
      <c r="MKU4" s="258"/>
      <c r="MKV4" s="258"/>
      <c r="MKW4" s="258"/>
      <c r="MKX4" s="258"/>
      <c r="MKY4" s="258"/>
      <c r="MKZ4" s="258"/>
      <c r="MLA4" s="258"/>
      <c r="MLB4" s="258"/>
      <c r="MLC4" s="258"/>
      <c r="MLD4" s="258"/>
      <c r="MLE4" s="258"/>
      <c r="MLF4" s="258"/>
      <c r="MLG4" s="258"/>
      <c r="MLH4" s="258"/>
      <c r="MLI4" s="258"/>
      <c r="MLJ4" s="258"/>
      <c r="MLK4" s="258"/>
      <c r="MLL4" s="258"/>
      <c r="MLM4" s="258"/>
      <c r="MLN4" s="258"/>
      <c r="MLO4" s="258"/>
      <c r="MLP4" s="258"/>
      <c r="MLQ4" s="258"/>
      <c r="MLR4" s="258"/>
      <c r="MLS4" s="258"/>
      <c r="MLT4" s="258"/>
      <c r="MLU4" s="258"/>
      <c r="MLV4" s="258"/>
      <c r="MLW4" s="258"/>
      <c r="MLX4" s="258"/>
      <c r="MLY4" s="258"/>
      <c r="MLZ4" s="258"/>
      <c r="MMA4" s="258"/>
      <c r="MMB4" s="258"/>
      <c r="MMC4" s="258"/>
      <c r="MMD4" s="258"/>
      <c r="MME4" s="258"/>
      <c r="MMF4" s="258"/>
      <c r="MMG4" s="258"/>
      <c r="MMH4" s="258"/>
      <c r="MMI4" s="258"/>
      <c r="MMJ4" s="258"/>
      <c r="MMK4" s="258"/>
      <c r="MML4" s="258"/>
      <c r="MMM4" s="258"/>
      <c r="MMN4" s="258"/>
      <c r="MMO4" s="258"/>
      <c r="MMP4" s="258"/>
      <c r="MMQ4" s="258"/>
      <c r="MMR4" s="258"/>
      <c r="MMS4" s="258"/>
      <c r="MMT4" s="258"/>
      <c r="MMU4" s="258"/>
      <c r="MMV4" s="258"/>
      <c r="MMW4" s="258"/>
      <c r="MMX4" s="258"/>
      <c r="MMY4" s="258"/>
      <c r="MMZ4" s="258"/>
      <c r="MNA4" s="258"/>
      <c r="MNB4" s="258"/>
      <c r="MNC4" s="258"/>
      <c r="MND4" s="258"/>
      <c r="MNE4" s="258"/>
      <c r="MNF4" s="258"/>
      <c r="MNG4" s="258"/>
      <c r="MNH4" s="258"/>
      <c r="MNI4" s="258"/>
      <c r="MNJ4" s="258"/>
      <c r="MNK4" s="258"/>
      <c r="MNL4" s="258"/>
      <c r="MNM4" s="258"/>
      <c r="MNN4" s="258"/>
      <c r="MNO4" s="258"/>
      <c r="MNP4" s="258"/>
      <c r="MNQ4" s="258"/>
      <c r="MNR4" s="258"/>
      <c r="MNS4" s="258"/>
      <c r="MNT4" s="258"/>
      <c r="MNU4" s="258"/>
      <c r="MNV4" s="258"/>
      <c r="MNW4" s="258"/>
      <c r="MNX4" s="258"/>
      <c r="MNY4" s="258"/>
      <c r="MNZ4" s="258"/>
      <c r="MOA4" s="258"/>
      <c r="MOB4" s="258"/>
      <c r="MOC4" s="258"/>
      <c r="MOD4" s="258"/>
      <c r="MOE4" s="258"/>
      <c r="MOF4" s="258"/>
      <c r="MOG4" s="258"/>
      <c r="MOH4" s="258"/>
      <c r="MOI4" s="258"/>
      <c r="MOJ4" s="258"/>
      <c r="MOK4" s="258"/>
      <c r="MOL4" s="258"/>
      <c r="MOM4" s="258"/>
      <c r="MON4" s="258"/>
      <c r="MOO4" s="258"/>
      <c r="MOP4" s="258"/>
      <c r="MOQ4" s="258"/>
      <c r="MOR4" s="258"/>
      <c r="MOS4" s="258"/>
      <c r="MOT4" s="258"/>
      <c r="MOU4" s="258"/>
      <c r="MOV4" s="258"/>
      <c r="MOW4" s="258"/>
      <c r="MOX4" s="258"/>
      <c r="MOY4" s="258"/>
      <c r="MOZ4" s="258"/>
      <c r="MPA4" s="258"/>
      <c r="MPB4" s="258"/>
      <c r="MPC4" s="258"/>
      <c r="MPD4" s="258"/>
      <c r="MPE4" s="258"/>
      <c r="MPF4" s="258"/>
      <c r="MPG4" s="258"/>
      <c r="MPH4" s="258"/>
      <c r="MPI4" s="258"/>
      <c r="MPJ4" s="258"/>
      <c r="MPK4" s="258"/>
      <c r="MPL4" s="258"/>
      <c r="MPM4" s="258"/>
      <c r="MPN4" s="258"/>
      <c r="MPO4" s="258"/>
      <c r="MPP4" s="258"/>
      <c r="MPQ4" s="258"/>
      <c r="MPR4" s="258"/>
      <c r="MPS4" s="258"/>
      <c r="MPT4" s="258"/>
      <c r="MPU4" s="258"/>
      <c r="MPV4" s="258"/>
      <c r="MPW4" s="258"/>
      <c r="MPX4" s="258"/>
      <c r="MPY4" s="258"/>
      <c r="MPZ4" s="258"/>
      <c r="MQA4" s="258"/>
      <c r="MQB4" s="258"/>
      <c r="MQC4" s="258"/>
      <c r="MQD4" s="258"/>
      <c r="MQE4" s="258"/>
      <c r="MQF4" s="258"/>
      <c r="MQG4" s="258"/>
      <c r="MQH4" s="258"/>
      <c r="MQI4" s="258"/>
      <c r="MQJ4" s="258"/>
      <c r="MQK4" s="258"/>
      <c r="MQL4" s="258"/>
      <c r="MQM4" s="258"/>
      <c r="MQN4" s="258"/>
      <c r="MQO4" s="258"/>
      <c r="MQP4" s="258"/>
      <c r="MQQ4" s="258"/>
      <c r="MQR4" s="258"/>
      <c r="MQS4" s="258"/>
      <c r="MQT4" s="258"/>
      <c r="MQU4" s="258"/>
      <c r="MQV4" s="258"/>
      <c r="MQW4" s="258"/>
      <c r="MQX4" s="258"/>
      <c r="MQY4" s="258"/>
      <c r="MQZ4" s="258"/>
      <c r="MRA4" s="258"/>
      <c r="MRB4" s="258"/>
      <c r="MRC4" s="258"/>
      <c r="MRD4" s="258"/>
      <c r="MRE4" s="258"/>
      <c r="MRF4" s="258"/>
      <c r="MRG4" s="258"/>
      <c r="MRH4" s="258"/>
      <c r="MRI4" s="258"/>
      <c r="MRJ4" s="258"/>
      <c r="MRK4" s="258"/>
      <c r="MRL4" s="258"/>
      <c r="MRM4" s="258"/>
      <c r="MRN4" s="258"/>
      <c r="MRO4" s="258"/>
      <c r="MRP4" s="258"/>
      <c r="MRQ4" s="258"/>
      <c r="MRR4" s="258"/>
      <c r="MRS4" s="258"/>
      <c r="MRT4" s="258"/>
      <c r="MRU4" s="258"/>
      <c r="MRV4" s="258"/>
      <c r="MRW4" s="258"/>
      <c r="MRX4" s="258"/>
      <c r="MRY4" s="258"/>
      <c r="MRZ4" s="258"/>
      <c r="MSA4" s="258"/>
      <c r="MSB4" s="258"/>
      <c r="MSC4" s="258"/>
      <c r="MSD4" s="258"/>
      <c r="MSE4" s="258"/>
      <c r="MSF4" s="258"/>
      <c r="MSG4" s="258"/>
      <c r="MSH4" s="258"/>
      <c r="MSI4" s="258"/>
      <c r="MSJ4" s="258"/>
      <c r="MSK4" s="258"/>
      <c r="MSL4" s="258"/>
      <c r="MSM4" s="258"/>
      <c r="MSN4" s="258"/>
      <c r="MSO4" s="258"/>
      <c r="MSP4" s="258"/>
      <c r="MSQ4" s="258"/>
      <c r="MSR4" s="258"/>
      <c r="MSS4" s="258"/>
      <c r="MST4" s="258"/>
      <c r="MSU4" s="258"/>
      <c r="MSV4" s="258"/>
      <c r="MSW4" s="258"/>
      <c r="MSX4" s="258"/>
      <c r="MSY4" s="258"/>
      <c r="MSZ4" s="258"/>
      <c r="MTA4" s="258"/>
      <c r="MTB4" s="258"/>
      <c r="MTC4" s="258"/>
      <c r="MTD4" s="258"/>
      <c r="MTE4" s="258"/>
      <c r="MTF4" s="258"/>
      <c r="MTG4" s="258"/>
      <c r="MTH4" s="258"/>
      <c r="MTI4" s="258"/>
      <c r="MTJ4" s="258"/>
      <c r="MTK4" s="258"/>
      <c r="MTL4" s="258"/>
      <c r="MTM4" s="258"/>
      <c r="MTN4" s="258"/>
      <c r="MTO4" s="258"/>
      <c r="MTP4" s="258"/>
      <c r="MTQ4" s="258"/>
      <c r="MTR4" s="258"/>
      <c r="MTS4" s="258"/>
      <c r="MTT4" s="258"/>
      <c r="MTU4" s="258"/>
      <c r="MTV4" s="258"/>
      <c r="MTW4" s="258"/>
      <c r="MTX4" s="258"/>
      <c r="MTY4" s="258"/>
      <c r="MTZ4" s="258"/>
      <c r="MUA4" s="258"/>
      <c r="MUB4" s="258"/>
      <c r="MUC4" s="258"/>
      <c r="MUD4" s="258"/>
      <c r="MUE4" s="258"/>
      <c r="MUF4" s="258"/>
      <c r="MUG4" s="258"/>
      <c r="MUH4" s="258"/>
      <c r="MUI4" s="258"/>
      <c r="MUJ4" s="258"/>
      <c r="MUK4" s="258"/>
      <c r="MUL4" s="258"/>
      <c r="MUM4" s="258"/>
      <c r="MUN4" s="258"/>
      <c r="MUO4" s="258"/>
      <c r="MUP4" s="258"/>
      <c r="MUQ4" s="258"/>
      <c r="MUR4" s="258"/>
      <c r="MUS4" s="258"/>
      <c r="MUT4" s="258"/>
      <c r="MUU4" s="258"/>
      <c r="MUV4" s="258"/>
      <c r="MUW4" s="258"/>
      <c r="MUX4" s="258"/>
      <c r="MUY4" s="258"/>
      <c r="MUZ4" s="258"/>
      <c r="MVA4" s="258"/>
      <c r="MVB4" s="258"/>
      <c r="MVC4" s="258"/>
      <c r="MVD4" s="258"/>
      <c r="MVE4" s="258"/>
      <c r="MVF4" s="258"/>
      <c r="MVG4" s="258"/>
      <c r="MVH4" s="258"/>
      <c r="MVI4" s="258"/>
      <c r="MVJ4" s="258"/>
      <c r="MVK4" s="258"/>
      <c r="MVL4" s="258"/>
      <c r="MVM4" s="258"/>
      <c r="MVN4" s="258"/>
      <c r="MVO4" s="258"/>
      <c r="MVP4" s="258"/>
      <c r="MVQ4" s="258"/>
      <c r="MVR4" s="258"/>
      <c r="MVS4" s="258"/>
      <c r="MVT4" s="258"/>
      <c r="MVU4" s="258"/>
      <c r="MVV4" s="258"/>
      <c r="MVW4" s="258"/>
      <c r="MVX4" s="258"/>
      <c r="MVY4" s="258"/>
      <c r="MVZ4" s="258"/>
      <c r="MWA4" s="258"/>
      <c r="MWB4" s="258"/>
      <c r="MWC4" s="258"/>
      <c r="MWD4" s="258"/>
      <c r="MWE4" s="258"/>
      <c r="MWF4" s="258"/>
      <c r="MWG4" s="258"/>
      <c r="MWH4" s="258"/>
      <c r="MWI4" s="258"/>
      <c r="MWJ4" s="258"/>
      <c r="MWK4" s="258"/>
      <c r="MWL4" s="258"/>
      <c r="MWM4" s="258"/>
      <c r="MWN4" s="258"/>
      <c r="MWO4" s="258"/>
      <c r="MWP4" s="258"/>
      <c r="MWQ4" s="258"/>
      <c r="MWR4" s="258"/>
      <c r="MWS4" s="258"/>
      <c r="MWT4" s="258"/>
      <c r="MWU4" s="258"/>
      <c r="MWV4" s="258"/>
      <c r="MWW4" s="258"/>
      <c r="MWX4" s="258"/>
      <c r="MWY4" s="258"/>
      <c r="MWZ4" s="258"/>
      <c r="MXA4" s="258"/>
      <c r="MXB4" s="258"/>
      <c r="MXC4" s="258"/>
      <c r="MXD4" s="258"/>
      <c r="MXE4" s="258"/>
      <c r="MXF4" s="258"/>
      <c r="MXG4" s="258"/>
      <c r="MXH4" s="258"/>
      <c r="MXI4" s="258"/>
      <c r="MXJ4" s="258"/>
      <c r="MXK4" s="258"/>
      <c r="MXL4" s="258"/>
      <c r="MXM4" s="258"/>
      <c r="MXN4" s="258"/>
      <c r="MXO4" s="258"/>
      <c r="MXP4" s="258"/>
      <c r="MXQ4" s="258"/>
      <c r="MXR4" s="258"/>
      <c r="MXS4" s="258"/>
      <c r="MXT4" s="258"/>
      <c r="MXU4" s="258"/>
      <c r="MXV4" s="258"/>
      <c r="MXW4" s="258"/>
      <c r="MXX4" s="258"/>
      <c r="MXY4" s="258"/>
      <c r="MXZ4" s="258"/>
      <c r="MYA4" s="258"/>
      <c r="MYB4" s="258"/>
      <c r="MYC4" s="258"/>
      <c r="MYD4" s="258"/>
      <c r="MYE4" s="258"/>
      <c r="MYF4" s="258"/>
      <c r="MYG4" s="258"/>
      <c r="MYH4" s="258"/>
      <c r="MYI4" s="258"/>
      <c r="MYJ4" s="258"/>
      <c r="MYK4" s="258"/>
      <c r="MYL4" s="258"/>
      <c r="MYM4" s="258"/>
      <c r="MYN4" s="258"/>
      <c r="MYO4" s="258"/>
      <c r="MYP4" s="258"/>
      <c r="MYQ4" s="258"/>
      <c r="MYR4" s="258"/>
      <c r="MYS4" s="258"/>
      <c r="MYT4" s="258"/>
      <c r="MYU4" s="258"/>
      <c r="MYV4" s="258"/>
      <c r="MYW4" s="258"/>
      <c r="MYX4" s="258"/>
      <c r="MYY4" s="258"/>
      <c r="MYZ4" s="258"/>
      <c r="MZA4" s="258"/>
      <c r="MZB4" s="258"/>
      <c r="MZC4" s="258"/>
      <c r="MZD4" s="258"/>
      <c r="MZE4" s="258"/>
      <c r="MZF4" s="258"/>
      <c r="MZG4" s="258"/>
      <c r="MZH4" s="258"/>
      <c r="MZI4" s="258"/>
      <c r="MZJ4" s="258"/>
      <c r="MZK4" s="258"/>
      <c r="MZL4" s="258"/>
      <c r="MZM4" s="258"/>
      <c r="MZN4" s="258"/>
      <c r="MZO4" s="258"/>
      <c r="MZP4" s="258"/>
      <c r="MZQ4" s="258"/>
      <c r="MZR4" s="258"/>
      <c r="MZS4" s="258"/>
      <c r="MZT4" s="258"/>
      <c r="MZU4" s="258"/>
      <c r="MZV4" s="258"/>
      <c r="MZW4" s="258"/>
      <c r="MZX4" s="258"/>
      <c r="MZY4" s="258"/>
      <c r="MZZ4" s="258"/>
      <c r="NAA4" s="258"/>
      <c r="NAB4" s="258"/>
      <c r="NAC4" s="258"/>
      <c r="NAD4" s="258"/>
      <c r="NAE4" s="258"/>
      <c r="NAF4" s="258"/>
      <c r="NAG4" s="258"/>
      <c r="NAH4" s="258"/>
      <c r="NAI4" s="258"/>
      <c r="NAJ4" s="258"/>
      <c r="NAK4" s="258"/>
      <c r="NAL4" s="258"/>
      <c r="NAM4" s="258"/>
      <c r="NAN4" s="258"/>
      <c r="NAO4" s="258"/>
      <c r="NAP4" s="258"/>
      <c r="NAQ4" s="258"/>
      <c r="NAR4" s="258"/>
      <c r="NAS4" s="258"/>
      <c r="NAT4" s="258"/>
      <c r="NAU4" s="258"/>
      <c r="NAV4" s="258"/>
      <c r="NAW4" s="258"/>
      <c r="NAX4" s="258"/>
      <c r="NAY4" s="258"/>
      <c r="NAZ4" s="258"/>
      <c r="NBA4" s="258"/>
      <c r="NBB4" s="258"/>
      <c r="NBC4" s="258"/>
      <c r="NBD4" s="258"/>
      <c r="NBE4" s="258"/>
      <c r="NBF4" s="258"/>
      <c r="NBG4" s="258"/>
      <c r="NBH4" s="258"/>
      <c r="NBI4" s="258"/>
      <c r="NBJ4" s="258"/>
      <c r="NBK4" s="258"/>
      <c r="NBL4" s="258"/>
      <c r="NBM4" s="258"/>
      <c r="NBN4" s="258"/>
      <c r="NBO4" s="258"/>
      <c r="NBP4" s="258"/>
      <c r="NBQ4" s="258"/>
      <c r="NBR4" s="258"/>
      <c r="NBS4" s="258"/>
      <c r="NBT4" s="258"/>
      <c r="NBU4" s="258"/>
      <c r="NBV4" s="258"/>
      <c r="NBW4" s="258"/>
      <c r="NBX4" s="258"/>
      <c r="NBY4" s="258"/>
      <c r="NBZ4" s="258"/>
      <c r="NCA4" s="258"/>
      <c r="NCB4" s="258"/>
      <c r="NCC4" s="258"/>
      <c r="NCD4" s="258"/>
      <c r="NCE4" s="258"/>
      <c r="NCF4" s="258"/>
      <c r="NCG4" s="258"/>
      <c r="NCH4" s="258"/>
      <c r="NCI4" s="258"/>
      <c r="NCJ4" s="258"/>
      <c r="NCK4" s="258"/>
      <c r="NCL4" s="258"/>
      <c r="NCM4" s="258"/>
      <c r="NCN4" s="258"/>
      <c r="NCO4" s="258"/>
      <c r="NCP4" s="258"/>
      <c r="NCQ4" s="258"/>
      <c r="NCR4" s="258"/>
      <c r="NCS4" s="258"/>
      <c r="NCT4" s="258"/>
      <c r="NCU4" s="258"/>
      <c r="NCV4" s="258"/>
      <c r="NCW4" s="258"/>
      <c r="NCX4" s="258"/>
      <c r="NCY4" s="258"/>
      <c r="NCZ4" s="258"/>
      <c r="NDA4" s="258"/>
      <c r="NDB4" s="258"/>
      <c r="NDC4" s="258"/>
      <c r="NDD4" s="258"/>
      <c r="NDE4" s="258"/>
      <c r="NDF4" s="258"/>
      <c r="NDG4" s="258"/>
      <c r="NDH4" s="258"/>
      <c r="NDI4" s="258"/>
      <c r="NDJ4" s="258"/>
      <c r="NDK4" s="258"/>
      <c r="NDL4" s="258"/>
      <c r="NDM4" s="258"/>
      <c r="NDN4" s="258"/>
      <c r="NDO4" s="258"/>
      <c r="NDP4" s="258"/>
      <c r="NDQ4" s="258"/>
      <c r="NDR4" s="258"/>
      <c r="NDS4" s="258"/>
      <c r="NDT4" s="258"/>
      <c r="NDU4" s="258"/>
      <c r="NDV4" s="258"/>
      <c r="NDW4" s="258"/>
      <c r="NDX4" s="258"/>
      <c r="NDY4" s="258"/>
      <c r="NDZ4" s="258"/>
      <c r="NEA4" s="258"/>
      <c r="NEB4" s="258"/>
      <c r="NEC4" s="258"/>
      <c r="NED4" s="258"/>
      <c r="NEE4" s="258"/>
      <c r="NEF4" s="258"/>
      <c r="NEG4" s="258"/>
      <c r="NEH4" s="258"/>
      <c r="NEI4" s="258"/>
      <c r="NEJ4" s="258"/>
      <c r="NEK4" s="258"/>
      <c r="NEL4" s="258"/>
      <c r="NEM4" s="258"/>
      <c r="NEN4" s="258"/>
      <c r="NEO4" s="258"/>
      <c r="NEP4" s="258"/>
      <c r="NEQ4" s="258"/>
      <c r="NER4" s="258"/>
      <c r="NES4" s="258"/>
      <c r="NET4" s="258"/>
      <c r="NEU4" s="258"/>
      <c r="NEV4" s="258"/>
      <c r="NEW4" s="258"/>
      <c r="NEX4" s="258"/>
      <c r="NEY4" s="258"/>
      <c r="NEZ4" s="258"/>
      <c r="NFA4" s="258"/>
      <c r="NFB4" s="258"/>
      <c r="NFC4" s="258"/>
      <c r="NFD4" s="258"/>
      <c r="NFE4" s="258"/>
      <c r="NFF4" s="258"/>
      <c r="NFG4" s="258"/>
      <c r="NFH4" s="258"/>
      <c r="NFI4" s="258"/>
      <c r="NFJ4" s="258"/>
      <c r="NFK4" s="258"/>
      <c r="NFL4" s="258"/>
      <c r="NFM4" s="258"/>
      <c r="NFN4" s="258"/>
      <c r="NFO4" s="258"/>
      <c r="NFP4" s="258"/>
      <c r="NFQ4" s="258"/>
      <c r="NFR4" s="258"/>
      <c r="NFS4" s="258"/>
      <c r="NFT4" s="258"/>
      <c r="NFU4" s="258"/>
      <c r="NFV4" s="258"/>
      <c r="NFW4" s="258"/>
      <c r="NFX4" s="258"/>
      <c r="NFY4" s="258"/>
      <c r="NFZ4" s="258"/>
      <c r="NGA4" s="258"/>
      <c r="NGB4" s="258"/>
      <c r="NGC4" s="258"/>
      <c r="NGD4" s="258"/>
      <c r="NGE4" s="258"/>
      <c r="NGF4" s="258"/>
      <c r="NGG4" s="258"/>
      <c r="NGH4" s="258"/>
      <c r="NGI4" s="258"/>
      <c r="NGJ4" s="258"/>
      <c r="NGK4" s="258"/>
      <c r="NGL4" s="258"/>
      <c r="NGM4" s="258"/>
      <c r="NGN4" s="258"/>
      <c r="NGO4" s="258"/>
      <c r="NGP4" s="258"/>
      <c r="NGQ4" s="258"/>
      <c r="NGR4" s="258"/>
      <c r="NGS4" s="258"/>
      <c r="NGT4" s="258"/>
      <c r="NGU4" s="258"/>
      <c r="NGV4" s="258"/>
      <c r="NGW4" s="258"/>
      <c r="NGX4" s="258"/>
      <c r="NGY4" s="258"/>
      <c r="NGZ4" s="258"/>
      <c r="NHA4" s="258"/>
      <c r="NHB4" s="258"/>
      <c r="NHC4" s="258"/>
      <c r="NHD4" s="258"/>
      <c r="NHE4" s="258"/>
      <c r="NHF4" s="258"/>
      <c r="NHG4" s="258"/>
      <c r="NHH4" s="258"/>
      <c r="NHI4" s="258"/>
      <c r="NHJ4" s="258"/>
      <c r="NHK4" s="258"/>
      <c r="NHL4" s="258"/>
      <c r="NHM4" s="258"/>
      <c r="NHN4" s="258"/>
      <c r="NHO4" s="258"/>
      <c r="NHP4" s="258"/>
      <c r="NHQ4" s="258"/>
      <c r="NHR4" s="258"/>
      <c r="NHS4" s="258"/>
      <c r="NHT4" s="258"/>
      <c r="NHU4" s="258"/>
      <c r="NHV4" s="258"/>
      <c r="NHW4" s="258"/>
      <c r="NHX4" s="258"/>
      <c r="NHY4" s="258"/>
      <c r="NHZ4" s="258"/>
      <c r="NIA4" s="258"/>
      <c r="NIB4" s="258"/>
      <c r="NIC4" s="258"/>
      <c r="NID4" s="258"/>
      <c r="NIE4" s="258"/>
      <c r="NIF4" s="258"/>
      <c r="NIG4" s="258"/>
      <c r="NIH4" s="258"/>
      <c r="NII4" s="258"/>
      <c r="NIJ4" s="258"/>
      <c r="NIK4" s="258"/>
      <c r="NIL4" s="258"/>
      <c r="NIM4" s="258"/>
      <c r="NIN4" s="258"/>
      <c r="NIO4" s="258"/>
      <c r="NIP4" s="258"/>
      <c r="NIQ4" s="258"/>
      <c r="NIR4" s="258"/>
      <c r="NIS4" s="258"/>
      <c r="NIT4" s="258"/>
      <c r="NIU4" s="258"/>
      <c r="NIV4" s="258"/>
      <c r="NIW4" s="258"/>
      <c r="NIX4" s="258"/>
      <c r="NIY4" s="258"/>
      <c r="NIZ4" s="258"/>
      <c r="NJA4" s="258"/>
      <c r="NJB4" s="258"/>
      <c r="NJC4" s="258"/>
      <c r="NJD4" s="258"/>
      <c r="NJE4" s="258"/>
      <c r="NJF4" s="258"/>
      <c r="NJG4" s="258"/>
      <c r="NJH4" s="258"/>
      <c r="NJI4" s="258"/>
      <c r="NJJ4" s="258"/>
      <c r="NJK4" s="258"/>
      <c r="NJL4" s="258"/>
      <c r="NJM4" s="258"/>
      <c r="NJN4" s="258"/>
      <c r="NJO4" s="258"/>
      <c r="NJP4" s="258"/>
      <c r="NJQ4" s="258"/>
      <c r="NJR4" s="258"/>
      <c r="NJS4" s="258"/>
      <c r="NJT4" s="258"/>
      <c r="NJU4" s="258"/>
      <c r="NJV4" s="258"/>
      <c r="NJW4" s="258"/>
      <c r="NJX4" s="258"/>
      <c r="NJY4" s="258"/>
      <c r="NJZ4" s="258"/>
      <c r="NKA4" s="258"/>
      <c r="NKB4" s="258"/>
      <c r="NKC4" s="258"/>
      <c r="NKD4" s="258"/>
      <c r="NKE4" s="258"/>
      <c r="NKF4" s="258"/>
      <c r="NKG4" s="258"/>
      <c r="NKH4" s="258"/>
      <c r="NKI4" s="258"/>
      <c r="NKJ4" s="258"/>
      <c r="NKK4" s="258"/>
      <c r="NKL4" s="258"/>
      <c r="NKM4" s="258"/>
      <c r="NKN4" s="258"/>
      <c r="NKO4" s="258"/>
      <c r="NKP4" s="258"/>
      <c r="NKQ4" s="258"/>
      <c r="NKR4" s="258"/>
      <c r="NKS4" s="258"/>
      <c r="NKT4" s="258"/>
      <c r="NKU4" s="258"/>
      <c r="NKV4" s="258"/>
      <c r="NKW4" s="258"/>
      <c r="NKX4" s="258"/>
      <c r="NKY4" s="258"/>
      <c r="NKZ4" s="258"/>
      <c r="NLA4" s="258"/>
      <c r="NLB4" s="258"/>
      <c r="NLC4" s="258"/>
      <c r="NLD4" s="258"/>
      <c r="NLE4" s="258"/>
      <c r="NLF4" s="258"/>
      <c r="NLG4" s="258"/>
      <c r="NLH4" s="258"/>
      <c r="NLI4" s="258"/>
      <c r="NLJ4" s="258"/>
      <c r="NLK4" s="258"/>
      <c r="NLL4" s="258"/>
      <c r="NLM4" s="258"/>
      <c r="NLN4" s="258"/>
      <c r="NLO4" s="258"/>
      <c r="NLP4" s="258"/>
      <c r="NLQ4" s="258"/>
      <c r="NLR4" s="258"/>
      <c r="NLS4" s="258"/>
      <c r="NLT4" s="258"/>
      <c r="NLU4" s="258"/>
      <c r="NLV4" s="258"/>
      <c r="NLW4" s="258"/>
      <c r="NLX4" s="258"/>
      <c r="NLY4" s="258"/>
      <c r="NLZ4" s="258"/>
      <c r="NMA4" s="258"/>
      <c r="NMB4" s="258"/>
      <c r="NMC4" s="258"/>
      <c r="NMD4" s="258"/>
      <c r="NME4" s="258"/>
      <c r="NMF4" s="258"/>
      <c r="NMG4" s="258"/>
      <c r="NMH4" s="258"/>
      <c r="NMI4" s="258"/>
      <c r="NMJ4" s="258"/>
      <c r="NMK4" s="258"/>
      <c r="NML4" s="258"/>
      <c r="NMM4" s="258"/>
      <c r="NMN4" s="258"/>
      <c r="NMO4" s="258"/>
      <c r="NMP4" s="258"/>
      <c r="NMQ4" s="258"/>
      <c r="NMR4" s="258"/>
      <c r="NMS4" s="258"/>
      <c r="NMT4" s="258"/>
      <c r="NMU4" s="258"/>
      <c r="NMV4" s="258"/>
      <c r="NMW4" s="258"/>
      <c r="NMX4" s="258"/>
      <c r="NMY4" s="258"/>
      <c r="NMZ4" s="258"/>
      <c r="NNA4" s="258"/>
      <c r="NNB4" s="258"/>
      <c r="NNC4" s="258"/>
      <c r="NND4" s="258"/>
      <c r="NNE4" s="258"/>
      <c r="NNF4" s="258"/>
      <c r="NNG4" s="258"/>
      <c r="NNH4" s="258"/>
      <c r="NNI4" s="258"/>
      <c r="NNJ4" s="258"/>
      <c r="NNK4" s="258"/>
      <c r="NNL4" s="258"/>
      <c r="NNM4" s="258"/>
      <c r="NNN4" s="258"/>
      <c r="NNO4" s="258"/>
      <c r="NNP4" s="258"/>
      <c r="NNQ4" s="258"/>
      <c r="NNR4" s="258"/>
      <c r="NNS4" s="258"/>
      <c r="NNT4" s="258"/>
      <c r="NNU4" s="258"/>
      <c r="NNV4" s="258"/>
      <c r="NNW4" s="258"/>
      <c r="NNX4" s="258"/>
      <c r="NNY4" s="258"/>
      <c r="NNZ4" s="258"/>
      <c r="NOA4" s="258"/>
      <c r="NOB4" s="258"/>
      <c r="NOC4" s="258"/>
      <c r="NOD4" s="258"/>
      <c r="NOE4" s="258"/>
      <c r="NOF4" s="258"/>
      <c r="NOG4" s="258"/>
      <c r="NOH4" s="258"/>
      <c r="NOI4" s="258"/>
      <c r="NOJ4" s="258"/>
      <c r="NOK4" s="258"/>
      <c r="NOL4" s="258"/>
      <c r="NOM4" s="258"/>
      <c r="NON4" s="258"/>
      <c r="NOO4" s="258"/>
      <c r="NOP4" s="258"/>
      <c r="NOQ4" s="258"/>
      <c r="NOR4" s="258"/>
      <c r="NOS4" s="258"/>
      <c r="NOT4" s="258"/>
      <c r="NOU4" s="258"/>
      <c r="NOV4" s="258"/>
      <c r="NOW4" s="258"/>
      <c r="NOX4" s="258"/>
      <c r="NOY4" s="258"/>
      <c r="NOZ4" s="258"/>
      <c r="NPA4" s="258"/>
      <c r="NPB4" s="258"/>
      <c r="NPC4" s="258"/>
      <c r="NPD4" s="258"/>
      <c r="NPE4" s="258"/>
      <c r="NPF4" s="258"/>
      <c r="NPG4" s="258"/>
      <c r="NPH4" s="258"/>
      <c r="NPI4" s="258"/>
      <c r="NPJ4" s="258"/>
      <c r="NPK4" s="258"/>
      <c r="NPL4" s="258"/>
      <c r="NPM4" s="258"/>
      <c r="NPN4" s="258"/>
      <c r="NPO4" s="258"/>
      <c r="NPP4" s="258"/>
      <c r="NPQ4" s="258"/>
      <c r="NPR4" s="258"/>
      <c r="NPS4" s="258"/>
      <c r="NPT4" s="258"/>
      <c r="NPU4" s="258"/>
      <c r="NPV4" s="258"/>
      <c r="NPW4" s="258"/>
      <c r="NPX4" s="258"/>
      <c r="NPY4" s="258"/>
      <c r="NPZ4" s="258"/>
      <c r="NQA4" s="258"/>
      <c r="NQB4" s="258"/>
      <c r="NQC4" s="258"/>
      <c r="NQD4" s="258"/>
      <c r="NQE4" s="258"/>
      <c r="NQF4" s="258"/>
      <c r="NQG4" s="258"/>
      <c r="NQH4" s="258"/>
      <c r="NQI4" s="258"/>
      <c r="NQJ4" s="258"/>
      <c r="NQK4" s="258"/>
      <c r="NQL4" s="258"/>
      <c r="NQM4" s="258"/>
      <c r="NQN4" s="258"/>
      <c r="NQO4" s="258"/>
      <c r="NQP4" s="258"/>
      <c r="NQQ4" s="258"/>
      <c r="NQR4" s="258"/>
      <c r="NQS4" s="258"/>
      <c r="NQT4" s="258"/>
      <c r="NQU4" s="258"/>
      <c r="NQV4" s="258"/>
      <c r="NQW4" s="258"/>
      <c r="NQX4" s="258"/>
      <c r="NQY4" s="258"/>
      <c r="NQZ4" s="258"/>
      <c r="NRA4" s="258"/>
      <c r="NRB4" s="258"/>
      <c r="NRC4" s="258"/>
      <c r="NRD4" s="258"/>
      <c r="NRE4" s="258"/>
      <c r="NRF4" s="258"/>
      <c r="NRG4" s="258"/>
      <c r="NRH4" s="258"/>
      <c r="NRI4" s="258"/>
      <c r="NRJ4" s="258"/>
      <c r="NRK4" s="258"/>
      <c r="NRL4" s="258"/>
      <c r="NRM4" s="258"/>
      <c r="NRN4" s="258"/>
      <c r="NRO4" s="258"/>
      <c r="NRP4" s="258"/>
      <c r="NRQ4" s="258"/>
      <c r="NRR4" s="258"/>
      <c r="NRS4" s="258"/>
      <c r="NRT4" s="258"/>
      <c r="NRU4" s="258"/>
      <c r="NRV4" s="258"/>
      <c r="NRW4" s="258"/>
      <c r="NRX4" s="258"/>
      <c r="NRY4" s="258"/>
      <c r="NRZ4" s="258"/>
      <c r="NSA4" s="258"/>
      <c r="NSB4" s="258"/>
      <c r="NSC4" s="258"/>
      <c r="NSD4" s="258"/>
      <c r="NSE4" s="258"/>
      <c r="NSF4" s="258"/>
      <c r="NSG4" s="258"/>
      <c r="NSH4" s="258"/>
      <c r="NSI4" s="258"/>
      <c r="NSJ4" s="258"/>
      <c r="NSK4" s="258"/>
      <c r="NSL4" s="258"/>
      <c r="NSM4" s="258"/>
      <c r="NSN4" s="258"/>
      <c r="NSO4" s="258"/>
      <c r="NSP4" s="258"/>
      <c r="NSQ4" s="258"/>
      <c r="NSR4" s="258"/>
      <c r="NSS4" s="258"/>
      <c r="NST4" s="258"/>
      <c r="NSU4" s="258"/>
      <c r="NSV4" s="258"/>
      <c r="NSW4" s="258"/>
      <c r="NSX4" s="258"/>
      <c r="NSY4" s="258"/>
      <c r="NSZ4" s="258"/>
      <c r="NTA4" s="258"/>
      <c r="NTB4" s="258"/>
      <c r="NTC4" s="258"/>
      <c r="NTD4" s="258"/>
      <c r="NTE4" s="258"/>
      <c r="NTF4" s="258"/>
      <c r="NTG4" s="258"/>
      <c r="NTH4" s="258"/>
      <c r="NTI4" s="258"/>
      <c r="NTJ4" s="258"/>
      <c r="NTK4" s="258"/>
      <c r="NTL4" s="258"/>
      <c r="NTM4" s="258"/>
      <c r="NTN4" s="258"/>
      <c r="NTO4" s="258"/>
      <c r="NTP4" s="258"/>
      <c r="NTQ4" s="258"/>
      <c r="NTR4" s="258"/>
      <c r="NTS4" s="258"/>
      <c r="NTT4" s="258"/>
      <c r="NTU4" s="258"/>
      <c r="NTV4" s="258"/>
      <c r="NTW4" s="258"/>
      <c r="NTX4" s="258"/>
      <c r="NTY4" s="258"/>
      <c r="NTZ4" s="258"/>
      <c r="NUA4" s="258"/>
      <c r="NUB4" s="258"/>
      <c r="NUC4" s="258"/>
      <c r="NUD4" s="258"/>
      <c r="NUE4" s="258"/>
      <c r="NUF4" s="258"/>
      <c r="NUG4" s="258"/>
      <c r="NUH4" s="258"/>
      <c r="NUI4" s="258"/>
      <c r="NUJ4" s="258"/>
      <c r="NUK4" s="258"/>
      <c r="NUL4" s="258"/>
      <c r="NUM4" s="258"/>
      <c r="NUN4" s="258"/>
      <c r="NUO4" s="258"/>
      <c r="NUP4" s="258"/>
      <c r="NUQ4" s="258"/>
      <c r="NUR4" s="258"/>
      <c r="NUS4" s="258"/>
      <c r="NUT4" s="258"/>
      <c r="NUU4" s="258"/>
      <c r="NUV4" s="258"/>
      <c r="NUW4" s="258"/>
      <c r="NUX4" s="258"/>
      <c r="NUY4" s="258"/>
      <c r="NUZ4" s="258"/>
      <c r="NVA4" s="258"/>
      <c r="NVB4" s="258"/>
      <c r="NVC4" s="258"/>
      <c r="NVD4" s="258"/>
      <c r="NVE4" s="258"/>
      <c r="NVF4" s="258"/>
      <c r="NVG4" s="258"/>
      <c r="NVH4" s="258"/>
      <c r="NVI4" s="258"/>
      <c r="NVJ4" s="258"/>
      <c r="NVK4" s="258"/>
      <c r="NVL4" s="258"/>
      <c r="NVM4" s="258"/>
      <c r="NVN4" s="258"/>
      <c r="NVO4" s="258"/>
      <c r="NVP4" s="258"/>
      <c r="NVQ4" s="258"/>
      <c r="NVR4" s="258"/>
      <c r="NVS4" s="258"/>
      <c r="NVT4" s="258"/>
      <c r="NVU4" s="258"/>
      <c r="NVV4" s="258"/>
      <c r="NVW4" s="258"/>
      <c r="NVX4" s="258"/>
      <c r="NVY4" s="258"/>
      <c r="NVZ4" s="258"/>
      <c r="NWA4" s="258"/>
      <c r="NWB4" s="258"/>
      <c r="NWC4" s="258"/>
      <c r="NWD4" s="258"/>
      <c r="NWE4" s="258"/>
      <c r="NWF4" s="258"/>
      <c r="NWG4" s="258"/>
      <c r="NWH4" s="258"/>
      <c r="NWI4" s="258"/>
      <c r="NWJ4" s="258"/>
      <c r="NWK4" s="258"/>
      <c r="NWL4" s="258"/>
      <c r="NWM4" s="258"/>
      <c r="NWN4" s="258"/>
      <c r="NWO4" s="258"/>
      <c r="NWP4" s="258"/>
      <c r="NWQ4" s="258"/>
      <c r="NWR4" s="258"/>
      <c r="NWS4" s="258"/>
      <c r="NWT4" s="258"/>
      <c r="NWU4" s="258"/>
      <c r="NWV4" s="258"/>
      <c r="NWW4" s="258"/>
      <c r="NWX4" s="258"/>
      <c r="NWY4" s="258"/>
      <c r="NWZ4" s="258"/>
      <c r="NXA4" s="258"/>
      <c r="NXB4" s="258"/>
      <c r="NXC4" s="258"/>
      <c r="NXD4" s="258"/>
      <c r="NXE4" s="258"/>
      <c r="NXF4" s="258"/>
      <c r="NXG4" s="258"/>
      <c r="NXH4" s="258"/>
      <c r="NXI4" s="258"/>
      <c r="NXJ4" s="258"/>
      <c r="NXK4" s="258"/>
      <c r="NXL4" s="258"/>
      <c r="NXM4" s="258"/>
      <c r="NXN4" s="258"/>
      <c r="NXO4" s="258"/>
      <c r="NXP4" s="258"/>
      <c r="NXQ4" s="258"/>
      <c r="NXR4" s="258"/>
      <c r="NXS4" s="258"/>
      <c r="NXT4" s="258"/>
      <c r="NXU4" s="258"/>
      <c r="NXV4" s="258"/>
      <c r="NXW4" s="258"/>
      <c r="NXX4" s="258"/>
      <c r="NXY4" s="258"/>
      <c r="NXZ4" s="258"/>
      <c r="NYA4" s="258"/>
      <c r="NYB4" s="258"/>
      <c r="NYC4" s="258"/>
      <c r="NYD4" s="258"/>
      <c r="NYE4" s="258"/>
      <c r="NYF4" s="258"/>
      <c r="NYG4" s="258"/>
      <c r="NYH4" s="258"/>
      <c r="NYI4" s="258"/>
      <c r="NYJ4" s="258"/>
      <c r="NYK4" s="258"/>
      <c r="NYL4" s="258"/>
      <c r="NYM4" s="258"/>
      <c r="NYN4" s="258"/>
      <c r="NYO4" s="258"/>
      <c r="NYP4" s="258"/>
      <c r="NYQ4" s="258"/>
      <c r="NYR4" s="258"/>
      <c r="NYS4" s="258"/>
      <c r="NYT4" s="258"/>
      <c r="NYU4" s="258"/>
      <c r="NYV4" s="258"/>
      <c r="NYW4" s="258"/>
      <c r="NYX4" s="258"/>
      <c r="NYY4" s="258"/>
      <c r="NYZ4" s="258"/>
      <c r="NZA4" s="258"/>
      <c r="NZB4" s="258"/>
      <c r="NZC4" s="258"/>
      <c r="NZD4" s="258"/>
      <c r="NZE4" s="258"/>
      <c r="NZF4" s="258"/>
      <c r="NZG4" s="258"/>
      <c r="NZH4" s="258"/>
      <c r="NZI4" s="258"/>
      <c r="NZJ4" s="258"/>
      <c r="NZK4" s="258"/>
      <c r="NZL4" s="258"/>
      <c r="NZM4" s="258"/>
      <c r="NZN4" s="258"/>
      <c r="NZO4" s="258"/>
      <c r="NZP4" s="258"/>
      <c r="NZQ4" s="258"/>
      <c r="NZR4" s="258"/>
      <c r="NZS4" s="258"/>
      <c r="NZT4" s="258"/>
      <c r="NZU4" s="258"/>
      <c r="NZV4" s="258"/>
      <c r="NZW4" s="258"/>
      <c r="NZX4" s="258"/>
      <c r="NZY4" s="258"/>
      <c r="NZZ4" s="258"/>
      <c r="OAA4" s="258"/>
      <c r="OAB4" s="258"/>
      <c r="OAC4" s="258"/>
      <c r="OAD4" s="258"/>
      <c r="OAE4" s="258"/>
      <c r="OAF4" s="258"/>
      <c r="OAG4" s="258"/>
      <c r="OAH4" s="258"/>
      <c r="OAI4" s="258"/>
      <c r="OAJ4" s="258"/>
      <c r="OAK4" s="258"/>
      <c r="OAL4" s="258"/>
      <c r="OAM4" s="258"/>
      <c r="OAN4" s="258"/>
      <c r="OAO4" s="258"/>
      <c r="OAP4" s="258"/>
      <c r="OAQ4" s="258"/>
      <c r="OAR4" s="258"/>
      <c r="OAS4" s="258"/>
      <c r="OAT4" s="258"/>
      <c r="OAU4" s="258"/>
      <c r="OAV4" s="258"/>
      <c r="OAW4" s="258"/>
      <c r="OAX4" s="258"/>
      <c r="OAY4" s="258"/>
      <c r="OAZ4" s="258"/>
      <c r="OBA4" s="258"/>
      <c r="OBB4" s="258"/>
      <c r="OBC4" s="258"/>
      <c r="OBD4" s="258"/>
      <c r="OBE4" s="258"/>
      <c r="OBF4" s="258"/>
      <c r="OBG4" s="258"/>
      <c r="OBH4" s="258"/>
      <c r="OBI4" s="258"/>
      <c r="OBJ4" s="258"/>
      <c r="OBK4" s="258"/>
      <c r="OBL4" s="258"/>
      <c r="OBM4" s="258"/>
      <c r="OBN4" s="258"/>
      <c r="OBO4" s="258"/>
      <c r="OBP4" s="258"/>
      <c r="OBQ4" s="258"/>
      <c r="OBR4" s="258"/>
      <c r="OBS4" s="258"/>
      <c r="OBT4" s="258"/>
      <c r="OBU4" s="258"/>
      <c r="OBV4" s="258"/>
      <c r="OBW4" s="258"/>
      <c r="OBX4" s="258"/>
      <c r="OBY4" s="258"/>
      <c r="OBZ4" s="258"/>
      <c r="OCA4" s="258"/>
      <c r="OCB4" s="258"/>
      <c r="OCC4" s="258"/>
      <c r="OCD4" s="258"/>
      <c r="OCE4" s="258"/>
      <c r="OCF4" s="258"/>
      <c r="OCG4" s="258"/>
      <c r="OCH4" s="258"/>
      <c r="OCI4" s="258"/>
      <c r="OCJ4" s="258"/>
      <c r="OCK4" s="258"/>
      <c r="OCL4" s="258"/>
      <c r="OCM4" s="258"/>
      <c r="OCN4" s="258"/>
      <c r="OCO4" s="258"/>
      <c r="OCP4" s="258"/>
      <c r="OCQ4" s="258"/>
      <c r="OCR4" s="258"/>
      <c r="OCS4" s="258"/>
      <c r="OCT4" s="258"/>
      <c r="OCU4" s="258"/>
      <c r="OCV4" s="258"/>
      <c r="OCW4" s="258"/>
      <c r="OCX4" s="258"/>
      <c r="OCY4" s="258"/>
      <c r="OCZ4" s="258"/>
      <c r="ODA4" s="258"/>
      <c r="ODB4" s="258"/>
      <c r="ODC4" s="258"/>
      <c r="ODD4" s="258"/>
      <c r="ODE4" s="258"/>
      <c r="ODF4" s="258"/>
      <c r="ODG4" s="258"/>
      <c r="ODH4" s="258"/>
      <c r="ODI4" s="258"/>
      <c r="ODJ4" s="258"/>
      <c r="ODK4" s="258"/>
      <c r="ODL4" s="258"/>
      <c r="ODM4" s="258"/>
      <c r="ODN4" s="258"/>
      <c r="ODO4" s="258"/>
      <c r="ODP4" s="258"/>
      <c r="ODQ4" s="258"/>
      <c r="ODR4" s="258"/>
      <c r="ODS4" s="258"/>
      <c r="ODT4" s="258"/>
      <c r="ODU4" s="258"/>
      <c r="ODV4" s="258"/>
      <c r="ODW4" s="258"/>
      <c r="ODX4" s="258"/>
      <c r="ODY4" s="258"/>
      <c r="ODZ4" s="258"/>
      <c r="OEA4" s="258"/>
      <c r="OEB4" s="258"/>
      <c r="OEC4" s="258"/>
      <c r="OED4" s="258"/>
      <c r="OEE4" s="258"/>
      <c r="OEF4" s="258"/>
      <c r="OEG4" s="258"/>
      <c r="OEH4" s="258"/>
      <c r="OEI4" s="258"/>
      <c r="OEJ4" s="258"/>
      <c r="OEK4" s="258"/>
      <c r="OEL4" s="258"/>
      <c r="OEM4" s="258"/>
      <c r="OEN4" s="258"/>
      <c r="OEO4" s="258"/>
      <c r="OEP4" s="258"/>
      <c r="OEQ4" s="258"/>
      <c r="OER4" s="258"/>
      <c r="OES4" s="258"/>
      <c r="OET4" s="258"/>
      <c r="OEU4" s="258"/>
      <c r="OEV4" s="258"/>
      <c r="OEW4" s="258"/>
      <c r="OEX4" s="258"/>
      <c r="OEY4" s="258"/>
      <c r="OEZ4" s="258"/>
      <c r="OFA4" s="258"/>
      <c r="OFB4" s="258"/>
      <c r="OFC4" s="258"/>
      <c r="OFD4" s="258"/>
      <c r="OFE4" s="258"/>
      <c r="OFF4" s="258"/>
      <c r="OFG4" s="258"/>
      <c r="OFH4" s="258"/>
      <c r="OFI4" s="258"/>
      <c r="OFJ4" s="258"/>
      <c r="OFK4" s="258"/>
      <c r="OFL4" s="258"/>
      <c r="OFM4" s="258"/>
      <c r="OFN4" s="258"/>
      <c r="OFO4" s="258"/>
      <c r="OFP4" s="258"/>
      <c r="OFQ4" s="258"/>
      <c r="OFR4" s="258"/>
      <c r="OFS4" s="258"/>
      <c r="OFT4" s="258"/>
      <c r="OFU4" s="258"/>
      <c r="OFV4" s="258"/>
      <c r="OFW4" s="258"/>
      <c r="OFX4" s="258"/>
      <c r="OFY4" s="258"/>
      <c r="OFZ4" s="258"/>
      <c r="OGA4" s="258"/>
      <c r="OGB4" s="258"/>
      <c r="OGC4" s="258"/>
      <c r="OGD4" s="258"/>
      <c r="OGE4" s="258"/>
      <c r="OGF4" s="258"/>
      <c r="OGG4" s="258"/>
      <c r="OGH4" s="258"/>
      <c r="OGI4" s="258"/>
      <c r="OGJ4" s="258"/>
      <c r="OGK4" s="258"/>
      <c r="OGL4" s="258"/>
      <c r="OGM4" s="258"/>
      <c r="OGN4" s="258"/>
      <c r="OGO4" s="258"/>
      <c r="OGP4" s="258"/>
      <c r="OGQ4" s="258"/>
      <c r="OGR4" s="258"/>
      <c r="OGS4" s="258"/>
      <c r="OGT4" s="258"/>
      <c r="OGU4" s="258"/>
      <c r="OGV4" s="258"/>
      <c r="OGW4" s="258"/>
      <c r="OGX4" s="258"/>
      <c r="OGY4" s="258"/>
      <c r="OGZ4" s="258"/>
      <c r="OHA4" s="258"/>
      <c r="OHB4" s="258"/>
      <c r="OHC4" s="258"/>
      <c r="OHD4" s="258"/>
      <c r="OHE4" s="258"/>
      <c r="OHF4" s="258"/>
      <c r="OHG4" s="258"/>
      <c r="OHH4" s="258"/>
      <c r="OHI4" s="258"/>
      <c r="OHJ4" s="258"/>
      <c r="OHK4" s="258"/>
      <c r="OHL4" s="258"/>
      <c r="OHM4" s="258"/>
      <c r="OHN4" s="258"/>
      <c r="OHO4" s="258"/>
      <c r="OHP4" s="258"/>
      <c r="OHQ4" s="258"/>
      <c r="OHR4" s="258"/>
      <c r="OHS4" s="258"/>
      <c r="OHT4" s="258"/>
      <c r="OHU4" s="258"/>
      <c r="OHV4" s="258"/>
      <c r="OHW4" s="258"/>
      <c r="OHX4" s="258"/>
      <c r="OHY4" s="258"/>
      <c r="OHZ4" s="258"/>
      <c r="OIA4" s="258"/>
      <c r="OIB4" s="258"/>
      <c r="OIC4" s="258"/>
      <c r="OID4" s="258"/>
      <c r="OIE4" s="258"/>
      <c r="OIF4" s="258"/>
      <c r="OIG4" s="258"/>
      <c r="OIH4" s="258"/>
      <c r="OII4" s="258"/>
      <c r="OIJ4" s="258"/>
      <c r="OIK4" s="258"/>
      <c r="OIL4" s="258"/>
      <c r="OIM4" s="258"/>
      <c r="OIN4" s="258"/>
      <c r="OIO4" s="258"/>
      <c r="OIP4" s="258"/>
      <c r="OIQ4" s="258"/>
      <c r="OIR4" s="258"/>
      <c r="OIS4" s="258"/>
      <c r="OIT4" s="258"/>
      <c r="OIU4" s="258"/>
      <c r="OIV4" s="258"/>
      <c r="OIW4" s="258"/>
      <c r="OIX4" s="258"/>
      <c r="OIY4" s="258"/>
      <c r="OIZ4" s="258"/>
      <c r="OJA4" s="258"/>
      <c r="OJB4" s="258"/>
      <c r="OJC4" s="258"/>
      <c r="OJD4" s="258"/>
      <c r="OJE4" s="258"/>
      <c r="OJF4" s="258"/>
      <c r="OJG4" s="258"/>
      <c r="OJH4" s="258"/>
      <c r="OJI4" s="258"/>
      <c r="OJJ4" s="258"/>
      <c r="OJK4" s="258"/>
      <c r="OJL4" s="258"/>
      <c r="OJM4" s="258"/>
      <c r="OJN4" s="258"/>
      <c r="OJO4" s="258"/>
      <c r="OJP4" s="258"/>
      <c r="OJQ4" s="258"/>
      <c r="OJR4" s="258"/>
      <c r="OJS4" s="258"/>
      <c r="OJT4" s="258"/>
      <c r="OJU4" s="258"/>
      <c r="OJV4" s="258"/>
      <c r="OJW4" s="258"/>
      <c r="OJX4" s="258"/>
      <c r="OJY4" s="258"/>
      <c r="OJZ4" s="258"/>
      <c r="OKA4" s="258"/>
      <c r="OKB4" s="258"/>
      <c r="OKC4" s="258"/>
      <c r="OKD4" s="258"/>
      <c r="OKE4" s="258"/>
      <c r="OKF4" s="258"/>
      <c r="OKG4" s="258"/>
      <c r="OKH4" s="258"/>
      <c r="OKI4" s="258"/>
      <c r="OKJ4" s="258"/>
      <c r="OKK4" s="258"/>
      <c r="OKL4" s="258"/>
      <c r="OKM4" s="258"/>
      <c r="OKN4" s="258"/>
      <c r="OKO4" s="258"/>
      <c r="OKP4" s="258"/>
      <c r="OKQ4" s="258"/>
      <c r="OKR4" s="258"/>
      <c r="OKS4" s="258"/>
      <c r="OKT4" s="258"/>
      <c r="OKU4" s="258"/>
      <c r="OKV4" s="258"/>
      <c r="OKW4" s="258"/>
      <c r="OKX4" s="258"/>
      <c r="OKY4" s="258"/>
      <c r="OKZ4" s="258"/>
      <c r="OLA4" s="258"/>
      <c r="OLB4" s="258"/>
      <c r="OLC4" s="258"/>
      <c r="OLD4" s="258"/>
      <c r="OLE4" s="258"/>
      <c r="OLF4" s="258"/>
      <c r="OLG4" s="258"/>
      <c r="OLH4" s="258"/>
      <c r="OLI4" s="258"/>
      <c r="OLJ4" s="258"/>
      <c r="OLK4" s="258"/>
      <c r="OLL4" s="258"/>
      <c r="OLM4" s="258"/>
      <c r="OLN4" s="258"/>
      <c r="OLO4" s="258"/>
      <c r="OLP4" s="258"/>
      <c r="OLQ4" s="258"/>
      <c r="OLR4" s="258"/>
      <c r="OLS4" s="258"/>
      <c r="OLT4" s="258"/>
      <c r="OLU4" s="258"/>
      <c r="OLV4" s="258"/>
      <c r="OLW4" s="258"/>
      <c r="OLX4" s="258"/>
      <c r="OLY4" s="258"/>
      <c r="OLZ4" s="258"/>
      <c r="OMA4" s="258"/>
      <c r="OMB4" s="258"/>
      <c r="OMC4" s="258"/>
      <c r="OMD4" s="258"/>
      <c r="OME4" s="258"/>
      <c r="OMF4" s="258"/>
      <c r="OMG4" s="258"/>
      <c r="OMH4" s="258"/>
      <c r="OMI4" s="258"/>
      <c r="OMJ4" s="258"/>
      <c r="OMK4" s="258"/>
      <c r="OML4" s="258"/>
      <c r="OMM4" s="258"/>
      <c r="OMN4" s="258"/>
      <c r="OMO4" s="258"/>
      <c r="OMP4" s="258"/>
      <c r="OMQ4" s="258"/>
      <c r="OMR4" s="258"/>
      <c r="OMS4" s="258"/>
      <c r="OMT4" s="258"/>
      <c r="OMU4" s="258"/>
      <c r="OMV4" s="258"/>
      <c r="OMW4" s="258"/>
      <c r="OMX4" s="258"/>
      <c r="OMY4" s="258"/>
      <c r="OMZ4" s="258"/>
      <c r="ONA4" s="258"/>
      <c r="ONB4" s="258"/>
      <c r="ONC4" s="258"/>
      <c r="OND4" s="258"/>
      <c r="ONE4" s="258"/>
      <c r="ONF4" s="258"/>
      <c r="ONG4" s="258"/>
      <c r="ONH4" s="258"/>
      <c r="ONI4" s="258"/>
      <c r="ONJ4" s="258"/>
      <c r="ONK4" s="258"/>
      <c r="ONL4" s="258"/>
      <c r="ONM4" s="258"/>
      <c r="ONN4" s="258"/>
      <c r="ONO4" s="258"/>
      <c r="ONP4" s="258"/>
      <c r="ONQ4" s="258"/>
      <c r="ONR4" s="258"/>
      <c r="ONS4" s="258"/>
      <c r="ONT4" s="258"/>
      <c r="ONU4" s="258"/>
      <c r="ONV4" s="258"/>
      <c r="ONW4" s="258"/>
      <c r="ONX4" s="258"/>
      <c r="ONY4" s="258"/>
      <c r="ONZ4" s="258"/>
      <c r="OOA4" s="258"/>
      <c r="OOB4" s="258"/>
      <c r="OOC4" s="258"/>
      <c r="OOD4" s="258"/>
      <c r="OOE4" s="258"/>
      <c r="OOF4" s="258"/>
      <c r="OOG4" s="258"/>
      <c r="OOH4" s="258"/>
      <c r="OOI4" s="258"/>
      <c r="OOJ4" s="258"/>
      <c r="OOK4" s="258"/>
      <c r="OOL4" s="258"/>
      <c r="OOM4" s="258"/>
      <c r="OON4" s="258"/>
      <c r="OOO4" s="258"/>
      <c r="OOP4" s="258"/>
      <c r="OOQ4" s="258"/>
      <c r="OOR4" s="258"/>
      <c r="OOS4" s="258"/>
      <c r="OOT4" s="258"/>
      <c r="OOU4" s="258"/>
      <c r="OOV4" s="258"/>
      <c r="OOW4" s="258"/>
      <c r="OOX4" s="258"/>
      <c r="OOY4" s="258"/>
      <c r="OOZ4" s="258"/>
      <c r="OPA4" s="258"/>
      <c r="OPB4" s="258"/>
      <c r="OPC4" s="258"/>
      <c r="OPD4" s="258"/>
      <c r="OPE4" s="258"/>
      <c r="OPF4" s="258"/>
      <c r="OPG4" s="258"/>
      <c r="OPH4" s="258"/>
      <c r="OPI4" s="258"/>
      <c r="OPJ4" s="258"/>
      <c r="OPK4" s="258"/>
      <c r="OPL4" s="258"/>
      <c r="OPM4" s="258"/>
      <c r="OPN4" s="258"/>
      <c r="OPO4" s="258"/>
      <c r="OPP4" s="258"/>
      <c r="OPQ4" s="258"/>
      <c r="OPR4" s="258"/>
      <c r="OPS4" s="258"/>
      <c r="OPT4" s="258"/>
      <c r="OPU4" s="258"/>
      <c r="OPV4" s="258"/>
      <c r="OPW4" s="258"/>
      <c r="OPX4" s="258"/>
      <c r="OPY4" s="258"/>
      <c r="OPZ4" s="258"/>
      <c r="OQA4" s="258"/>
      <c r="OQB4" s="258"/>
      <c r="OQC4" s="258"/>
      <c r="OQD4" s="258"/>
      <c r="OQE4" s="258"/>
      <c r="OQF4" s="258"/>
      <c r="OQG4" s="258"/>
      <c r="OQH4" s="258"/>
      <c r="OQI4" s="258"/>
      <c r="OQJ4" s="258"/>
      <c r="OQK4" s="258"/>
      <c r="OQL4" s="258"/>
      <c r="OQM4" s="258"/>
      <c r="OQN4" s="258"/>
      <c r="OQO4" s="258"/>
      <c r="OQP4" s="258"/>
      <c r="OQQ4" s="258"/>
      <c r="OQR4" s="258"/>
      <c r="OQS4" s="258"/>
      <c r="OQT4" s="258"/>
      <c r="OQU4" s="258"/>
      <c r="OQV4" s="258"/>
      <c r="OQW4" s="258"/>
      <c r="OQX4" s="258"/>
      <c r="OQY4" s="258"/>
      <c r="OQZ4" s="258"/>
      <c r="ORA4" s="258"/>
      <c r="ORB4" s="258"/>
      <c r="ORC4" s="258"/>
      <c r="ORD4" s="258"/>
      <c r="ORE4" s="258"/>
      <c r="ORF4" s="258"/>
      <c r="ORG4" s="258"/>
      <c r="ORH4" s="258"/>
      <c r="ORI4" s="258"/>
      <c r="ORJ4" s="258"/>
      <c r="ORK4" s="258"/>
      <c r="ORL4" s="258"/>
      <c r="ORM4" s="258"/>
      <c r="ORN4" s="258"/>
      <c r="ORO4" s="258"/>
      <c r="ORP4" s="258"/>
      <c r="ORQ4" s="258"/>
      <c r="ORR4" s="258"/>
      <c r="ORS4" s="258"/>
      <c r="ORT4" s="258"/>
      <c r="ORU4" s="258"/>
      <c r="ORV4" s="258"/>
      <c r="ORW4" s="258"/>
      <c r="ORX4" s="258"/>
      <c r="ORY4" s="258"/>
      <c r="ORZ4" s="258"/>
      <c r="OSA4" s="258"/>
      <c r="OSB4" s="258"/>
      <c r="OSC4" s="258"/>
      <c r="OSD4" s="258"/>
      <c r="OSE4" s="258"/>
      <c r="OSF4" s="258"/>
      <c r="OSG4" s="258"/>
      <c r="OSH4" s="258"/>
      <c r="OSI4" s="258"/>
      <c r="OSJ4" s="258"/>
      <c r="OSK4" s="258"/>
      <c r="OSL4" s="258"/>
      <c r="OSM4" s="258"/>
      <c r="OSN4" s="258"/>
      <c r="OSO4" s="258"/>
      <c r="OSP4" s="258"/>
      <c r="OSQ4" s="258"/>
      <c r="OSR4" s="258"/>
      <c r="OSS4" s="258"/>
      <c r="OST4" s="258"/>
      <c r="OSU4" s="258"/>
      <c r="OSV4" s="258"/>
      <c r="OSW4" s="258"/>
      <c r="OSX4" s="258"/>
      <c r="OSY4" s="258"/>
      <c r="OSZ4" s="258"/>
      <c r="OTA4" s="258"/>
      <c r="OTB4" s="258"/>
      <c r="OTC4" s="258"/>
      <c r="OTD4" s="258"/>
      <c r="OTE4" s="258"/>
      <c r="OTF4" s="258"/>
      <c r="OTG4" s="258"/>
      <c r="OTH4" s="258"/>
      <c r="OTI4" s="258"/>
      <c r="OTJ4" s="258"/>
      <c r="OTK4" s="258"/>
      <c r="OTL4" s="258"/>
      <c r="OTM4" s="258"/>
      <c r="OTN4" s="258"/>
      <c r="OTO4" s="258"/>
      <c r="OTP4" s="258"/>
      <c r="OTQ4" s="258"/>
      <c r="OTR4" s="258"/>
      <c r="OTS4" s="258"/>
      <c r="OTT4" s="258"/>
      <c r="OTU4" s="258"/>
      <c r="OTV4" s="258"/>
      <c r="OTW4" s="258"/>
      <c r="OTX4" s="258"/>
      <c r="OTY4" s="258"/>
      <c r="OTZ4" s="258"/>
      <c r="OUA4" s="258"/>
      <c r="OUB4" s="258"/>
      <c r="OUC4" s="258"/>
      <c r="OUD4" s="258"/>
      <c r="OUE4" s="258"/>
      <c r="OUF4" s="258"/>
      <c r="OUG4" s="258"/>
      <c r="OUH4" s="258"/>
      <c r="OUI4" s="258"/>
      <c r="OUJ4" s="258"/>
      <c r="OUK4" s="258"/>
      <c r="OUL4" s="258"/>
      <c r="OUM4" s="258"/>
      <c r="OUN4" s="258"/>
      <c r="OUO4" s="258"/>
      <c r="OUP4" s="258"/>
      <c r="OUQ4" s="258"/>
      <c r="OUR4" s="258"/>
      <c r="OUS4" s="258"/>
      <c r="OUT4" s="258"/>
      <c r="OUU4" s="258"/>
      <c r="OUV4" s="258"/>
      <c r="OUW4" s="258"/>
      <c r="OUX4" s="258"/>
      <c r="OUY4" s="258"/>
      <c r="OUZ4" s="258"/>
      <c r="OVA4" s="258"/>
      <c r="OVB4" s="258"/>
      <c r="OVC4" s="258"/>
      <c r="OVD4" s="258"/>
      <c r="OVE4" s="258"/>
      <c r="OVF4" s="258"/>
      <c r="OVG4" s="258"/>
      <c r="OVH4" s="258"/>
      <c r="OVI4" s="258"/>
      <c r="OVJ4" s="258"/>
      <c r="OVK4" s="258"/>
      <c r="OVL4" s="258"/>
      <c r="OVM4" s="258"/>
      <c r="OVN4" s="258"/>
      <c r="OVO4" s="258"/>
      <c r="OVP4" s="258"/>
      <c r="OVQ4" s="258"/>
      <c r="OVR4" s="258"/>
      <c r="OVS4" s="258"/>
      <c r="OVT4" s="258"/>
      <c r="OVU4" s="258"/>
      <c r="OVV4" s="258"/>
      <c r="OVW4" s="258"/>
      <c r="OVX4" s="258"/>
      <c r="OVY4" s="258"/>
      <c r="OVZ4" s="258"/>
      <c r="OWA4" s="258"/>
      <c r="OWB4" s="258"/>
      <c r="OWC4" s="258"/>
      <c r="OWD4" s="258"/>
      <c r="OWE4" s="258"/>
      <c r="OWF4" s="258"/>
      <c r="OWG4" s="258"/>
      <c r="OWH4" s="258"/>
      <c r="OWI4" s="258"/>
      <c r="OWJ4" s="258"/>
      <c r="OWK4" s="258"/>
      <c r="OWL4" s="258"/>
      <c r="OWM4" s="258"/>
      <c r="OWN4" s="258"/>
      <c r="OWO4" s="258"/>
      <c r="OWP4" s="258"/>
      <c r="OWQ4" s="258"/>
      <c r="OWR4" s="258"/>
      <c r="OWS4" s="258"/>
      <c r="OWT4" s="258"/>
      <c r="OWU4" s="258"/>
      <c r="OWV4" s="258"/>
      <c r="OWW4" s="258"/>
      <c r="OWX4" s="258"/>
      <c r="OWY4" s="258"/>
      <c r="OWZ4" s="258"/>
      <c r="OXA4" s="258"/>
      <c r="OXB4" s="258"/>
      <c r="OXC4" s="258"/>
      <c r="OXD4" s="258"/>
      <c r="OXE4" s="258"/>
      <c r="OXF4" s="258"/>
      <c r="OXG4" s="258"/>
      <c r="OXH4" s="258"/>
      <c r="OXI4" s="258"/>
      <c r="OXJ4" s="258"/>
      <c r="OXK4" s="258"/>
      <c r="OXL4" s="258"/>
      <c r="OXM4" s="258"/>
      <c r="OXN4" s="258"/>
      <c r="OXO4" s="258"/>
      <c r="OXP4" s="258"/>
      <c r="OXQ4" s="258"/>
      <c r="OXR4" s="258"/>
      <c r="OXS4" s="258"/>
      <c r="OXT4" s="258"/>
      <c r="OXU4" s="258"/>
      <c r="OXV4" s="258"/>
      <c r="OXW4" s="258"/>
      <c r="OXX4" s="258"/>
      <c r="OXY4" s="258"/>
      <c r="OXZ4" s="258"/>
      <c r="OYA4" s="258"/>
      <c r="OYB4" s="258"/>
      <c r="OYC4" s="258"/>
      <c r="OYD4" s="258"/>
      <c r="OYE4" s="258"/>
      <c r="OYF4" s="258"/>
      <c r="OYG4" s="258"/>
      <c r="OYH4" s="258"/>
      <c r="OYI4" s="258"/>
      <c r="OYJ4" s="258"/>
      <c r="OYK4" s="258"/>
      <c r="OYL4" s="258"/>
      <c r="OYM4" s="258"/>
      <c r="OYN4" s="258"/>
      <c r="OYO4" s="258"/>
      <c r="OYP4" s="258"/>
      <c r="OYQ4" s="258"/>
      <c r="OYR4" s="258"/>
      <c r="OYS4" s="258"/>
      <c r="OYT4" s="258"/>
      <c r="OYU4" s="258"/>
      <c r="OYV4" s="258"/>
      <c r="OYW4" s="258"/>
      <c r="OYX4" s="258"/>
      <c r="OYY4" s="258"/>
      <c r="OYZ4" s="258"/>
      <c r="OZA4" s="258"/>
      <c r="OZB4" s="258"/>
      <c r="OZC4" s="258"/>
      <c r="OZD4" s="258"/>
      <c r="OZE4" s="258"/>
      <c r="OZF4" s="258"/>
      <c r="OZG4" s="258"/>
      <c r="OZH4" s="258"/>
      <c r="OZI4" s="258"/>
      <c r="OZJ4" s="258"/>
      <c r="OZK4" s="258"/>
      <c r="OZL4" s="258"/>
      <c r="OZM4" s="258"/>
      <c r="OZN4" s="258"/>
      <c r="OZO4" s="258"/>
      <c r="OZP4" s="258"/>
      <c r="OZQ4" s="258"/>
      <c r="OZR4" s="258"/>
      <c r="OZS4" s="258"/>
      <c r="OZT4" s="258"/>
      <c r="OZU4" s="258"/>
      <c r="OZV4" s="258"/>
      <c r="OZW4" s="258"/>
      <c r="OZX4" s="258"/>
      <c r="OZY4" s="258"/>
      <c r="OZZ4" s="258"/>
      <c r="PAA4" s="258"/>
      <c r="PAB4" s="258"/>
      <c r="PAC4" s="258"/>
      <c r="PAD4" s="258"/>
      <c r="PAE4" s="258"/>
      <c r="PAF4" s="258"/>
      <c r="PAG4" s="258"/>
      <c r="PAH4" s="258"/>
      <c r="PAI4" s="258"/>
      <c r="PAJ4" s="258"/>
      <c r="PAK4" s="258"/>
      <c r="PAL4" s="258"/>
      <c r="PAM4" s="258"/>
      <c r="PAN4" s="258"/>
      <c r="PAO4" s="258"/>
      <c r="PAP4" s="258"/>
      <c r="PAQ4" s="258"/>
      <c r="PAR4" s="258"/>
      <c r="PAS4" s="258"/>
      <c r="PAT4" s="258"/>
      <c r="PAU4" s="258"/>
      <c r="PAV4" s="258"/>
      <c r="PAW4" s="258"/>
      <c r="PAX4" s="258"/>
      <c r="PAY4" s="258"/>
      <c r="PAZ4" s="258"/>
      <c r="PBA4" s="258"/>
      <c r="PBB4" s="258"/>
      <c r="PBC4" s="258"/>
      <c r="PBD4" s="258"/>
      <c r="PBE4" s="258"/>
      <c r="PBF4" s="258"/>
      <c r="PBG4" s="258"/>
      <c r="PBH4" s="258"/>
      <c r="PBI4" s="258"/>
      <c r="PBJ4" s="258"/>
      <c r="PBK4" s="258"/>
      <c r="PBL4" s="258"/>
      <c r="PBM4" s="258"/>
      <c r="PBN4" s="258"/>
      <c r="PBO4" s="258"/>
      <c r="PBP4" s="258"/>
      <c r="PBQ4" s="258"/>
      <c r="PBR4" s="258"/>
      <c r="PBS4" s="258"/>
      <c r="PBT4" s="258"/>
      <c r="PBU4" s="258"/>
      <c r="PBV4" s="258"/>
      <c r="PBW4" s="258"/>
      <c r="PBX4" s="258"/>
      <c r="PBY4" s="258"/>
      <c r="PBZ4" s="258"/>
      <c r="PCA4" s="258"/>
      <c r="PCB4" s="258"/>
      <c r="PCC4" s="258"/>
      <c r="PCD4" s="258"/>
      <c r="PCE4" s="258"/>
      <c r="PCF4" s="258"/>
      <c r="PCG4" s="258"/>
      <c r="PCH4" s="258"/>
      <c r="PCI4" s="258"/>
      <c r="PCJ4" s="258"/>
      <c r="PCK4" s="258"/>
      <c r="PCL4" s="258"/>
      <c r="PCM4" s="258"/>
      <c r="PCN4" s="258"/>
      <c r="PCO4" s="258"/>
      <c r="PCP4" s="258"/>
      <c r="PCQ4" s="258"/>
      <c r="PCR4" s="258"/>
      <c r="PCS4" s="258"/>
      <c r="PCT4" s="258"/>
      <c r="PCU4" s="258"/>
      <c r="PCV4" s="258"/>
      <c r="PCW4" s="258"/>
      <c r="PCX4" s="258"/>
      <c r="PCY4" s="258"/>
      <c r="PCZ4" s="258"/>
      <c r="PDA4" s="258"/>
      <c r="PDB4" s="258"/>
      <c r="PDC4" s="258"/>
      <c r="PDD4" s="258"/>
      <c r="PDE4" s="258"/>
      <c r="PDF4" s="258"/>
      <c r="PDG4" s="258"/>
      <c r="PDH4" s="258"/>
      <c r="PDI4" s="258"/>
      <c r="PDJ4" s="258"/>
      <c r="PDK4" s="258"/>
      <c r="PDL4" s="258"/>
      <c r="PDM4" s="258"/>
      <c r="PDN4" s="258"/>
      <c r="PDO4" s="258"/>
      <c r="PDP4" s="258"/>
      <c r="PDQ4" s="258"/>
      <c r="PDR4" s="258"/>
      <c r="PDS4" s="258"/>
      <c r="PDT4" s="258"/>
      <c r="PDU4" s="258"/>
      <c r="PDV4" s="258"/>
      <c r="PDW4" s="258"/>
      <c r="PDX4" s="258"/>
      <c r="PDY4" s="258"/>
      <c r="PDZ4" s="258"/>
      <c r="PEA4" s="258"/>
      <c r="PEB4" s="258"/>
      <c r="PEC4" s="258"/>
      <c r="PED4" s="258"/>
      <c r="PEE4" s="258"/>
      <c r="PEF4" s="258"/>
      <c r="PEG4" s="258"/>
      <c r="PEH4" s="258"/>
      <c r="PEI4" s="258"/>
      <c r="PEJ4" s="258"/>
      <c r="PEK4" s="258"/>
      <c r="PEL4" s="258"/>
      <c r="PEM4" s="258"/>
      <c r="PEN4" s="258"/>
      <c r="PEO4" s="258"/>
      <c r="PEP4" s="258"/>
      <c r="PEQ4" s="258"/>
      <c r="PER4" s="258"/>
      <c r="PES4" s="258"/>
      <c r="PET4" s="258"/>
      <c r="PEU4" s="258"/>
      <c r="PEV4" s="258"/>
      <c r="PEW4" s="258"/>
      <c r="PEX4" s="258"/>
      <c r="PEY4" s="258"/>
      <c r="PEZ4" s="258"/>
      <c r="PFA4" s="258"/>
      <c r="PFB4" s="258"/>
      <c r="PFC4" s="258"/>
      <c r="PFD4" s="258"/>
      <c r="PFE4" s="258"/>
      <c r="PFF4" s="258"/>
      <c r="PFG4" s="258"/>
      <c r="PFH4" s="258"/>
      <c r="PFI4" s="258"/>
      <c r="PFJ4" s="258"/>
      <c r="PFK4" s="258"/>
      <c r="PFL4" s="258"/>
      <c r="PFM4" s="258"/>
      <c r="PFN4" s="258"/>
      <c r="PFO4" s="258"/>
      <c r="PFP4" s="258"/>
      <c r="PFQ4" s="258"/>
      <c r="PFR4" s="258"/>
      <c r="PFS4" s="258"/>
      <c r="PFT4" s="258"/>
      <c r="PFU4" s="258"/>
      <c r="PFV4" s="258"/>
      <c r="PFW4" s="258"/>
      <c r="PFX4" s="258"/>
      <c r="PFY4" s="258"/>
      <c r="PFZ4" s="258"/>
      <c r="PGA4" s="258"/>
      <c r="PGB4" s="258"/>
      <c r="PGC4" s="258"/>
      <c r="PGD4" s="258"/>
      <c r="PGE4" s="258"/>
      <c r="PGF4" s="258"/>
      <c r="PGG4" s="258"/>
      <c r="PGH4" s="258"/>
      <c r="PGI4" s="258"/>
      <c r="PGJ4" s="258"/>
      <c r="PGK4" s="258"/>
      <c r="PGL4" s="258"/>
      <c r="PGM4" s="258"/>
      <c r="PGN4" s="258"/>
      <c r="PGO4" s="258"/>
      <c r="PGP4" s="258"/>
      <c r="PGQ4" s="258"/>
      <c r="PGR4" s="258"/>
      <c r="PGS4" s="258"/>
      <c r="PGT4" s="258"/>
      <c r="PGU4" s="258"/>
      <c r="PGV4" s="258"/>
      <c r="PGW4" s="258"/>
      <c r="PGX4" s="258"/>
      <c r="PGY4" s="258"/>
      <c r="PGZ4" s="258"/>
      <c r="PHA4" s="258"/>
      <c r="PHB4" s="258"/>
      <c r="PHC4" s="258"/>
      <c r="PHD4" s="258"/>
      <c r="PHE4" s="258"/>
      <c r="PHF4" s="258"/>
      <c r="PHG4" s="258"/>
      <c r="PHH4" s="258"/>
      <c r="PHI4" s="258"/>
      <c r="PHJ4" s="258"/>
      <c r="PHK4" s="258"/>
      <c r="PHL4" s="258"/>
      <c r="PHM4" s="258"/>
      <c r="PHN4" s="258"/>
      <c r="PHO4" s="258"/>
      <c r="PHP4" s="258"/>
      <c r="PHQ4" s="258"/>
      <c r="PHR4" s="258"/>
      <c r="PHS4" s="258"/>
      <c r="PHT4" s="258"/>
      <c r="PHU4" s="258"/>
      <c r="PHV4" s="258"/>
      <c r="PHW4" s="258"/>
      <c r="PHX4" s="258"/>
      <c r="PHY4" s="258"/>
      <c r="PHZ4" s="258"/>
      <c r="PIA4" s="258"/>
      <c r="PIB4" s="258"/>
      <c r="PIC4" s="258"/>
      <c r="PID4" s="258"/>
      <c r="PIE4" s="258"/>
      <c r="PIF4" s="258"/>
      <c r="PIG4" s="258"/>
      <c r="PIH4" s="258"/>
      <c r="PII4" s="258"/>
      <c r="PIJ4" s="258"/>
      <c r="PIK4" s="258"/>
      <c r="PIL4" s="258"/>
      <c r="PIM4" s="258"/>
      <c r="PIN4" s="258"/>
      <c r="PIO4" s="258"/>
      <c r="PIP4" s="258"/>
      <c r="PIQ4" s="258"/>
      <c r="PIR4" s="258"/>
      <c r="PIS4" s="258"/>
      <c r="PIT4" s="258"/>
      <c r="PIU4" s="258"/>
      <c r="PIV4" s="258"/>
      <c r="PIW4" s="258"/>
      <c r="PIX4" s="258"/>
      <c r="PIY4" s="258"/>
      <c r="PIZ4" s="258"/>
      <c r="PJA4" s="258"/>
      <c r="PJB4" s="258"/>
      <c r="PJC4" s="258"/>
      <c r="PJD4" s="258"/>
      <c r="PJE4" s="258"/>
      <c r="PJF4" s="258"/>
      <c r="PJG4" s="258"/>
      <c r="PJH4" s="258"/>
      <c r="PJI4" s="258"/>
      <c r="PJJ4" s="258"/>
      <c r="PJK4" s="258"/>
      <c r="PJL4" s="258"/>
      <c r="PJM4" s="258"/>
      <c r="PJN4" s="258"/>
      <c r="PJO4" s="258"/>
      <c r="PJP4" s="258"/>
      <c r="PJQ4" s="258"/>
      <c r="PJR4" s="258"/>
      <c r="PJS4" s="258"/>
      <c r="PJT4" s="258"/>
      <c r="PJU4" s="258"/>
      <c r="PJV4" s="258"/>
      <c r="PJW4" s="258"/>
      <c r="PJX4" s="258"/>
      <c r="PJY4" s="258"/>
      <c r="PJZ4" s="258"/>
      <c r="PKA4" s="258"/>
      <c r="PKB4" s="258"/>
      <c r="PKC4" s="258"/>
      <c r="PKD4" s="258"/>
      <c r="PKE4" s="258"/>
      <c r="PKF4" s="258"/>
      <c r="PKG4" s="258"/>
      <c r="PKH4" s="258"/>
      <c r="PKI4" s="258"/>
      <c r="PKJ4" s="258"/>
      <c r="PKK4" s="258"/>
      <c r="PKL4" s="258"/>
      <c r="PKM4" s="258"/>
      <c r="PKN4" s="258"/>
      <c r="PKO4" s="258"/>
      <c r="PKP4" s="258"/>
      <c r="PKQ4" s="258"/>
      <c r="PKR4" s="258"/>
      <c r="PKS4" s="258"/>
      <c r="PKT4" s="258"/>
      <c r="PKU4" s="258"/>
      <c r="PKV4" s="258"/>
      <c r="PKW4" s="258"/>
      <c r="PKX4" s="258"/>
      <c r="PKY4" s="258"/>
      <c r="PKZ4" s="258"/>
      <c r="PLA4" s="258"/>
      <c r="PLB4" s="258"/>
      <c r="PLC4" s="258"/>
      <c r="PLD4" s="258"/>
      <c r="PLE4" s="258"/>
      <c r="PLF4" s="258"/>
      <c r="PLG4" s="258"/>
      <c r="PLH4" s="258"/>
      <c r="PLI4" s="258"/>
      <c r="PLJ4" s="258"/>
      <c r="PLK4" s="258"/>
      <c r="PLL4" s="258"/>
      <c r="PLM4" s="258"/>
      <c r="PLN4" s="258"/>
      <c r="PLO4" s="258"/>
      <c r="PLP4" s="258"/>
      <c r="PLQ4" s="258"/>
      <c r="PLR4" s="258"/>
      <c r="PLS4" s="258"/>
      <c r="PLT4" s="258"/>
      <c r="PLU4" s="258"/>
      <c r="PLV4" s="258"/>
      <c r="PLW4" s="258"/>
      <c r="PLX4" s="258"/>
      <c r="PLY4" s="258"/>
      <c r="PLZ4" s="258"/>
      <c r="PMA4" s="258"/>
      <c r="PMB4" s="258"/>
      <c r="PMC4" s="258"/>
      <c r="PMD4" s="258"/>
      <c r="PME4" s="258"/>
      <c r="PMF4" s="258"/>
      <c r="PMG4" s="258"/>
      <c r="PMH4" s="258"/>
      <c r="PMI4" s="258"/>
      <c r="PMJ4" s="258"/>
      <c r="PMK4" s="258"/>
      <c r="PML4" s="258"/>
      <c r="PMM4" s="258"/>
      <c r="PMN4" s="258"/>
      <c r="PMO4" s="258"/>
      <c r="PMP4" s="258"/>
      <c r="PMQ4" s="258"/>
      <c r="PMR4" s="258"/>
      <c r="PMS4" s="258"/>
      <c r="PMT4" s="258"/>
      <c r="PMU4" s="258"/>
      <c r="PMV4" s="258"/>
      <c r="PMW4" s="258"/>
      <c r="PMX4" s="258"/>
      <c r="PMY4" s="258"/>
      <c r="PMZ4" s="258"/>
      <c r="PNA4" s="258"/>
      <c r="PNB4" s="258"/>
      <c r="PNC4" s="258"/>
      <c r="PND4" s="258"/>
      <c r="PNE4" s="258"/>
      <c r="PNF4" s="258"/>
      <c r="PNG4" s="258"/>
      <c r="PNH4" s="258"/>
      <c r="PNI4" s="258"/>
      <c r="PNJ4" s="258"/>
      <c r="PNK4" s="258"/>
      <c r="PNL4" s="258"/>
      <c r="PNM4" s="258"/>
      <c r="PNN4" s="258"/>
      <c r="PNO4" s="258"/>
      <c r="PNP4" s="258"/>
      <c r="PNQ4" s="258"/>
      <c r="PNR4" s="258"/>
      <c r="PNS4" s="258"/>
      <c r="PNT4" s="258"/>
      <c r="PNU4" s="258"/>
      <c r="PNV4" s="258"/>
      <c r="PNW4" s="258"/>
      <c r="PNX4" s="258"/>
      <c r="PNY4" s="258"/>
      <c r="PNZ4" s="258"/>
      <c r="POA4" s="258"/>
      <c r="POB4" s="258"/>
      <c r="POC4" s="258"/>
      <c r="POD4" s="258"/>
      <c r="POE4" s="258"/>
      <c r="POF4" s="258"/>
      <c r="POG4" s="258"/>
      <c r="POH4" s="258"/>
      <c r="POI4" s="258"/>
      <c r="POJ4" s="258"/>
      <c r="POK4" s="258"/>
      <c r="POL4" s="258"/>
      <c r="POM4" s="258"/>
      <c r="PON4" s="258"/>
      <c r="POO4" s="258"/>
      <c r="POP4" s="258"/>
      <c r="POQ4" s="258"/>
      <c r="POR4" s="258"/>
      <c r="POS4" s="258"/>
      <c r="POT4" s="258"/>
      <c r="POU4" s="258"/>
      <c r="POV4" s="258"/>
      <c r="POW4" s="258"/>
      <c r="POX4" s="258"/>
      <c r="POY4" s="258"/>
      <c r="POZ4" s="258"/>
      <c r="PPA4" s="258"/>
      <c r="PPB4" s="258"/>
      <c r="PPC4" s="258"/>
      <c r="PPD4" s="258"/>
      <c r="PPE4" s="258"/>
      <c r="PPF4" s="258"/>
      <c r="PPG4" s="258"/>
      <c r="PPH4" s="258"/>
      <c r="PPI4" s="258"/>
      <c r="PPJ4" s="258"/>
      <c r="PPK4" s="258"/>
      <c r="PPL4" s="258"/>
      <c r="PPM4" s="258"/>
      <c r="PPN4" s="258"/>
      <c r="PPO4" s="258"/>
      <c r="PPP4" s="258"/>
      <c r="PPQ4" s="258"/>
      <c r="PPR4" s="258"/>
      <c r="PPS4" s="258"/>
      <c r="PPT4" s="258"/>
      <c r="PPU4" s="258"/>
      <c r="PPV4" s="258"/>
      <c r="PPW4" s="258"/>
      <c r="PPX4" s="258"/>
      <c r="PPY4" s="258"/>
      <c r="PPZ4" s="258"/>
      <c r="PQA4" s="258"/>
      <c r="PQB4" s="258"/>
      <c r="PQC4" s="258"/>
      <c r="PQD4" s="258"/>
      <c r="PQE4" s="258"/>
      <c r="PQF4" s="258"/>
      <c r="PQG4" s="258"/>
      <c r="PQH4" s="258"/>
      <c r="PQI4" s="258"/>
      <c r="PQJ4" s="258"/>
      <c r="PQK4" s="258"/>
      <c r="PQL4" s="258"/>
      <c r="PQM4" s="258"/>
      <c r="PQN4" s="258"/>
      <c r="PQO4" s="258"/>
      <c r="PQP4" s="258"/>
      <c r="PQQ4" s="258"/>
      <c r="PQR4" s="258"/>
      <c r="PQS4" s="258"/>
      <c r="PQT4" s="258"/>
      <c r="PQU4" s="258"/>
      <c r="PQV4" s="258"/>
      <c r="PQW4" s="258"/>
      <c r="PQX4" s="258"/>
      <c r="PQY4" s="258"/>
      <c r="PQZ4" s="258"/>
      <c r="PRA4" s="258"/>
      <c r="PRB4" s="258"/>
      <c r="PRC4" s="258"/>
      <c r="PRD4" s="258"/>
      <c r="PRE4" s="258"/>
      <c r="PRF4" s="258"/>
      <c r="PRG4" s="258"/>
      <c r="PRH4" s="258"/>
      <c r="PRI4" s="258"/>
      <c r="PRJ4" s="258"/>
      <c r="PRK4" s="258"/>
      <c r="PRL4" s="258"/>
      <c r="PRM4" s="258"/>
      <c r="PRN4" s="258"/>
      <c r="PRO4" s="258"/>
      <c r="PRP4" s="258"/>
      <c r="PRQ4" s="258"/>
      <c r="PRR4" s="258"/>
      <c r="PRS4" s="258"/>
      <c r="PRT4" s="258"/>
      <c r="PRU4" s="258"/>
      <c r="PRV4" s="258"/>
      <c r="PRW4" s="258"/>
      <c r="PRX4" s="258"/>
      <c r="PRY4" s="258"/>
      <c r="PRZ4" s="258"/>
      <c r="PSA4" s="258"/>
      <c r="PSB4" s="258"/>
      <c r="PSC4" s="258"/>
      <c r="PSD4" s="258"/>
      <c r="PSE4" s="258"/>
      <c r="PSF4" s="258"/>
      <c r="PSG4" s="258"/>
      <c r="PSH4" s="258"/>
      <c r="PSI4" s="258"/>
      <c r="PSJ4" s="258"/>
      <c r="PSK4" s="258"/>
      <c r="PSL4" s="258"/>
      <c r="PSM4" s="258"/>
      <c r="PSN4" s="258"/>
      <c r="PSO4" s="258"/>
      <c r="PSP4" s="258"/>
      <c r="PSQ4" s="258"/>
      <c r="PSR4" s="258"/>
      <c r="PSS4" s="258"/>
      <c r="PST4" s="258"/>
      <c r="PSU4" s="258"/>
      <c r="PSV4" s="258"/>
      <c r="PSW4" s="258"/>
      <c r="PSX4" s="258"/>
      <c r="PSY4" s="258"/>
      <c r="PSZ4" s="258"/>
      <c r="PTA4" s="258"/>
      <c r="PTB4" s="258"/>
      <c r="PTC4" s="258"/>
      <c r="PTD4" s="258"/>
      <c r="PTE4" s="258"/>
      <c r="PTF4" s="258"/>
      <c r="PTG4" s="258"/>
      <c r="PTH4" s="258"/>
      <c r="PTI4" s="258"/>
      <c r="PTJ4" s="258"/>
      <c r="PTK4" s="258"/>
      <c r="PTL4" s="258"/>
      <c r="PTM4" s="258"/>
      <c r="PTN4" s="258"/>
      <c r="PTO4" s="258"/>
      <c r="PTP4" s="258"/>
      <c r="PTQ4" s="258"/>
      <c r="PTR4" s="258"/>
      <c r="PTS4" s="258"/>
      <c r="PTT4" s="258"/>
      <c r="PTU4" s="258"/>
      <c r="PTV4" s="258"/>
      <c r="PTW4" s="258"/>
      <c r="PTX4" s="258"/>
      <c r="PTY4" s="258"/>
      <c r="PTZ4" s="258"/>
      <c r="PUA4" s="258"/>
      <c r="PUB4" s="258"/>
      <c r="PUC4" s="258"/>
      <c r="PUD4" s="258"/>
      <c r="PUE4" s="258"/>
      <c r="PUF4" s="258"/>
      <c r="PUG4" s="258"/>
      <c r="PUH4" s="258"/>
      <c r="PUI4" s="258"/>
      <c r="PUJ4" s="258"/>
      <c r="PUK4" s="258"/>
      <c r="PUL4" s="258"/>
      <c r="PUM4" s="258"/>
      <c r="PUN4" s="258"/>
      <c r="PUO4" s="258"/>
      <c r="PUP4" s="258"/>
      <c r="PUQ4" s="258"/>
      <c r="PUR4" s="258"/>
      <c r="PUS4" s="258"/>
      <c r="PUT4" s="258"/>
      <c r="PUU4" s="258"/>
      <c r="PUV4" s="258"/>
      <c r="PUW4" s="258"/>
      <c r="PUX4" s="258"/>
      <c r="PUY4" s="258"/>
      <c r="PUZ4" s="258"/>
      <c r="PVA4" s="258"/>
      <c r="PVB4" s="258"/>
      <c r="PVC4" s="258"/>
      <c r="PVD4" s="258"/>
      <c r="PVE4" s="258"/>
      <c r="PVF4" s="258"/>
      <c r="PVG4" s="258"/>
      <c r="PVH4" s="258"/>
      <c r="PVI4" s="258"/>
      <c r="PVJ4" s="258"/>
      <c r="PVK4" s="258"/>
      <c r="PVL4" s="258"/>
      <c r="PVM4" s="258"/>
      <c r="PVN4" s="258"/>
      <c r="PVO4" s="258"/>
      <c r="PVP4" s="258"/>
      <c r="PVQ4" s="258"/>
      <c r="PVR4" s="258"/>
      <c r="PVS4" s="258"/>
      <c r="PVT4" s="258"/>
      <c r="PVU4" s="258"/>
      <c r="PVV4" s="258"/>
      <c r="PVW4" s="258"/>
      <c r="PVX4" s="258"/>
      <c r="PVY4" s="258"/>
      <c r="PVZ4" s="258"/>
      <c r="PWA4" s="258"/>
      <c r="PWB4" s="258"/>
      <c r="PWC4" s="258"/>
      <c r="PWD4" s="258"/>
      <c r="PWE4" s="258"/>
      <c r="PWF4" s="258"/>
      <c r="PWG4" s="258"/>
      <c r="PWH4" s="258"/>
      <c r="PWI4" s="258"/>
      <c r="PWJ4" s="258"/>
      <c r="PWK4" s="258"/>
      <c r="PWL4" s="258"/>
      <c r="PWM4" s="258"/>
      <c r="PWN4" s="258"/>
      <c r="PWO4" s="258"/>
      <c r="PWP4" s="258"/>
      <c r="PWQ4" s="258"/>
      <c r="PWR4" s="258"/>
      <c r="PWS4" s="258"/>
      <c r="PWT4" s="258"/>
      <c r="PWU4" s="258"/>
      <c r="PWV4" s="258"/>
      <c r="PWW4" s="258"/>
      <c r="PWX4" s="258"/>
      <c r="PWY4" s="258"/>
      <c r="PWZ4" s="258"/>
      <c r="PXA4" s="258"/>
      <c r="PXB4" s="258"/>
      <c r="PXC4" s="258"/>
      <c r="PXD4" s="258"/>
      <c r="PXE4" s="258"/>
      <c r="PXF4" s="258"/>
      <c r="PXG4" s="258"/>
      <c r="PXH4" s="258"/>
      <c r="PXI4" s="258"/>
      <c r="PXJ4" s="258"/>
      <c r="PXK4" s="258"/>
      <c r="PXL4" s="258"/>
      <c r="PXM4" s="258"/>
      <c r="PXN4" s="258"/>
      <c r="PXO4" s="258"/>
      <c r="PXP4" s="258"/>
      <c r="PXQ4" s="258"/>
      <c r="PXR4" s="258"/>
      <c r="PXS4" s="258"/>
      <c r="PXT4" s="258"/>
      <c r="PXU4" s="258"/>
      <c r="PXV4" s="258"/>
      <c r="PXW4" s="258"/>
      <c r="PXX4" s="258"/>
      <c r="PXY4" s="258"/>
      <c r="PXZ4" s="258"/>
      <c r="PYA4" s="258"/>
      <c r="PYB4" s="258"/>
      <c r="PYC4" s="258"/>
      <c r="PYD4" s="258"/>
      <c r="PYE4" s="258"/>
      <c r="PYF4" s="258"/>
      <c r="PYG4" s="258"/>
      <c r="PYH4" s="258"/>
      <c r="PYI4" s="258"/>
      <c r="PYJ4" s="258"/>
      <c r="PYK4" s="258"/>
      <c r="PYL4" s="258"/>
      <c r="PYM4" s="258"/>
      <c r="PYN4" s="258"/>
      <c r="PYO4" s="258"/>
      <c r="PYP4" s="258"/>
      <c r="PYQ4" s="258"/>
      <c r="PYR4" s="258"/>
      <c r="PYS4" s="258"/>
      <c r="PYT4" s="258"/>
      <c r="PYU4" s="258"/>
      <c r="PYV4" s="258"/>
      <c r="PYW4" s="258"/>
      <c r="PYX4" s="258"/>
      <c r="PYY4" s="258"/>
      <c r="PYZ4" s="258"/>
      <c r="PZA4" s="258"/>
      <c r="PZB4" s="258"/>
      <c r="PZC4" s="258"/>
      <c r="PZD4" s="258"/>
      <c r="PZE4" s="258"/>
      <c r="PZF4" s="258"/>
      <c r="PZG4" s="258"/>
      <c r="PZH4" s="258"/>
      <c r="PZI4" s="258"/>
      <c r="PZJ4" s="258"/>
      <c r="PZK4" s="258"/>
      <c r="PZL4" s="258"/>
      <c r="PZM4" s="258"/>
      <c r="PZN4" s="258"/>
      <c r="PZO4" s="258"/>
      <c r="PZP4" s="258"/>
      <c r="PZQ4" s="258"/>
      <c r="PZR4" s="258"/>
      <c r="PZS4" s="258"/>
      <c r="PZT4" s="258"/>
      <c r="PZU4" s="258"/>
      <c r="PZV4" s="258"/>
      <c r="PZW4" s="258"/>
      <c r="PZX4" s="258"/>
      <c r="PZY4" s="258"/>
      <c r="PZZ4" s="258"/>
      <c r="QAA4" s="258"/>
      <c r="QAB4" s="258"/>
      <c r="QAC4" s="258"/>
      <c r="QAD4" s="258"/>
      <c r="QAE4" s="258"/>
      <c r="QAF4" s="258"/>
      <c r="QAG4" s="258"/>
      <c r="QAH4" s="258"/>
      <c r="QAI4" s="258"/>
      <c r="QAJ4" s="258"/>
      <c r="QAK4" s="258"/>
      <c r="QAL4" s="258"/>
      <c r="QAM4" s="258"/>
      <c r="QAN4" s="258"/>
      <c r="QAO4" s="258"/>
      <c r="QAP4" s="258"/>
      <c r="QAQ4" s="258"/>
      <c r="QAR4" s="258"/>
      <c r="QAS4" s="258"/>
      <c r="QAT4" s="258"/>
      <c r="QAU4" s="258"/>
      <c r="QAV4" s="258"/>
      <c r="QAW4" s="258"/>
      <c r="QAX4" s="258"/>
      <c r="QAY4" s="258"/>
      <c r="QAZ4" s="258"/>
      <c r="QBA4" s="258"/>
      <c r="QBB4" s="258"/>
      <c r="QBC4" s="258"/>
      <c r="QBD4" s="258"/>
      <c r="QBE4" s="258"/>
      <c r="QBF4" s="258"/>
      <c r="QBG4" s="258"/>
      <c r="QBH4" s="258"/>
      <c r="QBI4" s="258"/>
      <c r="QBJ4" s="258"/>
      <c r="QBK4" s="258"/>
      <c r="QBL4" s="258"/>
      <c r="QBM4" s="258"/>
      <c r="QBN4" s="258"/>
      <c r="QBO4" s="258"/>
      <c r="QBP4" s="258"/>
      <c r="QBQ4" s="258"/>
      <c r="QBR4" s="258"/>
      <c r="QBS4" s="258"/>
      <c r="QBT4" s="258"/>
      <c r="QBU4" s="258"/>
      <c r="QBV4" s="258"/>
      <c r="QBW4" s="258"/>
      <c r="QBX4" s="258"/>
      <c r="QBY4" s="258"/>
      <c r="QBZ4" s="258"/>
      <c r="QCA4" s="258"/>
      <c r="QCB4" s="258"/>
      <c r="QCC4" s="258"/>
      <c r="QCD4" s="258"/>
      <c r="QCE4" s="258"/>
      <c r="QCF4" s="258"/>
      <c r="QCG4" s="258"/>
      <c r="QCH4" s="258"/>
      <c r="QCI4" s="258"/>
      <c r="QCJ4" s="258"/>
      <c r="QCK4" s="258"/>
      <c r="QCL4" s="258"/>
      <c r="QCM4" s="258"/>
      <c r="QCN4" s="258"/>
      <c r="QCO4" s="258"/>
      <c r="QCP4" s="258"/>
      <c r="QCQ4" s="258"/>
      <c r="QCR4" s="258"/>
      <c r="QCS4" s="258"/>
      <c r="QCT4" s="258"/>
      <c r="QCU4" s="258"/>
      <c r="QCV4" s="258"/>
      <c r="QCW4" s="258"/>
      <c r="QCX4" s="258"/>
      <c r="QCY4" s="258"/>
      <c r="QCZ4" s="258"/>
      <c r="QDA4" s="258"/>
      <c r="QDB4" s="258"/>
      <c r="QDC4" s="258"/>
      <c r="QDD4" s="258"/>
      <c r="QDE4" s="258"/>
      <c r="QDF4" s="258"/>
      <c r="QDG4" s="258"/>
      <c r="QDH4" s="258"/>
      <c r="QDI4" s="258"/>
      <c r="QDJ4" s="258"/>
      <c r="QDK4" s="258"/>
      <c r="QDL4" s="258"/>
      <c r="QDM4" s="258"/>
      <c r="QDN4" s="258"/>
      <c r="QDO4" s="258"/>
      <c r="QDP4" s="258"/>
      <c r="QDQ4" s="258"/>
      <c r="QDR4" s="258"/>
      <c r="QDS4" s="258"/>
      <c r="QDT4" s="258"/>
      <c r="QDU4" s="258"/>
      <c r="QDV4" s="258"/>
      <c r="QDW4" s="258"/>
      <c r="QDX4" s="258"/>
      <c r="QDY4" s="258"/>
      <c r="QDZ4" s="258"/>
      <c r="QEA4" s="258"/>
      <c r="QEB4" s="258"/>
      <c r="QEC4" s="258"/>
      <c r="QED4" s="258"/>
      <c r="QEE4" s="258"/>
      <c r="QEF4" s="258"/>
      <c r="QEG4" s="258"/>
      <c r="QEH4" s="258"/>
      <c r="QEI4" s="258"/>
      <c r="QEJ4" s="258"/>
      <c r="QEK4" s="258"/>
      <c r="QEL4" s="258"/>
      <c r="QEM4" s="258"/>
      <c r="QEN4" s="258"/>
      <c r="QEO4" s="258"/>
      <c r="QEP4" s="258"/>
      <c r="QEQ4" s="258"/>
      <c r="QER4" s="258"/>
      <c r="QES4" s="258"/>
      <c r="QET4" s="258"/>
      <c r="QEU4" s="258"/>
      <c r="QEV4" s="258"/>
      <c r="QEW4" s="258"/>
      <c r="QEX4" s="258"/>
      <c r="QEY4" s="258"/>
      <c r="QEZ4" s="258"/>
      <c r="QFA4" s="258"/>
      <c r="QFB4" s="258"/>
      <c r="QFC4" s="258"/>
      <c r="QFD4" s="258"/>
      <c r="QFE4" s="258"/>
      <c r="QFF4" s="258"/>
      <c r="QFG4" s="258"/>
      <c r="QFH4" s="258"/>
      <c r="QFI4" s="258"/>
      <c r="QFJ4" s="258"/>
      <c r="QFK4" s="258"/>
      <c r="QFL4" s="258"/>
      <c r="QFM4" s="258"/>
      <c r="QFN4" s="258"/>
      <c r="QFO4" s="258"/>
      <c r="QFP4" s="258"/>
      <c r="QFQ4" s="258"/>
      <c r="QFR4" s="258"/>
      <c r="QFS4" s="258"/>
      <c r="QFT4" s="258"/>
      <c r="QFU4" s="258"/>
      <c r="QFV4" s="258"/>
      <c r="QFW4" s="258"/>
      <c r="QFX4" s="258"/>
      <c r="QFY4" s="258"/>
      <c r="QFZ4" s="258"/>
      <c r="QGA4" s="258"/>
      <c r="QGB4" s="258"/>
      <c r="QGC4" s="258"/>
      <c r="QGD4" s="258"/>
      <c r="QGE4" s="258"/>
      <c r="QGF4" s="258"/>
      <c r="QGG4" s="258"/>
      <c r="QGH4" s="258"/>
      <c r="QGI4" s="258"/>
      <c r="QGJ4" s="258"/>
      <c r="QGK4" s="258"/>
      <c r="QGL4" s="258"/>
      <c r="QGM4" s="258"/>
      <c r="QGN4" s="258"/>
      <c r="QGO4" s="258"/>
      <c r="QGP4" s="258"/>
      <c r="QGQ4" s="258"/>
      <c r="QGR4" s="258"/>
      <c r="QGS4" s="258"/>
      <c r="QGT4" s="258"/>
      <c r="QGU4" s="258"/>
      <c r="QGV4" s="258"/>
      <c r="QGW4" s="258"/>
      <c r="QGX4" s="258"/>
      <c r="QGY4" s="258"/>
      <c r="QGZ4" s="258"/>
      <c r="QHA4" s="258"/>
      <c r="QHB4" s="258"/>
      <c r="QHC4" s="258"/>
      <c r="QHD4" s="258"/>
      <c r="QHE4" s="258"/>
      <c r="QHF4" s="258"/>
      <c r="QHG4" s="258"/>
      <c r="QHH4" s="258"/>
      <c r="QHI4" s="258"/>
      <c r="QHJ4" s="258"/>
      <c r="QHK4" s="258"/>
      <c r="QHL4" s="258"/>
      <c r="QHM4" s="258"/>
      <c r="QHN4" s="258"/>
      <c r="QHO4" s="258"/>
      <c r="QHP4" s="258"/>
      <c r="QHQ4" s="258"/>
      <c r="QHR4" s="258"/>
      <c r="QHS4" s="258"/>
      <c r="QHT4" s="258"/>
      <c r="QHU4" s="258"/>
      <c r="QHV4" s="258"/>
      <c r="QHW4" s="258"/>
      <c r="QHX4" s="258"/>
      <c r="QHY4" s="258"/>
      <c r="QHZ4" s="258"/>
      <c r="QIA4" s="258"/>
      <c r="QIB4" s="258"/>
      <c r="QIC4" s="258"/>
      <c r="QID4" s="258"/>
      <c r="QIE4" s="258"/>
      <c r="QIF4" s="258"/>
      <c r="QIG4" s="258"/>
      <c r="QIH4" s="258"/>
      <c r="QII4" s="258"/>
      <c r="QIJ4" s="258"/>
      <c r="QIK4" s="258"/>
      <c r="QIL4" s="258"/>
      <c r="QIM4" s="258"/>
      <c r="QIN4" s="258"/>
      <c r="QIO4" s="258"/>
      <c r="QIP4" s="258"/>
      <c r="QIQ4" s="258"/>
      <c r="QIR4" s="258"/>
      <c r="QIS4" s="258"/>
      <c r="QIT4" s="258"/>
      <c r="QIU4" s="258"/>
      <c r="QIV4" s="258"/>
      <c r="QIW4" s="258"/>
      <c r="QIX4" s="258"/>
      <c r="QIY4" s="258"/>
      <c r="QIZ4" s="258"/>
      <c r="QJA4" s="258"/>
      <c r="QJB4" s="258"/>
      <c r="QJC4" s="258"/>
      <c r="QJD4" s="258"/>
      <c r="QJE4" s="258"/>
      <c r="QJF4" s="258"/>
      <c r="QJG4" s="258"/>
      <c r="QJH4" s="258"/>
      <c r="QJI4" s="258"/>
      <c r="QJJ4" s="258"/>
      <c r="QJK4" s="258"/>
      <c r="QJL4" s="258"/>
      <c r="QJM4" s="258"/>
      <c r="QJN4" s="258"/>
      <c r="QJO4" s="258"/>
      <c r="QJP4" s="258"/>
      <c r="QJQ4" s="258"/>
      <c r="QJR4" s="258"/>
      <c r="QJS4" s="258"/>
      <c r="QJT4" s="258"/>
      <c r="QJU4" s="258"/>
      <c r="QJV4" s="258"/>
      <c r="QJW4" s="258"/>
      <c r="QJX4" s="258"/>
      <c r="QJY4" s="258"/>
      <c r="QJZ4" s="258"/>
      <c r="QKA4" s="258"/>
      <c r="QKB4" s="258"/>
      <c r="QKC4" s="258"/>
      <c r="QKD4" s="258"/>
      <c r="QKE4" s="258"/>
      <c r="QKF4" s="258"/>
      <c r="QKG4" s="258"/>
      <c r="QKH4" s="258"/>
      <c r="QKI4" s="258"/>
      <c r="QKJ4" s="258"/>
      <c r="QKK4" s="258"/>
      <c r="QKL4" s="258"/>
      <c r="QKM4" s="258"/>
      <c r="QKN4" s="258"/>
      <c r="QKO4" s="258"/>
      <c r="QKP4" s="258"/>
      <c r="QKQ4" s="258"/>
      <c r="QKR4" s="258"/>
      <c r="QKS4" s="258"/>
      <c r="QKT4" s="258"/>
      <c r="QKU4" s="258"/>
      <c r="QKV4" s="258"/>
      <c r="QKW4" s="258"/>
      <c r="QKX4" s="258"/>
      <c r="QKY4" s="258"/>
      <c r="QKZ4" s="258"/>
      <c r="QLA4" s="258"/>
      <c r="QLB4" s="258"/>
      <c r="QLC4" s="258"/>
      <c r="QLD4" s="258"/>
      <c r="QLE4" s="258"/>
      <c r="QLF4" s="258"/>
      <c r="QLG4" s="258"/>
      <c r="QLH4" s="258"/>
      <c r="QLI4" s="258"/>
      <c r="QLJ4" s="258"/>
      <c r="QLK4" s="258"/>
      <c r="QLL4" s="258"/>
      <c r="QLM4" s="258"/>
      <c r="QLN4" s="258"/>
      <c r="QLO4" s="258"/>
      <c r="QLP4" s="258"/>
      <c r="QLQ4" s="258"/>
      <c r="QLR4" s="258"/>
      <c r="QLS4" s="258"/>
      <c r="QLT4" s="258"/>
      <c r="QLU4" s="258"/>
      <c r="QLV4" s="258"/>
      <c r="QLW4" s="258"/>
      <c r="QLX4" s="258"/>
      <c r="QLY4" s="258"/>
      <c r="QLZ4" s="258"/>
      <c r="QMA4" s="258"/>
      <c r="QMB4" s="258"/>
      <c r="QMC4" s="258"/>
      <c r="QMD4" s="258"/>
      <c r="QME4" s="258"/>
      <c r="QMF4" s="258"/>
      <c r="QMG4" s="258"/>
      <c r="QMH4" s="258"/>
      <c r="QMI4" s="258"/>
      <c r="QMJ4" s="258"/>
      <c r="QMK4" s="258"/>
      <c r="QML4" s="258"/>
      <c r="QMM4" s="258"/>
      <c r="QMN4" s="258"/>
      <c r="QMO4" s="258"/>
      <c r="QMP4" s="258"/>
      <c r="QMQ4" s="258"/>
      <c r="QMR4" s="258"/>
      <c r="QMS4" s="258"/>
      <c r="QMT4" s="258"/>
      <c r="QMU4" s="258"/>
      <c r="QMV4" s="258"/>
      <c r="QMW4" s="258"/>
      <c r="QMX4" s="258"/>
      <c r="QMY4" s="258"/>
      <c r="QMZ4" s="258"/>
      <c r="QNA4" s="258"/>
      <c r="QNB4" s="258"/>
      <c r="QNC4" s="258"/>
      <c r="QND4" s="258"/>
      <c r="QNE4" s="258"/>
      <c r="QNF4" s="258"/>
      <c r="QNG4" s="258"/>
      <c r="QNH4" s="258"/>
      <c r="QNI4" s="258"/>
      <c r="QNJ4" s="258"/>
      <c r="QNK4" s="258"/>
      <c r="QNL4" s="258"/>
      <c r="QNM4" s="258"/>
      <c r="QNN4" s="258"/>
      <c r="QNO4" s="258"/>
      <c r="QNP4" s="258"/>
      <c r="QNQ4" s="258"/>
      <c r="QNR4" s="258"/>
      <c r="QNS4" s="258"/>
      <c r="QNT4" s="258"/>
      <c r="QNU4" s="258"/>
      <c r="QNV4" s="258"/>
      <c r="QNW4" s="258"/>
      <c r="QNX4" s="258"/>
      <c r="QNY4" s="258"/>
      <c r="QNZ4" s="258"/>
      <c r="QOA4" s="258"/>
      <c r="QOB4" s="258"/>
      <c r="QOC4" s="258"/>
      <c r="QOD4" s="258"/>
      <c r="QOE4" s="258"/>
      <c r="QOF4" s="258"/>
      <c r="QOG4" s="258"/>
      <c r="QOH4" s="258"/>
      <c r="QOI4" s="258"/>
      <c r="QOJ4" s="258"/>
      <c r="QOK4" s="258"/>
      <c r="QOL4" s="258"/>
      <c r="QOM4" s="258"/>
      <c r="QON4" s="258"/>
      <c r="QOO4" s="258"/>
      <c r="QOP4" s="258"/>
      <c r="QOQ4" s="258"/>
      <c r="QOR4" s="258"/>
      <c r="QOS4" s="258"/>
      <c r="QOT4" s="258"/>
      <c r="QOU4" s="258"/>
      <c r="QOV4" s="258"/>
      <c r="QOW4" s="258"/>
      <c r="QOX4" s="258"/>
      <c r="QOY4" s="258"/>
      <c r="QOZ4" s="258"/>
      <c r="QPA4" s="258"/>
      <c r="QPB4" s="258"/>
      <c r="QPC4" s="258"/>
      <c r="QPD4" s="258"/>
      <c r="QPE4" s="258"/>
      <c r="QPF4" s="258"/>
      <c r="QPG4" s="258"/>
      <c r="QPH4" s="258"/>
      <c r="QPI4" s="258"/>
      <c r="QPJ4" s="258"/>
      <c r="QPK4" s="258"/>
      <c r="QPL4" s="258"/>
      <c r="QPM4" s="258"/>
      <c r="QPN4" s="258"/>
      <c r="QPO4" s="258"/>
      <c r="QPP4" s="258"/>
      <c r="QPQ4" s="258"/>
      <c r="QPR4" s="258"/>
      <c r="QPS4" s="258"/>
      <c r="QPT4" s="258"/>
      <c r="QPU4" s="258"/>
      <c r="QPV4" s="258"/>
      <c r="QPW4" s="258"/>
      <c r="QPX4" s="258"/>
      <c r="QPY4" s="258"/>
      <c r="QPZ4" s="258"/>
      <c r="QQA4" s="258"/>
      <c r="QQB4" s="258"/>
      <c r="QQC4" s="258"/>
      <c r="QQD4" s="258"/>
      <c r="QQE4" s="258"/>
      <c r="QQF4" s="258"/>
      <c r="QQG4" s="258"/>
      <c r="QQH4" s="258"/>
      <c r="QQI4" s="258"/>
      <c r="QQJ4" s="258"/>
      <c r="QQK4" s="258"/>
      <c r="QQL4" s="258"/>
      <c r="QQM4" s="258"/>
      <c r="QQN4" s="258"/>
      <c r="QQO4" s="258"/>
      <c r="QQP4" s="258"/>
      <c r="QQQ4" s="258"/>
      <c r="QQR4" s="258"/>
      <c r="QQS4" s="258"/>
      <c r="QQT4" s="258"/>
      <c r="QQU4" s="258"/>
      <c r="QQV4" s="258"/>
      <c r="QQW4" s="258"/>
      <c r="QQX4" s="258"/>
      <c r="QQY4" s="258"/>
      <c r="QQZ4" s="258"/>
      <c r="QRA4" s="258"/>
      <c r="QRB4" s="258"/>
      <c r="QRC4" s="258"/>
      <c r="QRD4" s="258"/>
      <c r="QRE4" s="258"/>
      <c r="QRF4" s="258"/>
      <c r="QRG4" s="258"/>
      <c r="QRH4" s="258"/>
      <c r="QRI4" s="258"/>
      <c r="QRJ4" s="258"/>
      <c r="QRK4" s="258"/>
      <c r="QRL4" s="258"/>
      <c r="QRM4" s="258"/>
      <c r="QRN4" s="258"/>
      <c r="QRO4" s="258"/>
      <c r="QRP4" s="258"/>
      <c r="QRQ4" s="258"/>
      <c r="QRR4" s="258"/>
      <c r="QRS4" s="258"/>
      <c r="QRT4" s="258"/>
      <c r="QRU4" s="258"/>
      <c r="QRV4" s="258"/>
      <c r="QRW4" s="258"/>
      <c r="QRX4" s="258"/>
      <c r="QRY4" s="258"/>
      <c r="QRZ4" s="258"/>
      <c r="QSA4" s="258"/>
      <c r="QSB4" s="258"/>
      <c r="QSC4" s="258"/>
      <c r="QSD4" s="258"/>
      <c r="QSE4" s="258"/>
      <c r="QSF4" s="258"/>
      <c r="QSG4" s="258"/>
      <c r="QSH4" s="258"/>
      <c r="QSI4" s="258"/>
      <c r="QSJ4" s="258"/>
      <c r="QSK4" s="258"/>
      <c r="QSL4" s="258"/>
      <c r="QSM4" s="258"/>
      <c r="QSN4" s="258"/>
      <c r="QSO4" s="258"/>
      <c r="QSP4" s="258"/>
      <c r="QSQ4" s="258"/>
      <c r="QSR4" s="258"/>
      <c r="QSS4" s="258"/>
      <c r="QST4" s="258"/>
      <c r="QSU4" s="258"/>
      <c r="QSV4" s="258"/>
      <c r="QSW4" s="258"/>
      <c r="QSX4" s="258"/>
      <c r="QSY4" s="258"/>
      <c r="QSZ4" s="258"/>
      <c r="QTA4" s="258"/>
      <c r="QTB4" s="258"/>
      <c r="QTC4" s="258"/>
      <c r="QTD4" s="258"/>
      <c r="QTE4" s="258"/>
      <c r="QTF4" s="258"/>
      <c r="QTG4" s="258"/>
      <c r="QTH4" s="258"/>
      <c r="QTI4" s="258"/>
      <c r="QTJ4" s="258"/>
      <c r="QTK4" s="258"/>
      <c r="QTL4" s="258"/>
      <c r="QTM4" s="258"/>
      <c r="QTN4" s="258"/>
      <c r="QTO4" s="258"/>
      <c r="QTP4" s="258"/>
      <c r="QTQ4" s="258"/>
      <c r="QTR4" s="258"/>
      <c r="QTS4" s="258"/>
      <c r="QTT4" s="258"/>
      <c r="QTU4" s="258"/>
      <c r="QTV4" s="258"/>
      <c r="QTW4" s="258"/>
      <c r="QTX4" s="258"/>
      <c r="QTY4" s="258"/>
      <c r="QTZ4" s="258"/>
      <c r="QUA4" s="258"/>
      <c r="QUB4" s="258"/>
      <c r="QUC4" s="258"/>
      <c r="QUD4" s="258"/>
      <c r="QUE4" s="258"/>
      <c r="QUF4" s="258"/>
      <c r="QUG4" s="258"/>
      <c r="QUH4" s="258"/>
      <c r="QUI4" s="258"/>
      <c r="QUJ4" s="258"/>
      <c r="QUK4" s="258"/>
      <c r="QUL4" s="258"/>
      <c r="QUM4" s="258"/>
      <c r="QUN4" s="258"/>
      <c r="QUO4" s="258"/>
      <c r="QUP4" s="258"/>
      <c r="QUQ4" s="258"/>
      <c r="QUR4" s="258"/>
      <c r="QUS4" s="258"/>
      <c r="QUT4" s="258"/>
      <c r="QUU4" s="258"/>
      <c r="QUV4" s="258"/>
      <c r="QUW4" s="258"/>
      <c r="QUX4" s="258"/>
      <c r="QUY4" s="258"/>
      <c r="QUZ4" s="258"/>
      <c r="QVA4" s="258"/>
      <c r="QVB4" s="258"/>
      <c r="QVC4" s="258"/>
      <c r="QVD4" s="258"/>
      <c r="QVE4" s="258"/>
      <c r="QVF4" s="258"/>
      <c r="QVG4" s="258"/>
      <c r="QVH4" s="258"/>
      <c r="QVI4" s="258"/>
      <c r="QVJ4" s="258"/>
      <c r="QVK4" s="258"/>
      <c r="QVL4" s="258"/>
      <c r="QVM4" s="258"/>
      <c r="QVN4" s="258"/>
      <c r="QVO4" s="258"/>
      <c r="QVP4" s="258"/>
      <c r="QVQ4" s="258"/>
      <c r="QVR4" s="258"/>
      <c r="QVS4" s="258"/>
      <c r="QVT4" s="258"/>
      <c r="QVU4" s="258"/>
      <c r="QVV4" s="258"/>
      <c r="QVW4" s="258"/>
      <c r="QVX4" s="258"/>
      <c r="QVY4" s="258"/>
      <c r="QVZ4" s="258"/>
      <c r="QWA4" s="258"/>
      <c r="QWB4" s="258"/>
      <c r="QWC4" s="258"/>
      <c r="QWD4" s="258"/>
      <c r="QWE4" s="258"/>
      <c r="QWF4" s="258"/>
      <c r="QWG4" s="258"/>
      <c r="QWH4" s="258"/>
      <c r="QWI4" s="258"/>
      <c r="QWJ4" s="258"/>
      <c r="QWK4" s="258"/>
      <c r="QWL4" s="258"/>
      <c r="QWM4" s="258"/>
      <c r="QWN4" s="258"/>
      <c r="QWO4" s="258"/>
      <c r="QWP4" s="258"/>
      <c r="QWQ4" s="258"/>
      <c r="QWR4" s="258"/>
      <c r="QWS4" s="258"/>
      <c r="QWT4" s="258"/>
      <c r="QWU4" s="258"/>
      <c r="QWV4" s="258"/>
      <c r="QWW4" s="258"/>
      <c r="QWX4" s="258"/>
      <c r="QWY4" s="258"/>
      <c r="QWZ4" s="258"/>
      <c r="QXA4" s="258"/>
      <c r="QXB4" s="258"/>
      <c r="QXC4" s="258"/>
      <c r="QXD4" s="258"/>
      <c r="QXE4" s="258"/>
      <c r="QXF4" s="258"/>
      <c r="QXG4" s="258"/>
      <c r="QXH4" s="258"/>
      <c r="QXI4" s="258"/>
      <c r="QXJ4" s="258"/>
      <c r="QXK4" s="258"/>
      <c r="QXL4" s="258"/>
      <c r="QXM4" s="258"/>
      <c r="QXN4" s="258"/>
      <c r="QXO4" s="258"/>
      <c r="QXP4" s="258"/>
      <c r="QXQ4" s="258"/>
      <c r="QXR4" s="258"/>
      <c r="QXS4" s="258"/>
      <c r="QXT4" s="258"/>
      <c r="QXU4" s="258"/>
      <c r="QXV4" s="258"/>
      <c r="QXW4" s="258"/>
      <c r="QXX4" s="258"/>
      <c r="QXY4" s="258"/>
      <c r="QXZ4" s="258"/>
      <c r="QYA4" s="258"/>
      <c r="QYB4" s="258"/>
      <c r="QYC4" s="258"/>
      <c r="QYD4" s="258"/>
      <c r="QYE4" s="258"/>
      <c r="QYF4" s="258"/>
      <c r="QYG4" s="258"/>
      <c r="QYH4" s="258"/>
      <c r="QYI4" s="258"/>
      <c r="QYJ4" s="258"/>
      <c r="QYK4" s="258"/>
      <c r="QYL4" s="258"/>
      <c r="QYM4" s="258"/>
      <c r="QYN4" s="258"/>
      <c r="QYO4" s="258"/>
      <c r="QYP4" s="258"/>
      <c r="QYQ4" s="258"/>
      <c r="QYR4" s="258"/>
      <c r="QYS4" s="258"/>
      <c r="QYT4" s="258"/>
      <c r="QYU4" s="258"/>
      <c r="QYV4" s="258"/>
      <c r="QYW4" s="258"/>
      <c r="QYX4" s="258"/>
      <c r="QYY4" s="258"/>
      <c r="QYZ4" s="258"/>
      <c r="QZA4" s="258"/>
      <c r="QZB4" s="258"/>
      <c r="QZC4" s="258"/>
      <c r="QZD4" s="258"/>
      <c r="QZE4" s="258"/>
      <c r="QZF4" s="258"/>
      <c r="QZG4" s="258"/>
      <c r="QZH4" s="258"/>
      <c r="QZI4" s="258"/>
      <c r="QZJ4" s="258"/>
      <c r="QZK4" s="258"/>
      <c r="QZL4" s="258"/>
      <c r="QZM4" s="258"/>
      <c r="QZN4" s="258"/>
      <c r="QZO4" s="258"/>
      <c r="QZP4" s="258"/>
      <c r="QZQ4" s="258"/>
      <c r="QZR4" s="258"/>
      <c r="QZS4" s="258"/>
      <c r="QZT4" s="258"/>
      <c r="QZU4" s="258"/>
      <c r="QZV4" s="258"/>
      <c r="QZW4" s="258"/>
      <c r="QZX4" s="258"/>
      <c r="QZY4" s="258"/>
      <c r="QZZ4" s="258"/>
      <c r="RAA4" s="258"/>
      <c r="RAB4" s="258"/>
      <c r="RAC4" s="258"/>
      <c r="RAD4" s="258"/>
      <c r="RAE4" s="258"/>
      <c r="RAF4" s="258"/>
      <c r="RAG4" s="258"/>
      <c r="RAH4" s="258"/>
      <c r="RAI4" s="258"/>
      <c r="RAJ4" s="258"/>
      <c r="RAK4" s="258"/>
      <c r="RAL4" s="258"/>
      <c r="RAM4" s="258"/>
      <c r="RAN4" s="258"/>
      <c r="RAO4" s="258"/>
      <c r="RAP4" s="258"/>
      <c r="RAQ4" s="258"/>
      <c r="RAR4" s="258"/>
      <c r="RAS4" s="258"/>
      <c r="RAT4" s="258"/>
      <c r="RAU4" s="258"/>
      <c r="RAV4" s="258"/>
      <c r="RAW4" s="258"/>
      <c r="RAX4" s="258"/>
      <c r="RAY4" s="258"/>
      <c r="RAZ4" s="258"/>
      <c r="RBA4" s="258"/>
      <c r="RBB4" s="258"/>
      <c r="RBC4" s="258"/>
      <c r="RBD4" s="258"/>
      <c r="RBE4" s="258"/>
      <c r="RBF4" s="258"/>
      <c r="RBG4" s="258"/>
      <c r="RBH4" s="258"/>
      <c r="RBI4" s="258"/>
      <c r="RBJ4" s="258"/>
      <c r="RBK4" s="258"/>
      <c r="RBL4" s="258"/>
      <c r="RBM4" s="258"/>
      <c r="RBN4" s="258"/>
      <c r="RBO4" s="258"/>
      <c r="RBP4" s="258"/>
      <c r="RBQ4" s="258"/>
      <c r="RBR4" s="258"/>
      <c r="RBS4" s="258"/>
      <c r="RBT4" s="258"/>
      <c r="RBU4" s="258"/>
      <c r="RBV4" s="258"/>
      <c r="RBW4" s="258"/>
      <c r="RBX4" s="258"/>
      <c r="RBY4" s="258"/>
      <c r="RBZ4" s="258"/>
      <c r="RCA4" s="258"/>
      <c r="RCB4" s="258"/>
      <c r="RCC4" s="258"/>
      <c r="RCD4" s="258"/>
      <c r="RCE4" s="258"/>
      <c r="RCF4" s="258"/>
      <c r="RCG4" s="258"/>
      <c r="RCH4" s="258"/>
      <c r="RCI4" s="258"/>
      <c r="RCJ4" s="258"/>
      <c r="RCK4" s="258"/>
      <c r="RCL4" s="258"/>
      <c r="RCM4" s="258"/>
      <c r="RCN4" s="258"/>
      <c r="RCO4" s="258"/>
      <c r="RCP4" s="258"/>
      <c r="RCQ4" s="258"/>
      <c r="RCR4" s="258"/>
      <c r="RCS4" s="258"/>
      <c r="RCT4" s="258"/>
      <c r="RCU4" s="258"/>
      <c r="RCV4" s="258"/>
      <c r="RCW4" s="258"/>
      <c r="RCX4" s="258"/>
      <c r="RCY4" s="258"/>
      <c r="RCZ4" s="258"/>
      <c r="RDA4" s="258"/>
      <c r="RDB4" s="258"/>
      <c r="RDC4" s="258"/>
      <c r="RDD4" s="258"/>
      <c r="RDE4" s="258"/>
      <c r="RDF4" s="258"/>
      <c r="RDG4" s="258"/>
      <c r="RDH4" s="258"/>
      <c r="RDI4" s="258"/>
      <c r="RDJ4" s="258"/>
      <c r="RDK4" s="258"/>
      <c r="RDL4" s="258"/>
      <c r="RDM4" s="258"/>
      <c r="RDN4" s="258"/>
      <c r="RDO4" s="258"/>
      <c r="RDP4" s="258"/>
      <c r="RDQ4" s="258"/>
      <c r="RDR4" s="258"/>
      <c r="RDS4" s="258"/>
      <c r="RDT4" s="258"/>
      <c r="RDU4" s="258"/>
      <c r="RDV4" s="258"/>
      <c r="RDW4" s="258"/>
      <c r="RDX4" s="258"/>
      <c r="RDY4" s="258"/>
      <c r="RDZ4" s="258"/>
      <c r="REA4" s="258"/>
      <c r="REB4" s="258"/>
      <c r="REC4" s="258"/>
      <c r="RED4" s="258"/>
      <c r="REE4" s="258"/>
      <c r="REF4" s="258"/>
      <c r="REG4" s="258"/>
      <c r="REH4" s="258"/>
      <c r="REI4" s="258"/>
      <c r="REJ4" s="258"/>
      <c r="REK4" s="258"/>
      <c r="REL4" s="258"/>
      <c r="REM4" s="258"/>
      <c r="REN4" s="258"/>
      <c r="REO4" s="258"/>
      <c r="REP4" s="258"/>
      <c r="REQ4" s="258"/>
      <c r="RER4" s="258"/>
      <c r="RES4" s="258"/>
      <c r="RET4" s="258"/>
      <c r="REU4" s="258"/>
      <c r="REV4" s="258"/>
      <c r="REW4" s="258"/>
      <c r="REX4" s="258"/>
      <c r="REY4" s="258"/>
      <c r="REZ4" s="258"/>
      <c r="RFA4" s="258"/>
      <c r="RFB4" s="258"/>
      <c r="RFC4" s="258"/>
      <c r="RFD4" s="258"/>
      <c r="RFE4" s="258"/>
      <c r="RFF4" s="258"/>
      <c r="RFG4" s="258"/>
      <c r="RFH4" s="258"/>
      <c r="RFI4" s="258"/>
      <c r="RFJ4" s="258"/>
      <c r="RFK4" s="258"/>
      <c r="RFL4" s="258"/>
      <c r="RFM4" s="258"/>
      <c r="RFN4" s="258"/>
      <c r="RFO4" s="258"/>
      <c r="RFP4" s="258"/>
      <c r="RFQ4" s="258"/>
      <c r="RFR4" s="258"/>
      <c r="RFS4" s="258"/>
      <c r="RFT4" s="258"/>
      <c r="RFU4" s="258"/>
      <c r="RFV4" s="258"/>
      <c r="RFW4" s="258"/>
      <c r="RFX4" s="258"/>
      <c r="RFY4" s="258"/>
      <c r="RFZ4" s="258"/>
      <c r="RGA4" s="258"/>
      <c r="RGB4" s="258"/>
      <c r="RGC4" s="258"/>
      <c r="RGD4" s="258"/>
      <c r="RGE4" s="258"/>
      <c r="RGF4" s="258"/>
      <c r="RGG4" s="258"/>
      <c r="RGH4" s="258"/>
      <c r="RGI4" s="258"/>
      <c r="RGJ4" s="258"/>
      <c r="RGK4" s="258"/>
      <c r="RGL4" s="258"/>
      <c r="RGM4" s="258"/>
      <c r="RGN4" s="258"/>
      <c r="RGO4" s="258"/>
      <c r="RGP4" s="258"/>
      <c r="RGQ4" s="258"/>
      <c r="RGR4" s="258"/>
      <c r="RGS4" s="258"/>
      <c r="RGT4" s="258"/>
      <c r="RGU4" s="258"/>
      <c r="RGV4" s="258"/>
      <c r="RGW4" s="258"/>
      <c r="RGX4" s="258"/>
      <c r="RGY4" s="258"/>
      <c r="RGZ4" s="258"/>
      <c r="RHA4" s="258"/>
      <c r="RHB4" s="258"/>
      <c r="RHC4" s="258"/>
      <c r="RHD4" s="258"/>
      <c r="RHE4" s="258"/>
      <c r="RHF4" s="258"/>
      <c r="RHG4" s="258"/>
      <c r="RHH4" s="258"/>
      <c r="RHI4" s="258"/>
      <c r="RHJ4" s="258"/>
      <c r="RHK4" s="258"/>
      <c r="RHL4" s="258"/>
      <c r="RHM4" s="258"/>
      <c r="RHN4" s="258"/>
      <c r="RHO4" s="258"/>
      <c r="RHP4" s="258"/>
      <c r="RHQ4" s="258"/>
      <c r="RHR4" s="258"/>
      <c r="RHS4" s="258"/>
      <c r="RHT4" s="258"/>
      <c r="RHU4" s="258"/>
      <c r="RHV4" s="258"/>
      <c r="RHW4" s="258"/>
      <c r="RHX4" s="258"/>
      <c r="RHY4" s="258"/>
      <c r="RHZ4" s="258"/>
      <c r="RIA4" s="258"/>
      <c r="RIB4" s="258"/>
      <c r="RIC4" s="258"/>
      <c r="RID4" s="258"/>
      <c r="RIE4" s="258"/>
      <c r="RIF4" s="258"/>
      <c r="RIG4" s="258"/>
      <c r="RIH4" s="258"/>
      <c r="RII4" s="258"/>
      <c r="RIJ4" s="258"/>
      <c r="RIK4" s="258"/>
      <c r="RIL4" s="258"/>
      <c r="RIM4" s="258"/>
      <c r="RIN4" s="258"/>
      <c r="RIO4" s="258"/>
      <c r="RIP4" s="258"/>
      <c r="RIQ4" s="258"/>
      <c r="RIR4" s="258"/>
      <c r="RIS4" s="258"/>
      <c r="RIT4" s="258"/>
      <c r="RIU4" s="258"/>
      <c r="RIV4" s="258"/>
      <c r="RIW4" s="258"/>
      <c r="RIX4" s="258"/>
      <c r="RIY4" s="258"/>
      <c r="RIZ4" s="258"/>
      <c r="RJA4" s="258"/>
      <c r="RJB4" s="258"/>
      <c r="RJC4" s="258"/>
      <c r="RJD4" s="258"/>
      <c r="RJE4" s="258"/>
      <c r="RJF4" s="258"/>
      <c r="RJG4" s="258"/>
      <c r="RJH4" s="258"/>
      <c r="RJI4" s="258"/>
      <c r="RJJ4" s="258"/>
      <c r="RJK4" s="258"/>
      <c r="RJL4" s="258"/>
      <c r="RJM4" s="258"/>
      <c r="RJN4" s="258"/>
      <c r="RJO4" s="258"/>
      <c r="RJP4" s="258"/>
      <c r="RJQ4" s="258"/>
      <c r="RJR4" s="258"/>
      <c r="RJS4" s="258"/>
      <c r="RJT4" s="258"/>
      <c r="RJU4" s="258"/>
      <c r="RJV4" s="258"/>
      <c r="RJW4" s="258"/>
      <c r="RJX4" s="258"/>
      <c r="RJY4" s="258"/>
      <c r="RJZ4" s="258"/>
      <c r="RKA4" s="258"/>
      <c r="RKB4" s="258"/>
      <c r="RKC4" s="258"/>
      <c r="RKD4" s="258"/>
      <c r="RKE4" s="258"/>
      <c r="RKF4" s="258"/>
      <c r="RKG4" s="258"/>
      <c r="RKH4" s="258"/>
      <c r="RKI4" s="258"/>
      <c r="RKJ4" s="258"/>
      <c r="RKK4" s="258"/>
      <c r="RKL4" s="258"/>
      <c r="RKM4" s="258"/>
      <c r="RKN4" s="258"/>
      <c r="RKO4" s="258"/>
      <c r="RKP4" s="258"/>
      <c r="RKQ4" s="258"/>
      <c r="RKR4" s="258"/>
      <c r="RKS4" s="258"/>
      <c r="RKT4" s="258"/>
      <c r="RKU4" s="258"/>
      <c r="RKV4" s="258"/>
      <c r="RKW4" s="258"/>
      <c r="RKX4" s="258"/>
      <c r="RKY4" s="258"/>
      <c r="RKZ4" s="258"/>
      <c r="RLA4" s="258"/>
      <c r="RLB4" s="258"/>
      <c r="RLC4" s="258"/>
      <c r="RLD4" s="258"/>
      <c r="RLE4" s="258"/>
      <c r="RLF4" s="258"/>
      <c r="RLG4" s="258"/>
      <c r="RLH4" s="258"/>
      <c r="RLI4" s="258"/>
      <c r="RLJ4" s="258"/>
      <c r="RLK4" s="258"/>
      <c r="RLL4" s="258"/>
      <c r="RLM4" s="258"/>
      <c r="RLN4" s="258"/>
      <c r="RLO4" s="258"/>
      <c r="RLP4" s="258"/>
      <c r="RLQ4" s="258"/>
      <c r="RLR4" s="258"/>
      <c r="RLS4" s="258"/>
      <c r="RLT4" s="258"/>
      <c r="RLU4" s="258"/>
      <c r="RLV4" s="258"/>
      <c r="RLW4" s="258"/>
      <c r="RLX4" s="258"/>
      <c r="RLY4" s="258"/>
      <c r="RLZ4" s="258"/>
      <c r="RMA4" s="258"/>
      <c r="RMB4" s="258"/>
      <c r="RMC4" s="258"/>
      <c r="RMD4" s="258"/>
      <c r="RME4" s="258"/>
      <c r="RMF4" s="258"/>
      <c r="RMG4" s="258"/>
      <c r="RMH4" s="258"/>
      <c r="RMI4" s="258"/>
      <c r="RMJ4" s="258"/>
      <c r="RMK4" s="258"/>
      <c r="RML4" s="258"/>
      <c r="RMM4" s="258"/>
      <c r="RMN4" s="258"/>
      <c r="RMO4" s="258"/>
      <c r="RMP4" s="258"/>
      <c r="RMQ4" s="258"/>
      <c r="RMR4" s="258"/>
      <c r="RMS4" s="258"/>
      <c r="RMT4" s="258"/>
      <c r="RMU4" s="258"/>
      <c r="RMV4" s="258"/>
      <c r="RMW4" s="258"/>
      <c r="RMX4" s="258"/>
      <c r="RMY4" s="258"/>
      <c r="RMZ4" s="258"/>
      <c r="RNA4" s="258"/>
      <c r="RNB4" s="258"/>
      <c r="RNC4" s="258"/>
      <c r="RND4" s="258"/>
      <c r="RNE4" s="258"/>
      <c r="RNF4" s="258"/>
      <c r="RNG4" s="258"/>
      <c r="RNH4" s="258"/>
      <c r="RNI4" s="258"/>
      <c r="RNJ4" s="258"/>
      <c r="RNK4" s="258"/>
      <c r="RNL4" s="258"/>
      <c r="RNM4" s="258"/>
      <c r="RNN4" s="258"/>
      <c r="RNO4" s="258"/>
      <c r="RNP4" s="258"/>
      <c r="RNQ4" s="258"/>
      <c r="RNR4" s="258"/>
      <c r="RNS4" s="258"/>
      <c r="RNT4" s="258"/>
      <c r="RNU4" s="258"/>
      <c r="RNV4" s="258"/>
      <c r="RNW4" s="258"/>
      <c r="RNX4" s="258"/>
      <c r="RNY4" s="258"/>
      <c r="RNZ4" s="258"/>
      <c r="ROA4" s="258"/>
      <c r="ROB4" s="258"/>
      <c r="ROC4" s="258"/>
      <c r="ROD4" s="258"/>
      <c r="ROE4" s="258"/>
      <c r="ROF4" s="258"/>
      <c r="ROG4" s="258"/>
      <c r="ROH4" s="258"/>
      <c r="ROI4" s="258"/>
      <c r="ROJ4" s="258"/>
      <c r="ROK4" s="258"/>
      <c r="ROL4" s="258"/>
      <c r="ROM4" s="258"/>
      <c r="RON4" s="258"/>
      <c r="ROO4" s="258"/>
      <c r="ROP4" s="258"/>
      <c r="ROQ4" s="258"/>
      <c r="ROR4" s="258"/>
      <c r="ROS4" s="258"/>
      <c r="ROT4" s="258"/>
      <c r="ROU4" s="258"/>
      <c r="ROV4" s="258"/>
      <c r="ROW4" s="258"/>
      <c r="ROX4" s="258"/>
      <c r="ROY4" s="258"/>
      <c r="ROZ4" s="258"/>
      <c r="RPA4" s="258"/>
      <c r="RPB4" s="258"/>
      <c r="RPC4" s="258"/>
      <c r="RPD4" s="258"/>
      <c r="RPE4" s="258"/>
      <c r="RPF4" s="258"/>
      <c r="RPG4" s="258"/>
      <c r="RPH4" s="258"/>
      <c r="RPI4" s="258"/>
      <c r="RPJ4" s="258"/>
      <c r="RPK4" s="258"/>
      <c r="RPL4" s="258"/>
      <c r="RPM4" s="258"/>
      <c r="RPN4" s="258"/>
      <c r="RPO4" s="258"/>
      <c r="RPP4" s="258"/>
      <c r="RPQ4" s="258"/>
      <c r="RPR4" s="258"/>
      <c r="RPS4" s="258"/>
      <c r="RPT4" s="258"/>
      <c r="RPU4" s="258"/>
      <c r="RPV4" s="258"/>
      <c r="RPW4" s="258"/>
      <c r="RPX4" s="258"/>
      <c r="RPY4" s="258"/>
      <c r="RPZ4" s="258"/>
      <c r="RQA4" s="258"/>
      <c r="RQB4" s="258"/>
      <c r="RQC4" s="258"/>
      <c r="RQD4" s="258"/>
      <c r="RQE4" s="258"/>
      <c r="RQF4" s="258"/>
      <c r="RQG4" s="258"/>
      <c r="RQH4" s="258"/>
      <c r="RQI4" s="258"/>
      <c r="RQJ4" s="258"/>
      <c r="RQK4" s="258"/>
      <c r="RQL4" s="258"/>
      <c r="RQM4" s="258"/>
      <c r="RQN4" s="258"/>
      <c r="RQO4" s="258"/>
      <c r="RQP4" s="258"/>
      <c r="RQQ4" s="258"/>
      <c r="RQR4" s="258"/>
      <c r="RQS4" s="258"/>
      <c r="RQT4" s="258"/>
      <c r="RQU4" s="258"/>
      <c r="RQV4" s="258"/>
      <c r="RQW4" s="258"/>
      <c r="RQX4" s="258"/>
      <c r="RQY4" s="258"/>
      <c r="RQZ4" s="258"/>
      <c r="RRA4" s="258"/>
      <c r="RRB4" s="258"/>
      <c r="RRC4" s="258"/>
      <c r="RRD4" s="258"/>
      <c r="RRE4" s="258"/>
      <c r="RRF4" s="258"/>
      <c r="RRG4" s="258"/>
      <c r="RRH4" s="258"/>
      <c r="RRI4" s="258"/>
      <c r="RRJ4" s="258"/>
      <c r="RRK4" s="258"/>
      <c r="RRL4" s="258"/>
      <c r="RRM4" s="258"/>
      <c r="RRN4" s="258"/>
      <c r="RRO4" s="258"/>
      <c r="RRP4" s="258"/>
      <c r="RRQ4" s="258"/>
      <c r="RRR4" s="258"/>
      <c r="RRS4" s="258"/>
      <c r="RRT4" s="258"/>
      <c r="RRU4" s="258"/>
      <c r="RRV4" s="258"/>
      <c r="RRW4" s="258"/>
      <c r="RRX4" s="258"/>
      <c r="RRY4" s="258"/>
      <c r="RRZ4" s="258"/>
      <c r="RSA4" s="258"/>
      <c r="RSB4" s="258"/>
      <c r="RSC4" s="258"/>
      <c r="RSD4" s="258"/>
      <c r="RSE4" s="258"/>
      <c r="RSF4" s="258"/>
      <c r="RSG4" s="258"/>
      <c r="RSH4" s="258"/>
      <c r="RSI4" s="258"/>
      <c r="RSJ4" s="258"/>
      <c r="RSK4" s="258"/>
      <c r="RSL4" s="258"/>
      <c r="RSM4" s="258"/>
      <c r="RSN4" s="258"/>
      <c r="RSO4" s="258"/>
      <c r="RSP4" s="258"/>
      <c r="RSQ4" s="258"/>
      <c r="RSR4" s="258"/>
      <c r="RSS4" s="258"/>
      <c r="RST4" s="258"/>
      <c r="RSU4" s="258"/>
      <c r="RSV4" s="258"/>
      <c r="RSW4" s="258"/>
      <c r="RSX4" s="258"/>
      <c r="RSY4" s="258"/>
      <c r="RSZ4" s="258"/>
      <c r="RTA4" s="258"/>
      <c r="RTB4" s="258"/>
      <c r="RTC4" s="258"/>
      <c r="RTD4" s="258"/>
      <c r="RTE4" s="258"/>
      <c r="RTF4" s="258"/>
      <c r="RTG4" s="258"/>
      <c r="RTH4" s="258"/>
      <c r="RTI4" s="258"/>
      <c r="RTJ4" s="258"/>
      <c r="RTK4" s="258"/>
      <c r="RTL4" s="258"/>
      <c r="RTM4" s="258"/>
      <c r="RTN4" s="258"/>
      <c r="RTO4" s="258"/>
      <c r="RTP4" s="258"/>
      <c r="RTQ4" s="258"/>
      <c r="RTR4" s="258"/>
      <c r="RTS4" s="258"/>
      <c r="RTT4" s="258"/>
      <c r="RTU4" s="258"/>
      <c r="RTV4" s="258"/>
      <c r="RTW4" s="258"/>
      <c r="RTX4" s="258"/>
      <c r="RTY4" s="258"/>
      <c r="RTZ4" s="258"/>
      <c r="RUA4" s="258"/>
      <c r="RUB4" s="258"/>
      <c r="RUC4" s="258"/>
      <c r="RUD4" s="258"/>
      <c r="RUE4" s="258"/>
      <c r="RUF4" s="258"/>
      <c r="RUG4" s="258"/>
      <c r="RUH4" s="258"/>
      <c r="RUI4" s="258"/>
      <c r="RUJ4" s="258"/>
      <c r="RUK4" s="258"/>
      <c r="RUL4" s="258"/>
      <c r="RUM4" s="258"/>
      <c r="RUN4" s="258"/>
      <c r="RUO4" s="258"/>
      <c r="RUP4" s="258"/>
      <c r="RUQ4" s="258"/>
      <c r="RUR4" s="258"/>
      <c r="RUS4" s="258"/>
      <c r="RUT4" s="258"/>
      <c r="RUU4" s="258"/>
      <c r="RUV4" s="258"/>
      <c r="RUW4" s="258"/>
      <c r="RUX4" s="258"/>
      <c r="RUY4" s="258"/>
      <c r="RUZ4" s="258"/>
      <c r="RVA4" s="258"/>
      <c r="RVB4" s="258"/>
      <c r="RVC4" s="258"/>
      <c r="RVD4" s="258"/>
      <c r="RVE4" s="258"/>
      <c r="RVF4" s="258"/>
      <c r="RVG4" s="258"/>
      <c r="RVH4" s="258"/>
      <c r="RVI4" s="258"/>
      <c r="RVJ4" s="258"/>
      <c r="RVK4" s="258"/>
      <c r="RVL4" s="258"/>
      <c r="RVM4" s="258"/>
      <c r="RVN4" s="258"/>
      <c r="RVO4" s="258"/>
      <c r="RVP4" s="258"/>
      <c r="RVQ4" s="258"/>
      <c r="RVR4" s="258"/>
      <c r="RVS4" s="258"/>
      <c r="RVT4" s="258"/>
      <c r="RVU4" s="258"/>
      <c r="RVV4" s="258"/>
      <c r="RVW4" s="258"/>
      <c r="RVX4" s="258"/>
      <c r="RVY4" s="258"/>
      <c r="RVZ4" s="258"/>
      <c r="RWA4" s="258"/>
      <c r="RWB4" s="258"/>
      <c r="RWC4" s="258"/>
      <c r="RWD4" s="258"/>
      <c r="RWE4" s="258"/>
      <c r="RWF4" s="258"/>
      <c r="RWG4" s="258"/>
      <c r="RWH4" s="258"/>
      <c r="RWI4" s="258"/>
      <c r="RWJ4" s="258"/>
      <c r="RWK4" s="258"/>
      <c r="RWL4" s="258"/>
      <c r="RWM4" s="258"/>
      <c r="RWN4" s="258"/>
      <c r="RWO4" s="258"/>
      <c r="RWP4" s="258"/>
      <c r="RWQ4" s="258"/>
      <c r="RWR4" s="258"/>
      <c r="RWS4" s="258"/>
      <c r="RWT4" s="258"/>
      <c r="RWU4" s="258"/>
      <c r="RWV4" s="258"/>
      <c r="RWW4" s="258"/>
      <c r="RWX4" s="258"/>
      <c r="RWY4" s="258"/>
      <c r="RWZ4" s="258"/>
      <c r="RXA4" s="258"/>
      <c r="RXB4" s="258"/>
      <c r="RXC4" s="258"/>
      <c r="RXD4" s="258"/>
      <c r="RXE4" s="258"/>
      <c r="RXF4" s="258"/>
      <c r="RXG4" s="258"/>
      <c r="RXH4" s="258"/>
      <c r="RXI4" s="258"/>
      <c r="RXJ4" s="258"/>
      <c r="RXK4" s="258"/>
      <c r="RXL4" s="258"/>
      <c r="RXM4" s="258"/>
      <c r="RXN4" s="258"/>
      <c r="RXO4" s="258"/>
      <c r="RXP4" s="258"/>
      <c r="RXQ4" s="258"/>
      <c r="RXR4" s="258"/>
      <c r="RXS4" s="258"/>
      <c r="RXT4" s="258"/>
      <c r="RXU4" s="258"/>
      <c r="RXV4" s="258"/>
      <c r="RXW4" s="258"/>
      <c r="RXX4" s="258"/>
      <c r="RXY4" s="258"/>
      <c r="RXZ4" s="258"/>
      <c r="RYA4" s="258"/>
      <c r="RYB4" s="258"/>
      <c r="RYC4" s="258"/>
      <c r="RYD4" s="258"/>
      <c r="RYE4" s="258"/>
      <c r="RYF4" s="258"/>
      <c r="RYG4" s="258"/>
      <c r="RYH4" s="258"/>
      <c r="RYI4" s="258"/>
      <c r="RYJ4" s="258"/>
      <c r="RYK4" s="258"/>
      <c r="RYL4" s="258"/>
      <c r="RYM4" s="258"/>
      <c r="RYN4" s="258"/>
      <c r="RYO4" s="258"/>
      <c r="RYP4" s="258"/>
      <c r="RYQ4" s="258"/>
      <c r="RYR4" s="258"/>
      <c r="RYS4" s="258"/>
      <c r="RYT4" s="258"/>
      <c r="RYU4" s="258"/>
      <c r="RYV4" s="258"/>
      <c r="RYW4" s="258"/>
      <c r="RYX4" s="258"/>
      <c r="RYY4" s="258"/>
      <c r="RYZ4" s="258"/>
      <c r="RZA4" s="258"/>
      <c r="RZB4" s="258"/>
      <c r="RZC4" s="258"/>
      <c r="RZD4" s="258"/>
      <c r="RZE4" s="258"/>
      <c r="RZF4" s="258"/>
      <c r="RZG4" s="258"/>
      <c r="RZH4" s="258"/>
      <c r="RZI4" s="258"/>
      <c r="RZJ4" s="258"/>
      <c r="RZK4" s="258"/>
      <c r="RZL4" s="258"/>
      <c r="RZM4" s="258"/>
      <c r="RZN4" s="258"/>
      <c r="RZO4" s="258"/>
      <c r="RZP4" s="258"/>
      <c r="RZQ4" s="258"/>
      <c r="RZR4" s="258"/>
      <c r="RZS4" s="258"/>
      <c r="RZT4" s="258"/>
      <c r="RZU4" s="258"/>
      <c r="RZV4" s="258"/>
      <c r="RZW4" s="258"/>
      <c r="RZX4" s="258"/>
      <c r="RZY4" s="258"/>
      <c r="RZZ4" s="258"/>
      <c r="SAA4" s="258"/>
      <c r="SAB4" s="258"/>
      <c r="SAC4" s="258"/>
      <c r="SAD4" s="258"/>
      <c r="SAE4" s="258"/>
      <c r="SAF4" s="258"/>
      <c r="SAG4" s="258"/>
      <c r="SAH4" s="258"/>
      <c r="SAI4" s="258"/>
      <c r="SAJ4" s="258"/>
      <c r="SAK4" s="258"/>
      <c r="SAL4" s="258"/>
      <c r="SAM4" s="258"/>
      <c r="SAN4" s="258"/>
      <c r="SAO4" s="258"/>
      <c r="SAP4" s="258"/>
      <c r="SAQ4" s="258"/>
      <c r="SAR4" s="258"/>
      <c r="SAS4" s="258"/>
      <c r="SAT4" s="258"/>
      <c r="SAU4" s="258"/>
      <c r="SAV4" s="258"/>
      <c r="SAW4" s="258"/>
      <c r="SAX4" s="258"/>
      <c r="SAY4" s="258"/>
      <c r="SAZ4" s="258"/>
      <c r="SBA4" s="258"/>
      <c r="SBB4" s="258"/>
      <c r="SBC4" s="258"/>
      <c r="SBD4" s="258"/>
      <c r="SBE4" s="258"/>
      <c r="SBF4" s="258"/>
      <c r="SBG4" s="258"/>
      <c r="SBH4" s="258"/>
      <c r="SBI4" s="258"/>
      <c r="SBJ4" s="258"/>
      <c r="SBK4" s="258"/>
      <c r="SBL4" s="258"/>
      <c r="SBM4" s="258"/>
      <c r="SBN4" s="258"/>
      <c r="SBO4" s="258"/>
      <c r="SBP4" s="258"/>
      <c r="SBQ4" s="258"/>
      <c r="SBR4" s="258"/>
      <c r="SBS4" s="258"/>
      <c r="SBT4" s="258"/>
      <c r="SBU4" s="258"/>
      <c r="SBV4" s="258"/>
      <c r="SBW4" s="258"/>
      <c r="SBX4" s="258"/>
      <c r="SBY4" s="258"/>
      <c r="SBZ4" s="258"/>
      <c r="SCA4" s="258"/>
      <c r="SCB4" s="258"/>
      <c r="SCC4" s="258"/>
      <c r="SCD4" s="258"/>
      <c r="SCE4" s="258"/>
      <c r="SCF4" s="258"/>
      <c r="SCG4" s="258"/>
      <c r="SCH4" s="258"/>
      <c r="SCI4" s="258"/>
      <c r="SCJ4" s="258"/>
      <c r="SCK4" s="258"/>
      <c r="SCL4" s="258"/>
      <c r="SCM4" s="258"/>
      <c r="SCN4" s="258"/>
      <c r="SCO4" s="258"/>
      <c r="SCP4" s="258"/>
      <c r="SCQ4" s="258"/>
      <c r="SCR4" s="258"/>
      <c r="SCS4" s="258"/>
      <c r="SCT4" s="258"/>
      <c r="SCU4" s="258"/>
      <c r="SCV4" s="258"/>
      <c r="SCW4" s="258"/>
      <c r="SCX4" s="258"/>
      <c r="SCY4" s="258"/>
      <c r="SCZ4" s="258"/>
      <c r="SDA4" s="258"/>
      <c r="SDB4" s="258"/>
      <c r="SDC4" s="258"/>
      <c r="SDD4" s="258"/>
      <c r="SDE4" s="258"/>
      <c r="SDF4" s="258"/>
      <c r="SDG4" s="258"/>
      <c r="SDH4" s="258"/>
      <c r="SDI4" s="258"/>
      <c r="SDJ4" s="258"/>
      <c r="SDK4" s="258"/>
      <c r="SDL4" s="258"/>
      <c r="SDM4" s="258"/>
      <c r="SDN4" s="258"/>
      <c r="SDO4" s="258"/>
      <c r="SDP4" s="258"/>
      <c r="SDQ4" s="258"/>
      <c r="SDR4" s="258"/>
      <c r="SDS4" s="258"/>
      <c r="SDT4" s="258"/>
      <c r="SDU4" s="258"/>
      <c r="SDV4" s="258"/>
      <c r="SDW4" s="258"/>
      <c r="SDX4" s="258"/>
      <c r="SDY4" s="258"/>
      <c r="SDZ4" s="258"/>
      <c r="SEA4" s="258"/>
      <c r="SEB4" s="258"/>
      <c r="SEC4" s="258"/>
      <c r="SED4" s="258"/>
      <c r="SEE4" s="258"/>
      <c r="SEF4" s="258"/>
      <c r="SEG4" s="258"/>
      <c r="SEH4" s="258"/>
      <c r="SEI4" s="258"/>
      <c r="SEJ4" s="258"/>
      <c r="SEK4" s="258"/>
      <c r="SEL4" s="258"/>
      <c r="SEM4" s="258"/>
      <c r="SEN4" s="258"/>
      <c r="SEO4" s="258"/>
      <c r="SEP4" s="258"/>
      <c r="SEQ4" s="258"/>
      <c r="SER4" s="258"/>
      <c r="SES4" s="258"/>
      <c r="SET4" s="258"/>
      <c r="SEU4" s="258"/>
      <c r="SEV4" s="258"/>
      <c r="SEW4" s="258"/>
      <c r="SEX4" s="258"/>
      <c r="SEY4" s="258"/>
      <c r="SEZ4" s="258"/>
      <c r="SFA4" s="258"/>
      <c r="SFB4" s="258"/>
      <c r="SFC4" s="258"/>
      <c r="SFD4" s="258"/>
      <c r="SFE4" s="258"/>
      <c r="SFF4" s="258"/>
      <c r="SFG4" s="258"/>
      <c r="SFH4" s="258"/>
      <c r="SFI4" s="258"/>
      <c r="SFJ4" s="258"/>
      <c r="SFK4" s="258"/>
      <c r="SFL4" s="258"/>
      <c r="SFM4" s="258"/>
      <c r="SFN4" s="258"/>
      <c r="SFO4" s="258"/>
      <c r="SFP4" s="258"/>
      <c r="SFQ4" s="258"/>
      <c r="SFR4" s="258"/>
      <c r="SFS4" s="258"/>
      <c r="SFT4" s="258"/>
      <c r="SFU4" s="258"/>
      <c r="SFV4" s="258"/>
      <c r="SFW4" s="258"/>
      <c r="SFX4" s="258"/>
      <c r="SFY4" s="258"/>
      <c r="SFZ4" s="258"/>
      <c r="SGA4" s="258"/>
      <c r="SGB4" s="258"/>
      <c r="SGC4" s="258"/>
      <c r="SGD4" s="258"/>
      <c r="SGE4" s="258"/>
      <c r="SGF4" s="258"/>
      <c r="SGG4" s="258"/>
      <c r="SGH4" s="258"/>
      <c r="SGI4" s="258"/>
      <c r="SGJ4" s="258"/>
      <c r="SGK4" s="258"/>
      <c r="SGL4" s="258"/>
      <c r="SGM4" s="258"/>
      <c r="SGN4" s="258"/>
      <c r="SGO4" s="258"/>
      <c r="SGP4" s="258"/>
      <c r="SGQ4" s="258"/>
      <c r="SGR4" s="258"/>
      <c r="SGS4" s="258"/>
      <c r="SGT4" s="258"/>
      <c r="SGU4" s="258"/>
      <c r="SGV4" s="258"/>
      <c r="SGW4" s="258"/>
      <c r="SGX4" s="258"/>
      <c r="SGY4" s="258"/>
      <c r="SGZ4" s="258"/>
      <c r="SHA4" s="258"/>
      <c r="SHB4" s="258"/>
      <c r="SHC4" s="258"/>
      <c r="SHD4" s="258"/>
      <c r="SHE4" s="258"/>
      <c r="SHF4" s="258"/>
      <c r="SHG4" s="258"/>
      <c r="SHH4" s="258"/>
      <c r="SHI4" s="258"/>
      <c r="SHJ4" s="258"/>
      <c r="SHK4" s="258"/>
      <c r="SHL4" s="258"/>
      <c r="SHM4" s="258"/>
      <c r="SHN4" s="258"/>
      <c r="SHO4" s="258"/>
      <c r="SHP4" s="258"/>
      <c r="SHQ4" s="258"/>
      <c r="SHR4" s="258"/>
      <c r="SHS4" s="258"/>
      <c r="SHT4" s="258"/>
      <c r="SHU4" s="258"/>
      <c r="SHV4" s="258"/>
      <c r="SHW4" s="258"/>
      <c r="SHX4" s="258"/>
      <c r="SHY4" s="258"/>
      <c r="SHZ4" s="258"/>
      <c r="SIA4" s="258"/>
      <c r="SIB4" s="258"/>
      <c r="SIC4" s="258"/>
      <c r="SID4" s="258"/>
      <c r="SIE4" s="258"/>
      <c r="SIF4" s="258"/>
      <c r="SIG4" s="258"/>
      <c r="SIH4" s="258"/>
      <c r="SII4" s="258"/>
      <c r="SIJ4" s="258"/>
      <c r="SIK4" s="258"/>
      <c r="SIL4" s="258"/>
      <c r="SIM4" s="258"/>
      <c r="SIN4" s="258"/>
      <c r="SIO4" s="258"/>
      <c r="SIP4" s="258"/>
      <c r="SIQ4" s="258"/>
      <c r="SIR4" s="258"/>
      <c r="SIS4" s="258"/>
      <c r="SIT4" s="258"/>
      <c r="SIU4" s="258"/>
      <c r="SIV4" s="258"/>
      <c r="SIW4" s="258"/>
      <c r="SIX4" s="258"/>
      <c r="SIY4" s="258"/>
      <c r="SIZ4" s="258"/>
      <c r="SJA4" s="258"/>
      <c r="SJB4" s="258"/>
      <c r="SJC4" s="258"/>
      <c r="SJD4" s="258"/>
      <c r="SJE4" s="258"/>
      <c r="SJF4" s="258"/>
      <c r="SJG4" s="258"/>
      <c r="SJH4" s="258"/>
      <c r="SJI4" s="258"/>
      <c r="SJJ4" s="258"/>
      <c r="SJK4" s="258"/>
      <c r="SJL4" s="258"/>
      <c r="SJM4" s="258"/>
      <c r="SJN4" s="258"/>
      <c r="SJO4" s="258"/>
      <c r="SJP4" s="258"/>
      <c r="SJQ4" s="258"/>
      <c r="SJR4" s="258"/>
      <c r="SJS4" s="258"/>
      <c r="SJT4" s="258"/>
      <c r="SJU4" s="258"/>
      <c r="SJV4" s="258"/>
      <c r="SJW4" s="258"/>
      <c r="SJX4" s="258"/>
      <c r="SJY4" s="258"/>
      <c r="SJZ4" s="258"/>
      <c r="SKA4" s="258"/>
      <c r="SKB4" s="258"/>
      <c r="SKC4" s="258"/>
      <c r="SKD4" s="258"/>
      <c r="SKE4" s="258"/>
      <c r="SKF4" s="258"/>
      <c r="SKG4" s="258"/>
      <c r="SKH4" s="258"/>
      <c r="SKI4" s="258"/>
      <c r="SKJ4" s="258"/>
      <c r="SKK4" s="258"/>
      <c r="SKL4" s="258"/>
      <c r="SKM4" s="258"/>
      <c r="SKN4" s="258"/>
      <c r="SKO4" s="258"/>
      <c r="SKP4" s="258"/>
      <c r="SKQ4" s="258"/>
      <c r="SKR4" s="258"/>
      <c r="SKS4" s="258"/>
      <c r="SKT4" s="258"/>
      <c r="SKU4" s="258"/>
      <c r="SKV4" s="258"/>
      <c r="SKW4" s="258"/>
      <c r="SKX4" s="258"/>
      <c r="SKY4" s="258"/>
      <c r="SKZ4" s="258"/>
      <c r="SLA4" s="258"/>
      <c r="SLB4" s="258"/>
      <c r="SLC4" s="258"/>
      <c r="SLD4" s="258"/>
      <c r="SLE4" s="258"/>
      <c r="SLF4" s="258"/>
      <c r="SLG4" s="258"/>
      <c r="SLH4" s="258"/>
      <c r="SLI4" s="258"/>
      <c r="SLJ4" s="258"/>
      <c r="SLK4" s="258"/>
      <c r="SLL4" s="258"/>
      <c r="SLM4" s="258"/>
      <c r="SLN4" s="258"/>
      <c r="SLO4" s="258"/>
      <c r="SLP4" s="258"/>
      <c r="SLQ4" s="258"/>
      <c r="SLR4" s="258"/>
      <c r="SLS4" s="258"/>
      <c r="SLT4" s="258"/>
      <c r="SLU4" s="258"/>
      <c r="SLV4" s="258"/>
      <c r="SLW4" s="258"/>
      <c r="SLX4" s="258"/>
      <c r="SLY4" s="258"/>
      <c r="SLZ4" s="258"/>
      <c r="SMA4" s="258"/>
      <c r="SMB4" s="258"/>
      <c r="SMC4" s="258"/>
      <c r="SMD4" s="258"/>
      <c r="SME4" s="258"/>
      <c r="SMF4" s="258"/>
      <c r="SMG4" s="258"/>
      <c r="SMH4" s="258"/>
      <c r="SMI4" s="258"/>
      <c r="SMJ4" s="258"/>
      <c r="SMK4" s="258"/>
      <c r="SML4" s="258"/>
      <c r="SMM4" s="258"/>
      <c r="SMN4" s="258"/>
      <c r="SMO4" s="258"/>
      <c r="SMP4" s="258"/>
      <c r="SMQ4" s="258"/>
      <c r="SMR4" s="258"/>
      <c r="SMS4" s="258"/>
      <c r="SMT4" s="258"/>
      <c r="SMU4" s="258"/>
      <c r="SMV4" s="258"/>
      <c r="SMW4" s="258"/>
      <c r="SMX4" s="258"/>
      <c r="SMY4" s="258"/>
      <c r="SMZ4" s="258"/>
      <c r="SNA4" s="258"/>
      <c r="SNB4" s="258"/>
      <c r="SNC4" s="258"/>
      <c r="SND4" s="258"/>
      <c r="SNE4" s="258"/>
      <c r="SNF4" s="258"/>
      <c r="SNG4" s="258"/>
      <c r="SNH4" s="258"/>
      <c r="SNI4" s="258"/>
      <c r="SNJ4" s="258"/>
      <c r="SNK4" s="258"/>
      <c r="SNL4" s="258"/>
      <c r="SNM4" s="258"/>
      <c r="SNN4" s="258"/>
      <c r="SNO4" s="258"/>
      <c r="SNP4" s="258"/>
      <c r="SNQ4" s="258"/>
      <c r="SNR4" s="258"/>
      <c r="SNS4" s="258"/>
      <c r="SNT4" s="258"/>
      <c r="SNU4" s="258"/>
      <c r="SNV4" s="258"/>
      <c r="SNW4" s="258"/>
      <c r="SNX4" s="258"/>
      <c r="SNY4" s="258"/>
      <c r="SNZ4" s="258"/>
      <c r="SOA4" s="258"/>
      <c r="SOB4" s="258"/>
      <c r="SOC4" s="258"/>
      <c r="SOD4" s="258"/>
      <c r="SOE4" s="258"/>
      <c r="SOF4" s="258"/>
      <c r="SOG4" s="258"/>
      <c r="SOH4" s="258"/>
      <c r="SOI4" s="258"/>
      <c r="SOJ4" s="258"/>
      <c r="SOK4" s="258"/>
      <c r="SOL4" s="258"/>
      <c r="SOM4" s="258"/>
      <c r="SON4" s="258"/>
      <c r="SOO4" s="258"/>
      <c r="SOP4" s="258"/>
      <c r="SOQ4" s="258"/>
      <c r="SOR4" s="258"/>
      <c r="SOS4" s="258"/>
      <c r="SOT4" s="258"/>
      <c r="SOU4" s="258"/>
      <c r="SOV4" s="258"/>
      <c r="SOW4" s="258"/>
      <c r="SOX4" s="258"/>
      <c r="SOY4" s="258"/>
      <c r="SOZ4" s="258"/>
      <c r="SPA4" s="258"/>
      <c r="SPB4" s="258"/>
      <c r="SPC4" s="258"/>
      <c r="SPD4" s="258"/>
      <c r="SPE4" s="258"/>
      <c r="SPF4" s="258"/>
      <c r="SPG4" s="258"/>
      <c r="SPH4" s="258"/>
      <c r="SPI4" s="258"/>
      <c r="SPJ4" s="258"/>
      <c r="SPK4" s="258"/>
      <c r="SPL4" s="258"/>
      <c r="SPM4" s="258"/>
      <c r="SPN4" s="258"/>
      <c r="SPO4" s="258"/>
      <c r="SPP4" s="258"/>
      <c r="SPQ4" s="258"/>
      <c r="SPR4" s="258"/>
      <c r="SPS4" s="258"/>
      <c r="SPT4" s="258"/>
      <c r="SPU4" s="258"/>
      <c r="SPV4" s="258"/>
      <c r="SPW4" s="258"/>
      <c r="SPX4" s="258"/>
      <c r="SPY4" s="258"/>
      <c r="SPZ4" s="258"/>
      <c r="SQA4" s="258"/>
      <c r="SQB4" s="258"/>
      <c r="SQC4" s="258"/>
      <c r="SQD4" s="258"/>
      <c r="SQE4" s="258"/>
      <c r="SQF4" s="258"/>
      <c r="SQG4" s="258"/>
      <c r="SQH4" s="258"/>
      <c r="SQI4" s="258"/>
      <c r="SQJ4" s="258"/>
      <c r="SQK4" s="258"/>
      <c r="SQL4" s="258"/>
      <c r="SQM4" s="258"/>
      <c r="SQN4" s="258"/>
      <c r="SQO4" s="258"/>
      <c r="SQP4" s="258"/>
      <c r="SQQ4" s="258"/>
      <c r="SQR4" s="258"/>
      <c r="SQS4" s="258"/>
      <c r="SQT4" s="258"/>
      <c r="SQU4" s="258"/>
      <c r="SQV4" s="258"/>
      <c r="SQW4" s="258"/>
      <c r="SQX4" s="258"/>
      <c r="SQY4" s="258"/>
      <c r="SQZ4" s="258"/>
      <c r="SRA4" s="258"/>
      <c r="SRB4" s="258"/>
      <c r="SRC4" s="258"/>
      <c r="SRD4" s="258"/>
      <c r="SRE4" s="258"/>
      <c r="SRF4" s="258"/>
      <c r="SRG4" s="258"/>
      <c r="SRH4" s="258"/>
      <c r="SRI4" s="258"/>
      <c r="SRJ4" s="258"/>
      <c r="SRK4" s="258"/>
      <c r="SRL4" s="258"/>
      <c r="SRM4" s="258"/>
      <c r="SRN4" s="258"/>
      <c r="SRO4" s="258"/>
      <c r="SRP4" s="258"/>
      <c r="SRQ4" s="258"/>
      <c r="SRR4" s="258"/>
      <c r="SRS4" s="258"/>
      <c r="SRT4" s="258"/>
      <c r="SRU4" s="258"/>
      <c r="SRV4" s="258"/>
      <c r="SRW4" s="258"/>
      <c r="SRX4" s="258"/>
      <c r="SRY4" s="258"/>
      <c r="SRZ4" s="258"/>
      <c r="SSA4" s="258"/>
      <c r="SSB4" s="258"/>
      <c r="SSC4" s="258"/>
      <c r="SSD4" s="258"/>
      <c r="SSE4" s="258"/>
      <c r="SSF4" s="258"/>
      <c r="SSG4" s="258"/>
      <c r="SSH4" s="258"/>
      <c r="SSI4" s="258"/>
      <c r="SSJ4" s="258"/>
      <c r="SSK4" s="258"/>
      <c r="SSL4" s="258"/>
      <c r="SSM4" s="258"/>
      <c r="SSN4" s="258"/>
      <c r="SSO4" s="258"/>
      <c r="SSP4" s="258"/>
      <c r="SSQ4" s="258"/>
      <c r="SSR4" s="258"/>
      <c r="SSS4" s="258"/>
      <c r="SST4" s="258"/>
      <c r="SSU4" s="258"/>
      <c r="SSV4" s="258"/>
      <c r="SSW4" s="258"/>
      <c r="SSX4" s="258"/>
      <c r="SSY4" s="258"/>
      <c r="SSZ4" s="258"/>
      <c r="STA4" s="258"/>
      <c r="STB4" s="258"/>
      <c r="STC4" s="258"/>
      <c r="STD4" s="258"/>
      <c r="STE4" s="258"/>
      <c r="STF4" s="258"/>
      <c r="STG4" s="258"/>
      <c r="STH4" s="258"/>
      <c r="STI4" s="258"/>
      <c r="STJ4" s="258"/>
      <c r="STK4" s="258"/>
      <c r="STL4" s="258"/>
      <c r="STM4" s="258"/>
      <c r="STN4" s="258"/>
      <c r="STO4" s="258"/>
      <c r="STP4" s="258"/>
      <c r="STQ4" s="258"/>
      <c r="STR4" s="258"/>
      <c r="STS4" s="258"/>
      <c r="STT4" s="258"/>
      <c r="STU4" s="258"/>
      <c r="STV4" s="258"/>
      <c r="STW4" s="258"/>
      <c r="STX4" s="258"/>
      <c r="STY4" s="258"/>
      <c r="STZ4" s="258"/>
      <c r="SUA4" s="258"/>
      <c r="SUB4" s="258"/>
      <c r="SUC4" s="258"/>
      <c r="SUD4" s="258"/>
      <c r="SUE4" s="258"/>
      <c r="SUF4" s="258"/>
      <c r="SUG4" s="258"/>
      <c r="SUH4" s="258"/>
      <c r="SUI4" s="258"/>
      <c r="SUJ4" s="258"/>
      <c r="SUK4" s="258"/>
      <c r="SUL4" s="258"/>
      <c r="SUM4" s="258"/>
      <c r="SUN4" s="258"/>
      <c r="SUO4" s="258"/>
      <c r="SUP4" s="258"/>
      <c r="SUQ4" s="258"/>
      <c r="SUR4" s="258"/>
      <c r="SUS4" s="258"/>
      <c r="SUT4" s="258"/>
      <c r="SUU4" s="258"/>
      <c r="SUV4" s="258"/>
      <c r="SUW4" s="258"/>
      <c r="SUX4" s="258"/>
      <c r="SUY4" s="258"/>
      <c r="SUZ4" s="258"/>
      <c r="SVA4" s="258"/>
      <c r="SVB4" s="258"/>
      <c r="SVC4" s="258"/>
      <c r="SVD4" s="258"/>
      <c r="SVE4" s="258"/>
      <c r="SVF4" s="258"/>
      <c r="SVG4" s="258"/>
      <c r="SVH4" s="258"/>
      <c r="SVI4" s="258"/>
      <c r="SVJ4" s="258"/>
      <c r="SVK4" s="258"/>
      <c r="SVL4" s="258"/>
      <c r="SVM4" s="258"/>
      <c r="SVN4" s="258"/>
      <c r="SVO4" s="258"/>
      <c r="SVP4" s="258"/>
      <c r="SVQ4" s="258"/>
      <c r="SVR4" s="258"/>
      <c r="SVS4" s="258"/>
      <c r="SVT4" s="258"/>
      <c r="SVU4" s="258"/>
      <c r="SVV4" s="258"/>
      <c r="SVW4" s="258"/>
      <c r="SVX4" s="258"/>
      <c r="SVY4" s="258"/>
      <c r="SVZ4" s="258"/>
      <c r="SWA4" s="258"/>
      <c r="SWB4" s="258"/>
      <c r="SWC4" s="258"/>
      <c r="SWD4" s="258"/>
      <c r="SWE4" s="258"/>
      <c r="SWF4" s="258"/>
      <c r="SWG4" s="258"/>
      <c r="SWH4" s="258"/>
      <c r="SWI4" s="258"/>
      <c r="SWJ4" s="258"/>
      <c r="SWK4" s="258"/>
      <c r="SWL4" s="258"/>
      <c r="SWM4" s="258"/>
      <c r="SWN4" s="258"/>
      <c r="SWO4" s="258"/>
      <c r="SWP4" s="258"/>
      <c r="SWQ4" s="258"/>
      <c r="SWR4" s="258"/>
      <c r="SWS4" s="258"/>
      <c r="SWT4" s="258"/>
      <c r="SWU4" s="258"/>
      <c r="SWV4" s="258"/>
      <c r="SWW4" s="258"/>
      <c r="SWX4" s="258"/>
      <c r="SWY4" s="258"/>
      <c r="SWZ4" s="258"/>
      <c r="SXA4" s="258"/>
      <c r="SXB4" s="258"/>
      <c r="SXC4" s="258"/>
      <c r="SXD4" s="258"/>
      <c r="SXE4" s="258"/>
      <c r="SXF4" s="258"/>
      <c r="SXG4" s="258"/>
      <c r="SXH4" s="258"/>
      <c r="SXI4" s="258"/>
      <c r="SXJ4" s="258"/>
      <c r="SXK4" s="258"/>
      <c r="SXL4" s="258"/>
      <c r="SXM4" s="258"/>
      <c r="SXN4" s="258"/>
      <c r="SXO4" s="258"/>
      <c r="SXP4" s="258"/>
      <c r="SXQ4" s="258"/>
      <c r="SXR4" s="258"/>
      <c r="SXS4" s="258"/>
      <c r="SXT4" s="258"/>
      <c r="SXU4" s="258"/>
      <c r="SXV4" s="258"/>
      <c r="SXW4" s="258"/>
      <c r="SXX4" s="258"/>
      <c r="SXY4" s="258"/>
      <c r="SXZ4" s="258"/>
      <c r="SYA4" s="258"/>
      <c r="SYB4" s="258"/>
      <c r="SYC4" s="258"/>
      <c r="SYD4" s="258"/>
      <c r="SYE4" s="258"/>
      <c r="SYF4" s="258"/>
      <c r="SYG4" s="258"/>
      <c r="SYH4" s="258"/>
      <c r="SYI4" s="258"/>
      <c r="SYJ4" s="258"/>
      <c r="SYK4" s="258"/>
      <c r="SYL4" s="258"/>
      <c r="SYM4" s="258"/>
      <c r="SYN4" s="258"/>
      <c r="SYO4" s="258"/>
      <c r="SYP4" s="258"/>
      <c r="SYQ4" s="258"/>
      <c r="SYR4" s="258"/>
      <c r="SYS4" s="258"/>
      <c r="SYT4" s="258"/>
      <c r="SYU4" s="258"/>
      <c r="SYV4" s="258"/>
      <c r="SYW4" s="258"/>
      <c r="SYX4" s="258"/>
      <c r="SYY4" s="258"/>
      <c r="SYZ4" s="258"/>
      <c r="SZA4" s="258"/>
      <c r="SZB4" s="258"/>
      <c r="SZC4" s="258"/>
      <c r="SZD4" s="258"/>
      <c r="SZE4" s="258"/>
      <c r="SZF4" s="258"/>
      <c r="SZG4" s="258"/>
      <c r="SZH4" s="258"/>
      <c r="SZI4" s="258"/>
      <c r="SZJ4" s="258"/>
      <c r="SZK4" s="258"/>
      <c r="SZL4" s="258"/>
      <c r="SZM4" s="258"/>
      <c r="SZN4" s="258"/>
      <c r="SZO4" s="258"/>
      <c r="SZP4" s="258"/>
      <c r="SZQ4" s="258"/>
      <c r="SZR4" s="258"/>
      <c r="SZS4" s="258"/>
      <c r="SZT4" s="258"/>
      <c r="SZU4" s="258"/>
      <c r="SZV4" s="258"/>
      <c r="SZW4" s="258"/>
      <c r="SZX4" s="258"/>
      <c r="SZY4" s="258"/>
      <c r="SZZ4" s="258"/>
      <c r="TAA4" s="258"/>
      <c r="TAB4" s="258"/>
      <c r="TAC4" s="258"/>
      <c r="TAD4" s="258"/>
      <c r="TAE4" s="258"/>
      <c r="TAF4" s="258"/>
      <c r="TAG4" s="258"/>
      <c r="TAH4" s="258"/>
      <c r="TAI4" s="258"/>
      <c r="TAJ4" s="258"/>
      <c r="TAK4" s="258"/>
      <c r="TAL4" s="258"/>
      <c r="TAM4" s="258"/>
      <c r="TAN4" s="258"/>
      <c r="TAO4" s="258"/>
      <c r="TAP4" s="258"/>
      <c r="TAQ4" s="258"/>
      <c r="TAR4" s="258"/>
      <c r="TAS4" s="258"/>
      <c r="TAT4" s="258"/>
      <c r="TAU4" s="258"/>
      <c r="TAV4" s="258"/>
      <c r="TAW4" s="258"/>
      <c r="TAX4" s="258"/>
      <c r="TAY4" s="258"/>
      <c r="TAZ4" s="258"/>
      <c r="TBA4" s="258"/>
      <c r="TBB4" s="258"/>
      <c r="TBC4" s="258"/>
      <c r="TBD4" s="258"/>
      <c r="TBE4" s="258"/>
      <c r="TBF4" s="258"/>
      <c r="TBG4" s="258"/>
      <c r="TBH4" s="258"/>
      <c r="TBI4" s="258"/>
      <c r="TBJ4" s="258"/>
      <c r="TBK4" s="258"/>
      <c r="TBL4" s="258"/>
      <c r="TBM4" s="258"/>
      <c r="TBN4" s="258"/>
      <c r="TBO4" s="258"/>
      <c r="TBP4" s="258"/>
      <c r="TBQ4" s="258"/>
      <c r="TBR4" s="258"/>
      <c r="TBS4" s="258"/>
      <c r="TBT4" s="258"/>
      <c r="TBU4" s="258"/>
      <c r="TBV4" s="258"/>
      <c r="TBW4" s="258"/>
      <c r="TBX4" s="258"/>
      <c r="TBY4" s="258"/>
      <c r="TBZ4" s="258"/>
      <c r="TCA4" s="258"/>
      <c r="TCB4" s="258"/>
      <c r="TCC4" s="258"/>
      <c r="TCD4" s="258"/>
      <c r="TCE4" s="258"/>
      <c r="TCF4" s="258"/>
      <c r="TCG4" s="258"/>
      <c r="TCH4" s="258"/>
      <c r="TCI4" s="258"/>
      <c r="TCJ4" s="258"/>
      <c r="TCK4" s="258"/>
      <c r="TCL4" s="258"/>
      <c r="TCM4" s="258"/>
      <c r="TCN4" s="258"/>
      <c r="TCO4" s="258"/>
      <c r="TCP4" s="258"/>
      <c r="TCQ4" s="258"/>
      <c r="TCR4" s="258"/>
      <c r="TCS4" s="258"/>
      <c r="TCT4" s="258"/>
      <c r="TCU4" s="258"/>
      <c r="TCV4" s="258"/>
      <c r="TCW4" s="258"/>
      <c r="TCX4" s="258"/>
      <c r="TCY4" s="258"/>
      <c r="TCZ4" s="258"/>
      <c r="TDA4" s="258"/>
      <c r="TDB4" s="258"/>
      <c r="TDC4" s="258"/>
      <c r="TDD4" s="258"/>
      <c r="TDE4" s="258"/>
      <c r="TDF4" s="258"/>
      <c r="TDG4" s="258"/>
      <c r="TDH4" s="258"/>
      <c r="TDI4" s="258"/>
      <c r="TDJ4" s="258"/>
      <c r="TDK4" s="258"/>
      <c r="TDL4" s="258"/>
      <c r="TDM4" s="258"/>
      <c r="TDN4" s="258"/>
      <c r="TDO4" s="258"/>
      <c r="TDP4" s="258"/>
      <c r="TDQ4" s="258"/>
      <c r="TDR4" s="258"/>
      <c r="TDS4" s="258"/>
      <c r="TDT4" s="258"/>
      <c r="TDU4" s="258"/>
      <c r="TDV4" s="258"/>
      <c r="TDW4" s="258"/>
      <c r="TDX4" s="258"/>
      <c r="TDY4" s="258"/>
      <c r="TDZ4" s="258"/>
      <c r="TEA4" s="258"/>
      <c r="TEB4" s="258"/>
      <c r="TEC4" s="258"/>
      <c r="TED4" s="258"/>
      <c r="TEE4" s="258"/>
      <c r="TEF4" s="258"/>
      <c r="TEG4" s="258"/>
      <c r="TEH4" s="258"/>
      <c r="TEI4" s="258"/>
      <c r="TEJ4" s="258"/>
      <c r="TEK4" s="258"/>
      <c r="TEL4" s="258"/>
      <c r="TEM4" s="258"/>
      <c r="TEN4" s="258"/>
      <c r="TEO4" s="258"/>
      <c r="TEP4" s="258"/>
      <c r="TEQ4" s="258"/>
      <c r="TER4" s="258"/>
      <c r="TES4" s="258"/>
      <c r="TET4" s="258"/>
      <c r="TEU4" s="258"/>
      <c r="TEV4" s="258"/>
      <c r="TEW4" s="258"/>
      <c r="TEX4" s="258"/>
      <c r="TEY4" s="258"/>
      <c r="TEZ4" s="258"/>
      <c r="TFA4" s="258"/>
      <c r="TFB4" s="258"/>
      <c r="TFC4" s="258"/>
      <c r="TFD4" s="258"/>
      <c r="TFE4" s="258"/>
      <c r="TFF4" s="258"/>
      <c r="TFG4" s="258"/>
      <c r="TFH4" s="258"/>
      <c r="TFI4" s="258"/>
      <c r="TFJ4" s="258"/>
      <c r="TFK4" s="258"/>
      <c r="TFL4" s="258"/>
      <c r="TFM4" s="258"/>
      <c r="TFN4" s="258"/>
      <c r="TFO4" s="258"/>
      <c r="TFP4" s="258"/>
      <c r="TFQ4" s="258"/>
      <c r="TFR4" s="258"/>
      <c r="TFS4" s="258"/>
      <c r="TFT4" s="258"/>
      <c r="TFU4" s="258"/>
      <c r="TFV4" s="258"/>
      <c r="TFW4" s="258"/>
      <c r="TFX4" s="258"/>
      <c r="TFY4" s="258"/>
      <c r="TFZ4" s="258"/>
      <c r="TGA4" s="258"/>
      <c r="TGB4" s="258"/>
      <c r="TGC4" s="258"/>
      <c r="TGD4" s="258"/>
      <c r="TGE4" s="258"/>
      <c r="TGF4" s="258"/>
      <c r="TGG4" s="258"/>
      <c r="TGH4" s="258"/>
      <c r="TGI4" s="258"/>
      <c r="TGJ4" s="258"/>
      <c r="TGK4" s="258"/>
      <c r="TGL4" s="258"/>
      <c r="TGM4" s="258"/>
      <c r="TGN4" s="258"/>
      <c r="TGO4" s="258"/>
      <c r="TGP4" s="258"/>
      <c r="TGQ4" s="258"/>
      <c r="TGR4" s="258"/>
      <c r="TGS4" s="258"/>
      <c r="TGT4" s="258"/>
      <c r="TGU4" s="258"/>
      <c r="TGV4" s="258"/>
      <c r="TGW4" s="258"/>
      <c r="TGX4" s="258"/>
      <c r="TGY4" s="258"/>
      <c r="TGZ4" s="258"/>
      <c r="THA4" s="258"/>
      <c r="THB4" s="258"/>
      <c r="THC4" s="258"/>
      <c r="THD4" s="258"/>
      <c r="THE4" s="258"/>
      <c r="THF4" s="258"/>
      <c r="THG4" s="258"/>
      <c r="THH4" s="258"/>
      <c r="THI4" s="258"/>
      <c r="THJ4" s="258"/>
      <c r="THK4" s="258"/>
      <c r="THL4" s="258"/>
      <c r="THM4" s="258"/>
      <c r="THN4" s="258"/>
      <c r="THO4" s="258"/>
      <c r="THP4" s="258"/>
      <c r="THQ4" s="258"/>
      <c r="THR4" s="258"/>
      <c r="THS4" s="258"/>
      <c r="THT4" s="258"/>
      <c r="THU4" s="258"/>
      <c r="THV4" s="258"/>
      <c r="THW4" s="258"/>
      <c r="THX4" s="258"/>
      <c r="THY4" s="258"/>
      <c r="THZ4" s="258"/>
      <c r="TIA4" s="258"/>
      <c r="TIB4" s="258"/>
      <c r="TIC4" s="258"/>
      <c r="TID4" s="258"/>
      <c r="TIE4" s="258"/>
      <c r="TIF4" s="258"/>
      <c r="TIG4" s="258"/>
      <c r="TIH4" s="258"/>
      <c r="TII4" s="258"/>
      <c r="TIJ4" s="258"/>
      <c r="TIK4" s="258"/>
      <c r="TIL4" s="258"/>
      <c r="TIM4" s="258"/>
      <c r="TIN4" s="258"/>
      <c r="TIO4" s="258"/>
      <c r="TIP4" s="258"/>
      <c r="TIQ4" s="258"/>
      <c r="TIR4" s="258"/>
      <c r="TIS4" s="258"/>
      <c r="TIT4" s="258"/>
      <c r="TIU4" s="258"/>
      <c r="TIV4" s="258"/>
      <c r="TIW4" s="258"/>
      <c r="TIX4" s="258"/>
      <c r="TIY4" s="258"/>
      <c r="TIZ4" s="258"/>
      <c r="TJA4" s="258"/>
      <c r="TJB4" s="258"/>
      <c r="TJC4" s="258"/>
      <c r="TJD4" s="258"/>
      <c r="TJE4" s="258"/>
      <c r="TJF4" s="258"/>
      <c r="TJG4" s="258"/>
      <c r="TJH4" s="258"/>
      <c r="TJI4" s="258"/>
      <c r="TJJ4" s="258"/>
      <c r="TJK4" s="258"/>
      <c r="TJL4" s="258"/>
      <c r="TJM4" s="258"/>
      <c r="TJN4" s="258"/>
      <c r="TJO4" s="258"/>
      <c r="TJP4" s="258"/>
      <c r="TJQ4" s="258"/>
      <c r="TJR4" s="258"/>
      <c r="TJS4" s="258"/>
      <c r="TJT4" s="258"/>
      <c r="TJU4" s="258"/>
      <c r="TJV4" s="258"/>
      <c r="TJW4" s="258"/>
      <c r="TJX4" s="258"/>
      <c r="TJY4" s="258"/>
      <c r="TJZ4" s="258"/>
      <c r="TKA4" s="258"/>
      <c r="TKB4" s="258"/>
      <c r="TKC4" s="258"/>
      <c r="TKD4" s="258"/>
      <c r="TKE4" s="258"/>
      <c r="TKF4" s="258"/>
      <c r="TKG4" s="258"/>
      <c r="TKH4" s="258"/>
      <c r="TKI4" s="258"/>
      <c r="TKJ4" s="258"/>
      <c r="TKK4" s="258"/>
      <c r="TKL4" s="258"/>
      <c r="TKM4" s="258"/>
      <c r="TKN4" s="258"/>
      <c r="TKO4" s="258"/>
      <c r="TKP4" s="258"/>
      <c r="TKQ4" s="258"/>
      <c r="TKR4" s="258"/>
      <c r="TKS4" s="258"/>
      <c r="TKT4" s="258"/>
      <c r="TKU4" s="258"/>
      <c r="TKV4" s="258"/>
      <c r="TKW4" s="258"/>
      <c r="TKX4" s="258"/>
      <c r="TKY4" s="258"/>
      <c r="TKZ4" s="258"/>
      <c r="TLA4" s="258"/>
      <c r="TLB4" s="258"/>
      <c r="TLC4" s="258"/>
      <c r="TLD4" s="258"/>
      <c r="TLE4" s="258"/>
      <c r="TLF4" s="258"/>
      <c r="TLG4" s="258"/>
      <c r="TLH4" s="258"/>
      <c r="TLI4" s="258"/>
      <c r="TLJ4" s="258"/>
      <c r="TLK4" s="258"/>
      <c r="TLL4" s="258"/>
      <c r="TLM4" s="258"/>
      <c r="TLN4" s="258"/>
      <c r="TLO4" s="258"/>
      <c r="TLP4" s="258"/>
      <c r="TLQ4" s="258"/>
      <c r="TLR4" s="258"/>
      <c r="TLS4" s="258"/>
      <c r="TLT4" s="258"/>
      <c r="TLU4" s="258"/>
      <c r="TLV4" s="258"/>
      <c r="TLW4" s="258"/>
      <c r="TLX4" s="258"/>
      <c r="TLY4" s="258"/>
      <c r="TLZ4" s="258"/>
      <c r="TMA4" s="258"/>
      <c r="TMB4" s="258"/>
      <c r="TMC4" s="258"/>
      <c r="TMD4" s="258"/>
      <c r="TME4" s="258"/>
      <c r="TMF4" s="258"/>
      <c r="TMG4" s="258"/>
      <c r="TMH4" s="258"/>
      <c r="TMI4" s="258"/>
      <c r="TMJ4" s="258"/>
      <c r="TMK4" s="258"/>
      <c r="TML4" s="258"/>
      <c r="TMM4" s="258"/>
      <c r="TMN4" s="258"/>
      <c r="TMO4" s="258"/>
      <c r="TMP4" s="258"/>
      <c r="TMQ4" s="258"/>
      <c r="TMR4" s="258"/>
      <c r="TMS4" s="258"/>
      <c r="TMT4" s="258"/>
      <c r="TMU4" s="258"/>
      <c r="TMV4" s="258"/>
      <c r="TMW4" s="258"/>
      <c r="TMX4" s="258"/>
      <c r="TMY4" s="258"/>
      <c r="TMZ4" s="258"/>
      <c r="TNA4" s="258"/>
      <c r="TNB4" s="258"/>
      <c r="TNC4" s="258"/>
      <c r="TND4" s="258"/>
      <c r="TNE4" s="258"/>
      <c r="TNF4" s="258"/>
      <c r="TNG4" s="258"/>
      <c r="TNH4" s="258"/>
      <c r="TNI4" s="258"/>
      <c r="TNJ4" s="258"/>
      <c r="TNK4" s="258"/>
      <c r="TNL4" s="258"/>
      <c r="TNM4" s="258"/>
      <c r="TNN4" s="258"/>
      <c r="TNO4" s="258"/>
      <c r="TNP4" s="258"/>
      <c r="TNQ4" s="258"/>
      <c r="TNR4" s="258"/>
      <c r="TNS4" s="258"/>
      <c r="TNT4" s="258"/>
      <c r="TNU4" s="258"/>
      <c r="TNV4" s="258"/>
      <c r="TNW4" s="258"/>
      <c r="TNX4" s="258"/>
      <c r="TNY4" s="258"/>
      <c r="TNZ4" s="258"/>
      <c r="TOA4" s="258"/>
      <c r="TOB4" s="258"/>
      <c r="TOC4" s="258"/>
      <c r="TOD4" s="258"/>
      <c r="TOE4" s="258"/>
      <c r="TOF4" s="258"/>
      <c r="TOG4" s="258"/>
      <c r="TOH4" s="258"/>
      <c r="TOI4" s="258"/>
      <c r="TOJ4" s="258"/>
      <c r="TOK4" s="258"/>
      <c r="TOL4" s="258"/>
      <c r="TOM4" s="258"/>
      <c r="TON4" s="258"/>
      <c r="TOO4" s="258"/>
      <c r="TOP4" s="258"/>
      <c r="TOQ4" s="258"/>
      <c r="TOR4" s="258"/>
      <c r="TOS4" s="258"/>
      <c r="TOT4" s="258"/>
      <c r="TOU4" s="258"/>
      <c r="TOV4" s="258"/>
      <c r="TOW4" s="258"/>
      <c r="TOX4" s="258"/>
      <c r="TOY4" s="258"/>
      <c r="TOZ4" s="258"/>
      <c r="TPA4" s="258"/>
      <c r="TPB4" s="258"/>
      <c r="TPC4" s="258"/>
      <c r="TPD4" s="258"/>
      <c r="TPE4" s="258"/>
      <c r="TPF4" s="258"/>
      <c r="TPG4" s="258"/>
      <c r="TPH4" s="258"/>
      <c r="TPI4" s="258"/>
      <c r="TPJ4" s="258"/>
      <c r="TPK4" s="258"/>
      <c r="TPL4" s="258"/>
      <c r="TPM4" s="258"/>
      <c r="TPN4" s="258"/>
      <c r="TPO4" s="258"/>
      <c r="TPP4" s="258"/>
      <c r="TPQ4" s="258"/>
      <c r="TPR4" s="258"/>
      <c r="TPS4" s="258"/>
      <c r="TPT4" s="258"/>
      <c r="TPU4" s="258"/>
      <c r="TPV4" s="258"/>
      <c r="TPW4" s="258"/>
      <c r="TPX4" s="258"/>
      <c r="TPY4" s="258"/>
      <c r="TPZ4" s="258"/>
      <c r="TQA4" s="258"/>
      <c r="TQB4" s="258"/>
      <c r="TQC4" s="258"/>
      <c r="TQD4" s="258"/>
      <c r="TQE4" s="258"/>
      <c r="TQF4" s="258"/>
      <c r="TQG4" s="258"/>
      <c r="TQH4" s="258"/>
      <c r="TQI4" s="258"/>
      <c r="TQJ4" s="258"/>
      <c r="TQK4" s="258"/>
      <c r="TQL4" s="258"/>
      <c r="TQM4" s="258"/>
      <c r="TQN4" s="258"/>
      <c r="TQO4" s="258"/>
      <c r="TQP4" s="258"/>
      <c r="TQQ4" s="258"/>
      <c r="TQR4" s="258"/>
      <c r="TQS4" s="258"/>
      <c r="TQT4" s="258"/>
      <c r="TQU4" s="258"/>
      <c r="TQV4" s="258"/>
      <c r="TQW4" s="258"/>
      <c r="TQX4" s="258"/>
      <c r="TQY4" s="258"/>
      <c r="TQZ4" s="258"/>
      <c r="TRA4" s="258"/>
      <c r="TRB4" s="258"/>
      <c r="TRC4" s="258"/>
      <c r="TRD4" s="258"/>
      <c r="TRE4" s="258"/>
      <c r="TRF4" s="258"/>
      <c r="TRG4" s="258"/>
      <c r="TRH4" s="258"/>
      <c r="TRI4" s="258"/>
      <c r="TRJ4" s="258"/>
      <c r="TRK4" s="258"/>
      <c r="TRL4" s="258"/>
      <c r="TRM4" s="258"/>
      <c r="TRN4" s="258"/>
      <c r="TRO4" s="258"/>
      <c r="TRP4" s="258"/>
      <c r="TRQ4" s="258"/>
      <c r="TRR4" s="258"/>
      <c r="TRS4" s="258"/>
      <c r="TRT4" s="258"/>
      <c r="TRU4" s="258"/>
      <c r="TRV4" s="258"/>
      <c r="TRW4" s="258"/>
      <c r="TRX4" s="258"/>
      <c r="TRY4" s="258"/>
      <c r="TRZ4" s="258"/>
      <c r="TSA4" s="258"/>
      <c r="TSB4" s="258"/>
      <c r="TSC4" s="258"/>
      <c r="TSD4" s="258"/>
      <c r="TSE4" s="258"/>
      <c r="TSF4" s="258"/>
      <c r="TSG4" s="258"/>
      <c r="TSH4" s="258"/>
      <c r="TSI4" s="258"/>
      <c r="TSJ4" s="258"/>
      <c r="TSK4" s="258"/>
      <c r="TSL4" s="258"/>
      <c r="TSM4" s="258"/>
      <c r="TSN4" s="258"/>
      <c r="TSO4" s="258"/>
      <c r="TSP4" s="258"/>
      <c r="TSQ4" s="258"/>
      <c r="TSR4" s="258"/>
      <c r="TSS4" s="258"/>
      <c r="TST4" s="258"/>
      <c r="TSU4" s="258"/>
      <c r="TSV4" s="258"/>
      <c r="TSW4" s="258"/>
      <c r="TSX4" s="258"/>
      <c r="TSY4" s="258"/>
      <c r="TSZ4" s="258"/>
      <c r="TTA4" s="258"/>
      <c r="TTB4" s="258"/>
      <c r="TTC4" s="258"/>
      <c r="TTD4" s="258"/>
      <c r="TTE4" s="258"/>
      <c r="TTF4" s="258"/>
      <c r="TTG4" s="258"/>
      <c r="TTH4" s="258"/>
      <c r="TTI4" s="258"/>
      <c r="TTJ4" s="258"/>
      <c r="TTK4" s="258"/>
      <c r="TTL4" s="258"/>
      <c r="TTM4" s="258"/>
      <c r="TTN4" s="258"/>
      <c r="TTO4" s="258"/>
      <c r="TTP4" s="258"/>
      <c r="TTQ4" s="258"/>
      <c r="TTR4" s="258"/>
      <c r="TTS4" s="258"/>
      <c r="TTT4" s="258"/>
      <c r="TTU4" s="258"/>
      <c r="TTV4" s="258"/>
      <c r="TTW4" s="258"/>
      <c r="TTX4" s="258"/>
      <c r="TTY4" s="258"/>
      <c r="TTZ4" s="258"/>
      <c r="TUA4" s="258"/>
      <c r="TUB4" s="258"/>
      <c r="TUC4" s="258"/>
      <c r="TUD4" s="258"/>
      <c r="TUE4" s="258"/>
      <c r="TUF4" s="258"/>
      <c r="TUG4" s="258"/>
      <c r="TUH4" s="258"/>
      <c r="TUI4" s="258"/>
      <c r="TUJ4" s="258"/>
      <c r="TUK4" s="258"/>
      <c r="TUL4" s="258"/>
      <c r="TUM4" s="258"/>
      <c r="TUN4" s="258"/>
      <c r="TUO4" s="258"/>
      <c r="TUP4" s="258"/>
      <c r="TUQ4" s="258"/>
      <c r="TUR4" s="258"/>
      <c r="TUS4" s="258"/>
      <c r="TUT4" s="258"/>
      <c r="TUU4" s="258"/>
      <c r="TUV4" s="258"/>
      <c r="TUW4" s="258"/>
      <c r="TUX4" s="258"/>
      <c r="TUY4" s="258"/>
      <c r="TUZ4" s="258"/>
      <c r="TVA4" s="258"/>
      <c r="TVB4" s="258"/>
      <c r="TVC4" s="258"/>
      <c r="TVD4" s="258"/>
      <c r="TVE4" s="258"/>
      <c r="TVF4" s="258"/>
      <c r="TVG4" s="258"/>
      <c r="TVH4" s="258"/>
      <c r="TVI4" s="258"/>
      <c r="TVJ4" s="258"/>
      <c r="TVK4" s="258"/>
      <c r="TVL4" s="258"/>
      <c r="TVM4" s="258"/>
      <c r="TVN4" s="258"/>
      <c r="TVO4" s="258"/>
      <c r="TVP4" s="258"/>
      <c r="TVQ4" s="258"/>
      <c r="TVR4" s="258"/>
      <c r="TVS4" s="258"/>
      <c r="TVT4" s="258"/>
      <c r="TVU4" s="258"/>
      <c r="TVV4" s="258"/>
      <c r="TVW4" s="258"/>
      <c r="TVX4" s="258"/>
      <c r="TVY4" s="258"/>
      <c r="TVZ4" s="258"/>
      <c r="TWA4" s="258"/>
      <c r="TWB4" s="258"/>
      <c r="TWC4" s="258"/>
      <c r="TWD4" s="258"/>
      <c r="TWE4" s="258"/>
      <c r="TWF4" s="258"/>
      <c r="TWG4" s="258"/>
      <c r="TWH4" s="258"/>
      <c r="TWI4" s="258"/>
      <c r="TWJ4" s="258"/>
      <c r="TWK4" s="258"/>
      <c r="TWL4" s="258"/>
      <c r="TWM4" s="258"/>
      <c r="TWN4" s="258"/>
      <c r="TWO4" s="258"/>
      <c r="TWP4" s="258"/>
      <c r="TWQ4" s="258"/>
      <c r="TWR4" s="258"/>
      <c r="TWS4" s="258"/>
      <c r="TWT4" s="258"/>
      <c r="TWU4" s="258"/>
      <c r="TWV4" s="258"/>
      <c r="TWW4" s="258"/>
      <c r="TWX4" s="258"/>
      <c r="TWY4" s="258"/>
      <c r="TWZ4" s="258"/>
      <c r="TXA4" s="258"/>
      <c r="TXB4" s="258"/>
      <c r="TXC4" s="258"/>
      <c r="TXD4" s="258"/>
      <c r="TXE4" s="258"/>
      <c r="TXF4" s="258"/>
      <c r="TXG4" s="258"/>
      <c r="TXH4" s="258"/>
      <c r="TXI4" s="258"/>
      <c r="TXJ4" s="258"/>
      <c r="TXK4" s="258"/>
      <c r="TXL4" s="258"/>
      <c r="TXM4" s="258"/>
      <c r="TXN4" s="258"/>
      <c r="TXO4" s="258"/>
      <c r="TXP4" s="258"/>
      <c r="TXQ4" s="258"/>
      <c r="TXR4" s="258"/>
      <c r="TXS4" s="258"/>
      <c r="TXT4" s="258"/>
      <c r="TXU4" s="258"/>
      <c r="TXV4" s="258"/>
      <c r="TXW4" s="258"/>
      <c r="TXX4" s="258"/>
      <c r="TXY4" s="258"/>
      <c r="TXZ4" s="258"/>
      <c r="TYA4" s="258"/>
      <c r="TYB4" s="258"/>
      <c r="TYC4" s="258"/>
      <c r="TYD4" s="258"/>
      <c r="TYE4" s="258"/>
      <c r="TYF4" s="258"/>
      <c r="TYG4" s="258"/>
      <c r="TYH4" s="258"/>
      <c r="TYI4" s="258"/>
      <c r="TYJ4" s="258"/>
      <c r="TYK4" s="258"/>
      <c r="TYL4" s="258"/>
      <c r="TYM4" s="258"/>
      <c r="TYN4" s="258"/>
      <c r="TYO4" s="258"/>
      <c r="TYP4" s="258"/>
      <c r="TYQ4" s="258"/>
      <c r="TYR4" s="258"/>
      <c r="TYS4" s="258"/>
      <c r="TYT4" s="258"/>
      <c r="TYU4" s="258"/>
      <c r="TYV4" s="258"/>
      <c r="TYW4" s="258"/>
      <c r="TYX4" s="258"/>
      <c r="TYY4" s="258"/>
      <c r="TYZ4" s="258"/>
      <c r="TZA4" s="258"/>
      <c r="TZB4" s="258"/>
      <c r="TZC4" s="258"/>
      <c r="TZD4" s="258"/>
      <c r="TZE4" s="258"/>
      <c r="TZF4" s="258"/>
      <c r="TZG4" s="258"/>
      <c r="TZH4" s="258"/>
      <c r="TZI4" s="258"/>
      <c r="TZJ4" s="258"/>
      <c r="TZK4" s="258"/>
      <c r="TZL4" s="258"/>
      <c r="TZM4" s="258"/>
      <c r="TZN4" s="258"/>
      <c r="TZO4" s="258"/>
      <c r="TZP4" s="258"/>
      <c r="TZQ4" s="258"/>
      <c r="TZR4" s="258"/>
      <c r="TZS4" s="258"/>
      <c r="TZT4" s="258"/>
      <c r="TZU4" s="258"/>
      <c r="TZV4" s="258"/>
      <c r="TZW4" s="258"/>
      <c r="TZX4" s="258"/>
      <c r="TZY4" s="258"/>
      <c r="TZZ4" s="258"/>
      <c r="UAA4" s="258"/>
      <c r="UAB4" s="258"/>
      <c r="UAC4" s="258"/>
      <c r="UAD4" s="258"/>
      <c r="UAE4" s="258"/>
      <c r="UAF4" s="258"/>
      <c r="UAG4" s="258"/>
      <c r="UAH4" s="258"/>
      <c r="UAI4" s="258"/>
      <c r="UAJ4" s="258"/>
      <c r="UAK4" s="258"/>
      <c r="UAL4" s="258"/>
      <c r="UAM4" s="258"/>
      <c r="UAN4" s="258"/>
      <c r="UAO4" s="258"/>
      <c r="UAP4" s="258"/>
      <c r="UAQ4" s="258"/>
      <c r="UAR4" s="258"/>
      <c r="UAS4" s="258"/>
      <c r="UAT4" s="258"/>
      <c r="UAU4" s="258"/>
      <c r="UAV4" s="258"/>
      <c r="UAW4" s="258"/>
      <c r="UAX4" s="258"/>
      <c r="UAY4" s="258"/>
      <c r="UAZ4" s="258"/>
      <c r="UBA4" s="258"/>
      <c r="UBB4" s="258"/>
      <c r="UBC4" s="258"/>
      <c r="UBD4" s="258"/>
      <c r="UBE4" s="258"/>
      <c r="UBF4" s="258"/>
      <c r="UBG4" s="258"/>
      <c r="UBH4" s="258"/>
      <c r="UBI4" s="258"/>
      <c r="UBJ4" s="258"/>
      <c r="UBK4" s="258"/>
      <c r="UBL4" s="258"/>
      <c r="UBM4" s="258"/>
      <c r="UBN4" s="258"/>
      <c r="UBO4" s="258"/>
      <c r="UBP4" s="258"/>
      <c r="UBQ4" s="258"/>
      <c r="UBR4" s="258"/>
      <c r="UBS4" s="258"/>
      <c r="UBT4" s="258"/>
      <c r="UBU4" s="258"/>
      <c r="UBV4" s="258"/>
      <c r="UBW4" s="258"/>
      <c r="UBX4" s="258"/>
      <c r="UBY4" s="258"/>
      <c r="UBZ4" s="258"/>
      <c r="UCA4" s="258"/>
      <c r="UCB4" s="258"/>
      <c r="UCC4" s="258"/>
      <c r="UCD4" s="258"/>
      <c r="UCE4" s="258"/>
      <c r="UCF4" s="258"/>
      <c r="UCG4" s="258"/>
      <c r="UCH4" s="258"/>
      <c r="UCI4" s="258"/>
      <c r="UCJ4" s="258"/>
      <c r="UCK4" s="258"/>
      <c r="UCL4" s="258"/>
      <c r="UCM4" s="258"/>
      <c r="UCN4" s="258"/>
      <c r="UCO4" s="258"/>
      <c r="UCP4" s="258"/>
      <c r="UCQ4" s="258"/>
      <c r="UCR4" s="258"/>
      <c r="UCS4" s="258"/>
      <c r="UCT4" s="258"/>
      <c r="UCU4" s="258"/>
      <c r="UCV4" s="258"/>
      <c r="UCW4" s="258"/>
      <c r="UCX4" s="258"/>
      <c r="UCY4" s="258"/>
      <c r="UCZ4" s="258"/>
      <c r="UDA4" s="258"/>
      <c r="UDB4" s="258"/>
      <c r="UDC4" s="258"/>
      <c r="UDD4" s="258"/>
      <c r="UDE4" s="258"/>
      <c r="UDF4" s="258"/>
      <c r="UDG4" s="258"/>
      <c r="UDH4" s="258"/>
      <c r="UDI4" s="258"/>
      <c r="UDJ4" s="258"/>
      <c r="UDK4" s="258"/>
      <c r="UDL4" s="258"/>
      <c r="UDM4" s="258"/>
      <c r="UDN4" s="258"/>
      <c r="UDO4" s="258"/>
      <c r="UDP4" s="258"/>
      <c r="UDQ4" s="258"/>
      <c r="UDR4" s="258"/>
      <c r="UDS4" s="258"/>
      <c r="UDT4" s="258"/>
      <c r="UDU4" s="258"/>
      <c r="UDV4" s="258"/>
      <c r="UDW4" s="258"/>
      <c r="UDX4" s="258"/>
      <c r="UDY4" s="258"/>
      <c r="UDZ4" s="258"/>
      <c r="UEA4" s="258"/>
      <c r="UEB4" s="258"/>
      <c r="UEC4" s="258"/>
      <c r="UED4" s="258"/>
      <c r="UEE4" s="258"/>
      <c r="UEF4" s="258"/>
      <c r="UEG4" s="258"/>
      <c r="UEH4" s="258"/>
      <c r="UEI4" s="258"/>
      <c r="UEJ4" s="258"/>
      <c r="UEK4" s="258"/>
      <c r="UEL4" s="258"/>
      <c r="UEM4" s="258"/>
      <c r="UEN4" s="258"/>
      <c r="UEO4" s="258"/>
      <c r="UEP4" s="258"/>
      <c r="UEQ4" s="258"/>
      <c r="UER4" s="258"/>
      <c r="UES4" s="258"/>
      <c r="UET4" s="258"/>
      <c r="UEU4" s="258"/>
      <c r="UEV4" s="258"/>
      <c r="UEW4" s="258"/>
      <c r="UEX4" s="258"/>
      <c r="UEY4" s="258"/>
      <c r="UEZ4" s="258"/>
      <c r="UFA4" s="258"/>
      <c r="UFB4" s="258"/>
      <c r="UFC4" s="258"/>
      <c r="UFD4" s="258"/>
      <c r="UFE4" s="258"/>
      <c r="UFF4" s="258"/>
      <c r="UFG4" s="258"/>
      <c r="UFH4" s="258"/>
      <c r="UFI4" s="258"/>
      <c r="UFJ4" s="258"/>
      <c r="UFK4" s="258"/>
      <c r="UFL4" s="258"/>
      <c r="UFM4" s="258"/>
      <c r="UFN4" s="258"/>
      <c r="UFO4" s="258"/>
      <c r="UFP4" s="258"/>
      <c r="UFQ4" s="258"/>
      <c r="UFR4" s="258"/>
      <c r="UFS4" s="258"/>
      <c r="UFT4" s="258"/>
      <c r="UFU4" s="258"/>
      <c r="UFV4" s="258"/>
      <c r="UFW4" s="258"/>
      <c r="UFX4" s="258"/>
      <c r="UFY4" s="258"/>
      <c r="UFZ4" s="258"/>
      <c r="UGA4" s="258"/>
      <c r="UGB4" s="258"/>
      <c r="UGC4" s="258"/>
      <c r="UGD4" s="258"/>
      <c r="UGE4" s="258"/>
      <c r="UGF4" s="258"/>
      <c r="UGG4" s="258"/>
      <c r="UGH4" s="258"/>
      <c r="UGI4" s="258"/>
      <c r="UGJ4" s="258"/>
      <c r="UGK4" s="258"/>
      <c r="UGL4" s="258"/>
      <c r="UGM4" s="258"/>
      <c r="UGN4" s="258"/>
      <c r="UGO4" s="258"/>
      <c r="UGP4" s="258"/>
      <c r="UGQ4" s="258"/>
      <c r="UGR4" s="258"/>
      <c r="UGS4" s="258"/>
      <c r="UGT4" s="258"/>
      <c r="UGU4" s="258"/>
      <c r="UGV4" s="258"/>
      <c r="UGW4" s="258"/>
      <c r="UGX4" s="258"/>
      <c r="UGY4" s="258"/>
      <c r="UGZ4" s="258"/>
      <c r="UHA4" s="258"/>
      <c r="UHB4" s="258"/>
      <c r="UHC4" s="258"/>
      <c r="UHD4" s="258"/>
      <c r="UHE4" s="258"/>
      <c r="UHF4" s="258"/>
      <c r="UHG4" s="258"/>
      <c r="UHH4" s="258"/>
      <c r="UHI4" s="258"/>
      <c r="UHJ4" s="258"/>
      <c r="UHK4" s="258"/>
      <c r="UHL4" s="258"/>
      <c r="UHM4" s="258"/>
      <c r="UHN4" s="258"/>
      <c r="UHO4" s="258"/>
      <c r="UHP4" s="258"/>
      <c r="UHQ4" s="258"/>
      <c r="UHR4" s="258"/>
      <c r="UHS4" s="258"/>
      <c r="UHT4" s="258"/>
      <c r="UHU4" s="258"/>
      <c r="UHV4" s="258"/>
      <c r="UHW4" s="258"/>
      <c r="UHX4" s="258"/>
      <c r="UHY4" s="258"/>
      <c r="UHZ4" s="258"/>
      <c r="UIA4" s="258"/>
      <c r="UIB4" s="258"/>
      <c r="UIC4" s="258"/>
      <c r="UID4" s="258"/>
      <c r="UIE4" s="258"/>
      <c r="UIF4" s="258"/>
      <c r="UIG4" s="258"/>
      <c r="UIH4" s="258"/>
      <c r="UII4" s="258"/>
      <c r="UIJ4" s="258"/>
      <c r="UIK4" s="258"/>
      <c r="UIL4" s="258"/>
      <c r="UIM4" s="258"/>
      <c r="UIN4" s="258"/>
      <c r="UIO4" s="258"/>
      <c r="UIP4" s="258"/>
      <c r="UIQ4" s="258"/>
      <c r="UIR4" s="258"/>
      <c r="UIS4" s="258"/>
      <c r="UIT4" s="258"/>
      <c r="UIU4" s="258"/>
      <c r="UIV4" s="258"/>
      <c r="UIW4" s="258"/>
      <c r="UIX4" s="258"/>
      <c r="UIY4" s="258"/>
      <c r="UIZ4" s="258"/>
      <c r="UJA4" s="258"/>
      <c r="UJB4" s="258"/>
      <c r="UJC4" s="258"/>
      <c r="UJD4" s="258"/>
      <c r="UJE4" s="258"/>
      <c r="UJF4" s="258"/>
      <c r="UJG4" s="258"/>
      <c r="UJH4" s="258"/>
      <c r="UJI4" s="258"/>
      <c r="UJJ4" s="258"/>
      <c r="UJK4" s="258"/>
      <c r="UJL4" s="258"/>
      <c r="UJM4" s="258"/>
      <c r="UJN4" s="258"/>
      <c r="UJO4" s="258"/>
      <c r="UJP4" s="258"/>
      <c r="UJQ4" s="258"/>
      <c r="UJR4" s="258"/>
      <c r="UJS4" s="258"/>
      <c r="UJT4" s="258"/>
      <c r="UJU4" s="258"/>
      <c r="UJV4" s="258"/>
      <c r="UJW4" s="258"/>
      <c r="UJX4" s="258"/>
      <c r="UJY4" s="258"/>
      <c r="UJZ4" s="258"/>
      <c r="UKA4" s="258"/>
      <c r="UKB4" s="258"/>
      <c r="UKC4" s="258"/>
      <c r="UKD4" s="258"/>
      <c r="UKE4" s="258"/>
      <c r="UKF4" s="258"/>
      <c r="UKG4" s="258"/>
      <c r="UKH4" s="258"/>
      <c r="UKI4" s="258"/>
      <c r="UKJ4" s="258"/>
      <c r="UKK4" s="258"/>
      <c r="UKL4" s="258"/>
      <c r="UKM4" s="258"/>
      <c r="UKN4" s="258"/>
      <c r="UKO4" s="258"/>
      <c r="UKP4" s="258"/>
      <c r="UKQ4" s="258"/>
      <c r="UKR4" s="258"/>
      <c r="UKS4" s="258"/>
      <c r="UKT4" s="258"/>
      <c r="UKU4" s="258"/>
      <c r="UKV4" s="258"/>
      <c r="UKW4" s="258"/>
      <c r="UKX4" s="258"/>
      <c r="UKY4" s="258"/>
      <c r="UKZ4" s="258"/>
      <c r="ULA4" s="258"/>
      <c r="ULB4" s="258"/>
      <c r="ULC4" s="258"/>
      <c r="ULD4" s="258"/>
      <c r="ULE4" s="258"/>
      <c r="ULF4" s="258"/>
      <c r="ULG4" s="258"/>
      <c r="ULH4" s="258"/>
      <c r="ULI4" s="258"/>
      <c r="ULJ4" s="258"/>
      <c r="ULK4" s="258"/>
      <c r="ULL4" s="258"/>
      <c r="ULM4" s="258"/>
      <c r="ULN4" s="258"/>
      <c r="ULO4" s="258"/>
      <c r="ULP4" s="258"/>
      <c r="ULQ4" s="258"/>
      <c r="ULR4" s="258"/>
      <c r="ULS4" s="258"/>
      <c r="ULT4" s="258"/>
      <c r="ULU4" s="258"/>
      <c r="ULV4" s="258"/>
      <c r="ULW4" s="258"/>
      <c r="ULX4" s="258"/>
      <c r="ULY4" s="258"/>
      <c r="ULZ4" s="258"/>
      <c r="UMA4" s="258"/>
      <c r="UMB4" s="258"/>
      <c r="UMC4" s="258"/>
      <c r="UMD4" s="258"/>
      <c r="UME4" s="258"/>
      <c r="UMF4" s="258"/>
      <c r="UMG4" s="258"/>
      <c r="UMH4" s="258"/>
      <c r="UMI4" s="258"/>
      <c r="UMJ4" s="258"/>
      <c r="UMK4" s="258"/>
      <c r="UML4" s="258"/>
      <c r="UMM4" s="258"/>
      <c r="UMN4" s="258"/>
      <c r="UMO4" s="258"/>
      <c r="UMP4" s="258"/>
      <c r="UMQ4" s="258"/>
      <c r="UMR4" s="258"/>
      <c r="UMS4" s="258"/>
      <c r="UMT4" s="258"/>
      <c r="UMU4" s="258"/>
      <c r="UMV4" s="258"/>
      <c r="UMW4" s="258"/>
      <c r="UMX4" s="258"/>
      <c r="UMY4" s="258"/>
      <c r="UMZ4" s="258"/>
      <c r="UNA4" s="258"/>
      <c r="UNB4" s="258"/>
      <c r="UNC4" s="258"/>
      <c r="UND4" s="258"/>
      <c r="UNE4" s="258"/>
      <c r="UNF4" s="258"/>
      <c r="UNG4" s="258"/>
      <c r="UNH4" s="258"/>
      <c r="UNI4" s="258"/>
      <c r="UNJ4" s="258"/>
      <c r="UNK4" s="258"/>
      <c r="UNL4" s="258"/>
      <c r="UNM4" s="258"/>
      <c r="UNN4" s="258"/>
      <c r="UNO4" s="258"/>
      <c r="UNP4" s="258"/>
      <c r="UNQ4" s="258"/>
      <c r="UNR4" s="258"/>
      <c r="UNS4" s="258"/>
      <c r="UNT4" s="258"/>
      <c r="UNU4" s="258"/>
      <c r="UNV4" s="258"/>
      <c r="UNW4" s="258"/>
      <c r="UNX4" s="258"/>
      <c r="UNY4" s="258"/>
      <c r="UNZ4" s="258"/>
      <c r="UOA4" s="258"/>
      <c r="UOB4" s="258"/>
      <c r="UOC4" s="258"/>
      <c r="UOD4" s="258"/>
      <c r="UOE4" s="258"/>
      <c r="UOF4" s="258"/>
      <c r="UOG4" s="258"/>
      <c r="UOH4" s="258"/>
      <c r="UOI4" s="258"/>
      <c r="UOJ4" s="258"/>
      <c r="UOK4" s="258"/>
      <c r="UOL4" s="258"/>
      <c r="UOM4" s="258"/>
      <c r="UON4" s="258"/>
      <c r="UOO4" s="258"/>
      <c r="UOP4" s="258"/>
      <c r="UOQ4" s="258"/>
      <c r="UOR4" s="258"/>
      <c r="UOS4" s="258"/>
      <c r="UOT4" s="258"/>
      <c r="UOU4" s="258"/>
      <c r="UOV4" s="258"/>
      <c r="UOW4" s="258"/>
      <c r="UOX4" s="258"/>
      <c r="UOY4" s="258"/>
      <c r="UOZ4" s="258"/>
      <c r="UPA4" s="258"/>
      <c r="UPB4" s="258"/>
      <c r="UPC4" s="258"/>
      <c r="UPD4" s="258"/>
      <c r="UPE4" s="258"/>
      <c r="UPF4" s="258"/>
      <c r="UPG4" s="258"/>
      <c r="UPH4" s="258"/>
      <c r="UPI4" s="258"/>
      <c r="UPJ4" s="258"/>
      <c r="UPK4" s="258"/>
      <c r="UPL4" s="258"/>
      <c r="UPM4" s="258"/>
      <c r="UPN4" s="258"/>
      <c r="UPO4" s="258"/>
      <c r="UPP4" s="258"/>
      <c r="UPQ4" s="258"/>
      <c r="UPR4" s="258"/>
      <c r="UPS4" s="258"/>
      <c r="UPT4" s="258"/>
      <c r="UPU4" s="258"/>
      <c r="UPV4" s="258"/>
      <c r="UPW4" s="258"/>
      <c r="UPX4" s="258"/>
      <c r="UPY4" s="258"/>
      <c r="UPZ4" s="258"/>
      <c r="UQA4" s="258"/>
      <c r="UQB4" s="258"/>
      <c r="UQC4" s="258"/>
      <c r="UQD4" s="258"/>
      <c r="UQE4" s="258"/>
      <c r="UQF4" s="258"/>
      <c r="UQG4" s="258"/>
      <c r="UQH4" s="258"/>
      <c r="UQI4" s="258"/>
      <c r="UQJ4" s="258"/>
      <c r="UQK4" s="258"/>
      <c r="UQL4" s="258"/>
      <c r="UQM4" s="258"/>
      <c r="UQN4" s="258"/>
      <c r="UQO4" s="258"/>
      <c r="UQP4" s="258"/>
      <c r="UQQ4" s="258"/>
      <c r="UQR4" s="258"/>
      <c r="UQS4" s="258"/>
      <c r="UQT4" s="258"/>
      <c r="UQU4" s="258"/>
      <c r="UQV4" s="258"/>
      <c r="UQW4" s="258"/>
      <c r="UQX4" s="258"/>
      <c r="UQY4" s="258"/>
      <c r="UQZ4" s="258"/>
      <c r="URA4" s="258"/>
      <c r="URB4" s="258"/>
      <c r="URC4" s="258"/>
      <c r="URD4" s="258"/>
      <c r="URE4" s="258"/>
      <c r="URF4" s="258"/>
      <c r="URG4" s="258"/>
      <c r="URH4" s="258"/>
      <c r="URI4" s="258"/>
      <c r="URJ4" s="258"/>
      <c r="URK4" s="258"/>
      <c r="URL4" s="258"/>
      <c r="URM4" s="258"/>
      <c r="URN4" s="258"/>
      <c r="URO4" s="258"/>
      <c r="URP4" s="258"/>
      <c r="URQ4" s="258"/>
      <c r="URR4" s="258"/>
      <c r="URS4" s="258"/>
      <c r="URT4" s="258"/>
      <c r="URU4" s="258"/>
      <c r="URV4" s="258"/>
      <c r="URW4" s="258"/>
      <c r="URX4" s="258"/>
      <c r="URY4" s="258"/>
      <c r="URZ4" s="258"/>
      <c r="USA4" s="258"/>
      <c r="USB4" s="258"/>
      <c r="USC4" s="258"/>
      <c r="USD4" s="258"/>
      <c r="USE4" s="258"/>
      <c r="USF4" s="258"/>
      <c r="USG4" s="258"/>
      <c r="USH4" s="258"/>
      <c r="USI4" s="258"/>
      <c r="USJ4" s="258"/>
      <c r="USK4" s="258"/>
      <c r="USL4" s="258"/>
      <c r="USM4" s="258"/>
      <c r="USN4" s="258"/>
      <c r="USO4" s="258"/>
      <c r="USP4" s="258"/>
      <c r="USQ4" s="258"/>
      <c r="USR4" s="258"/>
      <c r="USS4" s="258"/>
      <c r="UST4" s="258"/>
      <c r="USU4" s="258"/>
      <c r="USV4" s="258"/>
      <c r="USW4" s="258"/>
      <c r="USX4" s="258"/>
      <c r="USY4" s="258"/>
      <c r="USZ4" s="258"/>
      <c r="UTA4" s="258"/>
      <c r="UTB4" s="258"/>
      <c r="UTC4" s="258"/>
      <c r="UTD4" s="258"/>
      <c r="UTE4" s="258"/>
      <c r="UTF4" s="258"/>
      <c r="UTG4" s="258"/>
      <c r="UTH4" s="258"/>
      <c r="UTI4" s="258"/>
      <c r="UTJ4" s="258"/>
      <c r="UTK4" s="258"/>
      <c r="UTL4" s="258"/>
      <c r="UTM4" s="258"/>
      <c r="UTN4" s="258"/>
      <c r="UTO4" s="258"/>
      <c r="UTP4" s="258"/>
      <c r="UTQ4" s="258"/>
      <c r="UTR4" s="258"/>
      <c r="UTS4" s="258"/>
      <c r="UTT4" s="258"/>
      <c r="UTU4" s="258"/>
      <c r="UTV4" s="258"/>
      <c r="UTW4" s="258"/>
      <c r="UTX4" s="258"/>
      <c r="UTY4" s="258"/>
      <c r="UTZ4" s="258"/>
      <c r="UUA4" s="258"/>
      <c r="UUB4" s="258"/>
      <c r="UUC4" s="258"/>
      <c r="UUD4" s="258"/>
      <c r="UUE4" s="258"/>
      <c r="UUF4" s="258"/>
      <c r="UUG4" s="258"/>
      <c r="UUH4" s="258"/>
      <c r="UUI4" s="258"/>
      <c r="UUJ4" s="258"/>
      <c r="UUK4" s="258"/>
      <c r="UUL4" s="258"/>
      <c r="UUM4" s="258"/>
      <c r="UUN4" s="258"/>
      <c r="UUO4" s="258"/>
      <c r="UUP4" s="258"/>
      <c r="UUQ4" s="258"/>
      <c r="UUR4" s="258"/>
      <c r="UUS4" s="258"/>
      <c r="UUT4" s="258"/>
      <c r="UUU4" s="258"/>
      <c r="UUV4" s="258"/>
      <c r="UUW4" s="258"/>
      <c r="UUX4" s="258"/>
      <c r="UUY4" s="258"/>
      <c r="UUZ4" s="258"/>
      <c r="UVA4" s="258"/>
      <c r="UVB4" s="258"/>
      <c r="UVC4" s="258"/>
      <c r="UVD4" s="258"/>
      <c r="UVE4" s="258"/>
      <c r="UVF4" s="258"/>
      <c r="UVG4" s="258"/>
      <c r="UVH4" s="258"/>
      <c r="UVI4" s="258"/>
      <c r="UVJ4" s="258"/>
      <c r="UVK4" s="258"/>
      <c r="UVL4" s="258"/>
      <c r="UVM4" s="258"/>
      <c r="UVN4" s="258"/>
      <c r="UVO4" s="258"/>
      <c r="UVP4" s="258"/>
      <c r="UVQ4" s="258"/>
      <c r="UVR4" s="258"/>
      <c r="UVS4" s="258"/>
      <c r="UVT4" s="258"/>
      <c r="UVU4" s="258"/>
      <c r="UVV4" s="258"/>
      <c r="UVW4" s="258"/>
      <c r="UVX4" s="258"/>
      <c r="UVY4" s="258"/>
      <c r="UVZ4" s="258"/>
      <c r="UWA4" s="258"/>
      <c r="UWB4" s="258"/>
      <c r="UWC4" s="258"/>
      <c r="UWD4" s="258"/>
      <c r="UWE4" s="258"/>
      <c r="UWF4" s="258"/>
      <c r="UWG4" s="258"/>
      <c r="UWH4" s="258"/>
      <c r="UWI4" s="258"/>
      <c r="UWJ4" s="258"/>
      <c r="UWK4" s="258"/>
      <c r="UWL4" s="258"/>
      <c r="UWM4" s="258"/>
      <c r="UWN4" s="258"/>
      <c r="UWO4" s="258"/>
      <c r="UWP4" s="258"/>
      <c r="UWQ4" s="258"/>
      <c r="UWR4" s="258"/>
      <c r="UWS4" s="258"/>
      <c r="UWT4" s="258"/>
      <c r="UWU4" s="258"/>
      <c r="UWV4" s="258"/>
      <c r="UWW4" s="258"/>
      <c r="UWX4" s="258"/>
      <c r="UWY4" s="258"/>
      <c r="UWZ4" s="258"/>
      <c r="UXA4" s="258"/>
      <c r="UXB4" s="258"/>
      <c r="UXC4" s="258"/>
      <c r="UXD4" s="258"/>
      <c r="UXE4" s="258"/>
      <c r="UXF4" s="258"/>
      <c r="UXG4" s="258"/>
      <c r="UXH4" s="258"/>
      <c r="UXI4" s="258"/>
      <c r="UXJ4" s="258"/>
      <c r="UXK4" s="258"/>
      <c r="UXL4" s="258"/>
      <c r="UXM4" s="258"/>
      <c r="UXN4" s="258"/>
      <c r="UXO4" s="258"/>
      <c r="UXP4" s="258"/>
      <c r="UXQ4" s="258"/>
      <c r="UXR4" s="258"/>
      <c r="UXS4" s="258"/>
      <c r="UXT4" s="258"/>
      <c r="UXU4" s="258"/>
      <c r="UXV4" s="258"/>
      <c r="UXW4" s="258"/>
      <c r="UXX4" s="258"/>
      <c r="UXY4" s="258"/>
      <c r="UXZ4" s="258"/>
      <c r="UYA4" s="258"/>
      <c r="UYB4" s="258"/>
      <c r="UYC4" s="258"/>
      <c r="UYD4" s="258"/>
      <c r="UYE4" s="258"/>
      <c r="UYF4" s="258"/>
      <c r="UYG4" s="258"/>
      <c r="UYH4" s="258"/>
      <c r="UYI4" s="258"/>
      <c r="UYJ4" s="258"/>
      <c r="UYK4" s="258"/>
      <c r="UYL4" s="258"/>
      <c r="UYM4" s="258"/>
      <c r="UYN4" s="258"/>
      <c r="UYO4" s="258"/>
      <c r="UYP4" s="258"/>
      <c r="UYQ4" s="258"/>
      <c r="UYR4" s="258"/>
      <c r="UYS4" s="258"/>
      <c r="UYT4" s="258"/>
      <c r="UYU4" s="258"/>
      <c r="UYV4" s="258"/>
      <c r="UYW4" s="258"/>
      <c r="UYX4" s="258"/>
      <c r="UYY4" s="258"/>
      <c r="UYZ4" s="258"/>
      <c r="UZA4" s="258"/>
      <c r="UZB4" s="258"/>
      <c r="UZC4" s="258"/>
      <c r="UZD4" s="258"/>
      <c r="UZE4" s="258"/>
      <c r="UZF4" s="258"/>
      <c r="UZG4" s="258"/>
      <c r="UZH4" s="258"/>
      <c r="UZI4" s="258"/>
      <c r="UZJ4" s="258"/>
      <c r="UZK4" s="258"/>
      <c r="UZL4" s="258"/>
      <c r="UZM4" s="258"/>
      <c r="UZN4" s="258"/>
      <c r="UZO4" s="258"/>
      <c r="UZP4" s="258"/>
      <c r="UZQ4" s="258"/>
      <c r="UZR4" s="258"/>
      <c r="UZS4" s="258"/>
      <c r="UZT4" s="258"/>
      <c r="UZU4" s="258"/>
      <c r="UZV4" s="258"/>
      <c r="UZW4" s="258"/>
      <c r="UZX4" s="258"/>
      <c r="UZY4" s="258"/>
      <c r="UZZ4" s="258"/>
      <c r="VAA4" s="258"/>
      <c r="VAB4" s="258"/>
      <c r="VAC4" s="258"/>
      <c r="VAD4" s="258"/>
      <c r="VAE4" s="258"/>
      <c r="VAF4" s="258"/>
      <c r="VAG4" s="258"/>
      <c r="VAH4" s="258"/>
      <c r="VAI4" s="258"/>
      <c r="VAJ4" s="258"/>
      <c r="VAK4" s="258"/>
      <c r="VAL4" s="258"/>
      <c r="VAM4" s="258"/>
      <c r="VAN4" s="258"/>
      <c r="VAO4" s="258"/>
      <c r="VAP4" s="258"/>
      <c r="VAQ4" s="258"/>
      <c r="VAR4" s="258"/>
      <c r="VAS4" s="258"/>
      <c r="VAT4" s="258"/>
      <c r="VAU4" s="258"/>
      <c r="VAV4" s="258"/>
      <c r="VAW4" s="258"/>
      <c r="VAX4" s="258"/>
      <c r="VAY4" s="258"/>
      <c r="VAZ4" s="258"/>
      <c r="VBA4" s="258"/>
      <c r="VBB4" s="258"/>
      <c r="VBC4" s="258"/>
      <c r="VBD4" s="258"/>
      <c r="VBE4" s="258"/>
      <c r="VBF4" s="258"/>
      <c r="VBG4" s="258"/>
      <c r="VBH4" s="258"/>
      <c r="VBI4" s="258"/>
      <c r="VBJ4" s="258"/>
      <c r="VBK4" s="258"/>
      <c r="VBL4" s="258"/>
      <c r="VBM4" s="258"/>
      <c r="VBN4" s="258"/>
      <c r="VBO4" s="258"/>
      <c r="VBP4" s="258"/>
      <c r="VBQ4" s="258"/>
      <c r="VBR4" s="258"/>
      <c r="VBS4" s="258"/>
      <c r="VBT4" s="258"/>
      <c r="VBU4" s="258"/>
      <c r="VBV4" s="258"/>
      <c r="VBW4" s="258"/>
      <c r="VBX4" s="258"/>
      <c r="VBY4" s="258"/>
      <c r="VBZ4" s="258"/>
      <c r="VCA4" s="258"/>
      <c r="VCB4" s="258"/>
      <c r="VCC4" s="258"/>
      <c r="VCD4" s="258"/>
      <c r="VCE4" s="258"/>
      <c r="VCF4" s="258"/>
      <c r="VCG4" s="258"/>
      <c r="VCH4" s="258"/>
      <c r="VCI4" s="258"/>
      <c r="VCJ4" s="258"/>
      <c r="VCK4" s="258"/>
      <c r="VCL4" s="258"/>
      <c r="VCM4" s="258"/>
      <c r="VCN4" s="258"/>
      <c r="VCO4" s="258"/>
      <c r="VCP4" s="258"/>
      <c r="VCQ4" s="258"/>
      <c r="VCR4" s="258"/>
      <c r="VCS4" s="258"/>
      <c r="VCT4" s="258"/>
      <c r="VCU4" s="258"/>
      <c r="VCV4" s="258"/>
      <c r="VCW4" s="258"/>
      <c r="VCX4" s="258"/>
      <c r="VCY4" s="258"/>
      <c r="VCZ4" s="258"/>
      <c r="VDA4" s="258"/>
      <c r="VDB4" s="258"/>
      <c r="VDC4" s="258"/>
      <c r="VDD4" s="258"/>
      <c r="VDE4" s="258"/>
      <c r="VDF4" s="258"/>
      <c r="VDG4" s="258"/>
      <c r="VDH4" s="258"/>
      <c r="VDI4" s="258"/>
      <c r="VDJ4" s="258"/>
      <c r="VDK4" s="258"/>
      <c r="VDL4" s="258"/>
      <c r="VDM4" s="258"/>
      <c r="VDN4" s="258"/>
      <c r="VDO4" s="258"/>
      <c r="VDP4" s="258"/>
      <c r="VDQ4" s="258"/>
      <c r="VDR4" s="258"/>
      <c r="VDS4" s="258"/>
      <c r="VDT4" s="258"/>
      <c r="VDU4" s="258"/>
      <c r="VDV4" s="258"/>
      <c r="VDW4" s="258"/>
      <c r="VDX4" s="258"/>
      <c r="VDY4" s="258"/>
      <c r="VDZ4" s="258"/>
      <c r="VEA4" s="258"/>
      <c r="VEB4" s="258"/>
      <c r="VEC4" s="258"/>
      <c r="VED4" s="258"/>
      <c r="VEE4" s="258"/>
      <c r="VEF4" s="258"/>
      <c r="VEG4" s="258"/>
      <c r="VEH4" s="258"/>
      <c r="VEI4" s="258"/>
      <c r="VEJ4" s="258"/>
      <c r="VEK4" s="258"/>
      <c r="VEL4" s="258"/>
      <c r="VEM4" s="258"/>
      <c r="VEN4" s="258"/>
      <c r="VEO4" s="258"/>
      <c r="VEP4" s="258"/>
      <c r="VEQ4" s="258"/>
      <c r="VER4" s="258"/>
      <c r="VES4" s="258"/>
      <c r="VET4" s="258"/>
      <c r="VEU4" s="258"/>
      <c r="VEV4" s="258"/>
      <c r="VEW4" s="258"/>
      <c r="VEX4" s="258"/>
      <c r="VEY4" s="258"/>
      <c r="VEZ4" s="258"/>
      <c r="VFA4" s="258"/>
      <c r="VFB4" s="258"/>
      <c r="VFC4" s="258"/>
      <c r="VFD4" s="258"/>
      <c r="VFE4" s="258"/>
      <c r="VFF4" s="258"/>
      <c r="VFG4" s="258"/>
      <c r="VFH4" s="258"/>
      <c r="VFI4" s="258"/>
      <c r="VFJ4" s="258"/>
      <c r="VFK4" s="258"/>
      <c r="VFL4" s="258"/>
      <c r="VFM4" s="258"/>
      <c r="VFN4" s="258"/>
      <c r="VFO4" s="258"/>
      <c r="VFP4" s="258"/>
      <c r="VFQ4" s="258"/>
      <c r="VFR4" s="258"/>
      <c r="VFS4" s="258"/>
      <c r="VFT4" s="258"/>
      <c r="VFU4" s="258"/>
      <c r="VFV4" s="258"/>
      <c r="VFW4" s="258"/>
      <c r="VFX4" s="258"/>
      <c r="VFY4" s="258"/>
      <c r="VFZ4" s="258"/>
      <c r="VGA4" s="258"/>
      <c r="VGB4" s="258"/>
      <c r="VGC4" s="258"/>
      <c r="VGD4" s="258"/>
      <c r="VGE4" s="258"/>
      <c r="VGF4" s="258"/>
      <c r="VGG4" s="258"/>
      <c r="VGH4" s="258"/>
      <c r="VGI4" s="258"/>
      <c r="VGJ4" s="258"/>
      <c r="VGK4" s="258"/>
      <c r="VGL4" s="258"/>
      <c r="VGM4" s="258"/>
      <c r="VGN4" s="258"/>
      <c r="VGO4" s="258"/>
      <c r="VGP4" s="258"/>
      <c r="VGQ4" s="258"/>
      <c r="VGR4" s="258"/>
      <c r="VGS4" s="258"/>
      <c r="VGT4" s="258"/>
      <c r="VGU4" s="258"/>
      <c r="VGV4" s="258"/>
      <c r="VGW4" s="258"/>
      <c r="VGX4" s="258"/>
      <c r="VGY4" s="258"/>
      <c r="VGZ4" s="258"/>
      <c r="VHA4" s="258"/>
      <c r="VHB4" s="258"/>
      <c r="VHC4" s="258"/>
      <c r="VHD4" s="258"/>
      <c r="VHE4" s="258"/>
      <c r="VHF4" s="258"/>
      <c r="VHG4" s="258"/>
      <c r="VHH4" s="258"/>
      <c r="VHI4" s="258"/>
      <c r="VHJ4" s="258"/>
      <c r="VHK4" s="258"/>
      <c r="VHL4" s="258"/>
      <c r="VHM4" s="258"/>
      <c r="VHN4" s="258"/>
      <c r="VHO4" s="258"/>
      <c r="VHP4" s="258"/>
      <c r="VHQ4" s="258"/>
      <c r="VHR4" s="258"/>
      <c r="VHS4" s="258"/>
      <c r="VHT4" s="258"/>
      <c r="VHU4" s="258"/>
      <c r="VHV4" s="258"/>
      <c r="VHW4" s="258"/>
      <c r="VHX4" s="258"/>
      <c r="VHY4" s="258"/>
      <c r="VHZ4" s="258"/>
      <c r="VIA4" s="258"/>
      <c r="VIB4" s="258"/>
      <c r="VIC4" s="258"/>
      <c r="VID4" s="258"/>
      <c r="VIE4" s="258"/>
      <c r="VIF4" s="258"/>
      <c r="VIG4" s="258"/>
      <c r="VIH4" s="258"/>
      <c r="VII4" s="258"/>
      <c r="VIJ4" s="258"/>
      <c r="VIK4" s="258"/>
      <c r="VIL4" s="258"/>
      <c r="VIM4" s="258"/>
      <c r="VIN4" s="258"/>
      <c r="VIO4" s="258"/>
      <c r="VIP4" s="258"/>
      <c r="VIQ4" s="258"/>
      <c r="VIR4" s="258"/>
      <c r="VIS4" s="258"/>
      <c r="VIT4" s="258"/>
      <c r="VIU4" s="258"/>
      <c r="VIV4" s="258"/>
      <c r="VIW4" s="258"/>
      <c r="VIX4" s="258"/>
      <c r="VIY4" s="258"/>
      <c r="VIZ4" s="258"/>
      <c r="VJA4" s="258"/>
      <c r="VJB4" s="258"/>
      <c r="VJC4" s="258"/>
      <c r="VJD4" s="258"/>
      <c r="VJE4" s="258"/>
      <c r="VJF4" s="258"/>
      <c r="VJG4" s="258"/>
      <c r="VJH4" s="258"/>
      <c r="VJI4" s="258"/>
      <c r="VJJ4" s="258"/>
      <c r="VJK4" s="258"/>
      <c r="VJL4" s="258"/>
      <c r="VJM4" s="258"/>
      <c r="VJN4" s="258"/>
      <c r="VJO4" s="258"/>
      <c r="VJP4" s="258"/>
      <c r="VJQ4" s="258"/>
      <c r="VJR4" s="258"/>
      <c r="VJS4" s="258"/>
      <c r="VJT4" s="258"/>
      <c r="VJU4" s="258"/>
      <c r="VJV4" s="258"/>
      <c r="VJW4" s="258"/>
      <c r="VJX4" s="258"/>
      <c r="VJY4" s="258"/>
      <c r="VJZ4" s="258"/>
      <c r="VKA4" s="258"/>
      <c r="VKB4" s="258"/>
      <c r="VKC4" s="258"/>
      <c r="VKD4" s="258"/>
      <c r="VKE4" s="258"/>
      <c r="VKF4" s="258"/>
      <c r="VKG4" s="258"/>
      <c r="VKH4" s="258"/>
      <c r="VKI4" s="258"/>
      <c r="VKJ4" s="258"/>
      <c r="VKK4" s="258"/>
      <c r="VKL4" s="258"/>
      <c r="VKM4" s="258"/>
      <c r="VKN4" s="258"/>
      <c r="VKO4" s="258"/>
      <c r="VKP4" s="258"/>
      <c r="VKQ4" s="258"/>
      <c r="VKR4" s="258"/>
      <c r="VKS4" s="258"/>
      <c r="VKT4" s="258"/>
      <c r="VKU4" s="258"/>
      <c r="VKV4" s="258"/>
      <c r="VKW4" s="258"/>
      <c r="VKX4" s="258"/>
      <c r="VKY4" s="258"/>
      <c r="VKZ4" s="258"/>
      <c r="VLA4" s="258"/>
      <c r="VLB4" s="258"/>
      <c r="VLC4" s="258"/>
      <c r="VLD4" s="258"/>
      <c r="VLE4" s="258"/>
      <c r="VLF4" s="258"/>
      <c r="VLG4" s="258"/>
      <c r="VLH4" s="258"/>
      <c r="VLI4" s="258"/>
      <c r="VLJ4" s="258"/>
      <c r="VLK4" s="258"/>
      <c r="VLL4" s="258"/>
      <c r="VLM4" s="258"/>
      <c r="VLN4" s="258"/>
      <c r="VLO4" s="258"/>
      <c r="VLP4" s="258"/>
      <c r="VLQ4" s="258"/>
      <c r="VLR4" s="258"/>
      <c r="VLS4" s="258"/>
      <c r="VLT4" s="258"/>
      <c r="VLU4" s="258"/>
      <c r="VLV4" s="258"/>
      <c r="VLW4" s="258"/>
      <c r="VLX4" s="258"/>
      <c r="VLY4" s="258"/>
      <c r="VLZ4" s="258"/>
      <c r="VMA4" s="258"/>
      <c r="VMB4" s="258"/>
      <c r="VMC4" s="258"/>
      <c r="VMD4" s="258"/>
      <c r="VME4" s="258"/>
      <c r="VMF4" s="258"/>
      <c r="VMG4" s="258"/>
      <c r="VMH4" s="258"/>
      <c r="VMI4" s="258"/>
      <c r="VMJ4" s="258"/>
      <c r="VMK4" s="258"/>
      <c r="VML4" s="258"/>
      <c r="VMM4" s="258"/>
      <c r="VMN4" s="258"/>
      <c r="VMO4" s="258"/>
      <c r="VMP4" s="258"/>
      <c r="VMQ4" s="258"/>
      <c r="VMR4" s="258"/>
      <c r="VMS4" s="258"/>
      <c r="VMT4" s="258"/>
      <c r="VMU4" s="258"/>
      <c r="VMV4" s="258"/>
      <c r="VMW4" s="258"/>
      <c r="VMX4" s="258"/>
      <c r="VMY4" s="258"/>
      <c r="VMZ4" s="258"/>
      <c r="VNA4" s="258"/>
      <c r="VNB4" s="258"/>
      <c r="VNC4" s="258"/>
      <c r="VND4" s="258"/>
      <c r="VNE4" s="258"/>
      <c r="VNF4" s="258"/>
      <c r="VNG4" s="258"/>
      <c r="VNH4" s="258"/>
      <c r="VNI4" s="258"/>
      <c r="VNJ4" s="258"/>
      <c r="VNK4" s="258"/>
      <c r="VNL4" s="258"/>
      <c r="VNM4" s="258"/>
      <c r="VNN4" s="258"/>
      <c r="VNO4" s="258"/>
      <c r="VNP4" s="258"/>
      <c r="VNQ4" s="258"/>
      <c r="VNR4" s="258"/>
      <c r="VNS4" s="258"/>
      <c r="VNT4" s="258"/>
      <c r="VNU4" s="258"/>
      <c r="VNV4" s="258"/>
      <c r="VNW4" s="258"/>
      <c r="VNX4" s="258"/>
      <c r="VNY4" s="258"/>
      <c r="VNZ4" s="258"/>
      <c r="VOA4" s="258"/>
      <c r="VOB4" s="258"/>
      <c r="VOC4" s="258"/>
      <c r="VOD4" s="258"/>
      <c r="VOE4" s="258"/>
      <c r="VOF4" s="258"/>
      <c r="VOG4" s="258"/>
      <c r="VOH4" s="258"/>
      <c r="VOI4" s="258"/>
      <c r="VOJ4" s="258"/>
      <c r="VOK4" s="258"/>
      <c r="VOL4" s="258"/>
      <c r="VOM4" s="258"/>
      <c r="VON4" s="258"/>
      <c r="VOO4" s="258"/>
      <c r="VOP4" s="258"/>
      <c r="VOQ4" s="258"/>
      <c r="VOR4" s="258"/>
      <c r="VOS4" s="258"/>
      <c r="VOT4" s="258"/>
      <c r="VOU4" s="258"/>
      <c r="VOV4" s="258"/>
      <c r="VOW4" s="258"/>
      <c r="VOX4" s="258"/>
      <c r="VOY4" s="258"/>
      <c r="VOZ4" s="258"/>
      <c r="VPA4" s="258"/>
      <c r="VPB4" s="258"/>
      <c r="VPC4" s="258"/>
      <c r="VPD4" s="258"/>
      <c r="VPE4" s="258"/>
      <c r="VPF4" s="258"/>
      <c r="VPG4" s="258"/>
      <c r="VPH4" s="258"/>
      <c r="VPI4" s="258"/>
      <c r="VPJ4" s="258"/>
      <c r="VPK4" s="258"/>
      <c r="VPL4" s="258"/>
      <c r="VPM4" s="258"/>
      <c r="VPN4" s="258"/>
      <c r="VPO4" s="258"/>
      <c r="VPP4" s="258"/>
      <c r="VPQ4" s="258"/>
      <c r="VPR4" s="258"/>
      <c r="VPS4" s="258"/>
      <c r="VPT4" s="258"/>
      <c r="VPU4" s="258"/>
      <c r="VPV4" s="258"/>
      <c r="VPW4" s="258"/>
      <c r="VPX4" s="258"/>
      <c r="VPY4" s="258"/>
      <c r="VPZ4" s="258"/>
      <c r="VQA4" s="258"/>
      <c r="VQB4" s="258"/>
      <c r="VQC4" s="258"/>
      <c r="VQD4" s="258"/>
      <c r="VQE4" s="258"/>
      <c r="VQF4" s="258"/>
      <c r="VQG4" s="258"/>
      <c r="VQH4" s="258"/>
      <c r="VQI4" s="258"/>
      <c r="VQJ4" s="258"/>
      <c r="VQK4" s="258"/>
      <c r="VQL4" s="258"/>
      <c r="VQM4" s="258"/>
      <c r="VQN4" s="258"/>
      <c r="VQO4" s="258"/>
      <c r="VQP4" s="258"/>
      <c r="VQQ4" s="258"/>
      <c r="VQR4" s="258"/>
      <c r="VQS4" s="258"/>
      <c r="VQT4" s="258"/>
      <c r="VQU4" s="258"/>
      <c r="VQV4" s="258"/>
      <c r="VQW4" s="258"/>
      <c r="VQX4" s="258"/>
      <c r="VQY4" s="258"/>
      <c r="VQZ4" s="258"/>
      <c r="VRA4" s="258"/>
      <c r="VRB4" s="258"/>
      <c r="VRC4" s="258"/>
      <c r="VRD4" s="258"/>
      <c r="VRE4" s="258"/>
      <c r="VRF4" s="258"/>
      <c r="VRG4" s="258"/>
      <c r="VRH4" s="258"/>
      <c r="VRI4" s="258"/>
      <c r="VRJ4" s="258"/>
      <c r="VRK4" s="258"/>
      <c r="VRL4" s="258"/>
      <c r="VRM4" s="258"/>
      <c r="VRN4" s="258"/>
      <c r="VRO4" s="258"/>
      <c r="VRP4" s="258"/>
      <c r="VRQ4" s="258"/>
      <c r="VRR4" s="258"/>
      <c r="VRS4" s="258"/>
      <c r="VRT4" s="258"/>
      <c r="VRU4" s="258"/>
      <c r="VRV4" s="258"/>
      <c r="VRW4" s="258"/>
      <c r="VRX4" s="258"/>
      <c r="VRY4" s="258"/>
      <c r="VRZ4" s="258"/>
      <c r="VSA4" s="258"/>
      <c r="VSB4" s="258"/>
      <c r="VSC4" s="258"/>
      <c r="VSD4" s="258"/>
      <c r="VSE4" s="258"/>
      <c r="VSF4" s="258"/>
      <c r="VSG4" s="258"/>
      <c r="VSH4" s="258"/>
      <c r="VSI4" s="258"/>
      <c r="VSJ4" s="258"/>
      <c r="VSK4" s="258"/>
      <c r="VSL4" s="258"/>
      <c r="VSM4" s="258"/>
      <c r="VSN4" s="258"/>
      <c r="VSO4" s="258"/>
      <c r="VSP4" s="258"/>
      <c r="VSQ4" s="258"/>
      <c r="VSR4" s="258"/>
      <c r="VSS4" s="258"/>
      <c r="VST4" s="258"/>
      <c r="VSU4" s="258"/>
      <c r="VSV4" s="258"/>
      <c r="VSW4" s="258"/>
      <c r="VSX4" s="258"/>
      <c r="VSY4" s="258"/>
      <c r="VSZ4" s="258"/>
      <c r="VTA4" s="258"/>
      <c r="VTB4" s="258"/>
      <c r="VTC4" s="258"/>
      <c r="VTD4" s="258"/>
      <c r="VTE4" s="258"/>
      <c r="VTF4" s="258"/>
      <c r="VTG4" s="258"/>
      <c r="VTH4" s="258"/>
      <c r="VTI4" s="258"/>
      <c r="VTJ4" s="258"/>
      <c r="VTK4" s="258"/>
      <c r="VTL4" s="258"/>
      <c r="VTM4" s="258"/>
      <c r="VTN4" s="258"/>
      <c r="VTO4" s="258"/>
      <c r="VTP4" s="258"/>
      <c r="VTQ4" s="258"/>
      <c r="VTR4" s="258"/>
      <c r="VTS4" s="258"/>
      <c r="VTT4" s="258"/>
      <c r="VTU4" s="258"/>
      <c r="VTV4" s="258"/>
      <c r="VTW4" s="258"/>
      <c r="VTX4" s="258"/>
      <c r="VTY4" s="258"/>
      <c r="VTZ4" s="258"/>
      <c r="VUA4" s="258"/>
      <c r="VUB4" s="258"/>
      <c r="VUC4" s="258"/>
      <c r="VUD4" s="258"/>
      <c r="VUE4" s="258"/>
      <c r="VUF4" s="258"/>
      <c r="VUG4" s="258"/>
      <c r="VUH4" s="258"/>
      <c r="VUI4" s="258"/>
      <c r="VUJ4" s="258"/>
      <c r="VUK4" s="258"/>
      <c r="VUL4" s="258"/>
      <c r="VUM4" s="258"/>
      <c r="VUN4" s="258"/>
      <c r="VUO4" s="258"/>
      <c r="VUP4" s="258"/>
      <c r="VUQ4" s="258"/>
      <c r="VUR4" s="258"/>
      <c r="VUS4" s="258"/>
      <c r="VUT4" s="258"/>
      <c r="VUU4" s="258"/>
      <c r="VUV4" s="258"/>
      <c r="VUW4" s="258"/>
      <c r="VUX4" s="258"/>
      <c r="VUY4" s="258"/>
      <c r="VUZ4" s="258"/>
      <c r="VVA4" s="258"/>
      <c r="VVB4" s="258"/>
      <c r="VVC4" s="258"/>
      <c r="VVD4" s="258"/>
      <c r="VVE4" s="258"/>
      <c r="VVF4" s="258"/>
      <c r="VVG4" s="258"/>
      <c r="VVH4" s="258"/>
      <c r="VVI4" s="258"/>
      <c r="VVJ4" s="258"/>
      <c r="VVK4" s="258"/>
      <c r="VVL4" s="258"/>
      <c r="VVM4" s="258"/>
      <c r="VVN4" s="258"/>
      <c r="VVO4" s="258"/>
      <c r="VVP4" s="258"/>
      <c r="VVQ4" s="258"/>
      <c r="VVR4" s="258"/>
      <c r="VVS4" s="258"/>
      <c r="VVT4" s="258"/>
      <c r="VVU4" s="258"/>
      <c r="VVV4" s="258"/>
      <c r="VVW4" s="258"/>
      <c r="VVX4" s="258"/>
      <c r="VVY4" s="258"/>
      <c r="VVZ4" s="258"/>
      <c r="VWA4" s="258"/>
      <c r="VWB4" s="258"/>
      <c r="VWC4" s="258"/>
      <c r="VWD4" s="258"/>
      <c r="VWE4" s="258"/>
      <c r="VWF4" s="258"/>
      <c r="VWG4" s="258"/>
      <c r="VWH4" s="258"/>
      <c r="VWI4" s="258"/>
      <c r="VWJ4" s="258"/>
      <c r="VWK4" s="258"/>
      <c r="VWL4" s="258"/>
      <c r="VWM4" s="258"/>
      <c r="VWN4" s="258"/>
      <c r="VWO4" s="258"/>
      <c r="VWP4" s="258"/>
      <c r="VWQ4" s="258"/>
      <c r="VWR4" s="258"/>
      <c r="VWS4" s="258"/>
      <c r="VWT4" s="258"/>
      <c r="VWU4" s="258"/>
      <c r="VWV4" s="258"/>
      <c r="VWW4" s="258"/>
      <c r="VWX4" s="258"/>
      <c r="VWY4" s="258"/>
      <c r="VWZ4" s="258"/>
      <c r="VXA4" s="258"/>
      <c r="VXB4" s="258"/>
      <c r="VXC4" s="258"/>
      <c r="VXD4" s="258"/>
      <c r="VXE4" s="258"/>
      <c r="VXF4" s="258"/>
      <c r="VXG4" s="258"/>
      <c r="VXH4" s="258"/>
      <c r="VXI4" s="258"/>
      <c r="VXJ4" s="258"/>
      <c r="VXK4" s="258"/>
      <c r="VXL4" s="258"/>
      <c r="VXM4" s="258"/>
      <c r="VXN4" s="258"/>
      <c r="VXO4" s="258"/>
      <c r="VXP4" s="258"/>
      <c r="VXQ4" s="258"/>
      <c r="VXR4" s="258"/>
      <c r="VXS4" s="258"/>
      <c r="VXT4" s="258"/>
      <c r="VXU4" s="258"/>
      <c r="VXV4" s="258"/>
      <c r="VXW4" s="258"/>
      <c r="VXX4" s="258"/>
      <c r="VXY4" s="258"/>
      <c r="VXZ4" s="258"/>
      <c r="VYA4" s="258"/>
      <c r="VYB4" s="258"/>
      <c r="VYC4" s="258"/>
      <c r="VYD4" s="258"/>
      <c r="VYE4" s="258"/>
      <c r="VYF4" s="258"/>
      <c r="VYG4" s="258"/>
      <c r="VYH4" s="258"/>
      <c r="VYI4" s="258"/>
      <c r="VYJ4" s="258"/>
      <c r="VYK4" s="258"/>
      <c r="VYL4" s="258"/>
      <c r="VYM4" s="258"/>
      <c r="VYN4" s="258"/>
      <c r="VYO4" s="258"/>
      <c r="VYP4" s="258"/>
      <c r="VYQ4" s="258"/>
      <c r="VYR4" s="258"/>
      <c r="VYS4" s="258"/>
      <c r="VYT4" s="258"/>
      <c r="VYU4" s="258"/>
      <c r="VYV4" s="258"/>
      <c r="VYW4" s="258"/>
      <c r="VYX4" s="258"/>
      <c r="VYY4" s="258"/>
      <c r="VYZ4" s="258"/>
      <c r="VZA4" s="258"/>
      <c r="VZB4" s="258"/>
      <c r="VZC4" s="258"/>
      <c r="VZD4" s="258"/>
      <c r="VZE4" s="258"/>
      <c r="VZF4" s="258"/>
      <c r="VZG4" s="258"/>
      <c r="VZH4" s="258"/>
      <c r="VZI4" s="258"/>
      <c r="VZJ4" s="258"/>
      <c r="VZK4" s="258"/>
      <c r="VZL4" s="258"/>
      <c r="VZM4" s="258"/>
      <c r="VZN4" s="258"/>
      <c r="VZO4" s="258"/>
      <c r="VZP4" s="258"/>
      <c r="VZQ4" s="258"/>
      <c r="VZR4" s="258"/>
      <c r="VZS4" s="258"/>
      <c r="VZT4" s="258"/>
      <c r="VZU4" s="258"/>
      <c r="VZV4" s="258"/>
      <c r="VZW4" s="258"/>
      <c r="VZX4" s="258"/>
      <c r="VZY4" s="258"/>
      <c r="VZZ4" s="258"/>
      <c r="WAA4" s="258"/>
      <c r="WAB4" s="258"/>
      <c r="WAC4" s="258"/>
      <c r="WAD4" s="258"/>
      <c r="WAE4" s="258"/>
      <c r="WAF4" s="258"/>
      <c r="WAG4" s="258"/>
      <c r="WAH4" s="258"/>
      <c r="WAI4" s="258"/>
      <c r="WAJ4" s="258"/>
      <c r="WAK4" s="258"/>
      <c r="WAL4" s="258"/>
      <c r="WAM4" s="258"/>
      <c r="WAN4" s="258"/>
      <c r="WAO4" s="258"/>
      <c r="WAP4" s="258"/>
      <c r="WAQ4" s="258"/>
      <c r="WAR4" s="258"/>
      <c r="WAS4" s="258"/>
      <c r="WAT4" s="258"/>
      <c r="WAU4" s="258"/>
      <c r="WAV4" s="258"/>
      <c r="WAW4" s="258"/>
      <c r="WAX4" s="258"/>
      <c r="WAY4" s="258"/>
      <c r="WAZ4" s="258"/>
      <c r="WBA4" s="258"/>
      <c r="WBB4" s="258"/>
      <c r="WBC4" s="258"/>
      <c r="WBD4" s="258"/>
      <c r="WBE4" s="258"/>
      <c r="WBF4" s="258"/>
      <c r="WBG4" s="258"/>
      <c r="WBH4" s="258"/>
      <c r="WBI4" s="258"/>
      <c r="WBJ4" s="258"/>
      <c r="WBK4" s="258"/>
      <c r="WBL4" s="258"/>
      <c r="WBM4" s="258"/>
      <c r="WBN4" s="258"/>
      <c r="WBO4" s="258"/>
      <c r="WBP4" s="258"/>
      <c r="WBQ4" s="258"/>
      <c r="WBR4" s="258"/>
      <c r="WBS4" s="258"/>
      <c r="WBT4" s="258"/>
      <c r="WBU4" s="258"/>
      <c r="WBV4" s="258"/>
      <c r="WBW4" s="258"/>
      <c r="WBX4" s="258"/>
      <c r="WBY4" s="258"/>
      <c r="WBZ4" s="258"/>
      <c r="WCA4" s="258"/>
      <c r="WCB4" s="258"/>
      <c r="WCC4" s="258"/>
      <c r="WCD4" s="258"/>
      <c r="WCE4" s="258"/>
      <c r="WCF4" s="258"/>
      <c r="WCG4" s="258"/>
      <c r="WCH4" s="258"/>
      <c r="WCI4" s="258"/>
      <c r="WCJ4" s="258"/>
      <c r="WCK4" s="258"/>
      <c r="WCL4" s="258"/>
      <c r="WCM4" s="258"/>
      <c r="WCN4" s="258"/>
      <c r="WCO4" s="258"/>
      <c r="WCP4" s="258"/>
      <c r="WCQ4" s="258"/>
      <c r="WCR4" s="258"/>
      <c r="WCS4" s="258"/>
      <c r="WCT4" s="258"/>
      <c r="WCU4" s="258"/>
      <c r="WCV4" s="258"/>
      <c r="WCW4" s="258"/>
      <c r="WCX4" s="258"/>
      <c r="WCY4" s="258"/>
      <c r="WCZ4" s="258"/>
      <c r="WDA4" s="258"/>
      <c r="WDB4" s="258"/>
      <c r="WDC4" s="258"/>
      <c r="WDD4" s="258"/>
      <c r="WDE4" s="258"/>
      <c r="WDF4" s="258"/>
      <c r="WDG4" s="258"/>
      <c r="WDH4" s="258"/>
      <c r="WDI4" s="258"/>
      <c r="WDJ4" s="258"/>
      <c r="WDK4" s="258"/>
      <c r="WDL4" s="258"/>
      <c r="WDM4" s="258"/>
      <c r="WDN4" s="258"/>
      <c r="WDO4" s="258"/>
      <c r="WDP4" s="258"/>
      <c r="WDQ4" s="258"/>
      <c r="WDR4" s="258"/>
      <c r="WDS4" s="258"/>
      <c r="WDT4" s="258"/>
      <c r="WDU4" s="258"/>
      <c r="WDV4" s="258"/>
      <c r="WDW4" s="258"/>
      <c r="WDX4" s="258"/>
      <c r="WDY4" s="258"/>
      <c r="WDZ4" s="258"/>
      <c r="WEA4" s="258"/>
      <c r="WEB4" s="258"/>
      <c r="WEC4" s="258"/>
      <c r="WED4" s="258"/>
      <c r="WEE4" s="258"/>
      <c r="WEF4" s="258"/>
      <c r="WEG4" s="258"/>
      <c r="WEH4" s="258"/>
      <c r="WEI4" s="258"/>
      <c r="WEJ4" s="258"/>
      <c r="WEK4" s="258"/>
      <c r="WEL4" s="258"/>
      <c r="WEM4" s="258"/>
      <c r="WEN4" s="258"/>
      <c r="WEO4" s="258"/>
      <c r="WEP4" s="258"/>
      <c r="WEQ4" s="258"/>
      <c r="WER4" s="258"/>
      <c r="WES4" s="258"/>
      <c r="WET4" s="258"/>
      <c r="WEU4" s="258"/>
      <c r="WEV4" s="258"/>
      <c r="WEW4" s="258"/>
      <c r="WEX4" s="258"/>
      <c r="WEY4" s="258"/>
      <c r="WEZ4" s="258"/>
      <c r="WFA4" s="258"/>
      <c r="WFB4" s="258"/>
      <c r="WFC4" s="258"/>
      <c r="WFD4" s="258"/>
      <c r="WFE4" s="258"/>
      <c r="WFF4" s="258"/>
      <c r="WFG4" s="258"/>
      <c r="WFH4" s="258"/>
      <c r="WFI4" s="258"/>
      <c r="WFJ4" s="258"/>
      <c r="WFK4" s="258"/>
      <c r="WFL4" s="258"/>
      <c r="WFM4" s="258"/>
      <c r="WFN4" s="258"/>
      <c r="WFO4" s="258"/>
      <c r="WFP4" s="258"/>
      <c r="WFQ4" s="258"/>
      <c r="WFR4" s="258"/>
      <c r="WFS4" s="258"/>
      <c r="WFT4" s="258"/>
      <c r="WFU4" s="258"/>
      <c r="WFV4" s="258"/>
      <c r="WFW4" s="258"/>
      <c r="WFX4" s="258"/>
      <c r="WFY4" s="258"/>
      <c r="WFZ4" s="258"/>
      <c r="WGA4" s="258"/>
      <c r="WGB4" s="258"/>
      <c r="WGC4" s="258"/>
      <c r="WGD4" s="258"/>
      <c r="WGE4" s="258"/>
      <c r="WGF4" s="258"/>
      <c r="WGG4" s="258"/>
      <c r="WGH4" s="258"/>
      <c r="WGI4" s="258"/>
      <c r="WGJ4" s="258"/>
      <c r="WGK4" s="258"/>
      <c r="WGL4" s="258"/>
      <c r="WGM4" s="258"/>
      <c r="WGN4" s="258"/>
      <c r="WGO4" s="258"/>
      <c r="WGP4" s="258"/>
      <c r="WGQ4" s="258"/>
      <c r="WGR4" s="258"/>
      <c r="WGS4" s="258"/>
      <c r="WGT4" s="258"/>
      <c r="WGU4" s="258"/>
      <c r="WGV4" s="258"/>
      <c r="WGW4" s="258"/>
      <c r="WGX4" s="258"/>
      <c r="WGY4" s="258"/>
      <c r="WGZ4" s="258"/>
      <c r="WHA4" s="258"/>
      <c r="WHB4" s="258"/>
      <c r="WHC4" s="258"/>
      <c r="WHD4" s="258"/>
      <c r="WHE4" s="258"/>
      <c r="WHF4" s="258"/>
      <c r="WHG4" s="258"/>
      <c r="WHH4" s="258"/>
      <c r="WHI4" s="258"/>
      <c r="WHJ4" s="258"/>
      <c r="WHK4" s="258"/>
      <c r="WHL4" s="258"/>
      <c r="WHM4" s="258"/>
      <c r="WHN4" s="258"/>
      <c r="WHO4" s="258"/>
      <c r="WHP4" s="258"/>
      <c r="WHQ4" s="258"/>
      <c r="WHR4" s="258"/>
      <c r="WHS4" s="258"/>
      <c r="WHT4" s="258"/>
      <c r="WHU4" s="258"/>
      <c r="WHV4" s="258"/>
      <c r="WHW4" s="258"/>
      <c r="WHX4" s="258"/>
      <c r="WHY4" s="258"/>
      <c r="WHZ4" s="258"/>
      <c r="WIA4" s="258"/>
      <c r="WIB4" s="258"/>
      <c r="WIC4" s="258"/>
      <c r="WID4" s="258"/>
      <c r="WIE4" s="258"/>
      <c r="WIF4" s="258"/>
      <c r="WIG4" s="258"/>
      <c r="WIH4" s="258"/>
      <c r="WII4" s="258"/>
      <c r="WIJ4" s="258"/>
      <c r="WIK4" s="258"/>
      <c r="WIL4" s="258"/>
      <c r="WIM4" s="258"/>
      <c r="WIN4" s="258"/>
      <c r="WIO4" s="258"/>
      <c r="WIP4" s="258"/>
      <c r="WIQ4" s="258"/>
      <c r="WIR4" s="258"/>
      <c r="WIS4" s="258"/>
      <c r="WIT4" s="258"/>
      <c r="WIU4" s="258"/>
      <c r="WIV4" s="258"/>
      <c r="WIW4" s="258"/>
      <c r="WIX4" s="258"/>
      <c r="WIY4" s="258"/>
      <c r="WIZ4" s="258"/>
      <c r="WJA4" s="258"/>
      <c r="WJB4" s="258"/>
      <c r="WJC4" s="258"/>
      <c r="WJD4" s="258"/>
      <c r="WJE4" s="258"/>
      <c r="WJF4" s="258"/>
      <c r="WJG4" s="258"/>
      <c r="WJH4" s="258"/>
      <c r="WJI4" s="258"/>
      <c r="WJJ4" s="258"/>
      <c r="WJK4" s="258"/>
      <c r="WJL4" s="258"/>
      <c r="WJM4" s="258"/>
      <c r="WJN4" s="258"/>
      <c r="WJO4" s="258"/>
      <c r="WJP4" s="258"/>
      <c r="WJQ4" s="258"/>
      <c r="WJR4" s="258"/>
      <c r="WJS4" s="258"/>
      <c r="WJT4" s="258"/>
      <c r="WJU4" s="258"/>
      <c r="WJV4" s="258"/>
      <c r="WJW4" s="258"/>
      <c r="WJX4" s="258"/>
      <c r="WJY4" s="258"/>
      <c r="WJZ4" s="258"/>
      <c r="WKA4" s="258"/>
      <c r="WKB4" s="258"/>
      <c r="WKC4" s="258"/>
      <c r="WKD4" s="258"/>
      <c r="WKE4" s="258"/>
      <c r="WKF4" s="258"/>
      <c r="WKG4" s="258"/>
      <c r="WKH4" s="258"/>
      <c r="WKI4" s="258"/>
      <c r="WKJ4" s="258"/>
      <c r="WKK4" s="258"/>
      <c r="WKL4" s="258"/>
      <c r="WKM4" s="258"/>
      <c r="WKN4" s="258"/>
      <c r="WKO4" s="258"/>
      <c r="WKP4" s="258"/>
      <c r="WKQ4" s="258"/>
      <c r="WKR4" s="258"/>
      <c r="WKS4" s="258"/>
      <c r="WKT4" s="258"/>
      <c r="WKU4" s="258"/>
      <c r="WKV4" s="258"/>
      <c r="WKW4" s="258"/>
      <c r="WKX4" s="258"/>
      <c r="WKY4" s="258"/>
      <c r="WKZ4" s="258"/>
      <c r="WLA4" s="258"/>
      <c r="WLB4" s="258"/>
      <c r="WLC4" s="258"/>
      <c r="WLD4" s="258"/>
      <c r="WLE4" s="258"/>
      <c r="WLF4" s="258"/>
      <c r="WLG4" s="258"/>
      <c r="WLH4" s="258"/>
      <c r="WLI4" s="258"/>
      <c r="WLJ4" s="258"/>
      <c r="WLK4" s="258"/>
      <c r="WLL4" s="258"/>
      <c r="WLM4" s="258"/>
      <c r="WLN4" s="258"/>
      <c r="WLO4" s="258"/>
      <c r="WLP4" s="258"/>
      <c r="WLQ4" s="258"/>
      <c r="WLR4" s="258"/>
      <c r="WLS4" s="258"/>
      <c r="WLT4" s="258"/>
      <c r="WLU4" s="258"/>
      <c r="WLV4" s="258"/>
      <c r="WLW4" s="258"/>
      <c r="WLX4" s="258"/>
      <c r="WLY4" s="258"/>
      <c r="WLZ4" s="258"/>
      <c r="WMA4" s="258"/>
      <c r="WMB4" s="258"/>
      <c r="WMC4" s="258"/>
      <c r="WMD4" s="258"/>
      <c r="WME4" s="258"/>
      <c r="WMF4" s="258"/>
      <c r="WMG4" s="258"/>
      <c r="WMH4" s="258"/>
      <c r="WMI4" s="258"/>
      <c r="WMJ4" s="258"/>
      <c r="WMK4" s="258"/>
      <c r="WML4" s="258"/>
      <c r="WMM4" s="258"/>
      <c r="WMN4" s="258"/>
      <c r="WMO4" s="258"/>
      <c r="WMP4" s="258"/>
      <c r="WMQ4" s="258"/>
      <c r="WMR4" s="258"/>
      <c r="WMS4" s="258"/>
      <c r="WMT4" s="258"/>
      <c r="WMU4" s="258"/>
      <c r="WMV4" s="258"/>
      <c r="WMW4" s="258"/>
      <c r="WMX4" s="258"/>
      <c r="WMY4" s="258"/>
      <c r="WMZ4" s="258"/>
      <c r="WNA4" s="258"/>
      <c r="WNB4" s="258"/>
      <c r="WNC4" s="258"/>
      <c r="WND4" s="258"/>
      <c r="WNE4" s="258"/>
      <c r="WNF4" s="258"/>
      <c r="WNG4" s="258"/>
      <c r="WNH4" s="258"/>
      <c r="WNI4" s="258"/>
      <c r="WNJ4" s="258"/>
      <c r="WNK4" s="258"/>
      <c r="WNL4" s="258"/>
      <c r="WNM4" s="258"/>
      <c r="WNN4" s="258"/>
      <c r="WNO4" s="258"/>
      <c r="WNP4" s="258"/>
      <c r="WNQ4" s="258"/>
      <c r="WNR4" s="258"/>
      <c r="WNS4" s="258"/>
      <c r="WNT4" s="258"/>
      <c r="WNU4" s="258"/>
      <c r="WNV4" s="258"/>
      <c r="WNW4" s="258"/>
      <c r="WNX4" s="258"/>
      <c r="WNY4" s="258"/>
      <c r="WNZ4" s="258"/>
      <c r="WOA4" s="258"/>
      <c r="WOB4" s="258"/>
      <c r="WOC4" s="258"/>
      <c r="WOD4" s="258"/>
      <c r="WOE4" s="258"/>
      <c r="WOF4" s="258"/>
      <c r="WOG4" s="258"/>
      <c r="WOH4" s="258"/>
      <c r="WOI4" s="258"/>
      <c r="WOJ4" s="258"/>
      <c r="WOK4" s="258"/>
      <c r="WOL4" s="258"/>
      <c r="WOM4" s="258"/>
      <c r="WON4" s="258"/>
      <c r="WOO4" s="258"/>
      <c r="WOP4" s="258"/>
      <c r="WOQ4" s="258"/>
      <c r="WOR4" s="258"/>
      <c r="WOS4" s="258"/>
      <c r="WOT4" s="258"/>
      <c r="WOU4" s="258"/>
      <c r="WOV4" s="258"/>
      <c r="WOW4" s="258"/>
      <c r="WOX4" s="258"/>
      <c r="WOY4" s="258"/>
      <c r="WOZ4" s="258"/>
      <c r="WPA4" s="258"/>
      <c r="WPB4" s="258"/>
      <c r="WPC4" s="258"/>
      <c r="WPD4" s="258"/>
      <c r="WPE4" s="258"/>
      <c r="WPF4" s="258"/>
      <c r="WPG4" s="258"/>
      <c r="WPH4" s="258"/>
      <c r="WPI4" s="258"/>
      <c r="WPJ4" s="258"/>
      <c r="WPK4" s="258"/>
      <c r="WPL4" s="258"/>
      <c r="WPM4" s="258"/>
      <c r="WPN4" s="258"/>
      <c r="WPO4" s="258"/>
      <c r="WPP4" s="258"/>
      <c r="WPQ4" s="258"/>
      <c r="WPR4" s="258"/>
      <c r="WPS4" s="258"/>
      <c r="WPT4" s="258"/>
      <c r="WPU4" s="258"/>
      <c r="WPV4" s="258"/>
      <c r="WPW4" s="258"/>
      <c r="WPX4" s="258"/>
      <c r="WPY4" s="258"/>
      <c r="WPZ4" s="258"/>
      <c r="WQA4" s="258"/>
      <c r="WQB4" s="258"/>
      <c r="WQC4" s="258"/>
      <c r="WQD4" s="258"/>
      <c r="WQE4" s="258"/>
      <c r="WQF4" s="258"/>
      <c r="WQG4" s="258"/>
      <c r="WQH4" s="258"/>
      <c r="WQI4" s="258"/>
      <c r="WQJ4" s="258"/>
      <c r="WQK4" s="258"/>
      <c r="WQL4" s="258"/>
      <c r="WQM4" s="258"/>
      <c r="WQN4" s="258"/>
      <c r="WQO4" s="258"/>
      <c r="WQP4" s="258"/>
      <c r="WQQ4" s="258"/>
      <c r="WQR4" s="258"/>
      <c r="WQS4" s="258"/>
      <c r="WQT4" s="258"/>
      <c r="WQU4" s="258"/>
      <c r="WQV4" s="258"/>
      <c r="WQW4" s="258"/>
      <c r="WQX4" s="258"/>
      <c r="WQY4" s="258"/>
      <c r="WQZ4" s="258"/>
      <c r="WRA4" s="258"/>
      <c r="WRB4" s="258"/>
      <c r="WRC4" s="258"/>
      <c r="WRD4" s="258"/>
      <c r="WRE4" s="258"/>
      <c r="WRF4" s="258"/>
      <c r="WRG4" s="258"/>
      <c r="WRH4" s="258"/>
      <c r="WRI4" s="258"/>
      <c r="WRJ4" s="258"/>
      <c r="WRK4" s="258"/>
      <c r="WRL4" s="258"/>
      <c r="WRM4" s="258"/>
      <c r="WRN4" s="258"/>
      <c r="WRO4" s="258"/>
      <c r="WRP4" s="258"/>
      <c r="WRQ4" s="258"/>
      <c r="WRR4" s="258"/>
      <c r="WRS4" s="258"/>
      <c r="WRT4" s="258"/>
      <c r="WRU4" s="258"/>
      <c r="WRV4" s="258"/>
      <c r="WRW4" s="258"/>
      <c r="WRX4" s="258"/>
      <c r="WRY4" s="258"/>
      <c r="WRZ4" s="258"/>
      <c r="WSA4" s="258"/>
      <c r="WSB4" s="258"/>
      <c r="WSC4" s="258"/>
      <c r="WSD4" s="258"/>
      <c r="WSE4" s="258"/>
      <c r="WSF4" s="258"/>
      <c r="WSG4" s="258"/>
      <c r="WSH4" s="258"/>
      <c r="WSI4" s="258"/>
      <c r="WSJ4" s="258"/>
      <c r="WSK4" s="258"/>
      <c r="WSL4" s="258"/>
      <c r="WSM4" s="258"/>
      <c r="WSN4" s="258"/>
      <c r="WSO4" s="258"/>
      <c r="WSP4" s="258"/>
      <c r="WSQ4" s="258"/>
      <c r="WSR4" s="258"/>
      <c r="WSS4" s="258"/>
      <c r="WST4" s="258"/>
      <c r="WSU4" s="258"/>
      <c r="WSV4" s="258"/>
      <c r="WSW4" s="258"/>
      <c r="WSX4" s="258"/>
      <c r="WSY4" s="258"/>
      <c r="WSZ4" s="258"/>
      <c r="WTA4" s="258"/>
      <c r="WTB4" s="258"/>
      <c r="WTC4" s="258"/>
      <c r="WTD4" s="258"/>
      <c r="WTE4" s="258"/>
      <c r="WTF4" s="258"/>
      <c r="WTG4" s="258"/>
      <c r="WTH4" s="258"/>
      <c r="WTI4" s="258"/>
      <c r="WTJ4" s="258"/>
      <c r="WTK4" s="258"/>
      <c r="WTL4" s="258"/>
      <c r="WTM4" s="258"/>
      <c r="WTN4" s="258"/>
      <c r="WTO4" s="258"/>
      <c r="WTP4" s="258"/>
      <c r="WTQ4" s="258"/>
      <c r="WTR4" s="258"/>
      <c r="WTS4" s="258"/>
      <c r="WTT4" s="258"/>
      <c r="WTU4" s="258"/>
      <c r="WTV4" s="258"/>
      <c r="WTW4" s="258"/>
      <c r="WTX4" s="258"/>
      <c r="WTY4" s="258"/>
      <c r="WTZ4" s="258"/>
      <c r="WUA4" s="258"/>
      <c r="WUB4" s="258"/>
      <c r="WUC4" s="258"/>
      <c r="WUD4" s="258"/>
      <c r="WUE4" s="258"/>
      <c r="WUF4" s="258"/>
      <c r="WUG4" s="258"/>
      <c r="WUH4" s="258"/>
      <c r="WUI4" s="258"/>
      <c r="WUJ4" s="258"/>
      <c r="WUK4" s="258"/>
      <c r="WUL4" s="258"/>
      <c r="WUM4" s="258"/>
      <c r="WUN4" s="258"/>
      <c r="WUO4" s="258"/>
      <c r="WUP4" s="258"/>
      <c r="WUQ4" s="258"/>
      <c r="WUR4" s="258"/>
      <c r="WUS4" s="258"/>
      <c r="WUT4" s="258"/>
      <c r="WUU4" s="258"/>
      <c r="WUV4" s="258"/>
      <c r="WUW4" s="258"/>
      <c r="WUX4" s="258"/>
      <c r="WUY4" s="258"/>
      <c r="WUZ4" s="258"/>
      <c r="WVA4" s="258"/>
      <c r="WVB4" s="258"/>
      <c r="WVC4" s="258"/>
      <c r="WVD4" s="258"/>
      <c r="WVE4" s="258"/>
      <c r="WVF4" s="258"/>
      <c r="WVG4" s="258"/>
      <c r="WVH4" s="258"/>
      <c r="WVI4" s="258"/>
      <c r="WVJ4" s="258"/>
      <c r="WVK4" s="258"/>
      <c r="WVL4" s="258"/>
      <c r="WVM4" s="258"/>
      <c r="WVN4" s="258"/>
      <c r="WVO4" s="258"/>
      <c r="WVP4" s="258"/>
      <c r="WVQ4" s="258"/>
      <c r="WVR4" s="258"/>
      <c r="WVS4" s="258"/>
      <c r="WVT4" s="258"/>
      <c r="WVU4" s="258"/>
      <c r="WVV4" s="258"/>
      <c r="WVW4" s="258"/>
      <c r="WVX4" s="258"/>
      <c r="WVY4" s="258"/>
      <c r="WVZ4" s="258"/>
      <c r="WWA4" s="258"/>
      <c r="WWB4" s="258"/>
      <c r="WWC4" s="258"/>
      <c r="WWD4" s="258"/>
      <c r="WWE4" s="258"/>
      <c r="WWF4" s="258"/>
      <c r="WWG4" s="258"/>
      <c r="WWH4" s="258"/>
      <c r="WWI4" s="258"/>
      <c r="WWJ4" s="258"/>
      <c r="WWK4" s="258"/>
      <c r="WWL4" s="258"/>
      <c r="WWM4" s="258"/>
      <c r="WWN4" s="258"/>
      <c r="WWO4" s="258"/>
      <c r="WWP4" s="258"/>
      <c r="WWQ4" s="258"/>
      <c r="WWR4" s="258"/>
      <c r="WWS4" s="258"/>
      <c r="WWT4" s="258"/>
      <c r="WWU4" s="258"/>
      <c r="WWV4" s="258"/>
      <c r="WWW4" s="258"/>
      <c r="WWX4" s="258"/>
      <c r="WWY4" s="258"/>
      <c r="WWZ4" s="258"/>
      <c r="WXA4" s="258"/>
      <c r="WXB4" s="258"/>
      <c r="WXC4" s="258"/>
      <c r="WXD4" s="258"/>
      <c r="WXE4" s="258"/>
      <c r="WXF4" s="258"/>
      <c r="WXG4" s="258"/>
      <c r="WXH4" s="258"/>
      <c r="WXI4" s="258"/>
      <c r="WXJ4" s="258"/>
      <c r="WXK4" s="258"/>
      <c r="WXL4" s="258"/>
      <c r="WXM4" s="258"/>
      <c r="WXN4" s="258"/>
      <c r="WXO4" s="258"/>
      <c r="WXP4" s="258"/>
      <c r="WXQ4" s="258"/>
      <c r="WXR4" s="258"/>
      <c r="WXS4" s="258"/>
      <c r="WXT4" s="258"/>
      <c r="WXU4" s="258"/>
      <c r="WXV4" s="258"/>
      <c r="WXW4" s="258"/>
      <c r="WXX4" s="258"/>
      <c r="WXY4" s="258"/>
      <c r="WXZ4" s="258"/>
      <c r="WYA4" s="258"/>
      <c r="WYB4" s="258"/>
      <c r="WYC4" s="258"/>
      <c r="WYD4" s="258"/>
      <c r="WYE4" s="258"/>
      <c r="WYF4" s="258"/>
      <c r="WYG4" s="258"/>
      <c r="WYH4" s="258"/>
      <c r="WYI4" s="258"/>
      <c r="WYJ4" s="258"/>
      <c r="WYK4" s="258"/>
      <c r="WYL4" s="258"/>
      <c r="WYM4" s="258"/>
      <c r="WYN4" s="258"/>
      <c r="WYO4" s="258"/>
      <c r="WYP4" s="258"/>
      <c r="WYQ4" s="258"/>
      <c r="WYR4" s="258"/>
      <c r="WYS4" s="258"/>
      <c r="WYT4" s="258"/>
      <c r="WYU4" s="258"/>
      <c r="WYV4" s="258"/>
      <c r="WYW4" s="258"/>
      <c r="WYX4" s="258"/>
      <c r="WYY4" s="258"/>
      <c r="WYZ4" s="258"/>
      <c r="WZA4" s="258"/>
      <c r="WZB4" s="258"/>
      <c r="WZC4" s="258"/>
      <c r="WZD4" s="258"/>
      <c r="WZE4" s="258"/>
      <c r="WZF4" s="258"/>
      <c r="WZG4" s="258"/>
      <c r="WZH4" s="258"/>
      <c r="WZI4" s="258"/>
      <c r="WZJ4" s="258"/>
      <c r="WZK4" s="258"/>
      <c r="WZL4" s="258"/>
      <c r="WZM4" s="258"/>
      <c r="WZN4" s="258"/>
      <c r="WZO4" s="258"/>
      <c r="WZP4" s="258"/>
      <c r="WZQ4" s="258"/>
      <c r="WZR4" s="258"/>
      <c r="WZS4" s="258"/>
      <c r="WZT4" s="258"/>
      <c r="WZU4" s="258"/>
      <c r="WZV4" s="258"/>
      <c r="WZW4" s="258"/>
      <c r="WZX4" s="258"/>
      <c r="WZY4" s="258"/>
      <c r="WZZ4" s="258"/>
      <c r="XAA4" s="258"/>
      <c r="XAB4" s="258"/>
      <c r="XAC4" s="258"/>
      <c r="XAD4" s="258"/>
      <c r="XAE4" s="258"/>
      <c r="XAF4" s="258"/>
      <c r="XAG4" s="258"/>
      <c r="XAH4" s="258"/>
      <c r="XAI4" s="258"/>
      <c r="XAJ4" s="258"/>
      <c r="XAK4" s="258"/>
      <c r="XAL4" s="258"/>
      <c r="XAM4" s="258"/>
      <c r="XAN4" s="258"/>
      <c r="XAO4" s="258"/>
      <c r="XAP4" s="258"/>
      <c r="XAQ4" s="258"/>
      <c r="XAR4" s="258"/>
      <c r="XAS4" s="258"/>
      <c r="XAT4" s="258"/>
      <c r="XAU4" s="258"/>
      <c r="XAV4" s="258"/>
      <c r="XAW4" s="258"/>
      <c r="XAX4" s="258"/>
      <c r="XAY4" s="258"/>
      <c r="XAZ4" s="258"/>
      <c r="XBA4" s="258"/>
      <c r="XBB4" s="258"/>
      <c r="XBC4" s="258"/>
      <c r="XBD4" s="258"/>
      <c r="XBE4" s="258"/>
      <c r="XBF4" s="258"/>
      <c r="XBG4" s="258"/>
      <c r="XBH4" s="258"/>
      <c r="XBI4" s="258"/>
      <c r="XBJ4" s="258"/>
      <c r="XBK4" s="258"/>
      <c r="XBL4" s="258"/>
      <c r="XBM4" s="258"/>
      <c r="XBN4" s="258"/>
      <c r="XBO4" s="258"/>
      <c r="XBP4" s="258"/>
      <c r="XBQ4" s="258"/>
      <c r="XBR4" s="258"/>
      <c r="XBS4" s="258"/>
      <c r="XBT4" s="258"/>
      <c r="XBU4" s="258"/>
      <c r="XBV4" s="258"/>
      <c r="XBW4" s="258"/>
      <c r="XBX4" s="258"/>
      <c r="XBY4" s="258"/>
      <c r="XBZ4" s="258"/>
      <c r="XCA4" s="258"/>
      <c r="XCB4" s="258"/>
      <c r="XCC4" s="258"/>
      <c r="XCD4" s="258"/>
      <c r="XCE4" s="258"/>
      <c r="XCF4" s="258"/>
      <c r="XCG4" s="258"/>
      <c r="XCH4" s="258"/>
      <c r="XCI4" s="258"/>
      <c r="XCJ4" s="258"/>
      <c r="XCK4" s="258"/>
      <c r="XCL4" s="258"/>
      <c r="XCM4" s="258"/>
      <c r="XCN4" s="258"/>
      <c r="XCO4" s="258"/>
      <c r="XCP4" s="258"/>
      <c r="XCQ4" s="258"/>
      <c r="XCR4" s="258"/>
      <c r="XCS4" s="258"/>
      <c r="XCT4" s="258"/>
      <c r="XCU4" s="258"/>
      <c r="XCV4" s="258"/>
      <c r="XCW4" s="258"/>
      <c r="XCX4" s="258"/>
      <c r="XCY4" s="258"/>
      <c r="XCZ4" s="258"/>
      <c r="XDA4" s="258"/>
      <c r="XDB4" s="258"/>
      <c r="XDC4" s="258"/>
      <c r="XDD4" s="258"/>
      <c r="XDE4" s="258"/>
      <c r="XDF4" s="258"/>
      <c r="XDG4" s="258"/>
      <c r="XDH4" s="258"/>
      <c r="XDI4" s="258"/>
      <c r="XDJ4" s="258"/>
      <c r="XDK4" s="258"/>
      <c r="XDL4" s="258"/>
      <c r="XDM4" s="258"/>
      <c r="XDN4" s="258"/>
      <c r="XDO4" s="258"/>
      <c r="XDP4" s="258"/>
      <c r="XDQ4" s="258"/>
      <c r="XDR4" s="258"/>
      <c r="XDS4" s="258"/>
      <c r="XDT4" s="258"/>
      <c r="XDU4" s="258"/>
      <c r="XDV4" s="258"/>
      <c r="XDW4" s="258"/>
      <c r="XDX4" s="258"/>
      <c r="XDY4" s="258"/>
      <c r="XDZ4" s="258"/>
      <c r="XEA4" s="258"/>
      <c r="XEB4" s="258"/>
      <c r="XEC4" s="258"/>
      <c r="XED4" s="258"/>
      <c r="XEE4" s="258"/>
      <c r="XEF4" s="258"/>
      <c r="XEG4" s="258"/>
      <c r="XEH4" s="258"/>
      <c r="XEI4" s="258"/>
      <c r="XEJ4" s="258"/>
      <c r="XEK4" s="258"/>
      <c r="XEL4" s="258"/>
      <c r="XEM4" s="258"/>
      <c r="XEN4" s="258"/>
      <c r="XEO4" s="258"/>
      <c r="XEP4" s="258"/>
      <c r="XEQ4" s="258"/>
      <c r="XER4" s="258"/>
      <c r="XES4" s="258"/>
      <c r="XET4" s="258"/>
      <c r="XEU4" s="258"/>
      <c r="XEV4" s="258"/>
      <c r="XEW4" s="258"/>
      <c r="XEX4" s="258"/>
      <c r="XEY4" s="258"/>
      <c r="XEZ4" s="258"/>
      <c r="XFA4" s="258"/>
      <c r="XFB4" s="258"/>
      <c r="XFC4" s="258"/>
      <c r="XFD4" s="258"/>
    </row>
    <row r="5" spans="1:16384">
      <c r="B5" s="258"/>
    </row>
    <row r="6" spans="1:16384" s="328" customFormat="1" ht="12.75">
      <c r="B6" s="329" t="s">
        <v>907</v>
      </c>
      <c r="C6" s="329"/>
      <c r="D6" s="329"/>
      <c r="F6" s="329"/>
      <c r="G6" s="329"/>
      <c r="H6" s="329"/>
    </row>
    <row r="7" spans="1:16384" s="316" customFormat="1" ht="14.25">
      <c r="A7" s="314"/>
      <c r="B7" s="315"/>
      <c r="C7" s="315"/>
      <c r="D7" s="315"/>
      <c r="F7" s="327"/>
      <c r="G7" s="314"/>
      <c r="H7" s="314"/>
      <c r="I7" s="314"/>
      <c r="J7" s="314"/>
      <c r="K7" s="314"/>
      <c r="L7" s="314"/>
      <c r="M7" s="314"/>
      <c r="N7" s="314"/>
    </row>
    <row r="8" spans="1:16384" s="316" customFormat="1" ht="14.25">
      <c r="A8" s="314"/>
      <c r="B8" s="330" t="s">
        <v>908</v>
      </c>
      <c r="C8" s="330"/>
      <c r="D8" s="330"/>
      <c r="F8" s="327"/>
      <c r="G8" s="314"/>
      <c r="H8" s="314"/>
      <c r="I8" s="314"/>
      <c r="J8" s="314"/>
      <c r="K8" s="314"/>
      <c r="L8" s="314"/>
      <c r="M8" s="314"/>
      <c r="N8" s="314"/>
    </row>
    <row r="9" spans="1:16384" s="316" customFormat="1" ht="14.25">
      <c r="A9" s="314"/>
      <c r="B9" s="315" t="s">
        <v>850</v>
      </c>
      <c r="C9" s="315"/>
      <c r="D9" s="314" t="s">
        <v>183</v>
      </c>
      <c r="F9" s="331"/>
      <c r="G9" s="373">
        <f>'Data dubieuze debiteuren'!G20</f>
        <v>0</v>
      </c>
      <c r="H9" s="373">
        <f>'Data dubieuze debiteuren'!H20</f>
        <v>0</v>
      </c>
      <c r="I9" s="373">
        <f>'Data dubieuze debiteuren'!I20</f>
        <v>0</v>
      </c>
      <c r="J9" s="373">
        <f>'Data dubieuze debiteuren'!J20</f>
        <v>0</v>
      </c>
      <c r="K9" s="373">
        <f>'Data dubieuze debiteuren'!K20</f>
        <v>0</v>
      </c>
      <c r="L9" s="373">
        <f>'Data dubieuze debiteuren'!L20</f>
        <v>0</v>
      </c>
      <c r="M9" s="373">
        <f>'Data dubieuze debiteuren'!M20</f>
        <v>0</v>
      </c>
      <c r="N9" s="373">
        <f>'Data dubieuze debiteuren'!N20</f>
        <v>0</v>
      </c>
    </row>
    <row r="10" spans="1:16384" s="316" customFormat="1" ht="14.25">
      <c r="A10" s="314"/>
      <c r="B10" s="315" t="s">
        <v>851</v>
      </c>
      <c r="C10" s="315"/>
      <c r="D10" s="314" t="s">
        <v>184</v>
      </c>
      <c r="F10" s="331"/>
      <c r="G10" s="373">
        <f>'Data dubieuze debiteuren'!G21</f>
        <v>0</v>
      </c>
      <c r="H10" s="373">
        <f>'Data dubieuze debiteuren'!H21</f>
        <v>0</v>
      </c>
      <c r="I10" s="373">
        <f>'Data dubieuze debiteuren'!I21</f>
        <v>0</v>
      </c>
      <c r="J10" s="373">
        <f>'Data dubieuze debiteuren'!J21</f>
        <v>0</v>
      </c>
      <c r="K10" s="373">
        <f>'Data dubieuze debiteuren'!K21</f>
        <v>0</v>
      </c>
      <c r="L10" s="373">
        <f>'Data dubieuze debiteuren'!L21</f>
        <v>0</v>
      </c>
      <c r="M10" s="373">
        <f>'Data dubieuze debiteuren'!M21</f>
        <v>0</v>
      </c>
      <c r="N10" s="373">
        <f>'Data dubieuze debiteuren'!N21</f>
        <v>0</v>
      </c>
    </row>
    <row r="11" spans="1:16384" s="316" customFormat="1" ht="14.25">
      <c r="A11" s="314"/>
      <c r="B11" s="315" t="s">
        <v>852</v>
      </c>
      <c r="C11" s="315"/>
      <c r="D11" s="314" t="s">
        <v>185</v>
      </c>
      <c r="F11" s="331"/>
      <c r="G11" s="373">
        <f>'Data dubieuze debiteuren'!G22</f>
        <v>0</v>
      </c>
      <c r="H11" s="373">
        <f>'Data dubieuze debiteuren'!H22</f>
        <v>0</v>
      </c>
      <c r="I11" s="373">
        <f>'Data dubieuze debiteuren'!I22</f>
        <v>0</v>
      </c>
      <c r="J11" s="373">
        <f>'Data dubieuze debiteuren'!J22</f>
        <v>3647899</v>
      </c>
      <c r="K11" s="373">
        <f>'Data dubieuze debiteuren'!K22</f>
        <v>0</v>
      </c>
      <c r="L11" s="373">
        <f>'Data dubieuze debiteuren'!L22</f>
        <v>0</v>
      </c>
      <c r="M11" s="373">
        <f>'Data dubieuze debiteuren'!M22</f>
        <v>0</v>
      </c>
      <c r="N11" s="373">
        <f>'Data dubieuze debiteuren'!N22</f>
        <v>0</v>
      </c>
    </row>
    <row r="12" spans="1:16384" s="316" customFormat="1" ht="14.25">
      <c r="A12" s="314"/>
      <c r="B12" s="334"/>
      <c r="C12" s="315"/>
      <c r="D12" s="315"/>
      <c r="F12" s="327"/>
      <c r="G12" s="335"/>
      <c r="H12" s="335"/>
      <c r="I12" s="335"/>
      <c r="J12" s="335"/>
      <c r="K12" s="335"/>
      <c r="L12" s="335"/>
      <c r="M12" s="335"/>
      <c r="N12" s="335"/>
    </row>
    <row r="13" spans="1:16384" s="316" customFormat="1" ht="14.25">
      <c r="A13" s="314"/>
      <c r="B13" s="330" t="s">
        <v>909</v>
      </c>
      <c r="C13" s="315"/>
      <c r="D13" s="315"/>
      <c r="F13" s="327"/>
      <c r="G13" s="314"/>
      <c r="H13" s="314"/>
      <c r="I13" s="314"/>
      <c r="J13" s="314"/>
      <c r="K13" s="314"/>
      <c r="L13" s="314"/>
      <c r="M13" s="314"/>
      <c r="N13" s="314"/>
    </row>
    <row r="14" spans="1:16384" s="316" customFormat="1" ht="14.25">
      <c r="A14" s="314"/>
      <c r="B14" s="315" t="s">
        <v>850</v>
      </c>
      <c r="C14" s="315"/>
      <c r="D14" s="314" t="s">
        <v>183</v>
      </c>
      <c r="F14" s="331"/>
      <c r="G14" s="373">
        <f>'Data dubieuze debiteuren'!G31</f>
        <v>0</v>
      </c>
      <c r="H14" s="373">
        <f>'Data dubieuze debiteuren'!H31</f>
        <v>0</v>
      </c>
      <c r="I14" s="373">
        <f>'Data dubieuze debiteuren'!I31</f>
        <v>423000</v>
      </c>
      <c r="J14" s="373">
        <f>'Data dubieuze debiteuren'!J31</f>
        <v>0</v>
      </c>
      <c r="K14" s="373">
        <f>'Data dubieuze debiteuren'!K31</f>
        <v>66000</v>
      </c>
      <c r="L14" s="373">
        <f>'Data dubieuze debiteuren'!L31</f>
        <v>0</v>
      </c>
      <c r="M14" s="373">
        <f>'Data dubieuze debiteuren'!M31</f>
        <v>0</v>
      </c>
      <c r="N14" s="373">
        <f>'Data dubieuze debiteuren'!N31</f>
        <v>0</v>
      </c>
    </row>
    <row r="15" spans="1:16384" s="316" customFormat="1" ht="14.25">
      <c r="A15" s="314"/>
      <c r="B15" s="315" t="s">
        <v>851</v>
      </c>
      <c r="C15" s="315"/>
      <c r="D15" s="314" t="s">
        <v>184</v>
      </c>
      <c r="F15" s="331"/>
      <c r="G15" s="373">
        <f>'Data dubieuze debiteuren'!G32</f>
        <v>0</v>
      </c>
      <c r="H15" s="373">
        <f>'Data dubieuze debiteuren'!H32</f>
        <v>0</v>
      </c>
      <c r="I15" s="373">
        <f>'Data dubieuze debiteuren'!I32</f>
        <v>459000</v>
      </c>
      <c r="J15" s="373">
        <f>'Data dubieuze debiteuren'!J32</f>
        <v>1138000</v>
      </c>
      <c r="K15" s="373">
        <f>'Data dubieuze debiteuren'!K32</f>
        <v>0</v>
      </c>
      <c r="L15" s="373">
        <f>'Data dubieuze debiteuren'!L32</f>
        <v>0</v>
      </c>
      <c r="M15" s="373">
        <f>'Data dubieuze debiteuren'!M32</f>
        <v>0</v>
      </c>
      <c r="N15" s="373">
        <f>'Data dubieuze debiteuren'!N32</f>
        <v>0</v>
      </c>
    </row>
    <row r="16" spans="1:16384" s="316" customFormat="1" ht="14.25">
      <c r="A16" s="314"/>
      <c r="B16" s="315" t="s">
        <v>852</v>
      </c>
      <c r="C16" s="315"/>
      <c r="D16" s="314" t="s">
        <v>185</v>
      </c>
      <c r="F16" s="331"/>
      <c r="G16" s="373">
        <f>'Data dubieuze debiteuren'!G33</f>
        <v>0</v>
      </c>
      <c r="H16" s="373">
        <f>'Data dubieuze debiteuren'!H33</f>
        <v>0</v>
      </c>
      <c r="I16" s="373">
        <f>'Data dubieuze debiteuren'!I33</f>
        <v>494000</v>
      </c>
      <c r="J16" s="373">
        <f>'Data dubieuze debiteuren'!J33</f>
        <v>0</v>
      </c>
      <c r="K16" s="373">
        <f>'Data dubieuze debiteuren'!K33</f>
        <v>0</v>
      </c>
      <c r="L16" s="373">
        <f>'Data dubieuze debiteuren'!L33</f>
        <v>0</v>
      </c>
      <c r="M16" s="373">
        <f>'Data dubieuze debiteuren'!M33</f>
        <v>0</v>
      </c>
      <c r="N16" s="373">
        <f>'Data dubieuze debiteuren'!N33</f>
        <v>0</v>
      </c>
    </row>
    <row r="17" spans="1:14" s="316" customFormat="1" ht="14.25">
      <c r="A17" s="314"/>
      <c r="B17" s="334"/>
      <c r="C17" s="315"/>
      <c r="D17" s="315"/>
      <c r="F17" s="327"/>
      <c r="G17" s="335"/>
      <c r="H17" s="335"/>
      <c r="I17" s="335"/>
      <c r="J17" s="335"/>
      <c r="K17" s="335"/>
      <c r="L17" s="335"/>
      <c r="M17" s="335"/>
      <c r="N17" s="335"/>
    </row>
    <row r="18" spans="1:14" s="316" customFormat="1" ht="14.25">
      <c r="A18" s="314"/>
      <c r="B18" s="330" t="s">
        <v>910</v>
      </c>
      <c r="C18" s="315"/>
      <c r="D18" s="315"/>
      <c r="F18" s="327"/>
      <c r="G18" s="314"/>
      <c r="H18" s="314"/>
      <c r="I18" s="314"/>
      <c r="J18" s="314"/>
      <c r="K18" s="314"/>
      <c r="L18" s="314"/>
      <c r="M18" s="314"/>
      <c r="N18" s="314"/>
    </row>
    <row r="19" spans="1:14" s="316" customFormat="1" ht="14.25">
      <c r="A19" s="314"/>
      <c r="B19" s="315" t="s">
        <v>850</v>
      </c>
      <c r="C19" s="315"/>
      <c r="D19" s="314" t="s">
        <v>183</v>
      </c>
      <c r="F19" s="331"/>
      <c r="G19" s="373">
        <f>'Data dubieuze debiteuren'!G42</f>
        <v>0</v>
      </c>
      <c r="H19" s="373">
        <f>'Data dubieuze debiteuren'!H42</f>
        <v>0</v>
      </c>
      <c r="I19" s="373">
        <f>'Data dubieuze debiteuren'!I42</f>
        <v>0</v>
      </c>
      <c r="J19" s="373">
        <f>'Data dubieuze debiteuren'!J42</f>
        <v>0</v>
      </c>
      <c r="K19" s="373">
        <f>'Data dubieuze debiteuren'!K42</f>
        <v>0</v>
      </c>
      <c r="L19" s="373">
        <f>'Data dubieuze debiteuren'!L42</f>
        <v>0</v>
      </c>
      <c r="M19" s="373">
        <f>'Data dubieuze debiteuren'!M42</f>
        <v>0</v>
      </c>
      <c r="N19" s="373">
        <f>'Data dubieuze debiteuren'!N42</f>
        <v>0</v>
      </c>
    </row>
    <row r="20" spans="1:14" s="316" customFormat="1" ht="14.25">
      <c r="A20" s="314"/>
      <c r="B20" s="315" t="s">
        <v>851</v>
      </c>
      <c r="C20" s="315"/>
      <c r="D20" s="314" t="s">
        <v>184</v>
      </c>
      <c r="F20" s="331"/>
      <c r="G20" s="373">
        <f>'Data dubieuze debiteuren'!G43</f>
        <v>0</v>
      </c>
      <c r="H20" s="373">
        <f>'Data dubieuze debiteuren'!H43</f>
        <v>0</v>
      </c>
      <c r="I20" s="373">
        <f>'Data dubieuze debiteuren'!I43</f>
        <v>0</v>
      </c>
      <c r="J20" s="373">
        <f>'Data dubieuze debiteuren'!J43</f>
        <v>0</v>
      </c>
      <c r="K20" s="373">
        <f>'Data dubieuze debiteuren'!K43</f>
        <v>0</v>
      </c>
      <c r="L20" s="373">
        <f>'Data dubieuze debiteuren'!L43</f>
        <v>0</v>
      </c>
      <c r="M20" s="373">
        <f>'Data dubieuze debiteuren'!M43</f>
        <v>0</v>
      </c>
      <c r="N20" s="373">
        <f>'Data dubieuze debiteuren'!N43</f>
        <v>103000</v>
      </c>
    </row>
    <row r="21" spans="1:14" s="316" customFormat="1" ht="14.25">
      <c r="A21" s="314"/>
      <c r="B21" s="315" t="s">
        <v>852</v>
      </c>
      <c r="C21" s="315"/>
      <c r="D21" s="314" t="s">
        <v>185</v>
      </c>
      <c r="F21" s="331"/>
      <c r="G21" s="373">
        <f>'Data dubieuze debiteuren'!G44</f>
        <v>0</v>
      </c>
      <c r="H21" s="373">
        <f>'Data dubieuze debiteuren'!H44</f>
        <v>0</v>
      </c>
      <c r="I21" s="373">
        <f>'Data dubieuze debiteuren'!I44</f>
        <v>0</v>
      </c>
      <c r="J21" s="373">
        <f>'Data dubieuze debiteuren'!J44</f>
        <v>0</v>
      </c>
      <c r="K21" s="373">
        <f>'Data dubieuze debiteuren'!K44</f>
        <v>0</v>
      </c>
      <c r="L21" s="373">
        <f>'Data dubieuze debiteuren'!L44</f>
        <v>0</v>
      </c>
      <c r="M21" s="373">
        <f>'Data dubieuze debiteuren'!M44</f>
        <v>0</v>
      </c>
      <c r="N21" s="373">
        <f>'Data dubieuze debiteuren'!N44</f>
        <v>0</v>
      </c>
    </row>
    <row r="22" spans="1:14" s="316" customFormat="1" ht="14.25">
      <c r="A22" s="314"/>
      <c r="B22" s="334"/>
      <c r="C22" s="315"/>
      <c r="D22" s="315"/>
      <c r="F22" s="327"/>
      <c r="G22" s="336"/>
      <c r="H22" s="336"/>
      <c r="I22" s="336"/>
      <c r="J22" s="336"/>
      <c r="K22" s="336"/>
      <c r="L22" s="336"/>
      <c r="M22" s="336"/>
      <c r="N22" s="335"/>
    </row>
    <row r="23" spans="1:14" s="316" customFormat="1" ht="14.25">
      <c r="A23" s="314"/>
      <c r="B23" s="330" t="s">
        <v>911</v>
      </c>
      <c r="C23" s="315"/>
      <c r="D23" s="315"/>
      <c r="F23" s="327"/>
      <c r="G23" s="314"/>
      <c r="H23" s="314"/>
      <c r="I23" s="314"/>
      <c r="J23" s="314"/>
      <c r="K23" s="314"/>
      <c r="L23" s="314"/>
      <c r="M23" s="314"/>
      <c r="N23" s="314"/>
    </row>
    <row r="24" spans="1:14" s="316" customFormat="1" ht="14.25">
      <c r="A24" s="314"/>
      <c r="B24" s="315" t="s">
        <v>912</v>
      </c>
      <c r="C24" s="315"/>
      <c r="D24" s="314" t="s">
        <v>183</v>
      </c>
      <c r="F24" s="331"/>
      <c r="G24" s="373">
        <f>'Data dubieuze debiteuren'!G53</f>
        <v>119000</v>
      </c>
      <c r="H24" s="373">
        <f>'Data dubieuze debiteuren'!H53</f>
        <v>130000</v>
      </c>
      <c r="I24" s="373">
        <f>'Data dubieuze debiteuren'!I53</f>
        <v>0</v>
      </c>
      <c r="J24" s="373">
        <f>'Data dubieuze debiteuren'!J53</f>
        <v>2006000</v>
      </c>
      <c r="K24" s="373">
        <f>'Data dubieuze debiteuren'!K53</f>
        <v>4095000</v>
      </c>
      <c r="L24" s="373">
        <f>'Data dubieuze debiteuren'!L53</f>
        <v>44046</v>
      </c>
      <c r="M24" s="373">
        <f>'Data dubieuze debiteuren'!M53</f>
        <v>6592000</v>
      </c>
      <c r="N24" s="373">
        <f>'Data dubieuze debiteuren'!N53</f>
        <v>0</v>
      </c>
    </row>
    <row r="25" spans="1:14" s="316" customFormat="1" ht="14.25">
      <c r="A25" s="314"/>
      <c r="B25" s="315" t="s">
        <v>913</v>
      </c>
      <c r="C25" s="315"/>
      <c r="D25" s="314" t="s">
        <v>184</v>
      </c>
      <c r="F25" s="331"/>
      <c r="G25" s="373">
        <f>'Data dubieuze debiteuren'!G54</f>
        <v>116392</v>
      </c>
      <c r="H25" s="373">
        <f>'Data dubieuze debiteuren'!H54</f>
        <v>307300</v>
      </c>
      <c r="I25" s="373">
        <f>'Data dubieuze debiteuren'!I54</f>
        <v>0</v>
      </c>
      <c r="J25" s="373">
        <f>'Data dubieuze debiteuren'!J54</f>
        <v>0</v>
      </c>
      <c r="K25" s="373">
        <f>'Data dubieuze debiteuren'!K54</f>
        <v>3506307.5553520401</v>
      </c>
      <c r="L25" s="373">
        <f>'Data dubieuze debiteuren'!L54</f>
        <v>35346</v>
      </c>
      <c r="M25" s="373">
        <f>'Data dubieuze debiteuren'!M54</f>
        <v>5217000</v>
      </c>
      <c r="N25" s="373">
        <f>'Data dubieuze debiteuren'!N54</f>
        <v>0</v>
      </c>
    </row>
    <row r="26" spans="1:14" s="316" customFormat="1" ht="14.25">
      <c r="A26" s="314"/>
      <c r="B26" s="315" t="s">
        <v>914</v>
      </c>
      <c r="C26" s="315"/>
      <c r="D26" s="314" t="s">
        <v>185</v>
      </c>
      <c r="F26" s="331"/>
      <c r="G26" s="373">
        <f>'Data dubieuze debiteuren'!G55</f>
        <v>-9612</v>
      </c>
      <c r="H26" s="373">
        <f>'Data dubieuze debiteuren'!H55</f>
        <v>0</v>
      </c>
      <c r="I26" s="373">
        <f>'Data dubieuze debiteuren'!I55</f>
        <v>0</v>
      </c>
      <c r="J26" s="373">
        <f>'Data dubieuze debiteuren'!J55</f>
        <v>0</v>
      </c>
      <c r="K26" s="373">
        <f>'Data dubieuze debiteuren'!K55</f>
        <v>0</v>
      </c>
      <c r="L26" s="373">
        <f>'Data dubieuze debiteuren'!L55</f>
        <v>28104</v>
      </c>
      <c r="M26" s="373">
        <f>'Data dubieuze debiteuren'!M55</f>
        <v>0</v>
      </c>
      <c r="N26" s="373">
        <f>'Data dubieuze debiteuren'!N55</f>
        <v>105500</v>
      </c>
    </row>
    <row r="27" spans="1:14" s="316" customFormat="1" ht="14.25">
      <c r="A27" s="314"/>
      <c r="B27" s="334"/>
      <c r="C27" s="315"/>
      <c r="D27" s="315"/>
      <c r="F27" s="327"/>
      <c r="G27" s="336"/>
      <c r="H27" s="336"/>
      <c r="I27" s="336"/>
      <c r="J27" s="336"/>
      <c r="K27" s="336"/>
      <c r="L27" s="336"/>
      <c r="M27" s="336"/>
      <c r="N27" s="335"/>
    </row>
    <row r="28" spans="1:14" s="316" customFormat="1" ht="14.25">
      <c r="A28" s="314"/>
      <c r="B28" s="315" t="s">
        <v>915</v>
      </c>
      <c r="C28" s="315"/>
      <c r="D28" s="314" t="s">
        <v>183</v>
      </c>
      <c r="F28" s="331"/>
      <c r="G28" s="373">
        <f>'Data dubieuze debiteuren'!G60</f>
        <v>160000</v>
      </c>
      <c r="H28" s="373">
        <f>'Data dubieuze debiteuren'!H60</f>
        <v>62000</v>
      </c>
      <c r="I28" s="373">
        <f>'Data dubieuze debiteuren'!I60</f>
        <v>0</v>
      </c>
      <c r="J28" s="373">
        <f>'Data dubieuze debiteuren'!J60</f>
        <v>837000</v>
      </c>
      <c r="K28" s="373">
        <f>'Data dubieuze debiteuren'!K60</f>
        <v>1499000</v>
      </c>
      <c r="L28" s="373">
        <f>'Data dubieuze debiteuren'!L60</f>
        <v>51086.58</v>
      </c>
      <c r="M28" s="373">
        <f>'Data dubieuze debiteuren'!M60</f>
        <v>2721000</v>
      </c>
      <c r="N28" s="373">
        <f>'Data dubieuze debiteuren'!N60</f>
        <v>0</v>
      </c>
    </row>
    <row r="29" spans="1:14" s="316" customFormat="1" ht="14.25">
      <c r="A29" s="314"/>
      <c r="B29" s="315" t="s">
        <v>916</v>
      </c>
      <c r="C29" s="315"/>
      <c r="D29" s="314" t="s">
        <v>184</v>
      </c>
      <c r="F29" s="331"/>
      <c r="G29" s="373">
        <f>'Data dubieuze debiteuren'!G63</f>
        <v>143353</v>
      </c>
      <c r="H29" s="373">
        <f>'Data dubieuze debiteuren'!H63</f>
        <v>131700</v>
      </c>
      <c r="I29" s="373">
        <f>'Data dubieuze debiteuren'!I63</f>
        <v>0</v>
      </c>
      <c r="J29" s="373">
        <f>'Data dubieuze debiteuren'!J63</f>
        <v>178000</v>
      </c>
      <c r="K29" s="373">
        <f>'Data dubieuze debiteuren'!K63</f>
        <v>1213830</v>
      </c>
      <c r="L29" s="373">
        <f>'Data dubieuze debiteuren'!L63</f>
        <v>59420</v>
      </c>
      <c r="M29" s="373">
        <f>'Data dubieuze debiteuren'!M63</f>
        <v>2123000</v>
      </c>
      <c r="N29" s="373">
        <f>'Data dubieuze debiteuren'!N63</f>
        <v>0</v>
      </c>
    </row>
    <row r="30" spans="1:14" s="316" customFormat="1" ht="14.25">
      <c r="A30" s="314"/>
      <c r="B30" s="315" t="s">
        <v>917</v>
      </c>
      <c r="C30" s="315"/>
      <c r="D30" s="314" t="s">
        <v>185</v>
      </c>
      <c r="F30" s="331"/>
      <c r="G30" s="373">
        <f>'Data dubieuze debiteuren'!G66</f>
        <v>62365</v>
      </c>
      <c r="H30" s="373">
        <f>'Data dubieuze debiteuren'!H66</f>
        <v>0</v>
      </c>
      <c r="I30" s="373">
        <f>'Data dubieuze debiteuren'!I66</f>
        <v>0</v>
      </c>
      <c r="J30" s="373">
        <f>'Data dubieuze debiteuren'!J66</f>
        <v>0</v>
      </c>
      <c r="K30" s="373">
        <f>'Data dubieuze debiteuren'!K66</f>
        <v>1011023</v>
      </c>
      <c r="L30" s="373">
        <f>'Data dubieuze debiteuren'!L66</f>
        <v>38631</v>
      </c>
      <c r="M30" s="373">
        <f>'Data dubieuze debiteuren'!M66</f>
        <v>2388348</v>
      </c>
      <c r="N30" s="373">
        <f>'Data dubieuze debiteuren'!N66</f>
        <v>63300</v>
      </c>
    </row>
    <row r="31" spans="1:14" s="316" customFormat="1" ht="14.25">
      <c r="A31" s="314"/>
      <c r="B31" s="334"/>
      <c r="C31" s="315"/>
      <c r="D31" s="315"/>
      <c r="F31" s="327"/>
      <c r="G31" s="336"/>
      <c r="H31" s="336"/>
      <c r="I31" s="336"/>
      <c r="J31" s="336"/>
      <c r="K31" s="336"/>
      <c r="L31" s="336"/>
      <c r="M31" s="336"/>
      <c r="N31" s="335"/>
    </row>
    <row r="32" spans="1:14" s="316" customFormat="1" ht="14.25">
      <c r="A32" s="314"/>
      <c r="B32" s="330" t="s">
        <v>945</v>
      </c>
      <c r="C32" s="315"/>
      <c r="D32" s="315"/>
      <c r="F32" s="327"/>
      <c r="G32" s="314"/>
      <c r="H32" s="314"/>
      <c r="I32" s="314"/>
      <c r="J32" s="314"/>
      <c r="K32" s="314"/>
      <c r="L32" s="314"/>
      <c r="M32" s="314"/>
      <c r="N32" s="314"/>
    </row>
    <row r="33" spans="1:16" s="316" customFormat="1" ht="14.25">
      <c r="A33" s="314"/>
      <c r="B33" s="315" t="s">
        <v>912</v>
      </c>
      <c r="C33" s="315"/>
      <c r="D33" s="314" t="s">
        <v>183</v>
      </c>
      <c r="F33" s="331"/>
      <c r="G33" s="373">
        <f>'Data dubieuze debiteuren'!G76</f>
        <v>0</v>
      </c>
      <c r="H33" s="373">
        <f>'Data dubieuze debiteuren'!H76</f>
        <v>0</v>
      </c>
      <c r="I33" s="373">
        <f>'Data dubieuze debiteuren'!I76</f>
        <v>0</v>
      </c>
      <c r="J33" s="373">
        <f>'Data dubieuze debiteuren'!J76</f>
        <v>0</v>
      </c>
      <c r="K33" s="373">
        <f>'Data dubieuze debiteuren'!K76</f>
        <v>0</v>
      </c>
      <c r="L33" s="373">
        <f>'Data dubieuze debiteuren'!L76</f>
        <v>0</v>
      </c>
      <c r="M33" s="373">
        <f>'Data dubieuze debiteuren'!M76</f>
        <v>0</v>
      </c>
      <c r="N33" s="373">
        <f>'Data dubieuze debiteuren'!N76</f>
        <v>182858.68439422306</v>
      </c>
    </row>
    <row r="34" spans="1:16" s="316" customFormat="1" ht="14.25">
      <c r="A34" s="314"/>
      <c r="B34" s="315" t="s">
        <v>913</v>
      </c>
      <c r="C34" s="315"/>
      <c r="D34" s="314" t="s">
        <v>184</v>
      </c>
      <c r="F34" s="331"/>
      <c r="G34" s="373">
        <f>'Data dubieuze debiteuren'!G77</f>
        <v>0</v>
      </c>
      <c r="H34" s="373">
        <f>'Data dubieuze debiteuren'!H77</f>
        <v>0</v>
      </c>
      <c r="I34" s="373">
        <f>'Data dubieuze debiteuren'!I77</f>
        <v>0</v>
      </c>
      <c r="J34" s="373">
        <f>'Data dubieuze debiteuren'!J77</f>
        <v>0</v>
      </c>
      <c r="K34" s="373">
        <f>'Data dubieuze debiteuren'!K77</f>
        <v>0</v>
      </c>
      <c r="L34" s="373">
        <f>'Data dubieuze debiteuren'!L77</f>
        <v>0</v>
      </c>
      <c r="M34" s="373">
        <f>'Data dubieuze debiteuren'!M77</f>
        <v>0</v>
      </c>
      <c r="N34" s="373">
        <f>'Data dubieuze debiteuren'!N77</f>
        <v>0</v>
      </c>
    </row>
    <row r="35" spans="1:16" s="316" customFormat="1" ht="14.25">
      <c r="A35" s="314"/>
      <c r="B35" s="315" t="s">
        <v>914</v>
      </c>
      <c r="C35" s="315"/>
      <c r="D35" s="314" t="s">
        <v>185</v>
      </c>
      <c r="F35" s="331"/>
      <c r="G35" s="373">
        <f>'Data dubieuze debiteuren'!G78</f>
        <v>0</v>
      </c>
      <c r="H35" s="373">
        <f>'Data dubieuze debiteuren'!H78</f>
        <v>1000</v>
      </c>
      <c r="I35" s="373">
        <f>'Data dubieuze debiteuren'!I78</f>
        <v>0</v>
      </c>
      <c r="J35" s="373">
        <f>'Data dubieuze debiteuren'!J78</f>
        <v>0</v>
      </c>
      <c r="K35" s="373">
        <f>'Data dubieuze debiteuren'!K78</f>
        <v>1905310</v>
      </c>
      <c r="L35" s="373">
        <f>'Data dubieuze debiteuren'!L78</f>
        <v>0</v>
      </c>
      <c r="M35" s="373">
        <f>'Data dubieuze debiteuren'!M78</f>
        <v>2127868</v>
      </c>
      <c r="N35" s="373">
        <f>'Data dubieuze debiteuren'!N78</f>
        <v>0</v>
      </c>
    </row>
    <row r="36" spans="1:16" s="316" customFormat="1" ht="14.25">
      <c r="A36" s="314"/>
      <c r="B36" s="334"/>
      <c r="C36" s="315"/>
      <c r="D36" s="315"/>
      <c r="F36" s="327"/>
      <c r="G36" s="336"/>
      <c r="H36" s="336"/>
      <c r="I36" s="336"/>
      <c r="J36" s="336"/>
      <c r="K36" s="336"/>
      <c r="L36" s="336"/>
      <c r="M36" s="336"/>
      <c r="N36" s="335"/>
    </row>
    <row r="37" spans="1:16" s="316" customFormat="1" ht="14.25">
      <c r="A37" s="314"/>
      <c r="B37" s="315" t="s">
        <v>915</v>
      </c>
      <c r="C37" s="315"/>
      <c r="D37" s="314" t="s">
        <v>183</v>
      </c>
      <c r="F37" s="331"/>
      <c r="G37" s="373">
        <f>'Data dubieuze debiteuren'!G81</f>
        <v>0</v>
      </c>
      <c r="H37" s="373">
        <f>'Data dubieuze debiteuren'!H81</f>
        <v>0</v>
      </c>
      <c r="I37" s="373">
        <f>'Data dubieuze debiteuren'!I81</f>
        <v>0</v>
      </c>
      <c r="J37" s="373">
        <f>'Data dubieuze debiteuren'!J81</f>
        <v>0</v>
      </c>
      <c r="K37" s="373">
        <f>'Data dubieuze debiteuren'!K81</f>
        <v>0</v>
      </c>
      <c r="L37" s="373">
        <f>'Data dubieuze debiteuren'!L81</f>
        <v>0</v>
      </c>
      <c r="M37" s="373">
        <f>'Data dubieuze debiteuren'!M81</f>
        <v>0</v>
      </c>
      <c r="N37" s="373">
        <f>'Data dubieuze debiteuren'!N81</f>
        <v>72833.819896062705</v>
      </c>
    </row>
    <row r="38" spans="1:16" s="316" customFormat="1" ht="14.25">
      <c r="A38" s="314"/>
      <c r="B38" s="315" t="s">
        <v>916</v>
      </c>
      <c r="C38" s="315"/>
      <c r="D38" s="314" t="s">
        <v>184</v>
      </c>
      <c r="F38" s="331"/>
      <c r="G38" s="373">
        <f>'Data dubieuze debiteuren'!G82</f>
        <v>0</v>
      </c>
      <c r="H38" s="373">
        <f>'Data dubieuze debiteuren'!H82</f>
        <v>0</v>
      </c>
      <c r="I38" s="373">
        <f>'Data dubieuze debiteuren'!I82</f>
        <v>0</v>
      </c>
      <c r="J38" s="373">
        <f>'Data dubieuze debiteuren'!J82</f>
        <v>0</v>
      </c>
      <c r="K38" s="373">
        <f>'Data dubieuze debiteuren'!K82</f>
        <v>0</v>
      </c>
      <c r="L38" s="373">
        <f>'Data dubieuze debiteuren'!L82</f>
        <v>0</v>
      </c>
      <c r="M38" s="373">
        <f>'Data dubieuze debiteuren'!M82</f>
        <v>0</v>
      </c>
      <c r="N38" s="373">
        <f>'Data dubieuze debiteuren'!N82</f>
        <v>0</v>
      </c>
    </row>
    <row r="39" spans="1:16" s="316" customFormat="1" ht="14.25">
      <c r="A39" s="314"/>
      <c r="B39" s="315" t="s">
        <v>917</v>
      </c>
      <c r="C39" s="315"/>
      <c r="D39" s="314" t="s">
        <v>185</v>
      </c>
      <c r="F39" s="331"/>
      <c r="G39" s="373">
        <f>'Data dubieuze debiteuren'!G83</f>
        <v>0</v>
      </c>
      <c r="H39" s="373">
        <f>'Data dubieuze debiteuren'!H83</f>
        <v>0</v>
      </c>
      <c r="I39" s="373">
        <f>'Data dubieuze debiteuren'!I83</f>
        <v>0</v>
      </c>
      <c r="J39" s="373">
        <f>'Data dubieuze debiteuren'!J83</f>
        <v>0</v>
      </c>
      <c r="K39" s="373">
        <f>'Data dubieuze debiteuren'!K83</f>
        <v>0</v>
      </c>
      <c r="L39" s="373">
        <f>'Data dubieuze debiteuren'!L83</f>
        <v>0</v>
      </c>
      <c r="M39" s="373">
        <f>'Data dubieuze debiteuren'!M83</f>
        <v>0</v>
      </c>
      <c r="N39" s="373">
        <f>'Data dubieuze debiteuren'!N83</f>
        <v>0</v>
      </c>
    </row>
    <row r="40" spans="1:16" s="316" customFormat="1" ht="14.25">
      <c r="A40" s="314"/>
      <c r="B40" s="334"/>
      <c r="C40" s="315"/>
      <c r="D40" s="315"/>
      <c r="F40" s="327"/>
      <c r="G40" s="336"/>
      <c r="H40" s="336"/>
      <c r="I40" s="336"/>
      <c r="J40" s="336"/>
      <c r="K40" s="336"/>
      <c r="L40" s="336"/>
      <c r="M40" s="336"/>
      <c r="N40" s="335"/>
    </row>
    <row r="41" spans="1:16" s="316" customFormat="1" ht="14.25">
      <c r="A41" s="314"/>
      <c r="B41" s="346" t="s">
        <v>871</v>
      </c>
      <c r="C41" s="315"/>
      <c r="D41" s="315"/>
      <c r="F41" s="343"/>
      <c r="G41" s="344"/>
      <c r="H41" s="344"/>
      <c r="I41" s="344"/>
      <c r="J41" s="344"/>
      <c r="K41" s="344"/>
      <c r="L41" s="344"/>
      <c r="M41" s="344"/>
      <c r="N41" s="344"/>
      <c r="P41" s="345"/>
    </row>
    <row r="42" spans="1:16" s="316" customFormat="1" ht="14.25">
      <c r="A42" s="314"/>
      <c r="B42" s="324" t="s">
        <v>918</v>
      </c>
      <c r="C42" s="315"/>
      <c r="D42" s="314" t="s">
        <v>183</v>
      </c>
      <c r="F42" s="343"/>
      <c r="G42" s="373">
        <f>'Data dubieuze debiteuren'!G91</f>
        <v>0</v>
      </c>
      <c r="H42" s="373">
        <f>'Data dubieuze debiteuren'!H91</f>
        <v>0</v>
      </c>
      <c r="I42" s="373">
        <f>'Data dubieuze debiteuren'!I91</f>
        <v>28786864.449999999</v>
      </c>
      <c r="J42" s="373">
        <f>'Data dubieuze debiteuren'!J91</f>
        <v>753072242.77796042</v>
      </c>
      <c r="K42" s="373">
        <f>'Data dubieuze debiteuren'!K91</f>
        <v>766387951.72691607</v>
      </c>
      <c r="L42" s="373">
        <f>'Data dubieuze debiteuren'!L91</f>
        <v>0</v>
      </c>
      <c r="M42" s="373">
        <f>'Data dubieuze debiteuren'!M91</f>
        <v>0</v>
      </c>
      <c r="N42" s="373">
        <f>'Data dubieuze debiteuren'!N91</f>
        <v>36571736.878844611</v>
      </c>
    </row>
    <row r="43" spans="1:16" s="316" customFormat="1" ht="14.25">
      <c r="A43" s="314"/>
      <c r="B43" s="324" t="s">
        <v>919</v>
      </c>
      <c r="C43" s="315"/>
      <c r="D43" s="314" t="s">
        <v>184</v>
      </c>
      <c r="E43" s="350"/>
      <c r="F43" s="357"/>
      <c r="G43" s="373">
        <f>'Data dubieuze debiteuren'!G102</f>
        <v>0</v>
      </c>
      <c r="H43" s="373">
        <f>'Data dubieuze debiteuren'!H102</f>
        <v>0</v>
      </c>
      <c r="I43" s="373">
        <f>'Data dubieuze debiteuren'!I102</f>
        <v>30557632.167827144</v>
      </c>
      <c r="J43" s="373">
        <f>'Data dubieuze debiteuren'!J102</f>
        <v>816360765.08744276</v>
      </c>
      <c r="K43" s="373">
        <f>'Data dubieuze debiteuren'!K102</f>
        <v>0</v>
      </c>
      <c r="L43" s="373">
        <f>'Data dubieuze debiteuren'!L102</f>
        <v>0</v>
      </c>
      <c r="M43" s="373">
        <f>'Data dubieuze debiteuren'!M102</f>
        <v>0</v>
      </c>
      <c r="N43" s="373">
        <f>'Data dubieuze debiteuren'!N102</f>
        <v>40231319.584581949</v>
      </c>
      <c r="P43" s="350"/>
    </row>
    <row r="44" spans="1:16" s="316" customFormat="1" ht="14.25">
      <c r="A44" s="314"/>
      <c r="B44" s="324" t="s">
        <v>920</v>
      </c>
      <c r="C44" s="315"/>
      <c r="D44" s="314" t="s">
        <v>185</v>
      </c>
      <c r="E44" s="350"/>
      <c r="F44" s="357"/>
      <c r="G44" s="373">
        <f>'Data dubieuze debiteuren'!G113</f>
        <v>0</v>
      </c>
      <c r="H44" s="373">
        <f>'Data dubieuze debiteuren'!H113</f>
        <v>0</v>
      </c>
      <c r="I44" s="373">
        <f>'Data dubieuze debiteuren'!I113</f>
        <v>33698995.002435952</v>
      </c>
      <c r="J44" s="373">
        <f>'Data dubieuze debiteuren'!J113</f>
        <v>842673177.20785224</v>
      </c>
      <c r="K44" s="373">
        <f>'Data dubieuze debiteuren'!K113</f>
        <v>0</v>
      </c>
      <c r="L44" s="373">
        <f>'Data dubieuze debiteuren'!L113</f>
        <v>0</v>
      </c>
      <c r="M44" s="373">
        <f>'Data dubieuze debiteuren'!M113</f>
        <v>0</v>
      </c>
      <c r="N44" s="373">
        <f>'Data dubieuze debiteuren'!N113</f>
        <v>46876680.192322016</v>
      </c>
      <c r="P44" s="350"/>
    </row>
    <row r="45" spans="1:16" s="316" customFormat="1" ht="14.25">
      <c r="A45" s="314"/>
      <c r="B45" s="324"/>
      <c r="C45" s="315"/>
      <c r="D45" s="374"/>
      <c r="E45" s="350"/>
      <c r="F45" s="357"/>
      <c r="G45" s="375"/>
      <c r="H45" s="375"/>
      <c r="I45" s="375"/>
      <c r="J45" s="375"/>
      <c r="K45" s="375"/>
      <c r="L45" s="375"/>
      <c r="M45" s="375"/>
      <c r="N45" s="375"/>
      <c r="P45" s="350"/>
    </row>
    <row r="46" spans="1:16" s="316" customFormat="1" ht="14.25">
      <c r="A46" s="314"/>
      <c r="B46" s="324" t="s">
        <v>921</v>
      </c>
      <c r="C46" s="315"/>
      <c r="D46" s="314" t="s">
        <v>183</v>
      </c>
      <c r="F46" s="343"/>
      <c r="G46" s="373">
        <f>'Data dubieuze debiteuren'!G96</f>
        <v>0</v>
      </c>
      <c r="H46" s="373">
        <f>'Data dubieuze debiteuren'!H96</f>
        <v>0</v>
      </c>
      <c r="I46" s="373">
        <f>'Data dubieuze debiteuren'!I96</f>
        <v>54183593.321451686</v>
      </c>
      <c r="J46" s="373">
        <f>'Data dubieuze debiteuren'!J96</f>
        <v>264472101.83264732</v>
      </c>
      <c r="K46" s="373">
        <f>'Data dubieuze debiteuren'!K96</f>
        <v>296197719.36315197</v>
      </c>
      <c r="L46" s="373">
        <f>'Data dubieuze debiteuren'!L96</f>
        <v>0</v>
      </c>
      <c r="M46" s="373">
        <f>'Data dubieuze debiteuren'!M96</f>
        <v>0</v>
      </c>
      <c r="N46" s="373">
        <f>'Data dubieuze debiteuren'!N96</f>
        <v>14566763.979212539</v>
      </c>
    </row>
    <row r="47" spans="1:16" s="316" customFormat="1" ht="14.25">
      <c r="A47" s="314"/>
      <c r="B47" s="324" t="s">
        <v>922</v>
      </c>
      <c r="C47" s="315"/>
      <c r="D47" s="314" t="s">
        <v>184</v>
      </c>
      <c r="E47" s="350"/>
      <c r="F47" s="357"/>
      <c r="G47" s="373">
        <f>'Data dubieuze debiteuren'!G107</f>
        <v>0</v>
      </c>
      <c r="H47" s="373">
        <f>'Data dubieuze debiteuren'!H107</f>
        <v>0</v>
      </c>
      <c r="I47" s="373">
        <f>'Data dubieuze debiteuren'!I107</f>
        <v>54847172.711100906</v>
      </c>
      <c r="J47" s="373">
        <f>'Data dubieuze debiteuren'!J107</f>
        <v>277299137.48293287</v>
      </c>
      <c r="K47" s="373">
        <f>'Data dubieuze debiteuren'!K107</f>
        <v>0</v>
      </c>
      <c r="L47" s="373">
        <f>'Data dubieuze debiteuren'!L107</f>
        <v>0</v>
      </c>
      <c r="M47" s="373">
        <f>'Data dubieuze debiteuren'!M107</f>
        <v>0</v>
      </c>
      <c r="N47" s="373">
        <f>'Data dubieuze debiteuren'!N107</f>
        <v>15106400.032221416</v>
      </c>
      <c r="P47" s="350"/>
    </row>
    <row r="48" spans="1:16" s="316" customFormat="1" ht="14.25">
      <c r="A48" s="314"/>
      <c r="B48" s="324" t="s">
        <v>923</v>
      </c>
      <c r="C48" s="315"/>
      <c r="D48" s="314" t="s">
        <v>185</v>
      </c>
      <c r="E48" s="350"/>
      <c r="F48" s="357"/>
      <c r="G48" s="373">
        <f>'Data dubieuze debiteuren'!G118</f>
        <v>0</v>
      </c>
      <c r="H48" s="373">
        <f>'Data dubieuze debiteuren'!H118</f>
        <v>0</v>
      </c>
      <c r="I48" s="373">
        <f>'Data dubieuze debiteuren'!I118</f>
        <v>57664525.465200007</v>
      </c>
      <c r="J48" s="373">
        <f>'Data dubieuze debiteuren'!J118</f>
        <v>280288386.00375819</v>
      </c>
      <c r="K48" s="373">
        <f>'Data dubieuze debiteuren'!K118</f>
        <v>0</v>
      </c>
      <c r="L48" s="373">
        <f>'Data dubieuze debiteuren'!L118</f>
        <v>0</v>
      </c>
      <c r="M48" s="373">
        <f>'Data dubieuze debiteuren'!M118</f>
        <v>0</v>
      </c>
      <c r="N48" s="373">
        <f>'Data dubieuze debiteuren'!N118</f>
        <v>16120715.526722372</v>
      </c>
      <c r="P48" s="350"/>
    </row>
    <row r="49" spans="1:16384" s="316" customFormat="1" ht="14.25">
      <c r="A49" s="314"/>
      <c r="C49" s="315"/>
      <c r="D49" s="374"/>
      <c r="E49" s="350"/>
      <c r="F49" s="357"/>
      <c r="G49" s="357"/>
      <c r="H49" s="357"/>
      <c r="I49" s="357"/>
      <c r="J49" s="357"/>
      <c r="K49" s="357"/>
      <c r="L49" s="357"/>
      <c r="M49" s="357"/>
      <c r="N49" s="357"/>
      <c r="P49" s="350"/>
    </row>
    <row r="50" spans="1:16384" s="316" customFormat="1" ht="14.25">
      <c r="A50" s="314"/>
      <c r="B50" s="346" t="s">
        <v>924</v>
      </c>
      <c r="C50" s="315"/>
      <c r="D50" s="315"/>
      <c r="F50" s="343"/>
      <c r="G50" s="344"/>
      <c r="H50" s="344"/>
      <c r="I50" s="344"/>
      <c r="J50" s="344"/>
      <c r="K50" s="344"/>
      <c r="L50" s="344"/>
      <c r="M50" s="344"/>
      <c r="N50" s="344"/>
      <c r="P50" s="345"/>
    </row>
    <row r="51" spans="1:16384" s="316" customFormat="1" ht="14.25">
      <c r="A51" s="314"/>
      <c r="B51" s="315" t="s">
        <v>925</v>
      </c>
      <c r="C51" s="315"/>
      <c r="D51" s="314" t="s">
        <v>183</v>
      </c>
      <c r="F51" s="343"/>
      <c r="G51" s="373">
        <f>'Data dubieuze debiteuren'!G132</f>
        <v>0</v>
      </c>
      <c r="H51" s="373">
        <f>'Data dubieuze debiteuren'!H132</f>
        <v>0</v>
      </c>
      <c r="I51" s="373">
        <f>'Data dubieuze debiteuren'!I132</f>
        <v>10209417.793951429</v>
      </c>
      <c r="J51" s="373">
        <f>'Data dubieuze debiteuren'!J132</f>
        <v>97167704.837913767</v>
      </c>
      <c r="K51" s="373">
        <f>'Data dubieuze debiteuren'!K132</f>
        <v>0</v>
      </c>
      <c r="L51" s="373">
        <f>'Data dubieuze debiteuren'!L132</f>
        <v>0</v>
      </c>
      <c r="M51" s="373">
        <f>'Data dubieuze debiteuren'!M132</f>
        <v>0</v>
      </c>
      <c r="N51" s="373">
        <f>'Data dubieuze debiteuren'!N132</f>
        <v>0</v>
      </c>
    </row>
    <row r="52" spans="1:16384" s="316" customFormat="1" ht="14.25">
      <c r="A52" s="314"/>
      <c r="B52" s="315" t="s">
        <v>926</v>
      </c>
      <c r="C52" s="315"/>
      <c r="D52" s="314" t="s">
        <v>184</v>
      </c>
      <c r="E52" s="350"/>
      <c r="F52" s="357"/>
      <c r="G52" s="373">
        <f>'Data dubieuze debiteuren'!G138</f>
        <v>0</v>
      </c>
      <c r="H52" s="373">
        <f>'Data dubieuze debiteuren'!H138</f>
        <v>0</v>
      </c>
      <c r="I52" s="373">
        <f>'Data dubieuze debiteuren'!I138</f>
        <v>10362559.060860701</v>
      </c>
      <c r="J52" s="373">
        <f>'Data dubieuze debiteuren'!J138</f>
        <v>99543513.74141717</v>
      </c>
      <c r="K52" s="373">
        <f>'Data dubieuze debiteuren'!K138</f>
        <v>0</v>
      </c>
      <c r="L52" s="373">
        <f>'Data dubieuze debiteuren'!L138</f>
        <v>0</v>
      </c>
      <c r="M52" s="373">
        <f>'Data dubieuze debiteuren'!M138</f>
        <v>0</v>
      </c>
      <c r="N52" s="373">
        <f>'Data dubieuze debiteuren'!N138</f>
        <v>0</v>
      </c>
      <c r="P52" s="350"/>
    </row>
    <row r="53" spans="1:16384" s="316" customFormat="1" ht="14.25">
      <c r="A53" s="314"/>
      <c r="B53" s="315" t="s">
        <v>927</v>
      </c>
      <c r="C53" s="315"/>
      <c r="D53" s="314" t="s">
        <v>185</v>
      </c>
      <c r="E53" s="350"/>
      <c r="F53" s="357"/>
      <c r="G53" s="373">
        <f>'Data dubieuze debiteuren'!G145</f>
        <v>0</v>
      </c>
      <c r="H53" s="373">
        <f>'Data dubieuze debiteuren'!H145</f>
        <v>0</v>
      </c>
      <c r="I53" s="373">
        <f>'Data dubieuze debiteuren'!I145</f>
        <v>10690823.089072069</v>
      </c>
      <c r="J53" s="373">
        <f>'Data dubieuze debiteuren'!J145</f>
        <v>102545542.44047996</v>
      </c>
      <c r="K53" s="373">
        <f>'Data dubieuze debiteuren'!K145</f>
        <v>0</v>
      </c>
      <c r="L53" s="373">
        <f>'Data dubieuze debiteuren'!L145</f>
        <v>0</v>
      </c>
      <c r="M53" s="373">
        <f>'Data dubieuze debiteuren'!M145</f>
        <v>0</v>
      </c>
      <c r="N53" s="373">
        <f>'Data dubieuze debiteuren'!N145</f>
        <v>0</v>
      </c>
      <c r="P53" s="350"/>
    </row>
    <row r="54" spans="1:16384" s="316" customFormat="1" ht="14.25">
      <c r="A54" s="314"/>
      <c r="B54" s="324"/>
      <c r="C54" s="315"/>
      <c r="D54" s="374"/>
      <c r="E54" s="350"/>
      <c r="F54" s="357"/>
      <c r="G54" s="375"/>
      <c r="H54" s="375"/>
      <c r="I54" s="375"/>
      <c r="J54" s="375"/>
      <c r="K54" s="375"/>
      <c r="L54" s="375"/>
      <c r="M54" s="375"/>
      <c r="N54" s="375"/>
      <c r="P54" s="350"/>
    </row>
    <row r="55" spans="1:16384" s="316" customFormat="1" ht="14.25">
      <c r="A55" s="346"/>
      <c r="B55" s="346" t="s">
        <v>928</v>
      </c>
      <c r="C55" s="346"/>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c r="IW55" s="346"/>
      <c r="IX55" s="346"/>
      <c r="IY55" s="346"/>
      <c r="IZ55" s="346"/>
      <c r="JA55" s="346"/>
      <c r="JB55" s="346"/>
      <c r="JC55" s="346"/>
      <c r="JD55" s="346"/>
      <c r="JE55" s="346"/>
      <c r="JF55" s="346"/>
      <c r="JG55" s="346"/>
      <c r="JH55" s="346"/>
      <c r="JI55" s="346"/>
      <c r="JJ55" s="346"/>
      <c r="JK55" s="346"/>
      <c r="JL55" s="346"/>
      <c r="JM55" s="346"/>
      <c r="JN55" s="346"/>
      <c r="JO55" s="346"/>
      <c r="JP55" s="346"/>
      <c r="JQ55" s="346"/>
      <c r="JR55" s="346"/>
      <c r="JS55" s="346"/>
      <c r="JT55" s="346"/>
      <c r="JU55" s="346"/>
      <c r="JV55" s="346"/>
      <c r="JW55" s="346"/>
      <c r="JX55" s="346"/>
      <c r="JY55" s="346"/>
      <c r="JZ55" s="346"/>
      <c r="KA55" s="346"/>
      <c r="KB55" s="346"/>
      <c r="KC55" s="346"/>
      <c r="KD55" s="346"/>
      <c r="KE55" s="346"/>
      <c r="KF55" s="346"/>
      <c r="KG55" s="346"/>
      <c r="KH55" s="346"/>
      <c r="KI55" s="346"/>
      <c r="KJ55" s="346"/>
      <c r="KK55" s="346"/>
      <c r="KL55" s="346"/>
      <c r="KM55" s="346"/>
      <c r="KN55" s="346"/>
      <c r="KO55" s="346"/>
      <c r="KP55" s="346"/>
      <c r="KQ55" s="346"/>
      <c r="KR55" s="346"/>
      <c r="KS55" s="346"/>
      <c r="KT55" s="346"/>
      <c r="KU55" s="346"/>
      <c r="KV55" s="346"/>
      <c r="KW55" s="346"/>
      <c r="KX55" s="346"/>
      <c r="KY55" s="346"/>
      <c r="KZ55" s="346"/>
      <c r="LA55" s="346"/>
      <c r="LB55" s="346"/>
      <c r="LC55" s="346"/>
      <c r="LD55" s="346"/>
      <c r="LE55" s="346"/>
      <c r="LF55" s="346"/>
      <c r="LG55" s="346"/>
      <c r="LH55" s="346"/>
      <c r="LI55" s="346"/>
      <c r="LJ55" s="346"/>
      <c r="LK55" s="346"/>
      <c r="LL55" s="346"/>
      <c r="LM55" s="346"/>
      <c r="LN55" s="346"/>
      <c r="LO55" s="346"/>
      <c r="LP55" s="346"/>
      <c r="LQ55" s="346"/>
      <c r="LR55" s="346"/>
      <c r="LS55" s="346"/>
      <c r="LT55" s="346"/>
      <c r="LU55" s="346"/>
      <c r="LV55" s="346"/>
      <c r="LW55" s="346"/>
      <c r="LX55" s="346"/>
      <c r="LY55" s="346"/>
      <c r="LZ55" s="346"/>
      <c r="MA55" s="346"/>
      <c r="MB55" s="346"/>
      <c r="MC55" s="346"/>
      <c r="MD55" s="346"/>
      <c r="ME55" s="346"/>
      <c r="MF55" s="346"/>
      <c r="MG55" s="346"/>
      <c r="MH55" s="346"/>
      <c r="MI55" s="346"/>
      <c r="MJ55" s="346"/>
      <c r="MK55" s="346"/>
      <c r="ML55" s="346"/>
      <c r="MM55" s="346"/>
      <c r="MN55" s="346"/>
      <c r="MO55" s="346"/>
      <c r="MP55" s="346"/>
      <c r="MQ55" s="346"/>
      <c r="MR55" s="346"/>
      <c r="MS55" s="346"/>
      <c r="MT55" s="346"/>
      <c r="MU55" s="346"/>
      <c r="MV55" s="346"/>
      <c r="MW55" s="346"/>
      <c r="MX55" s="346"/>
      <c r="MY55" s="346"/>
      <c r="MZ55" s="346"/>
      <c r="NA55" s="346"/>
      <c r="NB55" s="346"/>
      <c r="NC55" s="346"/>
      <c r="ND55" s="346"/>
      <c r="NE55" s="346"/>
      <c r="NF55" s="346"/>
      <c r="NG55" s="346"/>
      <c r="NH55" s="346"/>
      <c r="NI55" s="346"/>
      <c r="NJ55" s="346"/>
      <c r="NK55" s="346"/>
      <c r="NL55" s="346"/>
      <c r="NM55" s="346"/>
      <c r="NN55" s="346"/>
      <c r="NO55" s="346"/>
      <c r="NP55" s="346"/>
      <c r="NQ55" s="346"/>
      <c r="NR55" s="346"/>
      <c r="NS55" s="346"/>
      <c r="NT55" s="346"/>
      <c r="NU55" s="346"/>
      <c r="NV55" s="346"/>
      <c r="NW55" s="346"/>
      <c r="NX55" s="346"/>
      <c r="NY55" s="346"/>
      <c r="NZ55" s="346"/>
      <c r="OA55" s="346"/>
      <c r="OB55" s="346"/>
      <c r="OC55" s="346"/>
      <c r="OD55" s="346"/>
      <c r="OE55" s="346"/>
      <c r="OF55" s="346"/>
      <c r="OG55" s="346"/>
      <c r="OH55" s="346"/>
      <c r="OI55" s="346"/>
      <c r="OJ55" s="346"/>
      <c r="OK55" s="346"/>
      <c r="OL55" s="346"/>
      <c r="OM55" s="346"/>
      <c r="ON55" s="346"/>
      <c r="OO55" s="346"/>
      <c r="OP55" s="346"/>
      <c r="OQ55" s="346"/>
      <c r="OR55" s="346"/>
      <c r="OS55" s="346"/>
      <c r="OT55" s="346"/>
      <c r="OU55" s="346"/>
      <c r="OV55" s="346"/>
      <c r="OW55" s="346"/>
      <c r="OX55" s="346"/>
      <c r="OY55" s="346"/>
      <c r="OZ55" s="346"/>
      <c r="PA55" s="346"/>
      <c r="PB55" s="346"/>
      <c r="PC55" s="346"/>
      <c r="PD55" s="346"/>
      <c r="PE55" s="346"/>
      <c r="PF55" s="346"/>
      <c r="PG55" s="346"/>
      <c r="PH55" s="346"/>
      <c r="PI55" s="346"/>
      <c r="PJ55" s="346"/>
      <c r="PK55" s="346"/>
      <c r="PL55" s="346"/>
      <c r="PM55" s="346"/>
      <c r="PN55" s="346"/>
      <c r="PO55" s="346"/>
      <c r="PP55" s="346"/>
      <c r="PQ55" s="346"/>
      <c r="PR55" s="346"/>
      <c r="PS55" s="346"/>
      <c r="PT55" s="346"/>
      <c r="PU55" s="346"/>
      <c r="PV55" s="346"/>
      <c r="PW55" s="346"/>
      <c r="PX55" s="346"/>
      <c r="PY55" s="346"/>
      <c r="PZ55" s="346"/>
      <c r="QA55" s="346"/>
      <c r="QB55" s="346"/>
      <c r="QC55" s="346"/>
      <c r="QD55" s="346"/>
      <c r="QE55" s="346"/>
      <c r="QF55" s="346"/>
      <c r="QG55" s="346"/>
      <c r="QH55" s="346"/>
      <c r="QI55" s="346"/>
      <c r="QJ55" s="346"/>
      <c r="QK55" s="346"/>
      <c r="QL55" s="346"/>
      <c r="QM55" s="346"/>
      <c r="QN55" s="346"/>
      <c r="QO55" s="346"/>
      <c r="QP55" s="346"/>
      <c r="QQ55" s="346"/>
      <c r="QR55" s="346"/>
      <c r="QS55" s="346"/>
      <c r="QT55" s="346"/>
      <c r="QU55" s="346"/>
      <c r="QV55" s="346"/>
      <c r="QW55" s="346"/>
      <c r="QX55" s="346"/>
      <c r="QY55" s="346"/>
      <c r="QZ55" s="346"/>
      <c r="RA55" s="346"/>
      <c r="RB55" s="346"/>
      <c r="RC55" s="346"/>
      <c r="RD55" s="346"/>
      <c r="RE55" s="346"/>
      <c r="RF55" s="346"/>
      <c r="RG55" s="346"/>
      <c r="RH55" s="346"/>
      <c r="RI55" s="346"/>
      <c r="RJ55" s="346"/>
      <c r="RK55" s="346"/>
      <c r="RL55" s="346"/>
      <c r="RM55" s="346"/>
      <c r="RN55" s="346"/>
      <c r="RO55" s="346"/>
      <c r="RP55" s="346"/>
      <c r="RQ55" s="346"/>
      <c r="RR55" s="346"/>
      <c r="RS55" s="346"/>
      <c r="RT55" s="346"/>
      <c r="RU55" s="346"/>
      <c r="RV55" s="346"/>
      <c r="RW55" s="346"/>
      <c r="RX55" s="346"/>
      <c r="RY55" s="346"/>
      <c r="RZ55" s="346"/>
      <c r="SA55" s="346"/>
      <c r="SB55" s="346"/>
      <c r="SC55" s="346"/>
      <c r="SD55" s="346"/>
      <c r="SE55" s="346"/>
      <c r="SF55" s="346"/>
      <c r="SG55" s="346"/>
      <c r="SH55" s="346"/>
      <c r="SI55" s="346"/>
      <c r="SJ55" s="346"/>
      <c r="SK55" s="346"/>
      <c r="SL55" s="346"/>
      <c r="SM55" s="346"/>
      <c r="SN55" s="346"/>
      <c r="SO55" s="346"/>
      <c r="SP55" s="346"/>
      <c r="SQ55" s="346"/>
      <c r="SR55" s="346"/>
      <c r="SS55" s="346"/>
      <c r="ST55" s="346"/>
      <c r="SU55" s="346"/>
      <c r="SV55" s="346"/>
      <c r="SW55" s="346"/>
      <c r="SX55" s="346"/>
      <c r="SY55" s="346"/>
      <c r="SZ55" s="346"/>
      <c r="TA55" s="346"/>
      <c r="TB55" s="346"/>
      <c r="TC55" s="346"/>
      <c r="TD55" s="346"/>
      <c r="TE55" s="346"/>
      <c r="TF55" s="346"/>
      <c r="TG55" s="346"/>
      <c r="TH55" s="346"/>
      <c r="TI55" s="346"/>
      <c r="TJ55" s="346"/>
      <c r="TK55" s="346"/>
      <c r="TL55" s="346"/>
      <c r="TM55" s="346"/>
      <c r="TN55" s="346"/>
      <c r="TO55" s="346"/>
      <c r="TP55" s="346"/>
      <c r="TQ55" s="346"/>
      <c r="TR55" s="346"/>
      <c r="TS55" s="346"/>
      <c r="TT55" s="346"/>
      <c r="TU55" s="346"/>
      <c r="TV55" s="346"/>
      <c r="TW55" s="346"/>
      <c r="TX55" s="346"/>
      <c r="TY55" s="346"/>
      <c r="TZ55" s="346"/>
      <c r="UA55" s="346"/>
      <c r="UB55" s="346"/>
      <c r="UC55" s="346"/>
      <c r="UD55" s="346"/>
      <c r="UE55" s="346"/>
      <c r="UF55" s="346"/>
      <c r="UG55" s="346"/>
      <c r="UH55" s="346"/>
      <c r="UI55" s="346"/>
      <c r="UJ55" s="346"/>
      <c r="UK55" s="346"/>
      <c r="UL55" s="346"/>
      <c r="UM55" s="346"/>
      <c r="UN55" s="346"/>
      <c r="UO55" s="346"/>
      <c r="UP55" s="346"/>
      <c r="UQ55" s="346"/>
      <c r="UR55" s="346"/>
      <c r="US55" s="346"/>
      <c r="UT55" s="346"/>
      <c r="UU55" s="346"/>
      <c r="UV55" s="346"/>
      <c r="UW55" s="346"/>
      <c r="UX55" s="346"/>
      <c r="UY55" s="346"/>
      <c r="UZ55" s="346"/>
      <c r="VA55" s="346"/>
      <c r="VB55" s="346"/>
      <c r="VC55" s="346"/>
      <c r="VD55" s="346"/>
      <c r="VE55" s="346"/>
      <c r="VF55" s="346"/>
      <c r="VG55" s="346"/>
      <c r="VH55" s="346"/>
      <c r="VI55" s="346"/>
      <c r="VJ55" s="346"/>
      <c r="VK55" s="346"/>
      <c r="VL55" s="346"/>
      <c r="VM55" s="346"/>
      <c r="VN55" s="346"/>
      <c r="VO55" s="346"/>
      <c r="VP55" s="346"/>
      <c r="VQ55" s="346"/>
      <c r="VR55" s="346"/>
      <c r="VS55" s="346"/>
      <c r="VT55" s="346"/>
      <c r="VU55" s="346"/>
      <c r="VV55" s="346"/>
      <c r="VW55" s="346"/>
      <c r="VX55" s="346"/>
      <c r="VY55" s="346"/>
      <c r="VZ55" s="346"/>
      <c r="WA55" s="346"/>
      <c r="WB55" s="346"/>
      <c r="WC55" s="346"/>
      <c r="WD55" s="346"/>
      <c r="WE55" s="346"/>
      <c r="WF55" s="346"/>
      <c r="WG55" s="346"/>
      <c r="WH55" s="346"/>
      <c r="WI55" s="346"/>
      <c r="WJ55" s="346"/>
      <c r="WK55" s="346"/>
      <c r="WL55" s="346"/>
      <c r="WM55" s="346"/>
      <c r="WN55" s="346"/>
      <c r="WO55" s="346"/>
      <c r="WP55" s="346"/>
      <c r="WQ55" s="346"/>
      <c r="WR55" s="346"/>
      <c r="WS55" s="346"/>
      <c r="WT55" s="346"/>
      <c r="WU55" s="346"/>
      <c r="WV55" s="346"/>
      <c r="WW55" s="346"/>
      <c r="WX55" s="346"/>
      <c r="WY55" s="346"/>
      <c r="WZ55" s="346"/>
      <c r="XA55" s="346"/>
      <c r="XB55" s="346"/>
      <c r="XC55" s="346"/>
      <c r="XD55" s="346"/>
      <c r="XE55" s="346"/>
      <c r="XF55" s="346"/>
      <c r="XG55" s="346"/>
      <c r="XH55" s="346"/>
      <c r="XI55" s="346"/>
      <c r="XJ55" s="346"/>
      <c r="XK55" s="346"/>
      <c r="XL55" s="346"/>
      <c r="XM55" s="346"/>
      <c r="XN55" s="346"/>
      <c r="XO55" s="346"/>
      <c r="XP55" s="346"/>
      <c r="XQ55" s="346"/>
      <c r="XR55" s="346"/>
      <c r="XS55" s="346"/>
      <c r="XT55" s="346"/>
      <c r="XU55" s="346"/>
      <c r="XV55" s="346"/>
      <c r="XW55" s="346"/>
      <c r="XX55" s="346"/>
      <c r="XY55" s="346"/>
      <c r="XZ55" s="346"/>
      <c r="YA55" s="346"/>
      <c r="YB55" s="346"/>
      <c r="YC55" s="346"/>
      <c r="YD55" s="346"/>
      <c r="YE55" s="346"/>
      <c r="YF55" s="346"/>
      <c r="YG55" s="346"/>
      <c r="YH55" s="346"/>
      <c r="YI55" s="346"/>
      <c r="YJ55" s="346"/>
      <c r="YK55" s="346"/>
      <c r="YL55" s="346"/>
      <c r="YM55" s="346"/>
      <c r="YN55" s="346"/>
      <c r="YO55" s="346"/>
      <c r="YP55" s="346"/>
      <c r="YQ55" s="346"/>
      <c r="YR55" s="346"/>
      <c r="YS55" s="346"/>
      <c r="YT55" s="346"/>
      <c r="YU55" s="346"/>
      <c r="YV55" s="346"/>
      <c r="YW55" s="346"/>
      <c r="YX55" s="346"/>
      <c r="YY55" s="346"/>
      <c r="YZ55" s="346"/>
      <c r="ZA55" s="346"/>
      <c r="ZB55" s="346"/>
      <c r="ZC55" s="346"/>
      <c r="ZD55" s="346"/>
      <c r="ZE55" s="346"/>
      <c r="ZF55" s="346"/>
      <c r="ZG55" s="346"/>
      <c r="ZH55" s="346"/>
      <c r="ZI55" s="346"/>
      <c r="ZJ55" s="346"/>
      <c r="ZK55" s="346"/>
      <c r="ZL55" s="346"/>
      <c r="ZM55" s="346"/>
      <c r="ZN55" s="346"/>
      <c r="ZO55" s="346"/>
      <c r="ZP55" s="346"/>
      <c r="ZQ55" s="346"/>
      <c r="ZR55" s="346"/>
      <c r="ZS55" s="346"/>
      <c r="ZT55" s="346"/>
      <c r="ZU55" s="346"/>
      <c r="ZV55" s="346"/>
      <c r="ZW55" s="346"/>
      <c r="ZX55" s="346"/>
      <c r="ZY55" s="346"/>
      <c r="ZZ55" s="346"/>
      <c r="AAA55" s="346"/>
      <c r="AAB55" s="346"/>
      <c r="AAC55" s="346"/>
      <c r="AAD55" s="346"/>
      <c r="AAE55" s="346"/>
      <c r="AAF55" s="346"/>
      <c r="AAG55" s="346"/>
      <c r="AAH55" s="346"/>
      <c r="AAI55" s="346"/>
      <c r="AAJ55" s="346"/>
      <c r="AAK55" s="346"/>
      <c r="AAL55" s="346"/>
      <c r="AAM55" s="346"/>
      <c r="AAN55" s="346"/>
      <c r="AAO55" s="346"/>
      <c r="AAP55" s="346"/>
      <c r="AAQ55" s="346"/>
      <c r="AAR55" s="346"/>
      <c r="AAS55" s="346"/>
      <c r="AAT55" s="346"/>
      <c r="AAU55" s="346"/>
      <c r="AAV55" s="346"/>
      <c r="AAW55" s="346"/>
      <c r="AAX55" s="346"/>
      <c r="AAY55" s="346"/>
      <c r="AAZ55" s="346"/>
      <c r="ABA55" s="346"/>
      <c r="ABB55" s="346"/>
      <c r="ABC55" s="346"/>
      <c r="ABD55" s="346"/>
      <c r="ABE55" s="346"/>
      <c r="ABF55" s="346"/>
      <c r="ABG55" s="346"/>
      <c r="ABH55" s="346"/>
      <c r="ABI55" s="346"/>
      <c r="ABJ55" s="346"/>
      <c r="ABK55" s="346"/>
      <c r="ABL55" s="346"/>
      <c r="ABM55" s="346"/>
      <c r="ABN55" s="346"/>
      <c r="ABO55" s="346"/>
      <c r="ABP55" s="346"/>
      <c r="ABQ55" s="346"/>
      <c r="ABR55" s="346"/>
      <c r="ABS55" s="346"/>
      <c r="ABT55" s="346"/>
      <c r="ABU55" s="346"/>
      <c r="ABV55" s="346"/>
      <c r="ABW55" s="346"/>
      <c r="ABX55" s="346"/>
      <c r="ABY55" s="346"/>
      <c r="ABZ55" s="346"/>
      <c r="ACA55" s="346"/>
      <c r="ACB55" s="346"/>
      <c r="ACC55" s="346"/>
      <c r="ACD55" s="346"/>
      <c r="ACE55" s="346"/>
      <c r="ACF55" s="346"/>
      <c r="ACG55" s="346"/>
      <c r="ACH55" s="346"/>
      <c r="ACI55" s="346"/>
      <c r="ACJ55" s="346"/>
      <c r="ACK55" s="346"/>
      <c r="ACL55" s="346"/>
      <c r="ACM55" s="346"/>
      <c r="ACN55" s="346"/>
      <c r="ACO55" s="346"/>
      <c r="ACP55" s="346"/>
      <c r="ACQ55" s="346"/>
      <c r="ACR55" s="346"/>
      <c r="ACS55" s="346"/>
      <c r="ACT55" s="346"/>
      <c r="ACU55" s="346"/>
      <c r="ACV55" s="346"/>
      <c r="ACW55" s="346"/>
      <c r="ACX55" s="346"/>
      <c r="ACY55" s="346"/>
      <c r="ACZ55" s="346"/>
      <c r="ADA55" s="346"/>
      <c r="ADB55" s="346"/>
      <c r="ADC55" s="346"/>
      <c r="ADD55" s="346"/>
      <c r="ADE55" s="346"/>
      <c r="ADF55" s="346"/>
      <c r="ADG55" s="346"/>
      <c r="ADH55" s="346"/>
      <c r="ADI55" s="346"/>
      <c r="ADJ55" s="346"/>
      <c r="ADK55" s="346"/>
      <c r="ADL55" s="346"/>
      <c r="ADM55" s="346"/>
      <c r="ADN55" s="346"/>
      <c r="ADO55" s="346"/>
      <c r="ADP55" s="346"/>
      <c r="ADQ55" s="346"/>
      <c r="ADR55" s="346"/>
      <c r="ADS55" s="346"/>
      <c r="ADT55" s="346"/>
      <c r="ADU55" s="346"/>
      <c r="ADV55" s="346"/>
      <c r="ADW55" s="346"/>
      <c r="ADX55" s="346"/>
      <c r="ADY55" s="346"/>
      <c r="ADZ55" s="346"/>
      <c r="AEA55" s="346"/>
      <c r="AEB55" s="346"/>
      <c r="AEC55" s="346"/>
      <c r="AED55" s="346"/>
      <c r="AEE55" s="346"/>
      <c r="AEF55" s="346"/>
      <c r="AEG55" s="346"/>
      <c r="AEH55" s="346"/>
      <c r="AEI55" s="346"/>
      <c r="AEJ55" s="346"/>
      <c r="AEK55" s="346"/>
      <c r="AEL55" s="346"/>
      <c r="AEM55" s="346"/>
      <c r="AEN55" s="346"/>
      <c r="AEO55" s="346"/>
      <c r="AEP55" s="346"/>
      <c r="AEQ55" s="346"/>
      <c r="AER55" s="346"/>
      <c r="AES55" s="346"/>
      <c r="AET55" s="346"/>
      <c r="AEU55" s="346"/>
      <c r="AEV55" s="346"/>
      <c r="AEW55" s="346"/>
      <c r="AEX55" s="346"/>
      <c r="AEY55" s="346"/>
      <c r="AEZ55" s="346"/>
      <c r="AFA55" s="346"/>
      <c r="AFB55" s="346"/>
      <c r="AFC55" s="346"/>
      <c r="AFD55" s="346"/>
      <c r="AFE55" s="346"/>
      <c r="AFF55" s="346"/>
      <c r="AFG55" s="346"/>
      <c r="AFH55" s="346"/>
      <c r="AFI55" s="346"/>
      <c r="AFJ55" s="346"/>
      <c r="AFK55" s="346"/>
      <c r="AFL55" s="346"/>
      <c r="AFM55" s="346"/>
      <c r="AFN55" s="346"/>
      <c r="AFO55" s="346"/>
      <c r="AFP55" s="346"/>
      <c r="AFQ55" s="346"/>
      <c r="AFR55" s="346"/>
      <c r="AFS55" s="346"/>
      <c r="AFT55" s="346"/>
      <c r="AFU55" s="346"/>
      <c r="AFV55" s="346"/>
      <c r="AFW55" s="346"/>
      <c r="AFX55" s="346"/>
      <c r="AFY55" s="346"/>
      <c r="AFZ55" s="346"/>
      <c r="AGA55" s="346"/>
      <c r="AGB55" s="346"/>
      <c r="AGC55" s="346"/>
      <c r="AGD55" s="346"/>
      <c r="AGE55" s="346"/>
      <c r="AGF55" s="346"/>
      <c r="AGG55" s="346"/>
      <c r="AGH55" s="346"/>
      <c r="AGI55" s="346"/>
      <c r="AGJ55" s="346"/>
      <c r="AGK55" s="346"/>
      <c r="AGL55" s="346"/>
      <c r="AGM55" s="346"/>
      <c r="AGN55" s="346"/>
      <c r="AGO55" s="346"/>
      <c r="AGP55" s="346"/>
      <c r="AGQ55" s="346"/>
      <c r="AGR55" s="346"/>
      <c r="AGS55" s="346"/>
      <c r="AGT55" s="346"/>
      <c r="AGU55" s="346"/>
      <c r="AGV55" s="346"/>
      <c r="AGW55" s="346"/>
      <c r="AGX55" s="346"/>
      <c r="AGY55" s="346"/>
      <c r="AGZ55" s="346"/>
      <c r="AHA55" s="346"/>
      <c r="AHB55" s="346"/>
      <c r="AHC55" s="346"/>
      <c r="AHD55" s="346"/>
      <c r="AHE55" s="346"/>
      <c r="AHF55" s="346"/>
      <c r="AHG55" s="346"/>
      <c r="AHH55" s="346"/>
      <c r="AHI55" s="346"/>
      <c r="AHJ55" s="346"/>
      <c r="AHK55" s="346"/>
      <c r="AHL55" s="346"/>
      <c r="AHM55" s="346"/>
      <c r="AHN55" s="346"/>
      <c r="AHO55" s="346"/>
      <c r="AHP55" s="346"/>
      <c r="AHQ55" s="346"/>
      <c r="AHR55" s="346"/>
      <c r="AHS55" s="346"/>
      <c r="AHT55" s="346"/>
      <c r="AHU55" s="346"/>
      <c r="AHV55" s="346"/>
      <c r="AHW55" s="346"/>
      <c r="AHX55" s="346"/>
      <c r="AHY55" s="346"/>
      <c r="AHZ55" s="346"/>
      <c r="AIA55" s="346"/>
      <c r="AIB55" s="346"/>
      <c r="AIC55" s="346"/>
      <c r="AID55" s="346"/>
      <c r="AIE55" s="346"/>
      <c r="AIF55" s="346"/>
      <c r="AIG55" s="346"/>
      <c r="AIH55" s="346"/>
      <c r="AII55" s="346"/>
      <c r="AIJ55" s="346"/>
      <c r="AIK55" s="346"/>
      <c r="AIL55" s="346"/>
      <c r="AIM55" s="346"/>
      <c r="AIN55" s="346"/>
      <c r="AIO55" s="346"/>
      <c r="AIP55" s="346"/>
      <c r="AIQ55" s="346"/>
      <c r="AIR55" s="346"/>
      <c r="AIS55" s="346"/>
      <c r="AIT55" s="346"/>
      <c r="AIU55" s="346"/>
      <c r="AIV55" s="346"/>
      <c r="AIW55" s="346"/>
      <c r="AIX55" s="346"/>
      <c r="AIY55" s="346"/>
      <c r="AIZ55" s="346"/>
      <c r="AJA55" s="346"/>
      <c r="AJB55" s="346"/>
      <c r="AJC55" s="346"/>
      <c r="AJD55" s="346"/>
      <c r="AJE55" s="346"/>
      <c r="AJF55" s="346"/>
      <c r="AJG55" s="346"/>
      <c r="AJH55" s="346"/>
      <c r="AJI55" s="346"/>
      <c r="AJJ55" s="346"/>
      <c r="AJK55" s="346"/>
      <c r="AJL55" s="346"/>
      <c r="AJM55" s="346"/>
      <c r="AJN55" s="346"/>
      <c r="AJO55" s="346"/>
      <c r="AJP55" s="346"/>
      <c r="AJQ55" s="346"/>
      <c r="AJR55" s="346"/>
      <c r="AJS55" s="346"/>
      <c r="AJT55" s="346"/>
      <c r="AJU55" s="346"/>
      <c r="AJV55" s="346"/>
      <c r="AJW55" s="346"/>
      <c r="AJX55" s="346"/>
      <c r="AJY55" s="346"/>
      <c r="AJZ55" s="346"/>
      <c r="AKA55" s="346"/>
      <c r="AKB55" s="346"/>
      <c r="AKC55" s="346"/>
      <c r="AKD55" s="346"/>
      <c r="AKE55" s="346"/>
      <c r="AKF55" s="346"/>
      <c r="AKG55" s="346"/>
      <c r="AKH55" s="346"/>
      <c r="AKI55" s="346"/>
      <c r="AKJ55" s="346"/>
      <c r="AKK55" s="346"/>
      <c r="AKL55" s="346"/>
      <c r="AKM55" s="346"/>
      <c r="AKN55" s="346"/>
      <c r="AKO55" s="346"/>
      <c r="AKP55" s="346"/>
      <c r="AKQ55" s="346"/>
      <c r="AKR55" s="346"/>
      <c r="AKS55" s="346"/>
      <c r="AKT55" s="346"/>
      <c r="AKU55" s="346"/>
      <c r="AKV55" s="346"/>
      <c r="AKW55" s="346"/>
      <c r="AKX55" s="346"/>
      <c r="AKY55" s="346"/>
      <c r="AKZ55" s="346"/>
      <c r="ALA55" s="346"/>
      <c r="ALB55" s="346"/>
      <c r="ALC55" s="346"/>
      <c r="ALD55" s="346"/>
      <c r="ALE55" s="346"/>
      <c r="ALF55" s="346"/>
      <c r="ALG55" s="346"/>
      <c r="ALH55" s="346"/>
      <c r="ALI55" s="346"/>
      <c r="ALJ55" s="346"/>
      <c r="ALK55" s="346"/>
      <c r="ALL55" s="346"/>
      <c r="ALM55" s="346"/>
      <c r="ALN55" s="346"/>
      <c r="ALO55" s="346"/>
      <c r="ALP55" s="346"/>
      <c r="ALQ55" s="346"/>
      <c r="ALR55" s="346"/>
      <c r="ALS55" s="346"/>
      <c r="ALT55" s="346"/>
      <c r="ALU55" s="346"/>
      <c r="ALV55" s="346"/>
      <c r="ALW55" s="346"/>
      <c r="ALX55" s="346"/>
      <c r="ALY55" s="346"/>
      <c r="ALZ55" s="346"/>
      <c r="AMA55" s="346"/>
      <c r="AMB55" s="346"/>
      <c r="AMC55" s="346"/>
      <c r="AMD55" s="346"/>
      <c r="AME55" s="346"/>
      <c r="AMF55" s="346"/>
      <c r="AMG55" s="346"/>
      <c r="AMH55" s="346"/>
      <c r="AMI55" s="346"/>
      <c r="AMJ55" s="346"/>
      <c r="AMK55" s="346"/>
      <c r="AML55" s="346"/>
      <c r="AMM55" s="346"/>
      <c r="AMN55" s="346"/>
      <c r="AMO55" s="346"/>
      <c r="AMP55" s="346"/>
      <c r="AMQ55" s="346"/>
      <c r="AMR55" s="346"/>
      <c r="AMS55" s="346"/>
      <c r="AMT55" s="346"/>
      <c r="AMU55" s="346"/>
      <c r="AMV55" s="346"/>
      <c r="AMW55" s="346"/>
      <c r="AMX55" s="346"/>
      <c r="AMY55" s="346"/>
      <c r="AMZ55" s="346"/>
      <c r="ANA55" s="346"/>
      <c r="ANB55" s="346"/>
      <c r="ANC55" s="346"/>
      <c r="AND55" s="346"/>
      <c r="ANE55" s="346"/>
      <c r="ANF55" s="346"/>
      <c r="ANG55" s="346"/>
      <c r="ANH55" s="346"/>
      <c r="ANI55" s="346"/>
      <c r="ANJ55" s="346"/>
      <c r="ANK55" s="346"/>
      <c r="ANL55" s="346"/>
      <c r="ANM55" s="346"/>
      <c r="ANN55" s="346"/>
      <c r="ANO55" s="346"/>
      <c r="ANP55" s="346"/>
      <c r="ANQ55" s="346"/>
      <c r="ANR55" s="346"/>
      <c r="ANS55" s="346"/>
      <c r="ANT55" s="346"/>
      <c r="ANU55" s="346"/>
      <c r="ANV55" s="346"/>
      <c r="ANW55" s="346"/>
      <c r="ANX55" s="346"/>
      <c r="ANY55" s="346"/>
      <c r="ANZ55" s="346"/>
      <c r="AOA55" s="346"/>
      <c r="AOB55" s="346"/>
      <c r="AOC55" s="346"/>
      <c r="AOD55" s="346"/>
      <c r="AOE55" s="346"/>
      <c r="AOF55" s="346"/>
      <c r="AOG55" s="346"/>
      <c r="AOH55" s="346"/>
      <c r="AOI55" s="346"/>
      <c r="AOJ55" s="346"/>
      <c r="AOK55" s="346"/>
      <c r="AOL55" s="346"/>
      <c r="AOM55" s="346"/>
      <c r="AON55" s="346"/>
      <c r="AOO55" s="346"/>
      <c r="AOP55" s="346"/>
      <c r="AOQ55" s="346"/>
      <c r="AOR55" s="346"/>
      <c r="AOS55" s="346"/>
      <c r="AOT55" s="346"/>
      <c r="AOU55" s="346"/>
      <c r="AOV55" s="346"/>
      <c r="AOW55" s="346"/>
      <c r="AOX55" s="346"/>
      <c r="AOY55" s="346"/>
      <c r="AOZ55" s="346"/>
      <c r="APA55" s="346"/>
      <c r="APB55" s="346"/>
      <c r="APC55" s="346"/>
      <c r="APD55" s="346"/>
      <c r="APE55" s="346"/>
      <c r="APF55" s="346"/>
      <c r="APG55" s="346"/>
      <c r="APH55" s="346"/>
      <c r="API55" s="346"/>
      <c r="APJ55" s="346"/>
      <c r="APK55" s="346"/>
      <c r="APL55" s="346"/>
      <c r="APM55" s="346"/>
      <c r="APN55" s="346"/>
      <c r="APO55" s="346"/>
      <c r="APP55" s="346"/>
      <c r="APQ55" s="346"/>
      <c r="APR55" s="346"/>
      <c r="APS55" s="346"/>
      <c r="APT55" s="346"/>
      <c r="APU55" s="346"/>
      <c r="APV55" s="346"/>
      <c r="APW55" s="346"/>
      <c r="APX55" s="346"/>
      <c r="APY55" s="346"/>
      <c r="APZ55" s="346"/>
      <c r="AQA55" s="346"/>
      <c r="AQB55" s="346"/>
      <c r="AQC55" s="346"/>
      <c r="AQD55" s="346"/>
      <c r="AQE55" s="346"/>
      <c r="AQF55" s="346"/>
      <c r="AQG55" s="346"/>
      <c r="AQH55" s="346"/>
      <c r="AQI55" s="346"/>
      <c r="AQJ55" s="346"/>
      <c r="AQK55" s="346"/>
      <c r="AQL55" s="346"/>
      <c r="AQM55" s="346"/>
      <c r="AQN55" s="346"/>
      <c r="AQO55" s="346"/>
      <c r="AQP55" s="346"/>
      <c r="AQQ55" s="346"/>
      <c r="AQR55" s="346"/>
      <c r="AQS55" s="346"/>
      <c r="AQT55" s="346"/>
      <c r="AQU55" s="346"/>
      <c r="AQV55" s="346"/>
      <c r="AQW55" s="346"/>
      <c r="AQX55" s="346"/>
      <c r="AQY55" s="346"/>
      <c r="AQZ55" s="346"/>
      <c r="ARA55" s="346"/>
      <c r="ARB55" s="346"/>
      <c r="ARC55" s="346"/>
      <c r="ARD55" s="346"/>
      <c r="ARE55" s="346"/>
      <c r="ARF55" s="346"/>
      <c r="ARG55" s="346"/>
      <c r="ARH55" s="346"/>
      <c r="ARI55" s="346"/>
      <c r="ARJ55" s="346"/>
      <c r="ARK55" s="346"/>
      <c r="ARL55" s="346"/>
      <c r="ARM55" s="346"/>
      <c r="ARN55" s="346"/>
      <c r="ARO55" s="346"/>
      <c r="ARP55" s="346"/>
      <c r="ARQ55" s="346"/>
      <c r="ARR55" s="346"/>
      <c r="ARS55" s="346"/>
      <c r="ART55" s="346"/>
      <c r="ARU55" s="346"/>
      <c r="ARV55" s="346"/>
      <c r="ARW55" s="346"/>
      <c r="ARX55" s="346"/>
      <c r="ARY55" s="346"/>
      <c r="ARZ55" s="346"/>
      <c r="ASA55" s="346"/>
      <c r="ASB55" s="346"/>
      <c r="ASC55" s="346"/>
      <c r="ASD55" s="346"/>
      <c r="ASE55" s="346"/>
      <c r="ASF55" s="346"/>
      <c r="ASG55" s="346"/>
      <c r="ASH55" s="346"/>
      <c r="ASI55" s="346"/>
      <c r="ASJ55" s="346"/>
      <c r="ASK55" s="346"/>
      <c r="ASL55" s="346"/>
      <c r="ASM55" s="346"/>
      <c r="ASN55" s="346"/>
      <c r="ASO55" s="346"/>
      <c r="ASP55" s="346"/>
      <c r="ASQ55" s="346"/>
      <c r="ASR55" s="346"/>
      <c r="ASS55" s="346"/>
      <c r="AST55" s="346"/>
      <c r="ASU55" s="346"/>
      <c r="ASV55" s="346"/>
      <c r="ASW55" s="346"/>
      <c r="ASX55" s="346"/>
      <c r="ASY55" s="346"/>
      <c r="ASZ55" s="346"/>
      <c r="ATA55" s="346"/>
      <c r="ATB55" s="346"/>
      <c r="ATC55" s="346"/>
      <c r="ATD55" s="346"/>
      <c r="ATE55" s="346"/>
      <c r="ATF55" s="346"/>
      <c r="ATG55" s="346"/>
      <c r="ATH55" s="346"/>
      <c r="ATI55" s="346"/>
      <c r="ATJ55" s="346"/>
      <c r="ATK55" s="346"/>
      <c r="ATL55" s="346"/>
      <c r="ATM55" s="346"/>
      <c r="ATN55" s="346"/>
      <c r="ATO55" s="346"/>
      <c r="ATP55" s="346"/>
      <c r="ATQ55" s="346"/>
      <c r="ATR55" s="346"/>
      <c r="ATS55" s="346"/>
      <c r="ATT55" s="346"/>
      <c r="ATU55" s="346"/>
      <c r="ATV55" s="346"/>
      <c r="ATW55" s="346"/>
      <c r="ATX55" s="346"/>
      <c r="ATY55" s="346"/>
      <c r="ATZ55" s="346"/>
      <c r="AUA55" s="346"/>
      <c r="AUB55" s="346"/>
      <c r="AUC55" s="346"/>
      <c r="AUD55" s="346"/>
      <c r="AUE55" s="346"/>
      <c r="AUF55" s="346"/>
      <c r="AUG55" s="346"/>
      <c r="AUH55" s="346"/>
      <c r="AUI55" s="346"/>
      <c r="AUJ55" s="346"/>
      <c r="AUK55" s="346"/>
      <c r="AUL55" s="346"/>
      <c r="AUM55" s="346"/>
      <c r="AUN55" s="346"/>
      <c r="AUO55" s="346"/>
      <c r="AUP55" s="346"/>
      <c r="AUQ55" s="346"/>
      <c r="AUR55" s="346"/>
      <c r="AUS55" s="346"/>
      <c r="AUT55" s="346"/>
      <c r="AUU55" s="346"/>
      <c r="AUV55" s="346"/>
      <c r="AUW55" s="346"/>
      <c r="AUX55" s="346"/>
      <c r="AUY55" s="346"/>
      <c r="AUZ55" s="346"/>
      <c r="AVA55" s="346"/>
      <c r="AVB55" s="346"/>
      <c r="AVC55" s="346"/>
      <c r="AVD55" s="346"/>
      <c r="AVE55" s="346"/>
      <c r="AVF55" s="346"/>
      <c r="AVG55" s="346"/>
      <c r="AVH55" s="346"/>
      <c r="AVI55" s="346"/>
      <c r="AVJ55" s="346"/>
      <c r="AVK55" s="346"/>
      <c r="AVL55" s="346"/>
      <c r="AVM55" s="346"/>
      <c r="AVN55" s="346"/>
      <c r="AVO55" s="346"/>
      <c r="AVP55" s="346"/>
      <c r="AVQ55" s="346"/>
      <c r="AVR55" s="346"/>
      <c r="AVS55" s="346"/>
      <c r="AVT55" s="346"/>
      <c r="AVU55" s="346"/>
      <c r="AVV55" s="346"/>
      <c r="AVW55" s="346"/>
      <c r="AVX55" s="346"/>
      <c r="AVY55" s="346"/>
      <c r="AVZ55" s="346"/>
      <c r="AWA55" s="346"/>
      <c r="AWB55" s="346"/>
      <c r="AWC55" s="346"/>
      <c r="AWD55" s="346"/>
      <c r="AWE55" s="346"/>
      <c r="AWF55" s="346"/>
      <c r="AWG55" s="346"/>
      <c r="AWH55" s="346"/>
      <c r="AWI55" s="346"/>
      <c r="AWJ55" s="346"/>
      <c r="AWK55" s="346"/>
      <c r="AWL55" s="346"/>
      <c r="AWM55" s="346"/>
      <c r="AWN55" s="346"/>
      <c r="AWO55" s="346"/>
      <c r="AWP55" s="346"/>
      <c r="AWQ55" s="346"/>
      <c r="AWR55" s="346"/>
      <c r="AWS55" s="346"/>
      <c r="AWT55" s="346"/>
      <c r="AWU55" s="346"/>
      <c r="AWV55" s="346"/>
      <c r="AWW55" s="346"/>
      <c r="AWX55" s="346"/>
      <c r="AWY55" s="346"/>
      <c r="AWZ55" s="346"/>
      <c r="AXA55" s="346"/>
      <c r="AXB55" s="346"/>
      <c r="AXC55" s="346"/>
      <c r="AXD55" s="346"/>
      <c r="AXE55" s="346"/>
      <c r="AXF55" s="346"/>
      <c r="AXG55" s="346"/>
      <c r="AXH55" s="346"/>
      <c r="AXI55" s="346"/>
      <c r="AXJ55" s="346"/>
      <c r="AXK55" s="346"/>
      <c r="AXL55" s="346"/>
      <c r="AXM55" s="346"/>
      <c r="AXN55" s="346"/>
      <c r="AXO55" s="346"/>
      <c r="AXP55" s="346"/>
      <c r="AXQ55" s="346"/>
      <c r="AXR55" s="346"/>
      <c r="AXS55" s="346"/>
      <c r="AXT55" s="346"/>
      <c r="AXU55" s="346"/>
      <c r="AXV55" s="346"/>
      <c r="AXW55" s="346"/>
      <c r="AXX55" s="346"/>
      <c r="AXY55" s="346"/>
      <c r="AXZ55" s="346"/>
      <c r="AYA55" s="346"/>
      <c r="AYB55" s="346"/>
      <c r="AYC55" s="346"/>
      <c r="AYD55" s="346"/>
      <c r="AYE55" s="346"/>
      <c r="AYF55" s="346"/>
      <c r="AYG55" s="346"/>
      <c r="AYH55" s="346"/>
      <c r="AYI55" s="346"/>
      <c r="AYJ55" s="346"/>
      <c r="AYK55" s="346"/>
      <c r="AYL55" s="346"/>
      <c r="AYM55" s="346"/>
      <c r="AYN55" s="346"/>
      <c r="AYO55" s="346"/>
      <c r="AYP55" s="346"/>
      <c r="AYQ55" s="346"/>
      <c r="AYR55" s="346"/>
      <c r="AYS55" s="346"/>
      <c r="AYT55" s="346"/>
      <c r="AYU55" s="346"/>
      <c r="AYV55" s="346"/>
      <c r="AYW55" s="346"/>
      <c r="AYX55" s="346"/>
      <c r="AYY55" s="346"/>
      <c r="AYZ55" s="346"/>
      <c r="AZA55" s="346"/>
      <c r="AZB55" s="346"/>
      <c r="AZC55" s="346"/>
      <c r="AZD55" s="346"/>
      <c r="AZE55" s="346"/>
      <c r="AZF55" s="346"/>
      <c r="AZG55" s="346"/>
      <c r="AZH55" s="346"/>
      <c r="AZI55" s="346"/>
      <c r="AZJ55" s="346"/>
      <c r="AZK55" s="346"/>
      <c r="AZL55" s="346"/>
      <c r="AZM55" s="346"/>
      <c r="AZN55" s="346"/>
      <c r="AZO55" s="346"/>
      <c r="AZP55" s="346"/>
      <c r="AZQ55" s="346"/>
      <c r="AZR55" s="346"/>
      <c r="AZS55" s="346"/>
      <c r="AZT55" s="346"/>
      <c r="AZU55" s="346"/>
      <c r="AZV55" s="346"/>
      <c r="AZW55" s="346"/>
      <c r="AZX55" s="346"/>
      <c r="AZY55" s="346"/>
      <c r="AZZ55" s="346"/>
      <c r="BAA55" s="346"/>
      <c r="BAB55" s="346"/>
      <c r="BAC55" s="346"/>
      <c r="BAD55" s="346"/>
      <c r="BAE55" s="346"/>
      <c r="BAF55" s="346"/>
      <c r="BAG55" s="346"/>
      <c r="BAH55" s="346"/>
      <c r="BAI55" s="346"/>
      <c r="BAJ55" s="346"/>
      <c r="BAK55" s="346"/>
      <c r="BAL55" s="346"/>
      <c r="BAM55" s="346"/>
      <c r="BAN55" s="346"/>
      <c r="BAO55" s="346"/>
      <c r="BAP55" s="346"/>
      <c r="BAQ55" s="346"/>
      <c r="BAR55" s="346"/>
      <c r="BAS55" s="346"/>
      <c r="BAT55" s="346"/>
      <c r="BAU55" s="346"/>
      <c r="BAV55" s="346"/>
      <c r="BAW55" s="346"/>
      <c r="BAX55" s="346"/>
      <c r="BAY55" s="346"/>
      <c r="BAZ55" s="346"/>
      <c r="BBA55" s="346"/>
      <c r="BBB55" s="346"/>
      <c r="BBC55" s="346"/>
      <c r="BBD55" s="346"/>
      <c r="BBE55" s="346"/>
      <c r="BBF55" s="346"/>
      <c r="BBG55" s="346"/>
      <c r="BBH55" s="346"/>
      <c r="BBI55" s="346"/>
      <c r="BBJ55" s="346"/>
      <c r="BBK55" s="346"/>
      <c r="BBL55" s="346"/>
      <c r="BBM55" s="346"/>
      <c r="BBN55" s="346"/>
      <c r="BBO55" s="346"/>
      <c r="BBP55" s="346"/>
      <c r="BBQ55" s="346"/>
      <c r="BBR55" s="346"/>
      <c r="BBS55" s="346"/>
      <c r="BBT55" s="346"/>
      <c r="BBU55" s="346"/>
      <c r="BBV55" s="346"/>
      <c r="BBW55" s="346"/>
      <c r="BBX55" s="346"/>
      <c r="BBY55" s="346"/>
      <c r="BBZ55" s="346"/>
      <c r="BCA55" s="346"/>
      <c r="BCB55" s="346"/>
      <c r="BCC55" s="346"/>
      <c r="BCD55" s="346"/>
      <c r="BCE55" s="346"/>
      <c r="BCF55" s="346"/>
      <c r="BCG55" s="346"/>
      <c r="BCH55" s="346"/>
      <c r="BCI55" s="346"/>
      <c r="BCJ55" s="346"/>
      <c r="BCK55" s="346"/>
      <c r="BCL55" s="346"/>
      <c r="BCM55" s="346"/>
      <c r="BCN55" s="346"/>
      <c r="BCO55" s="346"/>
      <c r="BCP55" s="346"/>
      <c r="BCQ55" s="346"/>
      <c r="BCR55" s="346"/>
      <c r="BCS55" s="346"/>
      <c r="BCT55" s="346"/>
      <c r="BCU55" s="346"/>
      <c r="BCV55" s="346"/>
      <c r="BCW55" s="346"/>
      <c r="BCX55" s="346"/>
      <c r="BCY55" s="346"/>
      <c r="BCZ55" s="346"/>
      <c r="BDA55" s="346"/>
      <c r="BDB55" s="346"/>
      <c r="BDC55" s="346"/>
      <c r="BDD55" s="346"/>
      <c r="BDE55" s="346"/>
      <c r="BDF55" s="346"/>
      <c r="BDG55" s="346"/>
      <c r="BDH55" s="346"/>
      <c r="BDI55" s="346"/>
      <c r="BDJ55" s="346"/>
      <c r="BDK55" s="346"/>
      <c r="BDL55" s="346"/>
      <c r="BDM55" s="346"/>
      <c r="BDN55" s="346"/>
      <c r="BDO55" s="346"/>
      <c r="BDP55" s="346"/>
      <c r="BDQ55" s="346"/>
      <c r="BDR55" s="346"/>
      <c r="BDS55" s="346"/>
      <c r="BDT55" s="346"/>
      <c r="BDU55" s="346"/>
      <c r="BDV55" s="346"/>
      <c r="BDW55" s="346"/>
      <c r="BDX55" s="346"/>
      <c r="BDY55" s="346"/>
      <c r="BDZ55" s="346"/>
      <c r="BEA55" s="346"/>
      <c r="BEB55" s="346"/>
      <c r="BEC55" s="346"/>
      <c r="BED55" s="346"/>
      <c r="BEE55" s="346"/>
      <c r="BEF55" s="346"/>
      <c r="BEG55" s="346"/>
      <c r="BEH55" s="346"/>
      <c r="BEI55" s="346"/>
      <c r="BEJ55" s="346"/>
      <c r="BEK55" s="346"/>
      <c r="BEL55" s="346"/>
      <c r="BEM55" s="346"/>
      <c r="BEN55" s="346"/>
      <c r="BEO55" s="346"/>
      <c r="BEP55" s="346"/>
      <c r="BEQ55" s="346"/>
      <c r="BER55" s="346"/>
      <c r="BES55" s="346"/>
      <c r="BET55" s="346"/>
      <c r="BEU55" s="346"/>
      <c r="BEV55" s="346"/>
      <c r="BEW55" s="346"/>
      <c r="BEX55" s="346"/>
      <c r="BEY55" s="346"/>
      <c r="BEZ55" s="346"/>
      <c r="BFA55" s="346"/>
      <c r="BFB55" s="346"/>
      <c r="BFC55" s="346"/>
      <c r="BFD55" s="346"/>
      <c r="BFE55" s="346"/>
      <c r="BFF55" s="346"/>
      <c r="BFG55" s="346"/>
      <c r="BFH55" s="346"/>
      <c r="BFI55" s="346"/>
      <c r="BFJ55" s="346"/>
      <c r="BFK55" s="346"/>
      <c r="BFL55" s="346"/>
      <c r="BFM55" s="346"/>
      <c r="BFN55" s="346"/>
      <c r="BFO55" s="346"/>
      <c r="BFP55" s="346"/>
      <c r="BFQ55" s="346"/>
      <c r="BFR55" s="346"/>
      <c r="BFS55" s="346"/>
      <c r="BFT55" s="346"/>
      <c r="BFU55" s="346"/>
      <c r="BFV55" s="346"/>
      <c r="BFW55" s="346"/>
      <c r="BFX55" s="346"/>
      <c r="BFY55" s="346"/>
      <c r="BFZ55" s="346"/>
      <c r="BGA55" s="346"/>
      <c r="BGB55" s="346"/>
      <c r="BGC55" s="346"/>
      <c r="BGD55" s="346"/>
      <c r="BGE55" s="346"/>
      <c r="BGF55" s="346"/>
      <c r="BGG55" s="346"/>
      <c r="BGH55" s="346"/>
      <c r="BGI55" s="346"/>
      <c r="BGJ55" s="346"/>
      <c r="BGK55" s="346"/>
      <c r="BGL55" s="346"/>
      <c r="BGM55" s="346"/>
      <c r="BGN55" s="346"/>
      <c r="BGO55" s="346"/>
      <c r="BGP55" s="346"/>
      <c r="BGQ55" s="346"/>
      <c r="BGR55" s="346"/>
      <c r="BGS55" s="346"/>
      <c r="BGT55" s="346"/>
      <c r="BGU55" s="346"/>
      <c r="BGV55" s="346"/>
      <c r="BGW55" s="346"/>
      <c r="BGX55" s="346"/>
      <c r="BGY55" s="346"/>
      <c r="BGZ55" s="346"/>
      <c r="BHA55" s="346"/>
      <c r="BHB55" s="346"/>
      <c r="BHC55" s="346"/>
      <c r="BHD55" s="346"/>
      <c r="BHE55" s="346"/>
      <c r="BHF55" s="346"/>
      <c r="BHG55" s="346"/>
      <c r="BHH55" s="346"/>
      <c r="BHI55" s="346"/>
      <c r="BHJ55" s="346"/>
      <c r="BHK55" s="346"/>
      <c r="BHL55" s="346"/>
      <c r="BHM55" s="346"/>
      <c r="BHN55" s="346"/>
      <c r="BHO55" s="346"/>
      <c r="BHP55" s="346"/>
      <c r="BHQ55" s="346"/>
      <c r="BHR55" s="346"/>
      <c r="BHS55" s="346"/>
      <c r="BHT55" s="346"/>
      <c r="BHU55" s="346"/>
      <c r="BHV55" s="346"/>
      <c r="BHW55" s="346"/>
      <c r="BHX55" s="346"/>
      <c r="BHY55" s="346"/>
      <c r="BHZ55" s="346"/>
      <c r="BIA55" s="346"/>
      <c r="BIB55" s="346"/>
      <c r="BIC55" s="346"/>
      <c r="BID55" s="346"/>
      <c r="BIE55" s="346"/>
      <c r="BIF55" s="346"/>
      <c r="BIG55" s="346"/>
      <c r="BIH55" s="346"/>
      <c r="BII55" s="346"/>
      <c r="BIJ55" s="346"/>
      <c r="BIK55" s="346"/>
      <c r="BIL55" s="346"/>
      <c r="BIM55" s="346"/>
      <c r="BIN55" s="346"/>
      <c r="BIO55" s="346"/>
      <c r="BIP55" s="346"/>
      <c r="BIQ55" s="346"/>
      <c r="BIR55" s="346"/>
      <c r="BIS55" s="346"/>
      <c r="BIT55" s="346"/>
      <c r="BIU55" s="346"/>
      <c r="BIV55" s="346"/>
      <c r="BIW55" s="346"/>
      <c r="BIX55" s="346"/>
      <c r="BIY55" s="346"/>
      <c r="BIZ55" s="346"/>
      <c r="BJA55" s="346"/>
      <c r="BJB55" s="346"/>
      <c r="BJC55" s="346"/>
      <c r="BJD55" s="346"/>
      <c r="BJE55" s="346"/>
      <c r="BJF55" s="346"/>
      <c r="BJG55" s="346"/>
      <c r="BJH55" s="346"/>
      <c r="BJI55" s="346"/>
      <c r="BJJ55" s="346"/>
      <c r="BJK55" s="346"/>
      <c r="BJL55" s="346"/>
      <c r="BJM55" s="346"/>
      <c r="BJN55" s="346"/>
      <c r="BJO55" s="346"/>
      <c r="BJP55" s="346"/>
      <c r="BJQ55" s="346"/>
      <c r="BJR55" s="346"/>
      <c r="BJS55" s="346"/>
      <c r="BJT55" s="346"/>
      <c r="BJU55" s="346"/>
      <c r="BJV55" s="346"/>
      <c r="BJW55" s="346"/>
      <c r="BJX55" s="346"/>
      <c r="BJY55" s="346"/>
      <c r="BJZ55" s="346"/>
      <c r="BKA55" s="346"/>
      <c r="BKB55" s="346"/>
      <c r="BKC55" s="346"/>
      <c r="BKD55" s="346"/>
      <c r="BKE55" s="346"/>
      <c r="BKF55" s="346"/>
      <c r="BKG55" s="346"/>
      <c r="BKH55" s="346"/>
      <c r="BKI55" s="346"/>
      <c r="BKJ55" s="346"/>
      <c r="BKK55" s="346"/>
      <c r="BKL55" s="346"/>
      <c r="BKM55" s="346"/>
      <c r="BKN55" s="346"/>
      <c r="BKO55" s="346"/>
      <c r="BKP55" s="346"/>
      <c r="BKQ55" s="346"/>
      <c r="BKR55" s="346"/>
      <c r="BKS55" s="346"/>
      <c r="BKT55" s="346"/>
      <c r="BKU55" s="346"/>
      <c r="BKV55" s="346"/>
      <c r="BKW55" s="346"/>
      <c r="BKX55" s="346"/>
      <c r="BKY55" s="346"/>
      <c r="BKZ55" s="346"/>
      <c r="BLA55" s="346"/>
      <c r="BLB55" s="346"/>
      <c r="BLC55" s="346"/>
      <c r="BLD55" s="346"/>
      <c r="BLE55" s="346"/>
      <c r="BLF55" s="346"/>
      <c r="BLG55" s="346"/>
      <c r="BLH55" s="346"/>
      <c r="BLI55" s="346"/>
      <c r="BLJ55" s="346"/>
      <c r="BLK55" s="346"/>
      <c r="BLL55" s="346"/>
      <c r="BLM55" s="346"/>
      <c r="BLN55" s="346"/>
      <c r="BLO55" s="346"/>
      <c r="BLP55" s="346"/>
      <c r="BLQ55" s="346"/>
      <c r="BLR55" s="346"/>
      <c r="BLS55" s="346"/>
      <c r="BLT55" s="346"/>
      <c r="BLU55" s="346"/>
      <c r="BLV55" s="346"/>
      <c r="BLW55" s="346"/>
      <c r="BLX55" s="346"/>
      <c r="BLY55" s="346"/>
      <c r="BLZ55" s="346"/>
      <c r="BMA55" s="346"/>
      <c r="BMB55" s="346"/>
      <c r="BMC55" s="346"/>
      <c r="BMD55" s="346"/>
      <c r="BME55" s="346"/>
      <c r="BMF55" s="346"/>
      <c r="BMG55" s="346"/>
      <c r="BMH55" s="346"/>
      <c r="BMI55" s="346"/>
      <c r="BMJ55" s="346"/>
      <c r="BMK55" s="346"/>
      <c r="BML55" s="346"/>
      <c r="BMM55" s="346"/>
      <c r="BMN55" s="346"/>
      <c r="BMO55" s="346"/>
      <c r="BMP55" s="346"/>
      <c r="BMQ55" s="346"/>
      <c r="BMR55" s="346"/>
      <c r="BMS55" s="346"/>
      <c r="BMT55" s="346"/>
      <c r="BMU55" s="346"/>
      <c r="BMV55" s="346"/>
      <c r="BMW55" s="346"/>
      <c r="BMX55" s="346"/>
      <c r="BMY55" s="346"/>
      <c r="BMZ55" s="346"/>
      <c r="BNA55" s="346"/>
      <c r="BNB55" s="346"/>
      <c r="BNC55" s="346"/>
      <c r="BND55" s="346"/>
      <c r="BNE55" s="346"/>
      <c r="BNF55" s="346"/>
      <c r="BNG55" s="346"/>
      <c r="BNH55" s="346"/>
      <c r="BNI55" s="346"/>
      <c r="BNJ55" s="346"/>
      <c r="BNK55" s="346"/>
      <c r="BNL55" s="346"/>
      <c r="BNM55" s="346"/>
      <c r="BNN55" s="346"/>
      <c r="BNO55" s="346"/>
      <c r="BNP55" s="346"/>
      <c r="BNQ55" s="346"/>
      <c r="BNR55" s="346"/>
      <c r="BNS55" s="346"/>
      <c r="BNT55" s="346"/>
      <c r="BNU55" s="346"/>
      <c r="BNV55" s="346"/>
      <c r="BNW55" s="346"/>
      <c r="BNX55" s="346"/>
      <c r="BNY55" s="346"/>
      <c r="BNZ55" s="346"/>
      <c r="BOA55" s="346"/>
      <c r="BOB55" s="346"/>
      <c r="BOC55" s="346"/>
      <c r="BOD55" s="346"/>
      <c r="BOE55" s="346"/>
      <c r="BOF55" s="346"/>
      <c r="BOG55" s="346"/>
      <c r="BOH55" s="346"/>
      <c r="BOI55" s="346"/>
      <c r="BOJ55" s="346"/>
      <c r="BOK55" s="346"/>
      <c r="BOL55" s="346"/>
      <c r="BOM55" s="346"/>
      <c r="BON55" s="346"/>
      <c r="BOO55" s="346"/>
      <c r="BOP55" s="346"/>
      <c r="BOQ55" s="346"/>
      <c r="BOR55" s="346"/>
      <c r="BOS55" s="346"/>
      <c r="BOT55" s="346"/>
      <c r="BOU55" s="346"/>
      <c r="BOV55" s="346"/>
      <c r="BOW55" s="346"/>
      <c r="BOX55" s="346"/>
      <c r="BOY55" s="346"/>
      <c r="BOZ55" s="346"/>
      <c r="BPA55" s="346"/>
      <c r="BPB55" s="346"/>
      <c r="BPC55" s="346"/>
      <c r="BPD55" s="346"/>
      <c r="BPE55" s="346"/>
      <c r="BPF55" s="346"/>
      <c r="BPG55" s="346"/>
      <c r="BPH55" s="346"/>
      <c r="BPI55" s="346"/>
      <c r="BPJ55" s="346"/>
      <c r="BPK55" s="346"/>
      <c r="BPL55" s="346"/>
      <c r="BPM55" s="346"/>
      <c r="BPN55" s="346"/>
      <c r="BPO55" s="346"/>
      <c r="BPP55" s="346"/>
      <c r="BPQ55" s="346"/>
      <c r="BPR55" s="346"/>
      <c r="BPS55" s="346"/>
      <c r="BPT55" s="346"/>
      <c r="BPU55" s="346"/>
      <c r="BPV55" s="346"/>
      <c r="BPW55" s="346"/>
      <c r="BPX55" s="346"/>
      <c r="BPY55" s="346"/>
      <c r="BPZ55" s="346"/>
      <c r="BQA55" s="346"/>
      <c r="BQB55" s="346"/>
      <c r="BQC55" s="346"/>
      <c r="BQD55" s="346"/>
      <c r="BQE55" s="346"/>
      <c r="BQF55" s="346"/>
      <c r="BQG55" s="346"/>
      <c r="BQH55" s="346"/>
      <c r="BQI55" s="346"/>
      <c r="BQJ55" s="346"/>
      <c r="BQK55" s="346"/>
      <c r="BQL55" s="346"/>
      <c r="BQM55" s="346"/>
      <c r="BQN55" s="346"/>
      <c r="BQO55" s="346"/>
      <c r="BQP55" s="346"/>
      <c r="BQQ55" s="346"/>
      <c r="BQR55" s="346"/>
      <c r="BQS55" s="346"/>
      <c r="BQT55" s="346"/>
      <c r="BQU55" s="346"/>
      <c r="BQV55" s="346"/>
      <c r="BQW55" s="346"/>
      <c r="BQX55" s="346"/>
      <c r="BQY55" s="346"/>
      <c r="BQZ55" s="346"/>
      <c r="BRA55" s="346"/>
      <c r="BRB55" s="346"/>
      <c r="BRC55" s="346"/>
      <c r="BRD55" s="346"/>
      <c r="BRE55" s="346"/>
      <c r="BRF55" s="346"/>
      <c r="BRG55" s="346"/>
      <c r="BRH55" s="346"/>
      <c r="BRI55" s="346"/>
      <c r="BRJ55" s="346"/>
      <c r="BRK55" s="346"/>
      <c r="BRL55" s="346"/>
      <c r="BRM55" s="346"/>
      <c r="BRN55" s="346"/>
      <c r="BRO55" s="346"/>
      <c r="BRP55" s="346"/>
      <c r="BRQ55" s="346"/>
      <c r="BRR55" s="346"/>
      <c r="BRS55" s="346"/>
      <c r="BRT55" s="346"/>
      <c r="BRU55" s="346"/>
      <c r="BRV55" s="346"/>
      <c r="BRW55" s="346"/>
      <c r="BRX55" s="346"/>
      <c r="BRY55" s="346"/>
      <c r="BRZ55" s="346"/>
      <c r="BSA55" s="346"/>
      <c r="BSB55" s="346"/>
      <c r="BSC55" s="346"/>
      <c r="BSD55" s="346"/>
      <c r="BSE55" s="346"/>
      <c r="BSF55" s="346"/>
      <c r="BSG55" s="346"/>
      <c r="BSH55" s="346"/>
      <c r="BSI55" s="346"/>
      <c r="BSJ55" s="346"/>
      <c r="BSK55" s="346"/>
      <c r="BSL55" s="346"/>
      <c r="BSM55" s="346"/>
      <c r="BSN55" s="346"/>
      <c r="BSO55" s="346"/>
      <c r="BSP55" s="346"/>
      <c r="BSQ55" s="346"/>
      <c r="BSR55" s="346"/>
      <c r="BSS55" s="346"/>
      <c r="BST55" s="346"/>
      <c r="BSU55" s="346"/>
      <c r="BSV55" s="346"/>
      <c r="BSW55" s="346"/>
      <c r="BSX55" s="346"/>
      <c r="BSY55" s="346"/>
      <c r="BSZ55" s="346"/>
      <c r="BTA55" s="346"/>
      <c r="BTB55" s="346"/>
      <c r="BTC55" s="346"/>
      <c r="BTD55" s="346"/>
      <c r="BTE55" s="346"/>
      <c r="BTF55" s="346"/>
      <c r="BTG55" s="346"/>
      <c r="BTH55" s="346"/>
      <c r="BTI55" s="346"/>
      <c r="BTJ55" s="346"/>
      <c r="BTK55" s="346"/>
      <c r="BTL55" s="346"/>
      <c r="BTM55" s="346"/>
      <c r="BTN55" s="346"/>
      <c r="BTO55" s="346"/>
      <c r="BTP55" s="346"/>
      <c r="BTQ55" s="346"/>
      <c r="BTR55" s="346"/>
      <c r="BTS55" s="346"/>
      <c r="BTT55" s="346"/>
      <c r="BTU55" s="346"/>
      <c r="BTV55" s="346"/>
      <c r="BTW55" s="346"/>
      <c r="BTX55" s="346"/>
      <c r="BTY55" s="346"/>
      <c r="BTZ55" s="346"/>
      <c r="BUA55" s="346"/>
      <c r="BUB55" s="346"/>
      <c r="BUC55" s="346"/>
      <c r="BUD55" s="346"/>
      <c r="BUE55" s="346"/>
      <c r="BUF55" s="346"/>
      <c r="BUG55" s="346"/>
      <c r="BUH55" s="346"/>
      <c r="BUI55" s="346"/>
      <c r="BUJ55" s="346"/>
      <c r="BUK55" s="346"/>
      <c r="BUL55" s="346"/>
      <c r="BUM55" s="346"/>
      <c r="BUN55" s="346"/>
      <c r="BUO55" s="346"/>
      <c r="BUP55" s="346"/>
      <c r="BUQ55" s="346"/>
      <c r="BUR55" s="346"/>
      <c r="BUS55" s="346"/>
      <c r="BUT55" s="346"/>
      <c r="BUU55" s="346"/>
      <c r="BUV55" s="346"/>
      <c r="BUW55" s="346"/>
      <c r="BUX55" s="346"/>
      <c r="BUY55" s="346"/>
      <c r="BUZ55" s="346"/>
      <c r="BVA55" s="346"/>
      <c r="BVB55" s="346"/>
      <c r="BVC55" s="346"/>
      <c r="BVD55" s="346"/>
      <c r="BVE55" s="346"/>
      <c r="BVF55" s="346"/>
      <c r="BVG55" s="346"/>
      <c r="BVH55" s="346"/>
      <c r="BVI55" s="346"/>
      <c r="BVJ55" s="346"/>
      <c r="BVK55" s="346"/>
      <c r="BVL55" s="346"/>
      <c r="BVM55" s="346"/>
      <c r="BVN55" s="346"/>
      <c r="BVO55" s="346"/>
      <c r="BVP55" s="346"/>
      <c r="BVQ55" s="346"/>
      <c r="BVR55" s="346"/>
      <c r="BVS55" s="346"/>
      <c r="BVT55" s="346"/>
      <c r="BVU55" s="346"/>
      <c r="BVV55" s="346"/>
      <c r="BVW55" s="346"/>
      <c r="BVX55" s="346"/>
      <c r="BVY55" s="346"/>
      <c r="BVZ55" s="346"/>
      <c r="BWA55" s="346"/>
      <c r="BWB55" s="346"/>
      <c r="BWC55" s="346"/>
      <c r="BWD55" s="346"/>
      <c r="BWE55" s="346"/>
      <c r="BWF55" s="346"/>
      <c r="BWG55" s="346"/>
      <c r="BWH55" s="346"/>
      <c r="BWI55" s="346"/>
      <c r="BWJ55" s="346"/>
      <c r="BWK55" s="346"/>
      <c r="BWL55" s="346"/>
      <c r="BWM55" s="346"/>
      <c r="BWN55" s="346"/>
      <c r="BWO55" s="346"/>
      <c r="BWP55" s="346"/>
      <c r="BWQ55" s="346"/>
      <c r="BWR55" s="346"/>
      <c r="BWS55" s="346"/>
      <c r="BWT55" s="346"/>
      <c r="BWU55" s="346"/>
      <c r="BWV55" s="346"/>
      <c r="BWW55" s="346"/>
      <c r="BWX55" s="346"/>
      <c r="BWY55" s="346"/>
      <c r="BWZ55" s="346"/>
      <c r="BXA55" s="346"/>
      <c r="BXB55" s="346"/>
      <c r="BXC55" s="346"/>
      <c r="BXD55" s="346"/>
      <c r="BXE55" s="346"/>
      <c r="BXF55" s="346"/>
      <c r="BXG55" s="346"/>
      <c r="BXH55" s="346"/>
      <c r="BXI55" s="346"/>
      <c r="BXJ55" s="346"/>
      <c r="BXK55" s="346"/>
      <c r="BXL55" s="346"/>
      <c r="BXM55" s="346"/>
      <c r="BXN55" s="346"/>
      <c r="BXO55" s="346"/>
      <c r="BXP55" s="346"/>
      <c r="BXQ55" s="346"/>
      <c r="BXR55" s="346"/>
      <c r="BXS55" s="346"/>
      <c r="BXT55" s="346"/>
      <c r="BXU55" s="346"/>
      <c r="BXV55" s="346"/>
      <c r="BXW55" s="346"/>
      <c r="BXX55" s="346"/>
      <c r="BXY55" s="346"/>
      <c r="BXZ55" s="346"/>
      <c r="BYA55" s="346"/>
      <c r="BYB55" s="346"/>
      <c r="BYC55" s="346"/>
      <c r="BYD55" s="346"/>
      <c r="BYE55" s="346"/>
      <c r="BYF55" s="346"/>
      <c r="BYG55" s="346"/>
      <c r="BYH55" s="346"/>
      <c r="BYI55" s="346"/>
      <c r="BYJ55" s="346"/>
      <c r="BYK55" s="346"/>
      <c r="BYL55" s="346"/>
      <c r="BYM55" s="346"/>
      <c r="BYN55" s="346"/>
      <c r="BYO55" s="346"/>
      <c r="BYP55" s="346"/>
      <c r="BYQ55" s="346"/>
      <c r="BYR55" s="346"/>
      <c r="BYS55" s="346"/>
      <c r="BYT55" s="346"/>
      <c r="BYU55" s="346"/>
      <c r="BYV55" s="346"/>
      <c r="BYW55" s="346"/>
      <c r="BYX55" s="346"/>
      <c r="BYY55" s="346"/>
      <c r="BYZ55" s="346"/>
      <c r="BZA55" s="346"/>
      <c r="BZB55" s="346"/>
      <c r="BZC55" s="346"/>
      <c r="BZD55" s="346"/>
      <c r="BZE55" s="346"/>
      <c r="BZF55" s="346"/>
      <c r="BZG55" s="346"/>
      <c r="BZH55" s="346"/>
      <c r="BZI55" s="346"/>
      <c r="BZJ55" s="346"/>
      <c r="BZK55" s="346"/>
      <c r="BZL55" s="346"/>
      <c r="BZM55" s="346"/>
      <c r="BZN55" s="346"/>
      <c r="BZO55" s="346"/>
      <c r="BZP55" s="346"/>
      <c r="BZQ55" s="346"/>
      <c r="BZR55" s="346"/>
      <c r="BZS55" s="346"/>
      <c r="BZT55" s="346"/>
      <c r="BZU55" s="346"/>
      <c r="BZV55" s="346"/>
      <c r="BZW55" s="346"/>
      <c r="BZX55" s="346"/>
      <c r="BZY55" s="346"/>
      <c r="BZZ55" s="346"/>
      <c r="CAA55" s="346"/>
      <c r="CAB55" s="346"/>
      <c r="CAC55" s="346"/>
      <c r="CAD55" s="346"/>
      <c r="CAE55" s="346"/>
      <c r="CAF55" s="346"/>
      <c r="CAG55" s="346"/>
      <c r="CAH55" s="346"/>
      <c r="CAI55" s="346"/>
      <c r="CAJ55" s="346"/>
      <c r="CAK55" s="346"/>
      <c r="CAL55" s="346"/>
      <c r="CAM55" s="346"/>
      <c r="CAN55" s="346"/>
      <c r="CAO55" s="346"/>
      <c r="CAP55" s="346"/>
      <c r="CAQ55" s="346"/>
      <c r="CAR55" s="346"/>
      <c r="CAS55" s="346"/>
      <c r="CAT55" s="346"/>
      <c r="CAU55" s="346"/>
      <c r="CAV55" s="346"/>
      <c r="CAW55" s="346"/>
      <c r="CAX55" s="346"/>
      <c r="CAY55" s="346"/>
      <c r="CAZ55" s="346"/>
      <c r="CBA55" s="346"/>
      <c r="CBB55" s="346"/>
      <c r="CBC55" s="346"/>
      <c r="CBD55" s="346"/>
      <c r="CBE55" s="346"/>
      <c r="CBF55" s="346"/>
      <c r="CBG55" s="346"/>
      <c r="CBH55" s="346"/>
      <c r="CBI55" s="346"/>
      <c r="CBJ55" s="346"/>
      <c r="CBK55" s="346"/>
      <c r="CBL55" s="346"/>
      <c r="CBM55" s="346"/>
      <c r="CBN55" s="346"/>
      <c r="CBO55" s="346"/>
      <c r="CBP55" s="346"/>
      <c r="CBQ55" s="346"/>
      <c r="CBR55" s="346"/>
      <c r="CBS55" s="346"/>
      <c r="CBT55" s="346"/>
      <c r="CBU55" s="346"/>
      <c r="CBV55" s="346"/>
      <c r="CBW55" s="346"/>
      <c r="CBX55" s="346"/>
      <c r="CBY55" s="346"/>
      <c r="CBZ55" s="346"/>
      <c r="CCA55" s="346"/>
      <c r="CCB55" s="346"/>
      <c r="CCC55" s="346"/>
      <c r="CCD55" s="346"/>
      <c r="CCE55" s="346"/>
      <c r="CCF55" s="346"/>
      <c r="CCG55" s="346"/>
      <c r="CCH55" s="346"/>
      <c r="CCI55" s="346"/>
      <c r="CCJ55" s="346"/>
      <c r="CCK55" s="346"/>
      <c r="CCL55" s="346"/>
      <c r="CCM55" s="346"/>
      <c r="CCN55" s="346"/>
      <c r="CCO55" s="346"/>
      <c r="CCP55" s="346"/>
      <c r="CCQ55" s="346"/>
      <c r="CCR55" s="346"/>
      <c r="CCS55" s="346"/>
      <c r="CCT55" s="346"/>
      <c r="CCU55" s="346"/>
      <c r="CCV55" s="346"/>
      <c r="CCW55" s="346"/>
      <c r="CCX55" s="346"/>
      <c r="CCY55" s="346"/>
      <c r="CCZ55" s="346"/>
      <c r="CDA55" s="346"/>
      <c r="CDB55" s="346"/>
      <c r="CDC55" s="346"/>
      <c r="CDD55" s="346"/>
      <c r="CDE55" s="346"/>
      <c r="CDF55" s="346"/>
      <c r="CDG55" s="346"/>
      <c r="CDH55" s="346"/>
      <c r="CDI55" s="346"/>
      <c r="CDJ55" s="346"/>
      <c r="CDK55" s="346"/>
      <c r="CDL55" s="346"/>
      <c r="CDM55" s="346"/>
      <c r="CDN55" s="346"/>
      <c r="CDO55" s="346"/>
      <c r="CDP55" s="346"/>
      <c r="CDQ55" s="346"/>
      <c r="CDR55" s="346"/>
      <c r="CDS55" s="346"/>
      <c r="CDT55" s="346"/>
      <c r="CDU55" s="346"/>
      <c r="CDV55" s="346"/>
      <c r="CDW55" s="346"/>
      <c r="CDX55" s="346"/>
      <c r="CDY55" s="346"/>
      <c r="CDZ55" s="346"/>
      <c r="CEA55" s="346"/>
      <c r="CEB55" s="346"/>
      <c r="CEC55" s="346"/>
      <c r="CED55" s="346"/>
      <c r="CEE55" s="346"/>
      <c r="CEF55" s="346"/>
      <c r="CEG55" s="346"/>
      <c r="CEH55" s="346"/>
      <c r="CEI55" s="346"/>
      <c r="CEJ55" s="346"/>
      <c r="CEK55" s="346"/>
      <c r="CEL55" s="346"/>
      <c r="CEM55" s="346"/>
      <c r="CEN55" s="346"/>
      <c r="CEO55" s="346"/>
      <c r="CEP55" s="346"/>
      <c r="CEQ55" s="346"/>
      <c r="CER55" s="346"/>
      <c r="CES55" s="346"/>
      <c r="CET55" s="346"/>
      <c r="CEU55" s="346"/>
      <c r="CEV55" s="346"/>
      <c r="CEW55" s="346"/>
      <c r="CEX55" s="346"/>
      <c r="CEY55" s="346"/>
      <c r="CEZ55" s="346"/>
      <c r="CFA55" s="346"/>
      <c r="CFB55" s="346"/>
      <c r="CFC55" s="346"/>
      <c r="CFD55" s="346"/>
      <c r="CFE55" s="346"/>
      <c r="CFF55" s="346"/>
      <c r="CFG55" s="346"/>
      <c r="CFH55" s="346"/>
      <c r="CFI55" s="346"/>
      <c r="CFJ55" s="346"/>
      <c r="CFK55" s="346"/>
      <c r="CFL55" s="346"/>
      <c r="CFM55" s="346"/>
      <c r="CFN55" s="346"/>
      <c r="CFO55" s="346"/>
      <c r="CFP55" s="346"/>
      <c r="CFQ55" s="346"/>
      <c r="CFR55" s="346"/>
      <c r="CFS55" s="346"/>
      <c r="CFT55" s="346"/>
      <c r="CFU55" s="346"/>
      <c r="CFV55" s="346"/>
      <c r="CFW55" s="346"/>
      <c r="CFX55" s="346"/>
      <c r="CFY55" s="346"/>
      <c r="CFZ55" s="346"/>
      <c r="CGA55" s="346"/>
      <c r="CGB55" s="346"/>
      <c r="CGC55" s="346"/>
      <c r="CGD55" s="346"/>
      <c r="CGE55" s="346"/>
      <c r="CGF55" s="346"/>
      <c r="CGG55" s="346"/>
      <c r="CGH55" s="346"/>
      <c r="CGI55" s="346"/>
      <c r="CGJ55" s="346"/>
      <c r="CGK55" s="346"/>
      <c r="CGL55" s="346"/>
      <c r="CGM55" s="346"/>
      <c r="CGN55" s="346"/>
      <c r="CGO55" s="346"/>
      <c r="CGP55" s="346"/>
      <c r="CGQ55" s="346"/>
      <c r="CGR55" s="346"/>
      <c r="CGS55" s="346"/>
      <c r="CGT55" s="346"/>
      <c r="CGU55" s="346"/>
      <c r="CGV55" s="346"/>
      <c r="CGW55" s="346"/>
      <c r="CGX55" s="346"/>
      <c r="CGY55" s="346"/>
      <c r="CGZ55" s="346"/>
      <c r="CHA55" s="346"/>
      <c r="CHB55" s="346"/>
      <c r="CHC55" s="346"/>
      <c r="CHD55" s="346"/>
      <c r="CHE55" s="346"/>
      <c r="CHF55" s="346"/>
      <c r="CHG55" s="346"/>
      <c r="CHH55" s="346"/>
      <c r="CHI55" s="346"/>
      <c r="CHJ55" s="346"/>
      <c r="CHK55" s="346"/>
      <c r="CHL55" s="346"/>
      <c r="CHM55" s="346"/>
      <c r="CHN55" s="346"/>
      <c r="CHO55" s="346"/>
      <c r="CHP55" s="346"/>
      <c r="CHQ55" s="346"/>
      <c r="CHR55" s="346"/>
      <c r="CHS55" s="346"/>
      <c r="CHT55" s="346"/>
      <c r="CHU55" s="346"/>
      <c r="CHV55" s="346"/>
      <c r="CHW55" s="346"/>
      <c r="CHX55" s="346"/>
      <c r="CHY55" s="346"/>
      <c r="CHZ55" s="346"/>
      <c r="CIA55" s="346"/>
      <c r="CIB55" s="346"/>
      <c r="CIC55" s="346"/>
      <c r="CID55" s="346"/>
      <c r="CIE55" s="346"/>
      <c r="CIF55" s="346"/>
      <c r="CIG55" s="346"/>
      <c r="CIH55" s="346"/>
      <c r="CII55" s="346"/>
      <c r="CIJ55" s="346"/>
      <c r="CIK55" s="346"/>
      <c r="CIL55" s="346"/>
      <c r="CIM55" s="346"/>
      <c r="CIN55" s="346"/>
      <c r="CIO55" s="346"/>
      <c r="CIP55" s="346"/>
      <c r="CIQ55" s="346"/>
      <c r="CIR55" s="346"/>
      <c r="CIS55" s="346"/>
      <c r="CIT55" s="346"/>
      <c r="CIU55" s="346"/>
      <c r="CIV55" s="346"/>
      <c r="CIW55" s="346"/>
      <c r="CIX55" s="346"/>
      <c r="CIY55" s="346"/>
      <c r="CIZ55" s="346"/>
      <c r="CJA55" s="346"/>
      <c r="CJB55" s="346"/>
      <c r="CJC55" s="346"/>
      <c r="CJD55" s="346"/>
      <c r="CJE55" s="346"/>
      <c r="CJF55" s="346"/>
      <c r="CJG55" s="346"/>
      <c r="CJH55" s="346"/>
      <c r="CJI55" s="346"/>
      <c r="CJJ55" s="346"/>
      <c r="CJK55" s="346"/>
      <c r="CJL55" s="346"/>
      <c r="CJM55" s="346"/>
      <c r="CJN55" s="346"/>
      <c r="CJO55" s="346"/>
      <c r="CJP55" s="346"/>
      <c r="CJQ55" s="346"/>
      <c r="CJR55" s="346"/>
      <c r="CJS55" s="346"/>
      <c r="CJT55" s="346"/>
      <c r="CJU55" s="346"/>
      <c r="CJV55" s="346"/>
      <c r="CJW55" s="346"/>
      <c r="CJX55" s="346"/>
      <c r="CJY55" s="346"/>
      <c r="CJZ55" s="346"/>
      <c r="CKA55" s="346"/>
      <c r="CKB55" s="346"/>
      <c r="CKC55" s="346"/>
      <c r="CKD55" s="346"/>
      <c r="CKE55" s="346"/>
      <c r="CKF55" s="346"/>
      <c r="CKG55" s="346"/>
      <c r="CKH55" s="346"/>
      <c r="CKI55" s="346"/>
      <c r="CKJ55" s="346"/>
      <c r="CKK55" s="346"/>
      <c r="CKL55" s="346"/>
      <c r="CKM55" s="346"/>
      <c r="CKN55" s="346"/>
      <c r="CKO55" s="346"/>
      <c r="CKP55" s="346"/>
      <c r="CKQ55" s="346"/>
      <c r="CKR55" s="346"/>
      <c r="CKS55" s="346"/>
      <c r="CKT55" s="346"/>
      <c r="CKU55" s="346"/>
      <c r="CKV55" s="346"/>
      <c r="CKW55" s="346"/>
      <c r="CKX55" s="346"/>
      <c r="CKY55" s="346"/>
      <c r="CKZ55" s="346"/>
      <c r="CLA55" s="346"/>
      <c r="CLB55" s="346"/>
      <c r="CLC55" s="346"/>
      <c r="CLD55" s="346"/>
      <c r="CLE55" s="346"/>
      <c r="CLF55" s="346"/>
      <c r="CLG55" s="346"/>
      <c r="CLH55" s="346"/>
      <c r="CLI55" s="346"/>
      <c r="CLJ55" s="346"/>
      <c r="CLK55" s="346"/>
      <c r="CLL55" s="346"/>
      <c r="CLM55" s="346"/>
      <c r="CLN55" s="346"/>
      <c r="CLO55" s="346"/>
      <c r="CLP55" s="346"/>
      <c r="CLQ55" s="346"/>
      <c r="CLR55" s="346"/>
      <c r="CLS55" s="346"/>
      <c r="CLT55" s="346"/>
      <c r="CLU55" s="346"/>
      <c r="CLV55" s="346"/>
      <c r="CLW55" s="346"/>
      <c r="CLX55" s="346"/>
      <c r="CLY55" s="346"/>
      <c r="CLZ55" s="346"/>
      <c r="CMA55" s="346"/>
      <c r="CMB55" s="346"/>
      <c r="CMC55" s="346"/>
      <c r="CMD55" s="346"/>
      <c r="CME55" s="346"/>
      <c r="CMF55" s="346"/>
      <c r="CMG55" s="346"/>
      <c r="CMH55" s="346"/>
      <c r="CMI55" s="346"/>
      <c r="CMJ55" s="346"/>
      <c r="CMK55" s="346"/>
      <c r="CML55" s="346"/>
      <c r="CMM55" s="346"/>
      <c r="CMN55" s="346"/>
      <c r="CMO55" s="346"/>
      <c r="CMP55" s="346"/>
      <c r="CMQ55" s="346"/>
      <c r="CMR55" s="346"/>
      <c r="CMS55" s="346"/>
      <c r="CMT55" s="346"/>
      <c r="CMU55" s="346"/>
      <c r="CMV55" s="346"/>
      <c r="CMW55" s="346"/>
      <c r="CMX55" s="346"/>
      <c r="CMY55" s="346"/>
      <c r="CMZ55" s="346"/>
      <c r="CNA55" s="346"/>
      <c r="CNB55" s="346"/>
      <c r="CNC55" s="346"/>
      <c r="CND55" s="346"/>
      <c r="CNE55" s="346"/>
      <c r="CNF55" s="346"/>
      <c r="CNG55" s="346"/>
      <c r="CNH55" s="346"/>
      <c r="CNI55" s="346"/>
      <c r="CNJ55" s="346"/>
      <c r="CNK55" s="346"/>
      <c r="CNL55" s="346"/>
      <c r="CNM55" s="346"/>
      <c r="CNN55" s="346"/>
      <c r="CNO55" s="346"/>
      <c r="CNP55" s="346"/>
      <c r="CNQ55" s="346"/>
      <c r="CNR55" s="346"/>
      <c r="CNS55" s="346"/>
      <c r="CNT55" s="346"/>
      <c r="CNU55" s="346"/>
      <c r="CNV55" s="346"/>
      <c r="CNW55" s="346"/>
      <c r="CNX55" s="346"/>
      <c r="CNY55" s="346"/>
      <c r="CNZ55" s="346"/>
      <c r="COA55" s="346"/>
      <c r="COB55" s="346"/>
      <c r="COC55" s="346"/>
      <c r="COD55" s="346"/>
      <c r="COE55" s="346"/>
      <c r="COF55" s="346"/>
      <c r="COG55" s="346"/>
      <c r="COH55" s="346"/>
      <c r="COI55" s="346"/>
      <c r="COJ55" s="346"/>
      <c r="COK55" s="346"/>
      <c r="COL55" s="346"/>
      <c r="COM55" s="346"/>
      <c r="CON55" s="346"/>
      <c r="COO55" s="346"/>
      <c r="COP55" s="346"/>
      <c r="COQ55" s="346"/>
      <c r="COR55" s="346"/>
      <c r="COS55" s="346"/>
      <c r="COT55" s="346"/>
      <c r="COU55" s="346"/>
      <c r="COV55" s="346"/>
      <c r="COW55" s="346"/>
      <c r="COX55" s="346"/>
      <c r="COY55" s="346"/>
      <c r="COZ55" s="346"/>
      <c r="CPA55" s="346"/>
      <c r="CPB55" s="346"/>
      <c r="CPC55" s="346"/>
      <c r="CPD55" s="346"/>
      <c r="CPE55" s="346"/>
      <c r="CPF55" s="346"/>
      <c r="CPG55" s="346"/>
      <c r="CPH55" s="346"/>
      <c r="CPI55" s="346"/>
      <c r="CPJ55" s="346"/>
      <c r="CPK55" s="346"/>
      <c r="CPL55" s="346"/>
      <c r="CPM55" s="346"/>
      <c r="CPN55" s="346"/>
      <c r="CPO55" s="346"/>
      <c r="CPP55" s="346"/>
      <c r="CPQ55" s="346"/>
      <c r="CPR55" s="346"/>
      <c r="CPS55" s="346"/>
      <c r="CPT55" s="346"/>
      <c r="CPU55" s="346"/>
      <c r="CPV55" s="346"/>
      <c r="CPW55" s="346"/>
      <c r="CPX55" s="346"/>
      <c r="CPY55" s="346"/>
      <c r="CPZ55" s="346"/>
      <c r="CQA55" s="346"/>
      <c r="CQB55" s="346"/>
      <c r="CQC55" s="346"/>
      <c r="CQD55" s="346"/>
      <c r="CQE55" s="346"/>
      <c r="CQF55" s="346"/>
      <c r="CQG55" s="346"/>
      <c r="CQH55" s="346"/>
      <c r="CQI55" s="346"/>
      <c r="CQJ55" s="346"/>
      <c r="CQK55" s="346"/>
      <c r="CQL55" s="346"/>
      <c r="CQM55" s="346"/>
      <c r="CQN55" s="346"/>
      <c r="CQO55" s="346"/>
      <c r="CQP55" s="346"/>
      <c r="CQQ55" s="346"/>
      <c r="CQR55" s="346"/>
      <c r="CQS55" s="346"/>
      <c r="CQT55" s="346"/>
      <c r="CQU55" s="346"/>
      <c r="CQV55" s="346"/>
      <c r="CQW55" s="346"/>
      <c r="CQX55" s="346"/>
      <c r="CQY55" s="346"/>
      <c r="CQZ55" s="346"/>
      <c r="CRA55" s="346"/>
      <c r="CRB55" s="346"/>
      <c r="CRC55" s="346"/>
      <c r="CRD55" s="346"/>
      <c r="CRE55" s="346"/>
      <c r="CRF55" s="346"/>
      <c r="CRG55" s="346"/>
      <c r="CRH55" s="346"/>
      <c r="CRI55" s="346"/>
      <c r="CRJ55" s="346"/>
      <c r="CRK55" s="346"/>
      <c r="CRL55" s="346"/>
      <c r="CRM55" s="346"/>
      <c r="CRN55" s="346"/>
      <c r="CRO55" s="346"/>
      <c r="CRP55" s="346"/>
      <c r="CRQ55" s="346"/>
      <c r="CRR55" s="346"/>
      <c r="CRS55" s="346"/>
      <c r="CRT55" s="346"/>
      <c r="CRU55" s="346"/>
      <c r="CRV55" s="346"/>
      <c r="CRW55" s="346"/>
      <c r="CRX55" s="346"/>
      <c r="CRY55" s="346"/>
      <c r="CRZ55" s="346"/>
      <c r="CSA55" s="346"/>
      <c r="CSB55" s="346"/>
      <c r="CSC55" s="346"/>
      <c r="CSD55" s="346"/>
      <c r="CSE55" s="346"/>
      <c r="CSF55" s="346"/>
      <c r="CSG55" s="346"/>
      <c r="CSH55" s="346"/>
      <c r="CSI55" s="346"/>
      <c r="CSJ55" s="346"/>
      <c r="CSK55" s="346"/>
      <c r="CSL55" s="346"/>
      <c r="CSM55" s="346"/>
      <c r="CSN55" s="346"/>
      <c r="CSO55" s="346"/>
      <c r="CSP55" s="346"/>
      <c r="CSQ55" s="346"/>
      <c r="CSR55" s="346"/>
      <c r="CSS55" s="346"/>
      <c r="CST55" s="346"/>
      <c r="CSU55" s="346"/>
      <c r="CSV55" s="346"/>
      <c r="CSW55" s="346"/>
      <c r="CSX55" s="346"/>
      <c r="CSY55" s="346"/>
      <c r="CSZ55" s="346"/>
      <c r="CTA55" s="346"/>
      <c r="CTB55" s="346"/>
      <c r="CTC55" s="346"/>
      <c r="CTD55" s="346"/>
      <c r="CTE55" s="346"/>
      <c r="CTF55" s="346"/>
      <c r="CTG55" s="346"/>
      <c r="CTH55" s="346"/>
      <c r="CTI55" s="346"/>
      <c r="CTJ55" s="346"/>
      <c r="CTK55" s="346"/>
      <c r="CTL55" s="346"/>
      <c r="CTM55" s="346"/>
      <c r="CTN55" s="346"/>
      <c r="CTO55" s="346"/>
      <c r="CTP55" s="346"/>
      <c r="CTQ55" s="346"/>
      <c r="CTR55" s="346"/>
      <c r="CTS55" s="346"/>
      <c r="CTT55" s="346"/>
      <c r="CTU55" s="346"/>
      <c r="CTV55" s="346"/>
      <c r="CTW55" s="346"/>
      <c r="CTX55" s="346"/>
      <c r="CTY55" s="346"/>
      <c r="CTZ55" s="346"/>
      <c r="CUA55" s="346"/>
      <c r="CUB55" s="346"/>
      <c r="CUC55" s="346"/>
      <c r="CUD55" s="346"/>
      <c r="CUE55" s="346"/>
      <c r="CUF55" s="346"/>
      <c r="CUG55" s="346"/>
      <c r="CUH55" s="346"/>
      <c r="CUI55" s="346"/>
      <c r="CUJ55" s="346"/>
      <c r="CUK55" s="346"/>
      <c r="CUL55" s="346"/>
      <c r="CUM55" s="346"/>
      <c r="CUN55" s="346"/>
      <c r="CUO55" s="346"/>
      <c r="CUP55" s="346"/>
      <c r="CUQ55" s="346"/>
      <c r="CUR55" s="346"/>
      <c r="CUS55" s="346"/>
      <c r="CUT55" s="346"/>
      <c r="CUU55" s="346"/>
      <c r="CUV55" s="346"/>
      <c r="CUW55" s="346"/>
      <c r="CUX55" s="346"/>
      <c r="CUY55" s="346"/>
      <c r="CUZ55" s="346"/>
      <c r="CVA55" s="346"/>
      <c r="CVB55" s="346"/>
      <c r="CVC55" s="346"/>
      <c r="CVD55" s="346"/>
      <c r="CVE55" s="346"/>
      <c r="CVF55" s="346"/>
      <c r="CVG55" s="346"/>
      <c r="CVH55" s="346"/>
      <c r="CVI55" s="346"/>
      <c r="CVJ55" s="346"/>
      <c r="CVK55" s="346"/>
      <c r="CVL55" s="346"/>
      <c r="CVM55" s="346"/>
      <c r="CVN55" s="346"/>
      <c r="CVO55" s="346"/>
      <c r="CVP55" s="346"/>
      <c r="CVQ55" s="346"/>
      <c r="CVR55" s="346"/>
      <c r="CVS55" s="346"/>
      <c r="CVT55" s="346"/>
      <c r="CVU55" s="346"/>
      <c r="CVV55" s="346"/>
      <c r="CVW55" s="346"/>
      <c r="CVX55" s="346"/>
      <c r="CVY55" s="346"/>
      <c r="CVZ55" s="346"/>
      <c r="CWA55" s="346"/>
      <c r="CWB55" s="346"/>
      <c r="CWC55" s="346"/>
      <c r="CWD55" s="346"/>
      <c r="CWE55" s="346"/>
      <c r="CWF55" s="346"/>
      <c r="CWG55" s="346"/>
      <c r="CWH55" s="346"/>
      <c r="CWI55" s="346"/>
      <c r="CWJ55" s="346"/>
      <c r="CWK55" s="346"/>
      <c r="CWL55" s="346"/>
      <c r="CWM55" s="346"/>
      <c r="CWN55" s="346"/>
      <c r="CWO55" s="346"/>
      <c r="CWP55" s="346"/>
      <c r="CWQ55" s="346"/>
      <c r="CWR55" s="346"/>
      <c r="CWS55" s="346"/>
      <c r="CWT55" s="346"/>
      <c r="CWU55" s="346"/>
      <c r="CWV55" s="346"/>
      <c r="CWW55" s="346"/>
      <c r="CWX55" s="346"/>
      <c r="CWY55" s="346"/>
      <c r="CWZ55" s="346"/>
      <c r="CXA55" s="346"/>
      <c r="CXB55" s="346"/>
      <c r="CXC55" s="346"/>
      <c r="CXD55" s="346"/>
      <c r="CXE55" s="346"/>
      <c r="CXF55" s="346"/>
      <c r="CXG55" s="346"/>
      <c r="CXH55" s="346"/>
      <c r="CXI55" s="346"/>
      <c r="CXJ55" s="346"/>
      <c r="CXK55" s="346"/>
      <c r="CXL55" s="346"/>
      <c r="CXM55" s="346"/>
      <c r="CXN55" s="346"/>
      <c r="CXO55" s="346"/>
      <c r="CXP55" s="346"/>
      <c r="CXQ55" s="346"/>
      <c r="CXR55" s="346"/>
      <c r="CXS55" s="346"/>
      <c r="CXT55" s="346"/>
      <c r="CXU55" s="346"/>
      <c r="CXV55" s="346"/>
      <c r="CXW55" s="346"/>
      <c r="CXX55" s="346"/>
      <c r="CXY55" s="346"/>
      <c r="CXZ55" s="346"/>
      <c r="CYA55" s="346"/>
      <c r="CYB55" s="346"/>
      <c r="CYC55" s="346"/>
      <c r="CYD55" s="346"/>
      <c r="CYE55" s="346"/>
      <c r="CYF55" s="346"/>
      <c r="CYG55" s="346"/>
      <c r="CYH55" s="346"/>
      <c r="CYI55" s="346"/>
      <c r="CYJ55" s="346"/>
      <c r="CYK55" s="346"/>
      <c r="CYL55" s="346"/>
      <c r="CYM55" s="346"/>
      <c r="CYN55" s="346"/>
      <c r="CYO55" s="346"/>
      <c r="CYP55" s="346"/>
      <c r="CYQ55" s="346"/>
      <c r="CYR55" s="346"/>
      <c r="CYS55" s="346"/>
      <c r="CYT55" s="346"/>
      <c r="CYU55" s="346"/>
      <c r="CYV55" s="346"/>
      <c r="CYW55" s="346"/>
      <c r="CYX55" s="346"/>
      <c r="CYY55" s="346"/>
      <c r="CYZ55" s="346"/>
      <c r="CZA55" s="346"/>
      <c r="CZB55" s="346"/>
      <c r="CZC55" s="346"/>
      <c r="CZD55" s="346"/>
      <c r="CZE55" s="346"/>
      <c r="CZF55" s="346"/>
      <c r="CZG55" s="346"/>
      <c r="CZH55" s="346"/>
      <c r="CZI55" s="346"/>
      <c r="CZJ55" s="346"/>
      <c r="CZK55" s="346"/>
      <c r="CZL55" s="346"/>
      <c r="CZM55" s="346"/>
      <c r="CZN55" s="346"/>
      <c r="CZO55" s="346"/>
      <c r="CZP55" s="346"/>
      <c r="CZQ55" s="346"/>
      <c r="CZR55" s="346"/>
      <c r="CZS55" s="346"/>
      <c r="CZT55" s="346"/>
      <c r="CZU55" s="346"/>
      <c r="CZV55" s="346"/>
      <c r="CZW55" s="346"/>
      <c r="CZX55" s="346"/>
      <c r="CZY55" s="346"/>
      <c r="CZZ55" s="346"/>
      <c r="DAA55" s="346"/>
      <c r="DAB55" s="346"/>
      <c r="DAC55" s="346"/>
      <c r="DAD55" s="346"/>
      <c r="DAE55" s="346"/>
      <c r="DAF55" s="346"/>
      <c r="DAG55" s="346"/>
      <c r="DAH55" s="346"/>
      <c r="DAI55" s="346"/>
      <c r="DAJ55" s="346"/>
      <c r="DAK55" s="346"/>
      <c r="DAL55" s="346"/>
      <c r="DAM55" s="346"/>
      <c r="DAN55" s="346"/>
      <c r="DAO55" s="346"/>
      <c r="DAP55" s="346"/>
      <c r="DAQ55" s="346"/>
      <c r="DAR55" s="346"/>
      <c r="DAS55" s="346"/>
      <c r="DAT55" s="346"/>
      <c r="DAU55" s="346"/>
      <c r="DAV55" s="346"/>
      <c r="DAW55" s="346"/>
      <c r="DAX55" s="346"/>
      <c r="DAY55" s="346"/>
      <c r="DAZ55" s="346"/>
      <c r="DBA55" s="346"/>
      <c r="DBB55" s="346"/>
      <c r="DBC55" s="346"/>
      <c r="DBD55" s="346"/>
      <c r="DBE55" s="346"/>
      <c r="DBF55" s="346"/>
      <c r="DBG55" s="346"/>
      <c r="DBH55" s="346"/>
      <c r="DBI55" s="346"/>
      <c r="DBJ55" s="346"/>
      <c r="DBK55" s="346"/>
      <c r="DBL55" s="346"/>
      <c r="DBM55" s="346"/>
      <c r="DBN55" s="346"/>
      <c r="DBO55" s="346"/>
      <c r="DBP55" s="346"/>
      <c r="DBQ55" s="346"/>
      <c r="DBR55" s="346"/>
      <c r="DBS55" s="346"/>
      <c r="DBT55" s="346"/>
      <c r="DBU55" s="346"/>
      <c r="DBV55" s="346"/>
      <c r="DBW55" s="346"/>
      <c r="DBX55" s="346"/>
      <c r="DBY55" s="346"/>
      <c r="DBZ55" s="346"/>
      <c r="DCA55" s="346"/>
      <c r="DCB55" s="346"/>
      <c r="DCC55" s="346"/>
      <c r="DCD55" s="346"/>
      <c r="DCE55" s="346"/>
      <c r="DCF55" s="346"/>
      <c r="DCG55" s="346"/>
      <c r="DCH55" s="346"/>
      <c r="DCI55" s="346"/>
      <c r="DCJ55" s="346"/>
      <c r="DCK55" s="346"/>
      <c r="DCL55" s="346"/>
      <c r="DCM55" s="346"/>
      <c r="DCN55" s="346"/>
      <c r="DCO55" s="346"/>
      <c r="DCP55" s="346"/>
      <c r="DCQ55" s="346"/>
      <c r="DCR55" s="346"/>
      <c r="DCS55" s="346"/>
      <c r="DCT55" s="346"/>
      <c r="DCU55" s="346"/>
      <c r="DCV55" s="346"/>
      <c r="DCW55" s="346"/>
      <c r="DCX55" s="346"/>
      <c r="DCY55" s="346"/>
      <c r="DCZ55" s="346"/>
      <c r="DDA55" s="346"/>
      <c r="DDB55" s="346"/>
      <c r="DDC55" s="346"/>
      <c r="DDD55" s="346"/>
      <c r="DDE55" s="346"/>
      <c r="DDF55" s="346"/>
      <c r="DDG55" s="346"/>
      <c r="DDH55" s="346"/>
      <c r="DDI55" s="346"/>
      <c r="DDJ55" s="346"/>
      <c r="DDK55" s="346"/>
      <c r="DDL55" s="346"/>
      <c r="DDM55" s="346"/>
      <c r="DDN55" s="346"/>
      <c r="DDO55" s="346"/>
      <c r="DDP55" s="346"/>
      <c r="DDQ55" s="346"/>
      <c r="DDR55" s="346"/>
      <c r="DDS55" s="346"/>
      <c r="DDT55" s="346"/>
      <c r="DDU55" s="346"/>
      <c r="DDV55" s="346"/>
      <c r="DDW55" s="346"/>
      <c r="DDX55" s="346"/>
      <c r="DDY55" s="346"/>
      <c r="DDZ55" s="346"/>
      <c r="DEA55" s="346"/>
      <c r="DEB55" s="346"/>
      <c r="DEC55" s="346"/>
      <c r="DED55" s="346"/>
      <c r="DEE55" s="346"/>
      <c r="DEF55" s="346"/>
      <c r="DEG55" s="346"/>
      <c r="DEH55" s="346"/>
      <c r="DEI55" s="346"/>
      <c r="DEJ55" s="346"/>
      <c r="DEK55" s="346"/>
      <c r="DEL55" s="346"/>
      <c r="DEM55" s="346"/>
      <c r="DEN55" s="346"/>
      <c r="DEO55" s="346"/>
      <c r="DEP55" s="346"/>
      <c r="DEQ55" s="346"/>
      <c r="DER55" s="346"/>
      <c r="DES55" s="346"/>
      <c r="DET55" s="346"/>
      <c r="DEU55" s="346"/>
      <c r="DEV55" s="346"/>
      <c r="DEW55" s="346"/>
      <c r="DEX55" s="346"/>
      <c r="DEY55" s="346"/>
      <c r="DEZ55" s="346"/>
      <c r="DFA55" s="346"/>
      <c r="DFB55" s="346"/>
      <c r="DFC55" s="346"/>
      <c r="DFD55" s="346"/>
      <c r="DFE55" s="346"/>
      <c r="DFF55" s="346"/>
      <c r="DFG55" s="346"/>
      <c r="DFH55" s="346"/>
      <c r="DFI55" s="346"/>
      <c r="DFJ55" s="346"/>
      <c r="DFK55" s="346"/>
      <c r="DFL55" s="346"/>
      <c r="DFM55" s="346"/>
      <c r="DFN55" s="346"/>
      <c r="DFO55" s="346"/>
      <c r="DFP55" s="346"/>
      <c r="DFQ55" s="346"/>
      <c r="DFR55" s="346"/>
      <c r="DFS55" s="346"/>
      <c r="DFT55" s="346"/>
      <c r="DFU55" s="346"/>
      <c r="DFV55" s="346"/>
      <c r="DFW55" s="346"/>
      <c r="DFX55" s="346"/>
      <c r="DFY55" s="346"/>
      <c r="DFZ55" s="346"/>
      <c r="DGA55" s="346"/>
      <c r="DGB55" s="346"/>
      <c r="DGC55" s="346"/>
      <c r="DGD55" s="346"/>
      <c r="DGE55" s="346"/>
      <c r="DGF55" s="346"/>
      <c r="DGG55" s="346"/>
      <c r="DGH55" s="346"/>
      <c r="DGI55" s="346"/>
      <c r="DGJ55" s="346"/>
      <c r="DGK55" s="346"/>
      <c r="DGL55" s="346"/>
      <c r="DGM55" s="346"/>
      <c r="DGN55" s="346"/>
      <c r="DGO55" s="346"/>
      <c r="DGP55" s="346"/>
      <c r="DGQ55" s="346"/>
      <c r="DGR55" s="346"/>
      <c r="DGS55" s="346"/>
      <c r="DGT55" s="346"/>
      <c r="DGU55" s="346"/>
      <c r="DGV55" s="346"/>
      <c r="DGW55" s="346"/>
      <c r="DGX55" s="346"/>
      <c r="DGY55" s="346"/>
      <c r="DGZ55" s="346"/>
      <c r="DHA55" s="346"/>
      <c r="DHB55" s="346"/>
      <c r="DHC55" s="346"/>
      <c r="DHD55" s="346"/>
      <c r="DHE55" s="346"/>
      <c r="DHF55" s="346"/>
      <c r="DHG55" s="346"/>
      <c r="DHH55" s="346"/>
      <c r="DHI55" s="346"/>
      <c r="DHJ55" s="346"/>
      <c r="DHK55" s="346"/>
      <c r="DHL55" s="346"/>
      <c r="DHM55" s="346"/>
      <c r="DHN55" s="346"/>
      <c r="DHO55" s="346"/>
      <c r="DHP55" s="346"/>
      <c r="DHQ55" s="346"/>
      <c r="DHR55" s="346"/>
      <c r="DHS55" s="346"/>
      <c r="DHT55" s="346"/>
      <c r="DHU55" s="346"/>
      <c r="DHV55" s="346"/>
      <c r="DHW55" s="346"/>
      <c r="DHX55" s="346"/>
      <c r="DHY55" s="346"/>
      <c r="DHZ55" s="346"/>
      <c r="DIA55" s="346"/>
      <c r="DIB55" s="346"/>
      <c r="DIC55" s="346"/>
      <c r="DID55" s="346"/>
      <c r="DIE55" s="346"/>
      <c r="DIF55" s="346"/>
      <c r="DIG55" s="346"/>
      <c r="DIH55" s="346"/>
      <c r="DII55" s="346"/>
      <c r="DIJ55" s="346"/>
      <c r="DIK55" s="346"/>
      <c r="DIL55" s="346"/>
      <c r="DIM55" s="346"/>
      <c r="DIN55" s="346"/>
      <c r="DIO55" s="346"/>
      <c r="DIP55" s="346"/>
      <c r="DIQ55" s="346"/>
      <c r="DIR55" s="346"/>
      <c r="DIS55" s="346"/>
      <c r="DIT55" s="346"/>
      <c r="DIU55" s="346"/>
      <c r="DIV55" s="346"/>
      <c r="DIW55" s="346"/>
      <c r="DIX55" s="346"/>
      <c r="DIY55" s="346"/>
      <c r="DIZ55" s="346"/>
      <c r="DJA55" s="346"/>
      <c r="DJB55" s="346"/>
      <c r="DJC55" s="346"/>
      <c r="DJD55" s="346"/>
      <c r="DJE55" s="346"/>
      <c r="DJF55" s="346"/>
      <c r="DJG55" s="346"/>
      <c r="DJH55" s="346"/>
      <c r="DJI55" s="346"/>
      <c r="DJJ55" s="346"/>
      <c r="DJK55" s="346"/>
      <c r="DJL55" s="346"/>
      <c r="DJM55" s="346"/>
      <c r="DJN55" s="346"/>
      <c r="DJO55" s="346"/>
      <c r="DJP55" s="346"/>
      <c r="DJQ55" s="346"/>
      <c r="DJR55" s="346"/>
      <c r="DJS55" s="346"/>
      <c r="DJT55" s="346"/>
      <c r="DJU55" s="346"/>
      <c r="DJV55" s="346"/>
      <c r="DJW55" s="346"/>
      <c r="DJX55" s="346"/>
      <c r="DJY55" s="346"/>
      <c r="DJZ55" s="346"/>
      <c r="DKA55" s="346"/>
      <c r="DKB55" s="346"/>
      <c r="DKC55" s="346"/>
      <c r="DKD55" s="346"/>
      <c r="DKE55" s="346"/>
      <c r="DKF55" s="346"/>
      <c r="DKG55" s="346"/>
      <c r="DKH55" s="346"/>
      <c r="DKI55" s="346"/>
      <c r="DKJ55" s="346"/>
      <c r="DKK55" s="346"/>
      <c r="DKL55" s="346"/>
      <c r="DKM55" s="346"/>
      <c r="DKN55" s="346"/>
      <c r="DKO55" s="346"/>
      <c r="DKP55" s="346"/>
      <c r="DKQ55" s="346"/>
      <c r="DKR55" s="346"/>
      <c r="DKS55" s="346"/>
      <c r="DKT55" s="346"/>
      <c r="DKU55" s="346"/>
      <c r="DKV55" s="346"/>
      <c r="DKW55" s="346"/>
      <c r="DKX55" s="346"/>
      <c r="DKY55" s="346"/>
      <c r="DKZ55" s="346"/>
      <c r="DLA55" s="346"/>
      <c r="DLB55" s="346"/>
      <c r="DLC55" s="346"/>
      <c r="DLD55" s="346"/>
      <c r="DLE55" s="346"/>
      <c r="DLF55" s="346"/>
      <c r="DLG55" s="346"/>
      <c r="DLH55" s="346"/>
      <c r="DLI55" s="346"/>
      <c r="DLJ55" s="346"/>
      <c r="DLK55" s="346"/>
      <c r="DLL55" s="346"/>
      <c r="DLM55" s="346"/>
      <c r="DLN55" s="346"/>
      <c r="DLO55" s="346"/>
      <c r="DLP55" s="346"/>
      <c r="DLQ55" s="346"/>
      <c r="DLR55" s="346"/>
      <c r="DLS55" s="346"/>
      <c r="DLT55" s="346"/>
      <c r="DLU55" s="346"/>
      <c r="DLV55" s="346"/>
      <c r="DLW55" s="346"/>
      <c r="DLX55" s="346"/>
      <c r="DLY55" s="346"/>
      <c r="DLZ55" s="346"/>
      <c r="DMA55" s="346"/>
      <c r="DMB55" s="346"/>
      <c r="DMC55" s="346"/>
      <c r="DMD55" s="346"/>
      <c r="DME55" s="346"/>
      <c r="DMF55" s="346"/>
      <c r="DMG55" s="346"/>
      <c r="DMH55" s="346"/>
      <c r="DMI55" s="346"/>
      <c r="DMJ55" s="346"/>
      <c r="DMK55" s="346"/>
      <c r="DML55" s="346"/>
      <c r="DMM55" s="346"/>
      <c r="DMN55" s="346"/>
      <c r="DMO55" s="346"/>
      <c r="DMP55" s="346"/>
      <c r="DMQ55" s="346"/>
      <c r="DMR55" s="346"/>
      <c r="DMS55" s="346"/>
      <c r="DMT55" s="346"/>
      <c r="DMU55" s="346"/>
      <c r="DMV55" s="346"/>
      <c r="DMW55" s="346"/>
      <c r="DMX55" s="346"/>
      <c r="DMY55" s="346"/>
      <c r="DMZ55" s="346"/>
      <c r="DNA55" s="346"/>
      <c r="DNB55" s="346"/>
      <c r="DNC55" s="346"/>
      <c r="DND55" s="346"/>
      <c r="DNE55" s="346"/>
      <c r="DNF55" s="346"/>
      <c r="DNG55" s="346"/>
      <c r="DNH55" s="346"/>
      <c r="DNI55" s="346"/>
      <c r="DNJ55" s="346"/>
      <c r="DNK55" s="346"/>
      <c r="DNL55" s="346"/>
      <c r="DNM55" s="346"/>
      <c r="DNN55" s="346"/>
      <c r="DNO55" s="346"/>
      <c r="DNP55" s="346"/>
      <c r="DNQ55" s="346"/>
      <c r="DNR55" s="346"/>
      <c r="DNS55" s="346"/>
      <c r="DNT55" s="346"/>
      <c r="DNU55" s="346"/>
      <c r="DNV55" s="346"/>
      <c r="DNW55" s="346"/>
      <c r="DNX55" s="346"/>
      <c r="DNY55" s="346"/>
      <c r="DNZ55" s="346"/>
      <c r="DOA55" s="346"/>
      <c r="DOB55" s="346"/>
      <c r="DOC55" s="346"/>
      <c r="DOD55" s="346"/>
      <c r="DOE55" s="346"/>
      <c r="DOF55" s="346"/>
      <c r="DOG55" s="346"/>
      <c r="DOH55" s="346"/>
      <c r="DOI55" s="346"/>
      <c r="DOJ55" s="346"/>
      <c r="DOK55" s="346"/>
      <c r="DOL55" s="346"/>
      <c r="DOM55" s="346"/>
      <c r="DON55" s="346"/>
      <c r="DOO55" s="346"/>
      <c r="DOP55" s="346"/>
      <c r="DOQ55" s="346"/>
      <c r="DOR55" s="346"/>
      <c r="DOS55" s="346"/>
      <c r="DOT55" s="346"/>
      <c r="DOU55" s="346"/>
      <c r="DOV55" s="346"/>
      <c r="DOW55" s="346"/>
      <c r="DOX55" s="346"/>
      <c r="DOY55" s="346"/>
      <c r="DOZ55" s="346"/>
      <c r="DPA55" s="346"/>
      <c r="DPB55" s="346"/>
      <c r="DPC55" s="346"/>
      <c r="DPD55" s="346"/>
      <c r="DPE55" s="346"/>
      <c r="DPF55" s="346"/>
      <c r="DPG55" s="346"/>
      <c r="DPH55" s="346"/>
      <c r="DPI55" s="346"/>
      <c r="DPJ55" s="346"/>
      <c r="DPK55" s="346"/>
      <c r="DPL55" s="346"/>
      <c r="DPM55" s="346"/>
      <c r="DPN55" s="346"/>
      <c r="DPO55" s="346"/>
      <c r="DPP55" s="346"/>
      <c r="DPQ55" s="346"/>
      <c r="DPR55" s="346"/>
      <c r="DPS55" s="346"/>
      <c r="DPT55" s="346"/>
      <c r="DPU55" s="346"/>
      <c r="DPV55" s="346"/>
      <c r="DPW55" s="346"/>
      <c r="DPX55" s="346"/>
      <c r="DPY55" s="346"/>
      <c r="DPZ55" s="346"/>
      <c r="DQA55" s="346"/>
      <c r="DQB55" s="346"/>
      <c r="DQC55" s="346"/>
      <c r="DQD55" s="346"/>
      <c r="DQE55" s="346"/>
      <c r="DQF55" s="346"/>
      <c r="DQG55" s="346"/>
      <c r="DQH55" s="346"/>
      <c r="DQI55" s="346"/>
      <c r="DQJ55" s="346"/>
      <c r="DQK55" s="346"/>
      <c r="DQL55" s="346"/>
      <c r="DQM55" s="346"/>
      <c r="DQN55" s="346"/>
      <c r="DQO55" s="346"/>
      <c r="DQP55" s="346"/>
      <c r="DQQ55" s="346"/>
      <c r="DQR55" s="346"/>
      <c r="DQS55" s="346"/>
      <c r="DQT55" s="346"/>
      <c r="DQU55" s="346"/>
      <c r="DQV55" s="346"/>
      <c r="DQW55" s="346"/>
      <c r="DQX55" s="346"/>
      <c r="DQY55" s="346"/>
      <c r="DQZ55" s="346"/>
      <c r="DRA55" s="346"/>
      <c r="DRB55" s="346"/>
      <c r="DRC55" s="346"/>
      <c r="DRD55" s="346"/>
      <c r="DRE55" s="346"/>
      <c r="DRF55" s="346"/>
      <c r="DRG55" s="346"/>
      <c r="DRH55" s="346"/>
      <c r="DRI55" s="346"/>
      <c r="DRJ55" s="346"/>
      <c r="DRK55" s="346"/>
      <c r="DRL55" s="346"/>
      <c r="DRM55" s="346"/>
      <c r="DRN55" s="346"/>
      <c r="DRO55" s="346"/>
      <c r="DRP55" s="346"/>
      <c r="DRQ55" s="346"/>
      <c r="DRR55" s="346"/>
      <c r="DRS55" s="346"/>
      <c r="DRT55" s="346"/>
      <c r="DRU55" s="346"/>
      <c r="DRV55" s="346"/>
      <c r="DRW55" s="346"/>
      <c r="DRX55" s="346"/>
      <c r="DRY55" s="346"/>
      <c r="DRZ55" s="346"/>
      <c r="DSA55" s="346"/>
      <c r="DSB55" s="346"/>
      <c r="DSC55" s="346"/>
      <c r="DSD55" s="346"/>
      <c r="DSE55" s="346"/>
      <c r="DSF55" s="346"/>
      <c r="DSG55" s="346"/>
      <c r="DSH55" s="346"/>
      <c r="DSI55" s="346"/>
      <c r="DSJ55" s="346"/>
      <c r="DSK55" s="346"/>
      <c r="DSL55" s="346"/>
      <c r="DSM55" s="346"/>
      <c r="DSN55" s="346"/>
      <c r="DSO55" s="346"/>
      <c r="DSP55" s="346"/>
      <c r="DSQ55" s="346"/>
      <c r="DSR55" s="346"/>
      <c r="DSS55" s="346"/>
      <c r="DST55" s="346"/>
      <c r="DSU55" s="346"/>
      <c r="DSV55" s="346"/>
      <c r="DSW55" s="346"/>
      <c r="DSX55" s="346"/>
      <c r="DSY55" s="346"/>
      <c r="DSZ55" s="346"/>
      <c r="DTA55" s="346"/>
      <c r="DTB55" s="346"/>
      <c r="DTC55" s="346"/>
      <c r="DTD55" s="346"/>
      <c r="DTE55" s="346"/>
      <c r="DTF55" s="346"/>
      <c r="DTG55" s="346"/>
      <c r="DTH55" s="346"/>
      <c r="DTI55" s="346"/>
      <c r="DTJ55" s="346"/>
      <c r="DTK55" s="346"/>
      <c r="DTL55" s="346"/>
      <c r="DTM55" s="346"/>
      <c r="DTN55" s="346"/>
      <c r="DTO55" s="346"/>
      <c r="DTP55" s="346"/>
      <c r="DTQ55" s="346"/>
      <c r="DTR55" s="346"/>
      <c r="DTS55" s="346"/>
      <c r="DTT55" s="346"/>
      <c r="DTU55" s="346"/>
      <c r="DTV55" s="346"/>
      <c r="DTW55" s="346"/>
      <c r="DTX55" s="346"/>
      <c r="DTY55" s="346"/>
      <c r="DTZ55" s="346"/>
      <c r="DUA55" s="346"/>
      <c r="DUB55" s="346"/>
      <c r="DUC55" s="346"/>
      <c r="DUD55" s="346"/>
      <c r="DUE55" s="346"/>
      <c r="DUF55" s="346"/>
      <c r="DUG55" s="346"/>
      <c r="DUH55" s="346"/>
      <c r="DUI55" s="346"/>
      <c r="DUJ55" s="346"/>
      <c r="DUK55" s="346"/>
      <c r="DUL55" s="346"/>
      <c r="DUM55" s="346"/>
      <c r="DUN55" s="346"/>
      <c r="DUO55" s="346"/>
      <c r="DUP55" s="346"/>
      <c r="DUQ55" s="346"/>
      <c r="DUR55" s="346"/>
      <c r="DUS55" s="346"/>
      <c r="DUT55" s="346"/>
      <c r="DUU55" s="346"/>
      <c r="DUV55" s="346"/>
      <c r="DUW55" s="346"/>
      <c r="DUX55" s="346"/>
      <c r="DUY55" s="346"/>
      <c r="DUZ55" s="346"/>
      <c r="DVA55" s="346"/>
      <c r="DVB55" s="346"/>
      <c r="DVC55" s="346"/>
      <c r="DVD55" s="346"/>
      <c r="DVE55" s="346"/>
      <c r="DVF55" s="346"/>
      <c r="DVG55" s="346"/>
      <c r="DVH55" s="346"/>
      <c r="DVI55" s="346"/>
      <c r="DVJ55" s="346"/>
      <c r="DVK55" s="346"/>
      <c r="DVL55" s="346"/>
      <c r="DVM55" s="346"/>
      <c r="DVN55" s="346"/>
      <c r="DVO55" s="346"/>
      <c r="DVP55" s="346"/>
      <c r="DVQ55" s="346"/>
      <c r="DVR55" s="346"/>
      <c r="DVS55" s="346"/>
      <c r="DVT55" s="346"/>
      <c r="DVU55" s="346"/>
      <c r="DVV55" s="346"/>
      <c r="DVW55" s="346"/>
      <c r="DVX55" s="346"/>
      <c r="DVY55" s="346"/>
      <c r="DVZ55" s="346"/>
      <c r="DWA55" s="346"/>
      <c r="DWB55" s="346"/>
      <c r="DWC55" s="346"/>
      <c r="DWD55" s="346"/>
      <c r="DWE55" s="346"/>
      <c r="DWF55" s="346"/>
      <c r="DWG55" s="346"/>
      <c r="DWH55" s="346"/>
      <c r="DWI55" s="346"/>
      <c r="DWJ55" s="346"/>
      <c r="DWK55" s="346"/>
      <c r="DWL55" s="346"/>
      <c r="DWM55" s="346"/>
      <c r="DWN55" s="346"/>
      <c r="DWO55" s="346"/>
      <c r="DWP55" s="346"/>
      <c r="DWQ55" s="346"/>
      <c r="DWR55" s="346"/>
      <c r="DWS55" s="346"/>
      <c r="DWT55" s="346"/>
      <c r="DWU55" s="346"/>
      <c r="DWV55" s="346"/>
      <c r="DWW55" s="346"/>
      <c r="DWX55" s="346"/>
      <c r="DWY55" s="346"/>
      <c r="DWZ55" s="346"/>
      <c r="DXA55" s="346"/>
      <c r="DXB55" s="346"/>
      <c r="DXC55" s="346"/>
      <c r="DXD55" s="346"/>
      <c r="DXE55" s="346"/>
      <c r="DXF55" s="346"/>
      <c r="DXG55" s="346"/>
      <c r="DXH55" s="346"/>
      <c r="DXI55" s="346"/>
      <c r="DXJ55" s="346"/>
      <c r="DXK55" s="346"/>
      <c r="DXL55" s="346"/>
      <c r="DXM55" s="346"/>
      <c r="DXN55" s="346"/>
      <c r="DXO55" s="346"/>
      <c r="DXP55" s="346"/>
      <c r="DXQ55" s="346"/>
      <c r="DXR55" s="346"/>
      <c r="DXS55" s="346"/>
      <c r="DXT55" s="346"/>
      <c r="DXU55" s="346"/>
      <c r="DXV55" s="346"/>
      <c r="DXW55" s="346"/>
      <c r="DXX55" s="346"/>
      <c r="DXY55" s="346"/>
      <c r="DXZ55" s="346"/>
      <c r="DYA55" s="346"/>
      <c r="DYB55" s="346"/>
      <c r="DYC55" s="346"/>
      <c r="DYD55" s="346"/>
      <c r="DYE55" s="346"/>
      <c r="DYF55" s="346"/>
      <c r="DYG55" s="346"/>
      <c r="DYH55" s="346"/>
      <c r="DYI55" s="346"/>
      <c r="DYJ55" s="346"/>
      <c r="DYK55" s="346"/>
      <c r="DYL55" s="346"/>
      <c r="DYM55" s="346"/>
      <c r="DYN55" s="346"/>
      <c r="DYO55" s="346"/>
      <c r="DYP55" s="346"/>
      <c r="DYQ55" s="346"/>
      <c r="DYR55" s="346"/>
      <c r="DYS55" s="346"/>
      <c r="DYT55" s="346"/>
      <c r="DYU55" s="346"/>
      <c r="DYV55" s="346"/>
      <c r="DYW55" s="346"/>
      <c r="DYX55" s="346"/>
      <c r="DYY55" s="346"/>
      <c r="DYZ55" s="346"/>
      <c r="DZA55" s="346"/>
      <c r="DZB55" s="346"/>
      <c r="DZC55" s="346"/>
      <c r="DZD55" s="346"/>
      <c r="DZE55" s="346"/>
      <c r="DZF55" s="346"/>
      <c r="DZG55" s="346"/>
      <c r="DZH55" s="346"/>
      <c r="DZI55" s="346"/>
      <c r="DZJ55" s="346"/>
      <c r="DZK55" s="346"/>
      <c r="DZL55" s="346"/>
      <c r="DZM55" s="346"/>
      <c r="DZN55" s="346"/>
      <c r="DZO55" s="346"/>
      <c r="DZP55" s="346"/>
      <c r="DZQ55" s="346"/>
      <c r="DZR55" s="346"/>
      <c r="DZS55" s="346"/>
      <c r="DZT55" s="346"/>
      <c r="DZU55" s="346"/>
      <c r="DZV55" s="346"/>
      <c r="DZW55" s="346"/>
      <c r="DZX55" s="346"/>
      <c r="DZY55" s="346"/>
      <c r="DZZ55" s="346"/>
      <c r="EAA55" s="346"/>
      <c r="EAB55" s="346"/>
      <c r="EAC55" s="346"/>
      <c r="EAD55" s="346"/>
      <c r="EAE55" s="346"/>
      <c r="EAF55" s="346"/>
      <c r="EAG55" s="346"/>
      <c r="EAH55" s="346"/>
      <c r="EAI55" s="346"/>
      <c r="EAJ55" s="346"/>
      <c r="EAK55" s="346"/>
      <c r="EAL55" s="346"/>
      <c r="EAM55" s="346"/>
      <c r="EAN55" s="346"/>
      <c r="EAO55" s="346"/>
      <c r="EAP55" s="346"/>
      <c r="EAQ55" s="346"/>
      <c r="EAR55" s="346"/>
      <c r="EAS55" s="346"/>
      <c r="EAT55" s="346"/>
      <c r="EAU55" s="346"/>
      <c r="EAV55" s="346"/>
      <c r="EAW55" s="346"/>
      <c r="EAX55" s="346"/>
      <c r="EAY55" s="346"/>
      <c r="EAZ55" s="346"/>
      <c r="EBA55" s="346"/>
      <c r="EBB55" s="346"/>
      <c r="EBC55" s="346"/>
      <c r="EBD55" s="346"/>
      <c r="EBE55" s="346"/>
      <c r="EBF55" s="346"/>
      <c r="EBG55" s="346"/>
      <c r="EBH55" s="346"/>
      <c r="EBI55" s="346"/>
      <c r="EBJ55" s="346"/>
      <c r="EBK55" s="346"/>
      <c r="EBL55" s="346"/>
      <c r="EBM55" s="346"/>
      <c r="EBN55" s="346"/>
      <c r="EBO55" s="346"/>
      <c r="EBP55" s="346"/>
      <c r="EBQ55" s="346"/>
      <c r="EBR55" s="346"/>
      <c r="EBS55" s="346"/>
      <c r="EBT55" s="346"/>
      <c r="EBU55" s="346"/>
      <c r="EBV55" s="346"/>
      <c r="EBW55" s="346"/>
      <c r="EBX55" s="346"/>
      <c r="EBY55" s="346"/>
      <c r="EBZ55" s="346"/>
      <c r="ECA55" s="346"/>
      <c r="ECB55" s="346"/>
      <c r="ECC55" s="346"/>
      <c r="ECD55" s="346"/>
      <c r="ECE55" s="346"/>
      <c r="ECF55" s="346"/>
      <c r="ECG55" s="346"/>
      <c r="ECH55" s="346"/>
      <c r="ECI55" s="346"/>
      <c r="ECJ55" s="346"/>
      <c r="ECK55" s="346"/>
      <c r="ECL55" s="346"/>
      <c r="ECM55" s="346"/>
      <c r="ECN55" s="346"/>
      <c r="ECO55" s="346"/>
      <c r="ECP55" s="346"/>
      <c r="ECQ55" s="346"/>
      <c r="ECR55" s="346"/>
      <c r="ECS55" s="346"/>
      <c r="ECT55" s="346"/>
      <c r="ECU55" s="346"/>
      <c r="ECV55" s="346"/>
      <c r="ECW55" s="346"/>
      <c r="ECX55" s="346"/>
      <c r="ECY55" s="346"/>
      <c r="ECZ55" s="346"/>
      <c r="EDA55" s="346"/>
      <c r="EDB55" s="346"/>
      <c r="EDC55" s="346"/>
      <c r="EDD55" s="346"/>
      <c r="EDE55" s="346"/>
      <c r="EDF55" s="346"/>
      <c r="EDG55" s="346"/>
      <c r="EDH55" s="346"/>
      <c r="EDI55" s="346"/>
      <c r="EDJ55" s="346"/>
      <c r="EDK55" s="346"/>
      <c r="EDL55" s="346"/>
      <c r="EDM55" s="346"/>
      <c r="EDN55" s="346"/>
      <c r="EDO55" s="346"/>
      <c r="EDP55" s="346"/>
      <c r="EDQ55" s="346"/>
      <c r="EDR55" s="346"/>
      <c r="EDS55" s="346"/>
      <c r="EDT55" s="346"/>
      <c r="EDU55" s="346"/>
      <c r="EDV55" s="346"/>
      <c r="EDW55" s="346"/>
      <c r="EDX55" s="346"/>
      <c r="EDY55" s="346"/>
      <c r="EDZ55" s="346"/>
      <c r="EEA55" s="346"/>
      <c r="EEB55" s="346"/>
      <c r="EEC55" s="346"/>
      <c r="EED55" s="346"/>
      <c r="EEE55" s="346"/>
      <c r="EEF55" s="346"/>
      <c r="EEG55" s="346"/>
      <c r="EEH55" s="346"/>
      <c r="EEI55" s="346"/>
      <c r="EEJ55" s="346"/>
      <c r="EEK55" s="346"/>
      <c r="EEL55" s="346"/>
      <c r="EEM55" s="346"/>
      <c r="EEN55" s="346"/>
      <c r="EEO55" s="346"/>
      <c r="EEP55" s="346"/>
      <c r="EEQ55" s="346"/>
      <c r="EER55" s="346"/>
      <c r="EES55" s="346"/>
      <c r="EET55" s="346"/>
      <c r="EEU55" s="346"/>
      <c r="EEV55" s="346"/>
      <c r="EEW55" s="346"/>
      <c r="EEX55" s="346"/>
      <c r="EEY55" s="346"/>
      <c r="EEZ55" s="346"/>
      <c r="EFA55" s="346"/>
      <c r="EFB55" s="346"/>
      <c r="EFC55" s="346"/>
      <c r="EFD55" s="346"/>
      <c r="EFE55" s="346"/>
      <c r="EFF55" s="346"/>
      <c r="EFG55" s="346"/>
      <c r="EFH55" s="346"/>
      <c r="EFI55" s="346"/>
      <c r="EFJ55" s="346"/>
      <c r="EFK55" s="346"/>
      <c r="EFL55" s="346"/>
      <c r="EFM55" s="346"/>
      <c r="EFN55" s="346"/>
      <c r="EFO55" s="346"/>
      <c r="EFP55" s="346"/>
      <c r="EFQ55" s="346"/>
      <c r="EFR55" s="346"/>
      <c r="EFS55" s="346"/>
      <c r="EFT55" s="346"/>
      <c r="EFU55" s="346"/>
      <c r="EFV55" s="346"/>
      <c r="EFW55" s="346"/>
      <c r="EFX55" s="346"/>
      <c r="EFY55" s="346"/>
      <c r="EFZ55" s="346"/>
      <c r="EGA55" s="346"/>
      <c r="EGB55" s="346"/>
      <c r="EGC55" s="346"/>
      <c r="EGD55" s="346"/>
      <c r="EGE55" s="346"/>
      <c r="EGF55" s="346"/>
      <c r="EGG55" s="346"/>
      <c r="EGH55" s="346"/>
      <c r="EGI55" s="346"/>
      <c r="EGJ55" s="346"/>
      <c r="EGK55" s="346"/>
      <c r="EGL55" s="346"/>
      <c r="EGM55" s="346"/>
      <c r="EGN55" s="346"/>
      <c r="EGO55" s="346"/>
      <c r="EGP55" s="346"/>
      <c r="EGQ55" s="346"/>
      <c r="EGR55" s="346"/>
      <c r="EGS55" s="346"/>
      <c r="EGT55" s="346"/>
      <c r="EGU55" s="346"/>
      <c r="EGV55" s="346"/>
      <c r="EGW55" s="346"/>
      <c r="EGX55" s="346"/>
      <c r="EGY55" s="346"/>
      <c r="EGZ55" s="346"/>
      <c r="EHA55" s="346"/>
      <c r="EHB55" s="346"/>
      <c r="EHC55" s="346"/>
      <c r="EHD55" s="346"/>
      <c r="EHE55" s="346"/>
      <c r="EHF55" s="346"/>
      <c r="EHG55" s="346"/>
      <c r="EHH55" s="346"/>
      <c r="EHI55" s="346"/>
      <c r="EHJ55" s="346"/>
      <c r="EHK55" s="346"/>
      <c r="EHL55" s="346"/>
      <c r="EHM55" s="346"/>
      <c r="EHN55" s="346"/>
      <c r="EHO55" s="346"/>
      <c r="EHP55" s="346"/>
      <c r="EHQ55" s="346"/>
      <c r="EHR55" s="346"/>
      <c r="EHS55" s="346"/>
      <c r="EHT55" s="346"/>
      <c r="EHU55" s="346"/>
      <c r="EHV55" s="346"/>
      <c r="EHW55" s="346"/>
      <c r="EHX55" s="346"/>
      <c r="EHY55" s="346"/>
      <c r="EHZ55" s="346"/>
      <c r="EIA55" s="346"/>
      <c r="EIB55" s="346"/>
      <c r="EIC55" s="346"/>
      <c r="EID55" s="346"/>
      <c r="EIE55" s="346"/>
      <c r="EIF55" s="346"/>
      <c r="EIG55" s="346"/>
      <c r="EIH55" s="346"/>
      <c r="EII55" s="346"/>
      <c r="EIJ55" s="346"/>
      <c r="EIK55" s="346"/>
      <c r="EIL55" s="346"/>
      <c r="EIM55" s="346"/>
      <c r="EIN55" s="346"/>
      <c r="EIO55" s="346"/>
      <c r="EIP55" s="346"/>
      <c r="EIQ55" s="346"/>
      <c r="EIR55" s="346"/>
      <c r="EIS55" s="346"/>
      <c r="EIT55" s="346"/>
      <c r="EIU55" s="346"/>
      <c r="EIV55" s="346"/>
      <c r="EIW55" s="346"/>
      <c r="EIX55" s="346"/>
      <c r="EIY55" s="346"/>
      <c r="EIZ55" s="346"/>
      <c r="EJA55" s="346"/>
      <c r="EJB55" s="346"/>
      <c r="EJC55" s="346"/>
      <c r="EJD55" s="346"/>
      <c r="EJE55" s="346"/>
      <c r="EJF55" s="346"/>
      <c r="EJG55" s="346"/>
      <c r="EJH55" s="346"/>
      <c r="EJI55" s="346"/>
      <c r="EJJ55" s="346"/>
      <c r="EJK55" s="346"/>
      <c r="EJL55" s="346"/>
      <c r="EJM55" s="346"/>
      <c r="EJN55" s="346"/>
      <c r="EJO55" s="346"/>
      <c r="EJP55" s="346"/>
      <c r="EJQ55" s="346"/>
      <c r="EJR55" s="346"/>
      <c r="EJS55" s="346"/>
      <c r="EJT55" s="346"/>
      <c r="EJU55" s="346"/>
      <c r="EJV55" s="346"/>
      <c r="EJW55" s="346"/>
      <c r="EJX55" s="346"/>
      <c r="EJY55" s="346"/>
      <c r="EJZ55" s="346"/>
      <c r="EKA55" s="346"/>
      <c r="EKB55" s="346"/>
      <c r="EKC55" s="346"/>
      <c r="EKD55" s="346"/>
      <c r="EKE55" s="346"/>
      <c r="EKF55" s="346"/>
      <c r="EKG55" s="346"/>
      <c r="EKH55" s="346"/>
      <c r="EKI55" s="346"/>
      <c r="EKJ55" s="346"/>
      <c r="EKK55" s="346"/>
      <c r="EKL55" s="346"/>
      <c r="EKM55" s="346"/>
      <c r="EKN55" s="346"/>
      <c r="EKO55" s="346"/>
      <c r="EKP55" s="346"/>
      <c r="EKQ55" s="346"/>
      <c r="EKR55" s="346"/>
      <c r="EKS55" s="346"/>
      <c r="EKT55" s="346"/>
      <c r="EKU55" s="346"/>
      <c r="EKV55" s="346"/>
      <c r="EKW55" s="346"/>
      <c r="EKX55" s="346"/>
      <c r="EKY55" s="346"/>
      <c r="EKZ55" s="346"/>
      <c r="ELA55" s="346"/>
      <c r="ELB55" s="346"/>
      <c r="ELC55" s="346"/>
      <c r="ELD55" s="346"/>
      <c r="ELE55" s="346"/>
      <c r="ELF55" s="346"/>
      <c r="ELG55" s="346"/>
      <c r="ELH55" s="346"/>
      <c r="ELI55" s="346"/>
      <c r="ELJ55" s="346"/>
      <c r="ELK55" s="346"/>
      <c r="ELL55" s="346"/>
      <c r="ELM55" s="346"/>
      <c r="ELN55" s="346"/>
      <c r="ELO55" s="346"/>
      <c r="ELP55" s="346"/>
      <c r="ELQ55" s="346"/>
      <c r="ELR55" s="346"/>
      <c r="ELS55" s="346"/>
      <c r="ELT55" s="346"/>
      <c r="ELU55" s="346"/>
      <c r="ELV55" s="346"/>
      <c r="ELW55" s="346"/>
      <c r="ELX55" s="346"/>
      <c r="ELY55" s="346"/>
      <c r="ELZ55" s="346"/>
      <c r="EMA55" s="346"/>
      <c r="EMB55" s="346"/>
      <c r="EMC55" s="346"/>
      <c r="EMD55" s="346"/>
      <c r="EME55" s="346"/>
      <c r="EMF55" s="346"/>
      <c r="EMG55" s="346"/>
      <c r="EMH55" s="346"/>
      <c r="EMI55" s="346"/>
      <c r="EMJ55" s="346"/>
      <c r="EMK55" s="346"/>
      <c r="EML55" s="346"/>
      <c r="EMM55" s="346"/>
      <c r="EMN55" s="346"/>
      <c r="EMO55" s="346"/>
      <c r="EMP55" s="346"/>
      <c r="EMQ55" s="346"/>
      <c r="EMR55" s="346"/>
      <c r="EMS55" s="346"/>
      <c r="EMT55" s="346"/>
      <c r="EMU55" s="346"/>
      <c r="EMV55" s="346"/>
      <c r="EMW55" s="346"/>
      <c r="EMX55" s="346"/>
      <c r="EMY55" s="346"/>
      <c r="EMZ55" s="346"/>
      <c r="ENA55" s="346"/>
      <c r="ENB55" s="346"/>
      <c r="ENC55" s="346"/>
      <c r="END55" s="346"/>
      <c r="ENE55" s="346"/>
      <c r="ENF55" s="346"/>
      <c r="ENG55" s="346"/>
      <c r="ENH55" s="346"/>
      <c r="ENI55" s="346"/>
      <c r="ENJ55" s="346"/>
      <c r="ENK55" s="346"/>
      <c r="ENL55" s="346"/>
      <c r="ENM55" s="346"/>
      <c r="ENN55" s="346"/>
      <c r="ENO55" s="346"/>
      <c r="ENP55" s="346"/>
      <c r="ENQ55" s="346"/>
      <c r="ENR55" s="346"/>
      <c r="ENS55" s="346"/>
      <c r="ENT55" s="346"/>
      <c r="ENU55" s="346"/>
      <c r="ENV55" s="346"/>
      <c r="ENW55" s="346"/>
      <c r="ENX55" s="346"/>
      <c r="ENY55" s="346"/>
      <c r="ENZ55" s="346"/>
      <c r="EOA55" s="346"/>
      <c r="EOB55" s="346"/>
      <c r="EOC55" s="346"/>
      <c r="EOD55" s="346"/>
      <c r="EOE55" s="346"/>
      <c r="EOF55" s="346"/>
      <c r="EOG55" s="346"/>
      <c r="EOH55" s="346"/>
      <c r="EOI55" s="346"/>
      <c r="EOJ55" s="346"/>
      <c r="EOK55" s="346"/>
      <c r="EOL55" s="346"/>
      <c r="EOM55" s="346"/>
      <c r="EON55" s="346"/>
      <c r="EOO55" s="346"/>
      <c r="EOP55" s="346"/>
      <c r="EOQ55" s="346"/>
      <c r="EOR55" s="346"/>
      <c r="EOS55" s="346"/>
      <c r="EOT55" s="346"/>
      <c r="EOU55" s="346"/>
      <c r="EOV55" s="346"/>
      <c r="EOW55" s="346"/>
      <c r="EOX55" s="346"/>
      <c r="EOY55" s="346"/>
      <c r="EOZ55" s="346"/>
      <c r="EPA55" s="346"/>
      <c r="EPB55" s="346"/>
      <c r="EPC55" s="346"/>
      <c r="EPD55" s="346"/>
      <c r="EPE55" s="346"/>
      <c r="EPF55" s="346"/>
      <c r="EPG55" s="346"/>
      <c r="EPH55" s="346"/>
      <c r="EPI55" s="346"/>
      <c r="EPJ55" s="346"/>
      <c r="EPK55" s="346"/>
      <c r="EPL55" s="346"/>
      <c r="EPM55" s="346"/>
      <c r="EPN55" s="346"/>
      <c r="EPO55" s="346"/>
      <c r="EPP55" s="346"/>
      <c r="EPQ55" s="346"/>
      <c r="EPR55" s="346"/>
      <c r="EPS55" s="346"/>
      <c r="EPT55" s="346"/>
      <c r="EPU55" s="346"/>
      <c r="EPV55" s="346"/>
      <c r="EPW55" s="346"/>
      <c r="EPX55" s="346"/>
      <c r="EPY55" s="346"/>
      <c r="EPZ55" s="346"/>
      <c r="EQA55" s="346"/>
      <c r="EQB55" s="346"/>
      <c r="EQC55" s="346"/>
      <c r="EQD55" s="346"/>
      <c r="EQE55" s="346"/>
      <c r="EQF55" s="346"/>
      <c r="EQG55" s="346"/>
      <c r="EQH55" s="346"/>
      <c r="EQI55" s="346"/>
      <c r="EQJ55" s="346"/>
      <c r="EQK55" s="346"/>
      <c r="EQL55" s="346"/>
      <c r="EQM55" s="346"/>
      <c r="EQN55" s="346"/>
      <c r="EQO55" s="346"/>
      <c r="EQP55" s="346"/>
      <c r="EQQ55" s="346"/>
      <c r="EQR55" s="346"/>
      <c r="EQS55" s="346"/>
      <c r="EQT55" s="346"/>
      <c r="EQU55" s="346"/>
      <c r="EQV55" s="346"/>
      <c r="EQW55" s="346"/>
      <c r="EQX55" s="346"/>
      <c r="EQY55" s="346"/>
      <c r="EQZ55" s="346"/>
      <c r="ERA55" s="346"/>
      <c r="ERB55" s="346"/>
      <c r="ERC55" s="346"/>
      <c r="ERD55" s="346"/>
      <c r="ERE55" s="346"/>
      <c r="ERF55" s="346"/>
      <c r="ERG55" s="346"/>
      <c r="ERH55" s="346"/>
      <c r="ERI55" s="346"/>
      <c r="ERJ55" s="346"/>
      <c r="ERK55" s="346"/>
      <c r="ERL55" s="346"/>
      <c r="ERM55" s="346"/>
      <c r="ERN55" s="346"/>
      <c r="ERO55" s="346"/>
      <c r="ERP55" s="346"/>
      <c r="ERQ55" s="346"/>
      <c r="ERR55" s="346"/>
      <c r="ERS55" s="346"/>
      <c r="ERT55" s="346"/>
      <c r="ERU55" s="346"/>
      <c r="ERV55" s="346"/>
      <c r="ERW55" s="346"/>
      <c r="ERX55" s="346"/>
      <c r="ERY55" s="346"/>
      <c r="ERZ55" s="346"/>
      <c r="ESA55" s="346"/>
      <c r="ESB55" s="346"/>
      <c r="ESC55" s="346"/>
      <c r="ESD55" s="346"/>
      <c r="ESE55" s="346"/>
      <c r="ESF55" s="346"/>
      <c r="ESG55" s="346"/>
      <c r="ESH55" s="346"/>
      <c r="ESI55" s="346"/>
      <c r="ESJ55" s="346"/>
      <c r="ESK55" s="346"/>
      <c r="ESL55" s="346"/>
      <c r="ESM55" s="346"/>
      <c r="ESN55" s="346"/>
      <c r="ESO55" s="346"/>
      <c r="ESP55" s="346"/>
      <c r="ESQ55" s="346"/>
      <c r="ESR55" s="346"/>
      <c r="ESS55" s="346"/>
      <c r="EST55" s="346"/>
      <c r="ESU55" s="346"/>
      <c r="ESV55" s="346"/>
      <c r="ESW55" s="346"/>
      <c r="ESX55" s="346"/>
      <c r="ESY55" s="346"/>
      <c r="ESZ55" s="346"/>
      <c r="ETA55" s="346"/>
      <c r="ETB55" s="346"/>
      <c r="ETC55" s="346"/>
      <c r="ETD55" s="346"/>
      <c r="ETE55" s="346"/>
      <c r="ETF55" s="346"/>
      <c r="ETG55" s="346"/>
      <c r="ETH55" s="346"/>
      <c r="ETI55" s="346"/>
      <c r="ETJ55" s="346"/>
      <c r="ETK55" s="346"/>
      <c r="ETL55" s="346"/>
      <c r="ETM55" s="346"/>
      <c r="ETN55" s="346"/>
      <c r="ETO55" s="346"/>
      <c r="ETP55" s="346"/>
      <c r="ETQ55" s="346"/>
      <c r="ETR55" s="346"/>
      <c r="ETS55" s="346"/>
      <c r="ETT55" s="346"/>
      <c r="ETU55" s="346"/>
      <c r="ETV55" s="346"/>
      <c r="ETW55" s="346"/>
      <c r="ETX55" s="346"/>
      <c r="ETY55" s="346"/>
      <c r="ETZ55" s="346"/>
      <c r="EUA55" s="346"/>
      <c r="EUB55" s="346"/>
      <c r="EUC55" s="346"/>
      <c r="EUD55" s="346"/>
      <c r="EUE55" s="346"/>
      <c r="EUF55" s="346"/>
      <c r="EUG55" s="346"/>
      <c r="EUH55" s="346"/>
      <c r="EUI55" s="346"/>
      <c r="EUJ55" s="346"/>
      <c r="EUK55" s="346"/>
      <c r="EUL55" s="346"/>
      <c r="EUM55" s="346"/>
      <c r="EUN55" s="346"/>
      <c r="EUO55" s="346"/>
      <c r="EUP55" s="346"/>
      <c r="EUQ55" s="346"/>
      <c r="EUR55" s="346"/>
      <c r="EUS55" s="346"/>
      <c r="EUT55" s="346"/>
      <c r="EUU55" s="346"/>
      <c r="EUV55" s="346"/>
      <c r="EUW55" s="346"/>
      <c r="EUX55" s="346"/>
      <c r="EUY55" s="346"/>
      <c r="EUZ55" s="346"/>
      <c r="EVA55" s="346"/>
      <c r="EVB55" s="346"/>
      <c r="EVC55" s="346"/>
      <c r="EVD55" s="346"/>
      <c r="EVE55" s="346"/>
      <c r="EVF55" s="346"/>
      <c r="EVG55" s="346"/>
      <c r="EVH55" s="346"/>
      <c r="EVI55" s="346"/>
      <c r="EVJ55" s="346"/>
      <c r="EVK55" s="346"/>
      <c r="EVL55" s="346"/>
      <c r="EVM55" s="346"/>
      <c r="EVN55" s="346"/>
      <c r="EVO55" s="346"/>
      <c r="EVP55" s="346"/>
      <c r="EVQ55" s="346"/>
      <c r="EVR55" s="346"/>
      <c r="EVS55" s="346"/>
      <c r="EVT55" s="346"/>
      <c r="EVU55" s="346"/>
      <c r="EVV55" s="346"/>
      <c r="EVW55" s="346"/>
      <c r="EVX55" s="346"/>
      <c r="EVY55" s="346"/>
      <c r="EVZ55" s="346"/>
      <c r="EWA55" s="346"/>
      <c r="EWB55" s="346"/>
      <c r="EWC55" s="346"/>
      <c r="EWD55" s="346"/>
      <c r="EWE55" s="346"/>
      <c r="EWF55" s="346"/>
      <c r="EWG55" s="346"/>
      <c r="EWH55" s="346"/>
      <c r="EWI55" s="346"/>
      <c r="EWJ55" s="346"/>
      <c r="EWK55" s="346"/>
      <c r="EWL55" s="346"/>
      <c r="EWM55" s="346"/>
      <c r="EWN55" s="346"/>
      <c r="EWO55" s="346"/>
      <c r="EWP55" s="346"/>
      <c r="EWQ55" s="346"/>
      <c r="EWR55" s="346"/>
      <c r="EWS55" s="346"/>
      <c r="EWT55" s="346"/>
      <c r="EWU55" s="346"/>
      <c r="EWV55" s="346"/>
      <c r="EWW55" s="346"/>
      <c r="EWX55" s="346"/>
      <c r="EWY55" s="346"/>
      <c r="EWZ55" s="346"/>
      <c r="EXA55" s="346"/>
      <c r="EXB55" s="346"/>
      <c r="EXC55" s="346"/>
      <c r="EXD55" s="346"/>
      <c r="EXE55" s="346"/>
      <c r="EXF55" s="346"/>
      <c r="EXG55" s="346"/>
      <c r="EXH55" s="346"/>
      <c r="EXI55" s="346"/>
      <c r="EXJ55" s="346"/>
      <c r="EXK55" s="346"/>
      <c r="EXL55" s="346"/>
      <c r="EXM55" s="346"/>
      <c r="EXN55" s="346"/>
      <c r="EXO55" s="346"/>
      <c r="EXP55" s="346"/>
      <c r="EXQ55" s="346"/>
      <c r="EXR55" s="346"/>
      <c r="EXS55" s="346"/>
      <c r="EXT55" s="346"/>
      <c r="EXU55" s="346"/>
      <c r="EXV55" s="346"/>
      <c r="EXW55" s="346"/>
      <c r="EXX55" s="346"/>
      <c r="EXY55" s="346"/>
      <c r="EXZ55" s="346"/>
      <c r="EYA55" s="346"/>
      <c r="EYB55" s="346"/>
      <c r="EYC55" s="346"/>
      <c r="EYD55" s="346"/>
      <c r="EYE55" s="346"/>
      <c r="EYF55" s="346"/>
      <c r="EYG55" s="346"/>
      <c r="EYH55" s="346"/>
      <c r="EYI55" s="346"/>
      <c r="EYJ55" s="346"/>
      <c r="EYK55" s="346"/>
      <c r="EYL55" s="346"/>
      <c r="EYM55" s="346"/>
      <c r="EYN55" s="346"/>
      <c r="EYO55" s="346"/>
      <c r="EYP55" s="346"/>
      <c r="EYQ55" s="346"/>
      <c r="EYR55" s="346"/>
      <c r="EYS55" s="346"/>
      <c r="EYT55" s="346"/>
      <c r="EYU55" s="346"/>
      <c r="EYV55" s="346"/>
      <c r="EYW55" s="346"/>
      <c r="EYX55" s="346"/>
      <c r="EYY55" s="346"/>
      <c r="EYZ55" s="346"/>
      <c r="EZA55" s="346"/>
      <c r="EZB55" s="346"/>
      <c r="EZC55" s="346"/>
      <c r="EZD55" s="346"/>
      <c r="EZE55" s="346"/>
      <c r="EZF55" s="346"/>
      <c r="EZG55" s="346"/>
      <c r="EZH55" s="346"/>
      <c r="EZI55" s="346"/>
      <c r="EZJ55" s="346"/>
      <c r="EZK55" s="346"/>
      <c r="EZL55" s="346"/>
      <c r="EZM55" s="346"/>
      <c r="EZN55" s="346"/>
      <c r="EZO55" s="346"/>
      <c r="EZP55" s="346"/>
      <c r="EZQ55" s="346"/>
      <c r="EZR55" s="346"/>
      <c r="EZS55" s="346"/>
      <c r="EZT55" s="346"/>
      <c r="EZU55" s="346"/>
      <c r="EZV55" s="346"/>
      <c r="EZW55" s="346"/>
      <c r="EZX55" s="346"/>
      <c r="EZY55" s="346"/>
      <c r="EZZ55" s="346"/>
      <c r="FAA55" s="346"/>
      <c r="FAB55" s="346"/>
      <c r="FAC55" s="346"/>
      <c r="FAD55" s="346"/>
      <c r="FAE55" s="346"/>
      <c r="FAF55" s="346"/>
      <c r="FAG55" s="346"/>
      <c r="FAH55" s="346"/>
      <c r="FAI55" s="346"/>
      <c r="FAJ55" s="346"/>
      <c r="FAK55" s="346"/>
      <c r="FAL55" s="346"/>
      <c r="FAM55" s="346"/>
      <c r="FAN55" s="346"/>
      <c r="FAO55" s="346"/>
      <c r="FAP55" s="346"/>
      <c r="FAQ55" s="346"/>
      <c r="FAR55" s="346"/>
      <c r="FAS55" s="346"/>
      <c r="FAT55" s="346"/>
      <c r="FAU55" s="346"/>
      <c r="FAV55" s="346"/>
      <c r="FAW55" s="346"/>
      <c r="FAX55" s="346"/>
      <c r="FAY55" s="346"/>
      <c r="FAZ55" s="346"/>
      <c r="FBA55" s="346"/>
      <c r="FBB55" s="346"/>
      <c r="FBC55" s="346"/>
      <c r="FBD55" s="346"/>
      <c r="FBE55" s="346"/>
      <c r="FBF55" s="346"/>
      <c r="FBG55" s="346"/>
      <c r="FBH55" s="346"/>
      <c r="FBI55" s="346"/>
      <c r="FBJ55" s="346"/>
      <c r="FBK55" s="346"/>
      <c r="FBL55" s="346"/>
      <c r="FBM55" s="346"/>
      <c r="FBN55" s="346"/>
      <c r="FBO55" s="346"/>
      <c r="FBP55" s="346"/>
      <c r="FBQ55" s="346"/>
      <c r="FBR55" s="346"/>
      <c r="FBS55" s="346"/>
      <c r="FBT55" s="346"/>
      <c r="FBU55" s="346"/>
      <c r="FBV55" s="346"/>
      <c r="FBW55" s="346"/>
      <c r="FBX55" s="346"/>
      <c r="FBY55" s="346"/>
      <c r="FBZ55" s="346"/>
      <c r="FCA55" s="346"/>
      <c r="FCB55" s="346"/>
      <c r="FCC55" s="346"/>
      <c r="FCD55" s="346"/>
      <c r="FCE55" s="346"/>
      <c r="FCF55" s="346"/>
      <c r="FCG55" s="346"/>
      <c r="FCH55" s="346"/>
      <c r="FCI55" s="346"/>
      <c r="FCJ55" s="346"/>
      <c r="FCK55" s="346"/>
      <c r="FCL55" s="346"/>
      <c r="FCM55" s="346"/>
      <c r="FCN55" s="346"/>
      <c r="FCO55" s="346"/>
      <c r="FCP55" s="346"/>
      <c r="FCQ55" s="346"/>
      <c r="FCR55" s="346"/>
      <c r="FCS55" s="346"/>
      <c r="FCT55" s="346"/>
      <c r="FCU55" s="346"/>
      <c r="FCV55" s="346"/>
      <c r="FCW55" s="346"/>
      <c r="FCX55" s="346"/>
      <c r="FCY55" s="346"/>
      <c r="FCZ55" s="346"/>
      <c r="FDA55" s="346"/>
      <c r="FDB55" s="346"/>
      <c r="FDC55" s="346"/>
      <c r="FDD55" s="346"/>
      <c r="FDE55" s="346"/>
      <c r="FDF55" s="346"/>
      <c r="FDG55" s="346"/>
      <c r="FDH55" s="346"/>
      <c r="FDI55" s="346"/>
      <c r="FDJ55" s="346"/>
      <c r="FDK55" s="346"/>
      <c r="FDL55" s="346"/>
      <c r="FDM55" s="346"/>
      <c r="FDN55" s="346"/>
      <c r="FDO55" s="346"/>
      <c r="FDP55" s="346"/>
      <c r="FDQ55" s="346"/>
      <c r="FDR55" s="346"/>
      <c r="FDS55" s="346"/>
      <c r="FDT55" s="346"/>
      <c r="FDU55" s="346"/>
      <c r="FDV55" s="346"/>
      <c r="FDW55" s="346"/>
      <c r="FDX55" s="346"/>
      <c r="FDY55" s="346"/>
      <c r="FDZ55" s="346"/>
      <c r="FEA55" s="346"/>
      <c r="FEB55" s="346"/>
      <c r="FEC55" s="346"/>
      <c r="FED55" s="346"/>
      <c r="FEE55" s="346"/>
      <c r="FEF55" s="346"/>
      <c r="FEG55" s="346"/>
      <c r="FEH55" s="346"/>
      <c r="FEI55" s="346"/>
      <c r="FEJ55" s="346"/>
      <c r="FEK55" s="346"/>
      <c r="FEL55" s="346"/>
      <c r="FEM55" s="346"/>
      <c r="FEN55" s="346"/>
      <c r="FEO55" s="346"/>
      <c r="FEP55" s="346"/>
      <c r="FEQ55" s="346"/>
      <c r="FER55" s="346"/>
      <c r="FES55" s="346"/>
      <c r="FET55" s="346"/>
      <c r="FEU55" s="346"/>
      <c r="FEV55" s="346"/>
      <c r="FEW55" s="346"/>
      <c r="FEX55" s="346"/>
      <c r="FEY55" s="346"/>
      <c r="FEZ55" s="346"/>
      <c r="FFA55" s="346"/>
      <c r="FFB55" s="346"/>
      <c r="FFC55" s="346"/>
      <c r="FFD55" s="346"/>
      <c r="FFE55" s="346"/>
      <c r="FFF55" s="346"/>
      <c r="FFG55" s="346"/>
      <c r="FFH55" s="346"/>
      <c r="FFI55" s="346"/>
      <c r="FFJ55" s="346"/>
      <c r="FFK55" s="346"/>
      <c r="FFL55" s="346"/>
      <c r="FFM55" s="346"/>
      <c r="FFN55" s="346"/>
      <c r="FFO55" s="346"/>
      <c r="FFP55" s="346"/>
      <c r="FFQ55" s="346"/>
      <c r="FFR55" s="346"/>
      <c r="FFS55" s="346"/>
      <c r="FFT55" s="346"/>
      <c r="FFU55" s="346"/>
      <c r="FFV55" s="346"/>
      <c r="FFW55" s="346"/>
      <c r="FFX55" s="346"/>
      <c r="FFY55" s="346"/>
      <c r="FFZ55" s="346"/>
      <c r="FGA55" s="346"/>
      <c r="FGB55" s="346"/>
      <c r="FGC55" s="346"/>
      <c r="FGD55" s="346"/>
      <c r="FGE55" s="346"/>
      <c r="FGF55" s="346"/>
      <c r="FGG55" s="346"/>
      <c r="FGH55" s="346"/>
      <c r="FGI55" s="346"/>
      <c r="FGJ55" s="346"/>
      <c r="FGK55" s="346"/>
      <c r="FGL55" s="346"/>
      <c r="FGM55" s="346"/>
      <c r="FGN55" s="346"/>
      <c r="FGO55" s="346"/>
      <c r="FGP55" s="346"/>
      <c r="FGQ55" s="346"/>
      <c r="FGR55" s="346"/>
      <c r="FGS55" s="346"/>
      <c r="FGT55" s="346"/>
      <c r="FGU55" s="346"/>
      <c r="FGV55" s="346"/>
      <c r="FGW55" s="346"/>
      <c r="FGX55" s="346"/>
      <c r="FGY55" s="346"/>
      <c r="FGZ55" s="346"/>
      <c r="FHA55" s="346"/>
      <c r="FHB55" s="346"/>
      <c r="FHC55" s="346"/>
      <c r="FHD55" s="346"/>
      <c r="FHE55" s="346"/>
      <c r="FHF55" s="346"/>
      <c r="FHG55" s="346"/>
      <c r="FHH55" s="346"/>
      <c r="FHI55" s="346"/>
      <c r="FHJ55" s="346"/>
      <c r="FHK55" s="346"/>
      <c r="FHL55" s="346"/>
      <c r="FHM55" s="346"/>
      <c r="FHN55" s="346"/>
      <c r="FHO55" s="346"/>
      <c r="FHP55" s="346"/>
      <c r="FHQ55" s="346"/>
      <c r="FHR55" s="346"/>
      <c r="FHS55" s="346"/>
      <c r="FHT55" s="346"/>
      <c r="FHU55" s="346"/>
      <c r="FHV55" s="346"/>
      <c r="FHW55" s="346"/>
      <c r="FHX55" s="346"/>
      <c r="FHY55" s="346"/>
      <c r="FHZ55" s="346"/>
      <c r="FIA55" s="346"/>
      <c r="FIB55" s="346"/>
      <c r="FIC55" s="346"/>
      <c r="FID55" s="346"/>
      <c r="FIE55" s="346"/>
      <c r="FIF55" s="346"/>
      <c r="FIG55" s="346"/>
      <c r="FIH55" s="346"/>
      <c r="FII55" s="346"/>
      <c r="FIJ55" s="346"/>
      <c r="FIK55" s="346"/>
      <c r="FIL55" s="346"/>
      <c r="FIM55" s="346"/>
      <c r="FIN55" s="346"/>
      <c r="FIO55" s="346"/>
      <c r="FIP55" s="346"/>
      <c r="FIQ55" s="346"/>
      <c r="FIR55" s="346"/>
      <c r="FIS55" s="346"/>
      <c r="FIT55" s="346"/>
      <c r="FIU55" s="346"/>
      <c r="FIV55" s="346"/>
      <c r="FIW55" s="346"/>
      <c r="FIX55" s="346"/>
      <c r="FIY55" s="346"/>
      <c r="FIZ55" s="346"/>
      <c r="FJA55" s="346"/>
      <c r="FJB55" s="346"/>
      <c r="FJC55" s="346"/>
      <c r="FJD55" s="346"/>
      <c r="FJE55" s="346"/>
      <c r="FJF55" s="346"/>
      <c r="FJG55" s="346"/>
      <c r="FJH55" s="346"/>
      <c r="FJI55" s="346"/>
      <c r="FJJ55" s="346"/>
      <c r="FJK55" s="346"/>
      <c r="FJL55" s="346"/>
      <c r="FJM55" s="346"/>
      <c r="FJN55" s="346"/>
      <c r="FJO55" s="346"/>
      <c r="FJP55" s="346"/>
      <c r="FJQ55" s="346"/>
      <c r="FJR55" s="346"/>
      <c r="FJS55" s="346"/>
      <c r="FJT55" s="346"/>
      <c r="FJU55" s="346"/>
      <c r="FJV55" s="346"/>
      <c r="FJW55" s="346"/>
      <c r="FJX55" s="346"/>
      <c r="FJY55" s="346"/>
      <c r="FJZ55" s="346"/>
      <c r="FKA55" s="346"/>
      <c r="FKB55" s="346"/>
      <c r="FKC55" s="346"/>
      <c r="FKD55" s="346"/>
      <c r="FKE55" s="346"/>
      <c r="FKF55" s="346"/>
      <c r="FKG55" s="346"/>
      <c r="FKH55" s="346"/>
      <c r="FKI55" s="346"/>
      <c r="FKJ55" s="346"/>
      <c r="FKK55" s="346"/>
      <c r="FKL55" s="346"/>
      <c r="FKM55" s="346"/>
      <c r="FKN55" s="346"/>
      <c r="FKO55" s="346"/>
      <c r="FKP55" s="346"/>
      <c r="FKQ55" s="346"/>
      <c r="FKR55" s="346"/>
      <c r="FKS55" s="346"/>
      <c r="FKT55" s="346"/>
      <c r="FKU55" s="346"/>
      <c r="FKV55" s="346"/>
      <c r="FKW55" s="346"/>
      <c r="FKX55" s="346"/>
      <c r="FKY55" s="346"/>
      <c r="FKZ55" s="346"/>
      <c r="FLA55" s="346"/>
      <c r="FLB55" s="346"/>
      <c r="FLC55" s="346"/>
      <c r="FLD55" s="346"/>
      <c r="FLE55" s="346"/>
      <c r="FLF55" s="346"/>
      <c r="FLG55" s="346"/>
      <c r="FLH55" s="346"/>
      <c r="FLI55" s="346"/>
      <c r="FLJ55" s="346"/>
      <c r="FLK55" s="346"/>
      <c r="FLL55" s="346"/>
      <c r="FLM55" s="346"/>
      <c r="FLN55" s="346"/>
      <c r="FLO55" s="346"/>
      <c r="FLP55" s="346"/>
      <c r="FLQ55" s="346"/>
      <c r="FLR55" s="346"/>
      <c r="FLS55" s="346"/>
      <c r="FLT55" s="346"/>
      <c r="FLU55" s="346"/>
      <c r="FLV55" s="346"/>
      <c r="FLW55" s="346"/>
      <c r="FLX55" s="346"/>
      <c r="FLY55" s="346"/>
      <c r="FLZ55" s="346"/>
      <c r="FMA55" s="346"/>
      <c r="FMB55" s="346"/>
      <c r="FMC55" s="346"/>
      <c r="FMD55" s="346"/>
      <c r="FME55" s="346"/>
      <c r="FMF55" s="346"/>
      <c r="FMG55" s="346"/>
      <c r="FMH55" s="346"/>
      <c r="FMI55" s="346"/>
      <c r="FMJ55" s="346"/>
      <c r="FMK55" s="346"/>
      <c r="FML55" s="346"/>
      <c r="FMM55" s="346"/>
      <c r="FMN55" s="346"/>
      <c r="FMO55" s="346"/>
      <c r="FMP55" s="346"/>
      <c r="FMQ55" s="346"/>
      <c r="FMR55" s="346"/>
      <c r="FMS55" s="346"/>
      <c r="FMT55" s="346"/>
      <c r="FMU55" s="346"/>
      <c r="FMV55" s="346"/>
      <c r="FMW55" s="346"/>
      <c r="FMX55" s="346"/>
      <c r="FMY55" s="346"/>
      <c r="FMZ55" s="346"/>
      <c r="FNA55" s="346"/>
      <c r="FNB55" s="346"/>
      <c r="FNC55" s="346"/>
      <c r="FND55" s="346"/>
      <c r="FNE55" s="346"/>
      <c r="FNF55" s="346"/>
      <c r="FNG55" s="346"/>
      <c r="FNH55" s="346"/>
      <c r="FNI55" s="346"/>
      <c r="FNJ55" s="346"/>
      <c r="FNK55" s="346"/>
      <c r="FNL55" s="346"/>
      <c r="FNM55" s="346"/>
      <c r="FNN55" s="346"/>
      <c r="FNO55" s="346"/>
      <c r="FNP55" s="346"/>
      <c r="FNQ55" s="346"/>
      <c r="FNR55" s="346"/>
      <c r="FNS55" s="346"/>
      <c r="FNT55" s="346"/>
      <c r="FNU55" s="346"/>
      <c r="FNV55" s="346"/>
      <c r="FNW55" s="346"/>
      <c r="FNX55" s="346"/>
      <c r="FNY55" s="346"/>
      <c r="FNZ55" s="346"/>
      <c r="FOA55" s="346"/>
      <c r="FOB55" s="346"/>
      <c r="FOC55" s="346"/>
      <c r="FOD55" s="346"/>
      <c r="FOE55" s="346"/>
      <c r="FOF55" s="346"/>
      <c r="FOG55" s="346"/>
      <c r="FOH55" s="346"/>
      <c r="FOI55" s="346"/>
      <c r="FOJ55" s="346"/>
      <c r="FOK55" s="346"/>
      <c r="FOL55" s="346"/>
      <c r="FOM55" s="346"/>
      <c r="FON55" s="346"/>
      <c r="FOO55" s="346"/>
      <c r="FOP55" s="346"/>
      <c r="FOQ55" s="346"/>
      <c r="FOR55" s="346"/>
      <c r="FOS55" s="346"/>
      <c r="FOT55" s="346"/>
      <c r="FOU55" s="346"/>
      <c r="FOV55" s="346"/>
      <c r="FOW55" s="346"/>
      <c r="FOX55" s="346"/>
      <c r="FOY55" s="346"/>
      <c r="FOZ55" s="346"/>
      <c r="FPA55" s="346"/>
      <c r="FPB55" s="346"/>
      <c r="FPC55" s="346"/>
      <c r="FPD55" s="346"/>
      <c r="FPE55" s="346"/>
      <c r="FPF55" s="346"/>
      <c r="FPG55" s="346"/>
      <c r="FPH55" s="346"/>
      <c r="FPI55" s="346"/>
      <c r="FPJ55" s="346"/>
      <c r="FPK55" s="346"/>
      <c r="FPL55" s="346"/>
      <c r="FPM55" s="346"/>
      <c r="FPN55" s="346"/>
      <c r="FPO55" s="346"/>
      <c r="FPP55" s="346"/>
      <c r="FPQ55" s="346"/>
      <c r="FPR55" s="346"/>
      <c r="FPS55" s="346"/>
      <c r="FPT55" s="346"/>
      <c r="FPU55" s="346"/>
      <c r="FPV55" s="346"/>
      <c r="FPW55" s="346"/>
      <c r="FPX55" s="346"/>
      <c r="FPY55" s="346"/>
      <c r="FPZ55" s="346"/>
      <c r="FQA55" s="346"/>
      <c r="FQB55" s="346"/>
      <c r="FQC55" s="346"/>
      <c r="FQD55" s="346"/>
      <c r="FQE55" s="346"/>
      <c r="FQF55" s="346"/>
      <c r="FQG55" s="346"/>
      <c r="FQH55" s="346"/>
      <c r="FQI55" s="346"/>
      <c r="FQJ55" s="346"/>
      <c r="FQK55" s="346"/>
      <c r="FQL55" s="346"/>
      <c r="FQM55" s="346"/>
      <c r="FQN55" s="346"/>
      <c r="FQO55" s="346"/>
      <c r="FQP55" s="346"/>
      <c r="FQQ55" s="346"/>
      <c r="FQR55" s="346"/>
      <c r="FQS55" s="346"/>
      <c r="FQT55" s="346"/>
      <c r="FQU55" s="346"/>
      <c r="FQV55" s="346"/>
      <c r="FQW55" s="346"/>
      <c r="FQX55" s="346"/>
      <c r="FQY55" s="346"/>
      <c r="FQZ55" s="346"/>
      <c r="FRA55" s="346"/>
      <c r="FRB55" s="346"/>
      <c r="FRC55" s="346"/>
      <c r="FRD55" s="346"/>
      <c r="FRE55" s="346"/>
      <c r="FRF55" s="346"/>
      <c r="FRG55" s="346"/>
      <c r="FRH55" s="346"/>
      <c r="FRI55" s="346"/>
      <c r="FRJ55" s="346"/>
      <c r="FRK55" s="346"/>
      <c r="FRL55" s="346"/>
      <c r="FRM55" s="346"/>
      <c r="FRN55" s="346"/>
      <c r="FRO55" s="346"/>
      <c r="FRP55" s="346"/>
      <c r="FRQ55" s="346"/>
      <c r="FRR55" s="346"/>
      <c r="FRS55" s="346"/>
      <c r="FRT55" s="346"/>
      <c r="FRU55" s="346"/>
      <c r="FRV55" s="346"/>
      <c r="FRW55" s="346"/>
      <c r="FRX55" s="346"/>
      <c r="FRY55" s="346"/>
      <c r="FRZ55" s="346"/>
      <c r="FSA55" s="346"/>
      <c r="FSB55" s="346"/>
      <c r="FSC55" s="346"/>
      <c r="FSD55" s="346"/>
      <c r="FSE55" s="346"/>
      <c r="FSF55" s="346"/>
      <c r="FSG55" s="346"/>
      <c r="FSH55" s="346"/>
      <c r="FSI55" s="346"/>
      <c r="FSJ55" s="346"/>
      <c r="FSK55" s="346"/>
      <c r="FSL55" s="346"/>
      <c r="FSM55" s="346"/>
      <c r="FSN55" s="346"/>
      <c r="FSO55" s="346"/>
      <c r="FSP55" s="346"/>
      <c r="FSQ55" s="346"/>
      <c r="FSR55" s="346"/>
      <c r="FSS55" s="346"/>
      <c r="FST55" s="346"/>
      <c r="FSU55" s="346"/>
      <c r="FSV55" s="346"/>
      <c r="FSW55" s="346"/>
      <c r="FSX55" s="346"/>
      <c r="FSY55" s="346"/>
      <c r="FSZ55" s="346"/>
      <c r="FTA55" s="346"/>
      <c r="FTB55" s="346"/>
      <c r="FTC55" s="346"/>
      <c r="FTD55" s="346"/>
      <c r="FTE55" s="346"/>
      <c r="FTF55" s="346"/>
      <c r="FTG55" s="346"/>
      <c r="FTH55" s="346"/>
      <c r="FTI55" s="346"/>
      <c r="FTJ55" s="346"/>
      <c r="FTK55" s="346"/>
      <c r="FTL55" s="346"/>
      <c r="FTM55" s="346"/>
      <c r="FTN55" s="346"/>
      <c r="FTO55" s="346"/>
      <c r="FTP55" s="346"/>
      <c r="FTQ55" s="346"/>
      <c r="FTR55" s="346"/>
      <c r="FTS55" s="346"/>
      <c r="FTT55" s="346"/>
      <c r="FTU55" s="346"/>
      <c r="FTV55" s="346"/>
      <c r="FTW55" s="346"/>
      <c r="FTX55" s="346"/>
      <c r="FTY55" s="346"/>
      <c r="FTZ55" s="346"/>
      <c r="FUA55" s="346"/>
      <c r="FUB55" s="346"/>
      <c r="FUC55" s="346"/>
      <c r="FUD55" s="346"/>
      <c r="FUE55" s="346"/>
      <c r="FUF55" s="346"/>
      <c r="FUG55" s="346"/>
      <c r="FUH55" s="346"/>
      <c r="FUI55" s="346"/>
      <c r="FUJ55" s="346"/>
      <c r="FUK55" s="346"/>
      <c r="FUL55" s="346"/>
      <c r="FUM55" s="346"/>
      <c r="FUN55" s="346"/>
      <c r="FUO55" s="346"/>
      <c r="FUP55" s="346"/>
      <c r="FUQ55" s="346"/>
      <c r="FUR55" s="346"/>
      <c r="FUS55" s="346"/>
      <c r="FUT55" s="346"/>
      <c r="FUU55" s="346"/>
      <c r="FUV55" s="346"/>
      <c r="FUW55" s="346"/>
      <c r="FUX55" s="346"/>
      <c r="FUY55" s="346"/>
      <c r="FUZ55" s="346"/>
      <c r="FVA55" s="346"/>
      <c r="FVB55" s="346"/>
      <c r="FVC55" s="346"/>
      <c r="FVD55" s="346"/>
      <c r="FVE55" s="346"/>
      <c r="FVF55" s="346"/>
      <c r="FVG55" s="346"/>
      <c r="FVH55" s="346"/>
      <c r="FVI55" s="346"/>
      <c r="FVJ55" s="346"/>
      <c r="FVK55" s="346"/>
      <c r="FVL55" s="346"/>
      <c r="FVM55" s="346"/>
      <c r="FVN55" s="346"/>
      <c r="FVO55" s="346"/>
      <c r="FVP55" s="346"/>
      <c r="FVQ55" s="346"/>
      <c r="FVR55" s="346"/>
      <c r="FVS55" s="346"/>
      <c r="FVT55" s="346"/>
      <c r="FVU55" s="346"/>
      <c r="FVV55" s="346"/>
      <c r="FVW55" s="346"/>
      <c r="FVX55" s="346"/>
      <c r="FVY55" s="346"/>
      <c r="FVZ55" s="346"/>
      <c r="FWA55" s="346"/>
      <c r="FWB55" s="346"/>
      <c r="FWC55" s="346"/>
      <c r="FWD55" s="346"/>
      <c r="FWE55" s="346"/>
      <c r="FWF55" s="346"/>
      <c r="FWG55" s="346"/>
      <c r="FWH55" s="346"/>
      <c r="FWI55" s="346"/>
      <c r="FWJ55" s="346"/>
      <c r="FWK55" s="346"/>
      <c r="FWL55" s="346"/>
      <c r="FWM55" s="346"/>
      <c r="FWN55" s="346"/>
      <c r="FWO55" s="346"/>
      <c r="FWP55" s="346"/>
      <c r="FWQ55" s="346"/>
      <c r="FWR55" s="346"/>
      <c r="FWS55" s="346"/>
      <c r="FWT55" s="346"/>
      <c r="FWU55" s="346"/>
      <c r="FWV55" s="346"/>
      <c r="FWW55" s="346"/>
      <c r="FWX55" s="346"/>
      <c r="FWY55" s="346"/>
      <c r="FWZ55" s="346"/>
      <c r="FXA55" s="346"/>
      <c r="FXB55" s="346"/>
      <c r="FXC55" s="346"/>
      <c r="FXD55" s="346"/>
      <c r="FXE55" s="346"/>
      <c r="FXF55" s="346"/>
      <c r="FXG55" s="346"/>
      <c r="FXH55" s="346"/>
      <c r="FXI55" s="346"/>
      <c r="FXJ55" s="346"/>
      <c r="FXK55" s="346"/>
      <c r="FXL55" s="346"/>
      <c r="FXM55" s="346"/>
      <c r="FXN55" s="346"/>
      <c r="FXO55" s="346"/>
      <c r="FXP55" s="346"/>
      <c r="FXQ55" s="346"/>
      <c r="FXR55" s="346"/>
      <c r="FXS55" s="346"/>
      <c r="FXT55" s="346"/>
      <c r="FXU55" s="346"/>
      <c r="FXV55" s="346"/>
      <c r="FXW55" s="346"/>
      <c r="FXX55" s="346"/>
      <c r="FXY55" s="346"/>
      <c r="FXZ55" s="346"/>
      <c r="FYA55" s="346"/>
      <c r="FYB55" s="346"/>
      <c r="FYC55" s="346"/>
      <c r="FYD55" s="346"/>
      <c r="FYE55" s="346"/>
      <c r="FYF55" s="346"/>
      <c r="FYG55" s="346"/>
      <c r="FYH55" s="346"/>
      <c r="FYI55" s="346"/>
      <c r="FYJ55" s="346"/>
      <c r="FYK55" s="346"/>
      <c r="FYL55" s="346"/>
      <c r="FYM55" s="346"/>
      <c r="FYN55" s="346"/>
      <c r="FYO55" s="346"/>
      <c r="FYP55" s="346"/>
      <c r="FYQ55" s="346"/>
      <c r="FYR55" s="346"/>
      <c r="FYS55" s="346"/>
      <c r="FYT55" s="346"/>
      <c r="FYU55" s="346"/>
      <c r="FYV55" s="346"/>
      <c r="FYW55" s="346"/>
      <c r="FYX55" s="346"/>
      <c r="FYY55" s="346"/>
      <c r="FYZ55" s="346"/>
      <c r="FZA55" s="346"/>
      <c r="FZB55" s="346"/>
      <c r="FZC55" s="346"/>
      <c r="FZD55" s="346"/>
      <c r="FZE55" s="346"/>
      <c r="FZF55" s="346"/>
      <c r="FZG55" s="346"/>
      <c r="FZH55" s="346"/>
      <c r="FZI55" s="346"/>
      <c r="FZJ55" s="346"/>
      <c r="FZK55" s="346"/>
      <c r="FZL55" s="346"/>
      <c r="FZM55" s="346"/>
      <c r="FZN55" s="346"/>
      <c r="FZO55" s="346"/>
      <c r="FZP55" s="346"/>
      <c r="FZQ55" s="346"/>
      <c r="FZR55" s="346"/>
      <c r="FZS55" s="346"/>
      <c r="FZT55" s="346"/>
      <c r="FZU55" s="346"/>
      <c r="FZV55" s="346"/>
      <c r="FZW55" s="346"/>
      <c r="FZX55" s="346"/>
      <c r="FZY55" s="346"/>
      <c r="FZZ55" s="346"/>
      <c r="GAA55" s="346"/>
      <c r="GAB55" s="346"/>
      <c r="GAC55" s="346"/>
      <c r="GAD55" s="346"/>
      <c r="GAE55" s="346"/>
      <c r="GAF55" s="346"/>
      <c r="GAG55" s="346"/>
      <c r="GAH55" s="346"/>
      <c r="GAI55" s="346"/>
      <c r="GAJ55" s="346"/>
      <c r="GAK55" s="346"/>
      <c r="GAL55" s="346"/>
      <c r="GAM55" s="346"/>
      <c r="GAN55" s="346"/>
      <c r="GAO55" s="346"/>
      <c r="GAP55" s="346"/>
      <c r="GAQ55" s="346"/>
      <c r="GAR55" s="346"/>
      <c r="GAS55" s="346"/>
      <c r="GAT55" s="346"/>
      <c r="GAU55" s="346"/>
      <c r="GAV55" s="346"/>
      <c r="GAW55" s="346"/>
      <c r="GAX55" s="346"/>
      <c r="GAY55" s="346"/>
      <c r="GAZ55" s="346"/>
      <c r="GBA55" s="346"/>
      <c r="GBB55" s="346"/>
      <c r="GBC55" s="346"/>
      <c r="GBD55" s="346"/>
      <c r="GBE55" s="346"/>
      <c r="GBF55" s="346"/>
      <c r="GBG55" s="346"/>
      <c r="GBH55" s="346"/>
      <c r="GBI55" s="346"/>
      <c r="GBJ55" s="346"/>
      <c r="GBK55" s="346"/>
      <c r="GBL55" s="346"/>
      <c r="GBM55" s="346"/>
      <c r="GBN55" s="346"/>
      <c r="GBO55" s="346"/>
      <c r="GBP55" s="346"/>
      <c r="GBQ55" s="346"/>
      <c r="GBR55" s="346"/>
      <c r="GBS55" s="346"/>
      <c r="GBT55" s="346"/>
      <c r="GBU55" s="346"/>
      <c r="GBV55" s="346"/>
      <c r="GBW55" s="346"/>
      <c r="GBX55" s="346"/>
      <c r="GBY55" s="346"/>
      <c r="GBZ55" s="346"/>
      <c r="GCA55" s="346"/>
      <c r="GCB55" s="346"/>
      <c r="GCC55" s="346"/>
      <c r="GCD55" s="346"/>
      <c r="GCE55" s="346"/>
      <c r="GCF55" s="346"/>
      <c r="GCG55" s="346"/>
      <c r="GCH55" s="346"/>
      <c r="GCI55" s="346"/>
      <c r="GCJ55" s="346"/>
      <c r="GCK55" s="346"/>
      <c r="GCL55" s="346"/>
      <c r="GCM55" s="346"/>
      <c r="GCN55" s="346"/>
      <c r="GCO55" s="346"/>
      <c r="GCP55" s="346"/>
      <c r="GCQ55" s="346"/>
      <c r="GCR55" s="346"/>
      <c r="GCS55" s="346"/>
      <c r="GCT55" s="346"/>
      <c r="GCU55" s="346"/>
      <c r="GCV55" s="346"/>
      <c r="GCW55" s="346"/>
      <c r="GCX55" s="346"/>
      <c r="GCY55" s="346"/>
      <c r="GCZ55" s="346"/>
      <c r="GDA55" s="346"/>
      <c r="GDB55" s="346"/>
      <c r="GDC55" s="346"/>
      <c r="GDD55" s="346"/>
      <c r="GDE55" s="346"/>
      <c r="GDF55" s="346"/>
      <c r="GDG55" s="346"/>
      <c r="GDH55" s="346"/>
      <c r="GDI55" s="346"/>
      <c r="GDJ55" s="346"/>
      <c r="GDK55" s="346"/>
      <c r="GDL55" s="346"/>
      <c r="GDM55" s="346"/>
      <c r="GDN55" s="346"/>
      <c r="GDO55" s="346"/>
      <c r="GDP55" s="346"/>
      <c r="GDQ55" s="346"/>
      <c r="GDR55" s="346"/>
      <c r="GDS55" s="346"/>
      <c r="GDT55" s="346"/>
      <c r="GDU55" s="346"/>
      <c r="GDV55" s="346"/>
      <c r="GDW55" s="346"/>
      <c r="GDX55" s="346"/>
      <c r="GDY55" s="346"/>
      <c r="GDZ55" s="346"/>
      <c r="GEA55" s="346"/>
      <c r="GEB55" s="346"/>
      <c r="GEC55" s="346"/>
      <c r="GED55" s="346"/>
      <c r="GEE55" s="346"/>
      <c r="GEF55" s="346"/>
      <c r="GEG55" s="346"/>
      <c r="GEH55" s="346"/>
      <c r="GEI55" s="346"/>
      <c r="GEJ55" s="346"/>
      <c r="GEK55" s="346"/>
      <c r="GEL55" s="346"/>
      <c r="GEM55" s="346"/>
      <c r="GEN55" s="346"/>
      <c r="GEO55" s="346"/>
      <c r="GEP55" s="346"/>
      <c r="GEQ55" s="346"/>
      <c r="GER55" s="346"/>
      <c r="GES55" s="346"/>
      <c r="GET55" s="346"/>
      <c r="GEU55" s="346"/>
      <c r="GEV55" s="346"/>
      <c r="GEW55" s="346"/>
      <c r="GEX55" s="346"/>
      <c r="GEY55" s="346"/>
      <c r="GEZ55" s="346"/>
      <c r="GFA55" s="346"/>
      <c r="GFB55" s="346"/>
      <c r="GFC55" s="346"/>
      <c r="GFD55" s="346"/>
      <c r="GFE55" s="346"/>
      <c r="GFF55" s="346"/>
      <c r="GFG55" s="346"/>
      <c r="GFH55" s="346"/>
      <c r="GFI55" s="346"/>
      <c r="GFJ55" s="346"/>
      <c r="GFK55" s="346"/>
      <c r="GFL55" s="346"/>
      <c r="GFM55" s="346"/>
      <c r="GFN55" s="346"/>
      <c r="GFO55" s="346"/>
      <c r="GFP55" s="346"/>
      <c r="GFQ55" s="346"/>
      <c r="GFR55" s="346"/>
      <c r="GFS55" s="346"/>
      <c r="GFT55" s="346"/>
      <c r="GFU55" s="346"/>
      <c r="GFV55" s="346"/>
      <c r="GFW55" s="346"/>
      <c r="GFX55" s="346"/>
      <c r="GFY55" s="346"/>
      <c r="GFZ55" s="346"/>
      <c r="GGA55" s="346"/>
      <c r="GGB55" s="346"/>
      <c r="GGC55" s="346"/>
      <c r="GGD55" s="346"/>
      <c r="GGE55" s="346"/>
      <c r="GGF55" s="346"/>
      <c r="GGG55" s="346"/>
      <c r="GGH55" s="346"/>
      <c r="GGI55" s="346"/>
      <c r="GGJ55" s="346"/>
      <c r="GGK55" s="346"/>
      <c r="GGL55" s="346"/>
      <c r="GGM55" s="346"/>
      <c r="GGN55" s="346"/>
      <c r="GGO55" s="346"/>
      <c r="GGP55" s="346"/>
      <c r="GGQ55" s="346"/>
      <c r="GGR55" s="346"/>
      <c r="GGS55" s="346"/>
      <c r="GGT55" s="346"/>
      <c r="GGU55" s="346"/>
      <c r="GGV55" s="346"/>
      <c r="GGW55" s="346"/>
      <c r="GGX55" s="346"/>
      <c r="GGY55" s="346"/>
      <c r="GGZ55" s="346"/>
      <c r="GHA55" s="346"/>
      <c r="GHB55" s="346"/>
      <c r="GHC55" s="346"/>
      <c r="GHD55" s="346"/>
      <c r="GHE55" s="346"/>
      <c r="GHF55" s="346"/>
      <c r="GHG55" s="346"/>
      <c r="GHH55" s="346"/>
      <c r="GHI55" s="346"/>
      <c r="GHJ55" s="346"/>
      <c r="GHK55" s="346"/>
      <c r="GHL55" s="346"/>
      <c r="GHM55" s="346"/>
      <c r="GHN55" s="346"/>
      <c r="GHO55" s="346"/>
      <c r="GHP55" s="346"/>
      <c r="GHQ55" s="346"/>
      <c r="GHR55" s="346"/>
      <c r="GHS55" s="346"/>
      <c r="GHT55" s="346"/>
      <c r="GHU55" s="346"/>
      <c r="GHV55" s="346"/>
      <c r="GHW55" s="346"/>
      <c r="GHX55" s="346"/>
      <c r="GHY55" s="346"/>
      <c r="GHZ55" s="346"/>
      <c r="GIA55" s="346"/>
      <c r="GIB55" s="346"/>
      <c r="GIC55" s="346"/>
      <c r="GID55" s="346"/>
      <c r="GIE55" s="346"/>
      <c r="GIF55" s="346"/>
      <c r="GIG55" s="346"/>
      <c r="GIH55" s="346"/>
      <c r="GII55" s="346"/>
      <c r="GIJ55" s="346"/>
      <c r="GIK55" s="346"/>
      <c r="GIL55" s="346"/>
      <c r="GIM55" s="346"/>
      <c r="GIN55" s="346"/>
      <c r="GIO55" s="346"/>
      <c r="GIP55" s="346"/>
      <c r="GIQ55" s="346"/>
      <c r="GIR55" s="346"/>
      <c r="GIS55" s="346"/>
      <c r="GIT55" s="346"/>
      <c r="GIU55" s="346"/>
      <c r="GIV55" s="346"/>
      <c r="GIW55" s="346"/>
      <c r="GIX55" s="346"/>
      <c r="GIY55" s="346"/>
      <c r="GIZ55" s="346"/>
      <c r="GJA55" s="346"/>
      <c r="GJB55" s="346"/>
      <c r="GJC55" s="346"/>
      <c r="GJD55" s="346"/>
      <c r="GJE55" s="346"/>
      <c r="GJF55" s="346"/>
      <c r="GJG55" s="346"/>
      <c r="GJH55" s="346"/>
      <c r="GJI55" s="346"/>
      <c r="GJJ55" s="346"/>
      <c r="GJK55" s="346"/>
      <c r="GJL55" s="346"/>
      <c r="GJM55" s="346"/>
      <c r="GJN55" s="346"/>
      <c r="GJO55" s="346"/>
      <c r="GJP55" s="346"/>
      <c r="GJQ55" s="346"/>
      <c r="GJR55" s="346"/>
      <c r="GJS55" s="346"/>
      <c r="GJT55" s="346"/>
      <c r="GJU55" s="346"/>
      <c r="GJV55" s="346"/>
      <c r="GJW55" s="346"/>
      <c r="GJX55" s="346"/>
      <c r="GJY55" s="346"/>
      <c r="GJZ55" s="346"/>
      <c r="GKA55" s="346"/>
      <c r="GKB55" s="346"/>
      <c r="GKC55" s="346"/>
      <c r="GKD55" s="346"/>
      <c r="GKE55" s="346"/>
      <c r="GKF55" s="346"/>
      <c r="GKG55" s="346"/>
      <c r="GKH55" s="346"/>
      <c r="GKI55" s="346"/>
      <c r="GKJ55" s="346"/>
      <c r="GKK55" s="346"/>
      <c r="GKL55" s="346"/>
      <c r="GKM55" s="346"/>
      <c r="GKN55" s="346"/>
      <c r="GKO55" s="346"/>
      <c r="GKP55" s="346"/>
      <c r="GKQ55" s="346"/>
      <c r="GKR55" s="346"/>
      <c r="GKS55" s="346"/>
      <c r="GKT55" s="346"/>
      <c r="GKU55" s="346"/>
      <c r="GKV55" s="346"/>
      <c r="GKW55" s="346"/>
      <c r="GKX55" s="346"/>
      <c r="GKY55" s="346"/>
      <c r="GKZ55" s="346"/>
      <c r="GLA55" s="346"/>
      <c r="GLB55" s="346"/>
      <c r="GLC55" s="346"/>
      <c r="GLD55" s="346"/>
      <c r="GLE55" s="346"/>
      <c r="GLF55" s="346"/>
      <c r="GLG55" s="346"/>
      <c r="GLH55" s="346"/>
      <c r="GLI55" s="346"/>
      <c r="GLJ55" s="346"/>
      <c r="GLK55" s="346"/>
      <c r="GLL55" s="346"/>
      <c r="GLM55" s="346"/>
      <c r="GLN55" s="346"/>
      <c r="GLO55" s="346"/>
      <c r="GLP55" s="346"/>
      <c r="GLQ55" s="346"/>
      <c r="GLR55" s="346"/>
      <c r="GLS55" s="346"/>
      <c r="GLT55" s="346"/>
      <c r="GLU55" s="346"/>
      <c r="GLV55" s="346"/>
      <c r="GLW55" s="346"/>
      <c r="GLX55" s="346"/>
      <c r="GLY55" s="346"/>
      <c r="GLZ55" s="346"/>
      <c r="GMA55" s="346"/>
      <c r="GMB55" s="346"/>
      <c r="GMC55" s="346"/>
      <c r="GMD55" s="346"/>
      <c r="GME55" s="346"/>
      <c r="GMF55" s="346"/>
      <c r="GMG55" s="346"/>
      <c r="GMH55" s="346"/>
      <c r="GMI55" s="346"/>
      <c r="GMJ55" s="346"/>
      <c r="GMK55" s="346"/>
      <c r="GML55" s="346"/>
      <c r="GMM55" s="346"/>
      <c r="GMN55" s="346"/>
      <c r="GMO55" s="346"/>
      <c r="GMP55" s="346"/>
      <c r="GMQ55" s="346"/>
      <c r="GMR55" s="346"/>
      <c r="GMS55" s="346"/>
      <c r="GMT55" s="346"/>
      <c r="GMU55" s="346"/>
      <c r="GMV55" s="346"/>
      <c r="GMW55" s="346"/>
      <c r="GMX55" s="346"/>
      <c r="GMY55" s="346"/>
      <c r="GMZ55" s="346"/>
      <c r="GNA55" s="346"/>
      <c r="GNB55" s="346"/>
      <c r="GNC55" s="346"/>
      <c r="GND55" s="346"/>
      <c r="GNE55" s="346"/>
      <c r="GNF55" s="346"/>
      <c r="GNG55" s="346"/>
      <c r="GNH55" s="346"/>
      <c r="GNI55" s="346"/>
      <c r="GNJ55" s="346"/>
      <c r="GNK55" s="346"/>
      <c r="GNL55" s="346"/>
      <c r="GNM55" s="346"/>
      <c r="GNN55" s="346"/>
      <c r="GNO55" s="346"/>
      <c r="GNP55" s="346"/>
      <c r="GNQ55" s="346"/>
      <c r="GNR55" s="346"/>
      <c r="GNS55" s="346"/>
      <c r="GNT55" s="346"/>
      <c r="GNU55" s="346"/>
      <c r="GNV55" s="346"/>
      <c r="GNW55" s="346"/>
      <c r="GNX55" s="346"/>
      <c r="GNY55" s="346"/>
      <c r="GNZ55" s="346"/>
      <c r="GOA55" s="346"/>
      <c r="GOB55" s="346"/>
      <c r="GOC55" s="346"/>
      <c r="GOD55" s="346"/>
      <c r="GOE55" s="346"/>
      <c r="GOF55" s="346"/>
      <c r="GOG55" s="346"/>
      <c r="GOH55" s="346"/>
      <c r="GOI55" s="346"/>
      <c r="GOJ55" s="346"/>
      <c r="GOK55" s="346"/>
      <c r="GOL55" s="346"/>
      <c r="GOM55" s="346"/>
      <c r="GON55" s="346"/>
      <c r="GOO55" s="346"/>
      <c r="GOP55" s="346"/>
      <c r="GOQ55" s="346"/>
      <c r="GOR55" s="346"/>
      <c r="GOS55" s="346"/>
      <c r="GOT55" s="346"/>
      <c r="GOU55" s="346"/>
      <c r="GOV55" s="346"/>
      <c r="GOW55" s="346"/>
      <c r="GOX55" s="346"/>
      <c r="GOY55" s="346"/>
      <c r="GOZ55" s="346"/>
      <c r="GPA55" s="346"/>
      <c r="GPB55" s="346"/>
      <c r="GPC55" s="346"/>
      <c r="GPD55" s="346"/>
      <c r="GPE55" s="346"/>
      <c r="GPF55" s="346"/>
      <c r="GPG55" s="346"/>
      <c r="GPH55" s="346"/>
      <c r="GPI55" s="346"/>
      <c r="GPJ55" s="346"/>
      <c r="GPK55" s="346"/>
      <c r="GPL55" s="346"/>
      <c r="GPM55" s="346"/>
      <c r="GPN55" s="346"/>
      <c r="GPO55" s="346"/>
      <c r="GPP55" s="346"/>
      <c r="GPQ55" s="346"/>
      <c r="GPR55" s="346"/>
      <c r="GPS55" s="346"/>
      <c r="GPT55" s="346"/>
      <c r="GPU55" s="346"/>
      <c r="GPV55" s="346"/>
      <c r="GPW55" s="346"/>
      <c r="GPX55" s="346"/>
      <c r="GPY55" s="346"/>
      <c r="GPZ55" s="346"/>
      <c r="GQA55" s="346"/>
      <c r="GQB55" s="346"/>
      <c r="GQC55" s="346"/>
      <c r="GQD55" s="346"/>
      <c r="GQE55" s="346"/>
      <c r="GQF55" s="346"/>
      <c r="GQG55" s="346"/>
      <c r="GQH55" s="346"/>
      <c r="GQI55" s="346"/>
      <c r="GQJ55" s="346"/>
      <c r="GQK55" s="346"/>
      <c r="GQL55" s="346"/>
      <c r="GQM55" s="346"/>
      <c r="GQN55" s="346"/>
      <c r="GQO55" s="346"/>
      <c r="GQP55" s="346"/>
      <c r="GQQ55" s="346"/>
      <c r="GQR55" s="346"/>
      <c r="GQS55" s="346"/>
      <c r="GQT55" s="346"/>
      <c r="GQU55" s="346"/>
      <c r="GQV55" s="346"/>
      <c r="GQW55" s="346"/>
      <c r="GQX55" s="346"/>
      <c r="GQY55" s="346"/>
      <c r="GQZ55" s="346"/>
      <c r="GRA55" s="346"/>
      <c r="GRB55" s="346"/>
      <c r="GRC55" s="346"/>
      <c r="GRD55" s="346"/>
      <c r="GRE55" s="346"/>
      <c r="GRF55" s="346"/>
      <c r="GRG55" s="346"/>
      <c r="GRH55" s="346"/>
      <c r="GRI55" s="346"/>
      <c r="GRJ55" s="346"/>
      <c r="GRK55" s="346"/>
      <c r="GRL55" s="346"/>
      <c r="GRM55" s="346"/>
      <c r="GRN55" s="346"/>
      <c r="GRO55" s="346"/>
      <c r="GRP55" s="346"/>
      <c r="GRQ55" s="346"/>
      <c r="GRR55" s="346"/>
      <c r="GRS55" s="346"/>
      <c r="GRT55" s="346"/>
      <c r="GRU55" s="346"/>
      <c r="GRV55" s="346"/>
      <c r="GRW55" s="346"/>
      <c r="GRX55" s="346"/>
      <c r="GRY55" s="346"/>
      <c r="GRZ55" s="346"/>
      <c r="GSA55" s="346"/>
      <c r="GSB55" s="346"/>
      <c r="GSC55" s="346"/>
      <c r="GSD55" s="346"/>
      <c r="GSE55" s="346"/>
      <c r="GSF55" s="346"/>
      <c r="GSG55" s="346"/>
      <c r="GSH55" s="346"/>
      <c r="GSI55" s="346"/>
      <c r="GSJ55" s="346"/>
      <c r="GSK55" s="346"/>
      <c r="GSL55" s="346"/>
      <c r="GSM55" s="346"/>
      <c r="GSN55" s="346"/>
      <c r="GSO55" s="346"/>
      <c r="GSP55" s="346"/>
      <c r="GSQ55" s="346"/>
      <c r="GSR55" s="346"/>
      <c r="GSS55" s="346"/>
      <c r="GST55" s="346"/>
      <c r="GSU55" s="346"/>
      <c r="GSV55" s="346"/>
      <c r="GSW55" s="346"/>
      <c r="GSX55" s="346"/>
      <c r="GSY55" s="346"/>
      <c r="GSZ55" s="346"/>
      <c r="GTA55" s="346"/>
      <c r="GTB55" s="346"/>
      <c r="GTC55" s="346"/>
      <c r="GTD55" s="346"/>
      <c r="GTE55" s="346"/>
      <c r="GTF55" s="346"/>
      <c r="GTG55" s="346"/>
      <c r="GTH55" s="346"/>
      <c r="GTI55" s="346"/>
      <c r="GTJ55" s="346"/>
      <c r="GTK55" s="346"/>
      <c r="GTL55" s="346"/>
      <c r="GTM55" s="346"/>
      <c r="GTN55" s="346"/>
      <c r="GTO55" s="346"/>
      <c r="GTP55" s="346"/>
      <c r="GTQ55" s="346"/>
      <c r="GTR55" s="346"/>
      <c r="GTS55" s="346"/>
      <c r="GTT55" s="346"/>
      <c r="GTU55" s="346"/>
      <c r="GTV55" s="346"/>
      <c r="GTW55" s="346"/>
      <c r="GTX55" s="346"/>
      <c r="GTY55" s="346"/>
      <c r="GTZ55" s="346"/>
      <c r="GUA55" s="346"/>
      <c r="GUB55" s="346"/>
      <c r="GUC55" s="346"/>
      <c r="GUD55" s="346"/>
      <c r="GUE55" s="346"/>
      <c r="GUF55" s="346"/>
      <c r="GUG55" s="346"/>
      <c r="GUH55" s="346"/>
      <c r="GUI55" s="346"/>
      <c r="GUJ55" s="346"/>
      <c r="GUK55" s="346"/>
      <c r="GUL55" s="346"/>
      <c r="GUM55" s="346"/>
      <c r="GUN55" s="346"/>
      <c r="GUO55" s="346"/>
      <c r="GUP55" s="346"/>
      <c r="GUQ55" s="346"/>
      <c r="GUR55" s="346"/>
      <c r="GUS55" s="346"/>
      <c r="GUT55" s="346"/>
      <c r="GUU55" s="346"/>
      <c r="GUV55" s="346"/>
      <c r="GUW55" s="346"/>
      <c r="GUX55" s="346"/>
      <c r="GUY55" s="346"/>
      <c r="GUZ55" s="346"/>
      <c r="GVA55" s="346"/>
      <c r="GVB55" s="346"/>
      <c r="GVC55" s="346"/>
      <c r="GVD55" s="346"/>
      <c r="GVE55" s="346"/>
      <c r="GVF55" s="346"/>
      <c r="GVG55" s="346"/>
      <c r="GVH55" s="346"/>
      <c r="GVI55" s="346"/>
      <c r="GVJ55" s="346"/>
      <c r="GVK55" s="346"/>
      <c r="GVL55" s="346"/>
      <c r="GVM55" s="346"/>
      <c r="GVN55" s="346"/>
      <c r="GVO55" s="346"/>
      <c r="GVP55" s="346"/>
      <c r="GVQ55" s="346"/>
      <c r="GVR55" s="346"/>
      <c r="GVS55" s="346"/>
      <c r="GVT55" s="346"/>
      <c r="GVU55" s="346"/>
      <c r="GVV55" s="346"/>
      <c r="GVW55" s="346"/>
      <c r="GVX55" s="346"/>
      <c r="GVY55" s="346"/>
      <c r="GVZ55" s="346"/>
      <c r="GWA55" s="346"/>
      <c r="GWB55" s="346"/>
      <c r="GWC55" s="346"/>
      <c r="GWD55" s="346"/>
      <c r="GWE55" s="346"/>
      <c r="GWF55" s="346"/>
      <c r="GWG55" s="346"/>
      <c r="GWH55" s="346"/>
      <c r="GWI55" s="346"/>
      <c r="GWJ55" s="346"/>
      <c r="GWK55" s="346"/>
      <c r="GWL55" s="346"/>
      <c r="GWM55" s="346"/>
      <c r="GWN55" s="346"/>
      <c r="GWO55" s="346"/>
      <c r="GWP55" s="346"/>
      <c r="GWQ55" s="346"/>
      <c r="GWR55" s="346"/>
      <c r="GWS55" s="346"/>
      <c r="GWT55" s="346"/>
      <c r="GWU55" s="346"/>
      <c r="GWV55" s="346"/>
      <c r="GWW55" s="346"/>
      <c r="GWX55" s="346"/>
      <c r="GWY55" s="346"/>
      <c r="GWZ55" s="346"/>
      <c r="GXA55" s="346"/>
      <c r="GXB55" s="346"/>
      <c r="GXC55" s="346"/>
      <c r="GXD55" s="346"/>
      <c r="GXE55" s="346"/>
      <c r="GXF55" s="346"/>
      <c r="GXG55" s="346"/>
      <c r="GXH55" s="346"/>
      <c r="GXI55" s="346"/>
      <c r="GXJ55" s="346"/>
      <c r="GXK55" s="346"/>
      <c r="GXL55" s="346"/>
      <c r="GXM55" s="346"/>
      <c r="GXN55" s="346"/>
      <c r="GXO55" s="346"/>
      <c r="GXP55" s="346"/>
      <c r="GXQ55" s="346"/>
      <c r="GXR55" s="346"/>
      <c r="GXS55" s="346"/>
      <c r="GXT55" s="346"/>
      <c r="GXU55" s="346"/>
      <c r="GXV55" s="346"/>
      <c r="GXW55" s="346"/>
      <c r="GXX55" s="346"/>
      <c r="GXY55" s="346"/>
      <c r="GXZ55" s="346"/>
      <c r="GYA55" s="346"/>
      <c r="GYB55" s="346"/>
      <c r="GYC55" s="346"/>
      <c r="GYD55" s="346"/>
      <c r="GYE55" s="346"/>
      <c r="GYF55" s="346"/>
      <c r="GYG55" s="346"/>
      <c r="GYH55" s="346"/>
      <c r="GYI55" s="346"/>
      <c r="GYJ55" s="346"/>
      <c r="GYK55" s="346"/>
      <c r="GYL55" s="346"/>
      <c r="GYM55" s="346"/>
      <c r="GYN55" s="346"/>
      <c r="GYO55" s="346"/>
      <c r="GYP55" s="346"/>
      <c r="GYQ55" s="346"/>
      <c r="GYR55" s="346"/>
      <c r="GYS55" s="346"/>
      <c r="GYT55" s="346"/>
      <c r="GYU55" s="346"/>
      <c r="GYV55" s="346"/>
      <c r="GYW55" s="346"/>
      <c r="GYX55" s="346"/>
      <c r="GYY55" s="346"/>
      <c r="GYZ55" s="346"/>
      <c r="GZA55" s="346"/>
      <c r="GZB55" s="346"/>
      <c r="GZC55" s="346"/>
      <c r="GZD55" s="346"/>
      <c r="GZE55" s="346"/>
      <c r="GZF55" s="346"/>
      <c r="GZG55" s="346"/>
      <c r="GZH55" s="346"/>
      <c r="GZI55" s="346"/>
      <c r="GZJ55" s="346"/>
      <c r="GZK55" s="346"/>
      <c r="GZL55" s="346"/>
      <c r="GZM55" s="346"/>
      <c r="GZN55" s="346"/>
      <c r="GZO55" s="346"/>
      <c r="GZP55" s="346"/>
      <c r="GZQ55" s="346"/>
      <c r="GZR55" s="346"/>
      <c r="GZS55" s="346"/>
      <c r="GZT55" s="346"/>
      <c r="GZU55" s="346"/>
      <c r="GZV55" s="346"/>
      <c r="GZW55" s="346"/>
      <c r="GZX55" s="346"/>
      <c r="GZY55" s="346"/>
      <c r="GZZ55" s="346"/>
      <c r="HAA55" s="346"/>
      <c r="HAB55" s="346"/>
      <c r="HAC55" s="346"/>
      <c r="HAD55" s="346"/>
      <c r="HAE55" s="346"/>
      <c r="HAF55" s="346"/>
      <c r="HAG55" s="346"/>
      <c r="HAH55" s="346"/>
      <c r="HAI55" s="346"/>
      <c r="HAJ55" s="346"/>
      <c r="HAK55" s="346"/>
      <c r="HAL55" s="346"/>
      <c r="HAM55" s="346"/>
      <c r="HAN55" s="346"/>
      <c r="HAO55" s="346"/>
      <c r="HAP55" s="346"/>
      <c r="HAQ55" s="346"/>
      <c r="HAR55" s="346"/>
      <c r="HAS55" s="346"/>
      <c r="HAT55" s="346"/>
      <c r="HAU55" s="346"/>
      <c r="HAV55" s="346"/>
      <c r="HAW55" s="346"/>
      <c r="HAX55" s="346"/>
      <c r="HAY55" s="346"/>
      <c r="HAZ55" s="346"/>
      <c r="HBA55" s="346"/>
      <c r="HBB55" s="346"/>
      <c r="HBC55" s="346"/>
      <c r="HBD55" s="346"/>
      <c r="HBE55" s="346"/>
      <c r="HBF55" s="346"/>
      <c r="HBG55" s="346"/>
      <c r="HBH55" s="346"/>
      <c r="HBI55" s="346"/>
      <c r="HBJ55" s="346"/>
      <c r="HBK55" s="346"/>
      <c r="HBL55" s="346"/>
      <c r="HBM55" s="346"/>
      <c r="HBN55" s="346"/>
      <c r="HBO55" s="346"/>
      <c r="HBP55" s="346"/>
      <c r="HBQ55" s="346"/>
      <c r="HBR55" s="346"/>
      <c r="HBS55" s="346"/>
      <c r="HBT55" s="346"/>
      <c r="HBU55" s="346"/>
      <c r="HBV55" s="346"/>
      <c r="HBW55" s="346"/>
      <c r="HBX55" s="346"/>
      <c r="HBY55" s="346"/>
      <c r="HBZ55" s="346"/>
      <c r="HCA55" s="346"/>
      <c r="HCB55" s="346"/>
      <c r="HCC55" s="346"/>
      <c r="HCD55" s="346"/>
      <c r="HCE55" s="346"/>
      <c r="HCF55" s="346"/>
      <c r="HCG55" s="346"/>
      <c r="HCH55" s="346"/>
      <c r="HCI55" s="346"/>
      <c r="HCJ55" s="346"/>
      <c r="HCK55" s="346"/>
      <c r="HCL55" s="346"/>
      <c r="HCM55" s="346"/>
      <c r="HCN55" s="346"/>
      <c r="HCO55" s="346"/>
      <c r="HCP55" s="346"/>
      <c r="HCQ55" s="346"/>
      <c r="HCR55" s="346"/>
      <c r="HCS55" s="346"/>
      <c r="HCT55" s="346"/>
      <c r="HCU55" s="346"/>
      <c r="HCV55" s="346"/>
      <c r="HCW55" s="346"/>
      <c r="HCX55" s="346"/>
      <c r="HCY55" s="346"/>
      <c r="HCZ55" s="346"/>
      <c r="HDA55" s="346"/>
      <c r="HDB55" s="346"/>
      <c r="HDC55" s="346"/>
      <c r="HDD55" s="346"/>
      <c r="HDE55" s="346"/>
      <c r="HDF55" s="346"/>
      <c r="HDG55" s="346"/>
      <c r="HDH55" s="346"/>
      <c r="HDI55" s="346"/>
      <c r="HDJ55" s="346"/>
      <c r="HDK55" s="346"/>
      <c r="HDL55" s="346"/>
      <c r="HDM55" s="346"/>
      <c r="HDN55" s="346"/>
      <c r="HDO55" s="346"/>
      <c r="HDP55" s="346"/>
      <c r="HDQ55" s="346"/>
      <c r="HDR55" s="346"/>
      <c r="HDS55" s="346"/>
      <c r="HDT55" s="346"/>
      <c r="HDU55" s="346"/>
      <c r="HDV55" s="346"/>
      <c r="HDW55" s="346"/>
      <c r="HDX55" s="346"/>
      <c r="HDY55" s="346"/>
      <c r="HDZ55" s="346"/>
      <c r="HEA55" s="346"/>
      <c r="HEB55" s="346"/>
      <c r="HEC55" s="346"/>
      <c r="HED55" s="346"/>
      <c r="HEE55" s="346"/>
      <c r="HEF55" s="346"/>
      <c r="HEG55" s="346"/>
      <c r="HEH55" s="346"/>
      <c r="HEI55" s="346"/>
      <c r="HEJ55" s="346"/>
      <c r="HEK55" s="346"/>
      <c r="HEL55" s="346"/>
      <c r="HEM55" s="346"/>
      <c r="HEN55" s="346"/>
      <c r="HEO55" s="346"/>
      <c r="HEP55" s="346"/>
      <c r="HEQ55" s="346"/>
      <c r="HER55" s="346"/>
      <c r="HES55" s="346"/>
      <c r="HET55" s="346"/>
      <c r="HEU55" s="346"/>
      <c r="HEV55" s="346"/>
      <c r="HEW55" s="346"/>
      <c r="HEX55" s="346"/>
      <c r="HEY55" s="346"/>
      <c r="HEZ55" s="346"/>
      <c r="HFA55" s="346"/>
      <c r="HFB55" s="346"/>
      <c r="HFC55" s="346"/>
      <c r="HFD55" s="346"/>
      <c r="HFE55" s="346"/>
      <c r="HFF55" s="346"/>
      <c r="HFG55" s="346"/>
      <c r="HFH55" s="346"/>
      <c r="HFI55" s="346"/>
      <c r="HFJ55" s="346"/>
      <c r="HFK55" s="346"/>
      <c r="HFL55" s="346"/>
      <c r="HFM55" s="346"/>
      <c r="HFN55" s="346"/>
      <c r="HFO55" s="346"/>
      <c r="HFP55" s="346"/>
      <c r="HFQ55" s="346"/>
      <c r="HFR55" s="346"/>
      <c r="HFS55" s="346"/>
      <c r="HFT55" s="346"/>
      <c r="HFU55" s="346"/>
      <c r="HFV55" s="346"/>
      <c r="HFW55" s="346"/>
      <c r="HFX55" s="346"/>
      <c r="HFY55" s="346"/>
      <c r="HFZ55" s="346"/>
      <c r="HGA55" s="346"/>
      <c r="HGB55" s="346"/>
      <c r="HGC55" s="346"/>
      <c r="HGD55" s="346"/>
      <c r="HGE55" s="346"/>
      <c r="HGF55" s="346"/>
      <c r="HGG55" s="346"/>
      <c r="HGH55" s="346"/>
      <c r="HGI55" s="346"/>
      <c r="HGJ55" s="346"/>
      <c r="HGK55" s="346"/>
      <c r="HGL55" s="346"/>
      <c r="HGM55" s="346"/>
      <c r="HGN55" s="346"/>
      <c r="HGO55" s="346"/>
      <c r="HGP55" s="346"/>
      <c r="HGQ55" s="346"/>
      <c r="HGR55" s="346"/>
      <c r="HGS55" s="346"/>
      <c r="HGT55" s="346"/>
      <c r="HGU55" s="346"/>
      <c r="HGV55" s="346"/>
      <c r="HGW55" s="346"/>
      <c r="HGX55" s="346"/>
      <c r="HGY55" s="346"/>
      <c r="HGZ55" s="346"/>
      <c r="HHA55" s="346"/>
      <c r="HHB55" s="346"/>
      <c r="HHC55" s="346"/>
      <c r="HHD55" s="346"/>
      <c r="HHE55" s="346"/>
      <c r="HHF55" s="346"/>
      <c r="HHG55" s="346"/>
      <c r="HHH55" s="346"/>
      <c r="HHI55" s="346"/>
      <c r="HHJ55" s="346"/>
      <c r="HHK55" s="346"/>
      <c r="HHL55" s="346"/>
      <c r="HHM55" s="346"/>
      <c r="HHN55" s="346"/>
      <c r="HHO55" s="346"/>
      <c r="HHP55" s="346"/>
      <c r="HHQ55" s="346"/>
      <c r="HHR55" s="346"/>
      <c r="HHS55" s="346"/>
      <c r="HHT55" s="346"/>
      <c r="HHU55" s="346"/>
      <c r="HHV55" s="346"/>
      <c r="HHW55" s="346"/>
      <c r="HHX55" s="346"/>
      <c r="HHY55" s="346"/>
      <c r="HHZ55" s="346"/>
      <c r="HIA55" s="346"/>
      <c r="HIB55" s="346"/>
      <c r="HIC55" s="346"/>
      <c r="HID55" s="346"/>
      <c r="HIE55" s="346"/>
      <c r="HIF55" s="346"/>
      <c r="HIG55" s="346"/>
      <c r="HIH55" s="346"/>
      <c r="HII55" s="346"/>
      <c r="HIJ55" s="346"/>
      <c r="HIK55" s="346"/>
      <c r="HIL55" s="346"/>
      <c r="HIM55" s="346"/>
      <c r="HIN55" s="346"/>
      <c r="HIO55" s="346"/>
      <c r="HIP55" s="346"/>
      <c r="HIQ55" s="346"/>
      <c r="HIR55" s="346"/>
      <c r="HIS55" s="346"/>
      <c r="HIT55" s="346"/>
      <c r="HIU55" s="346"/>
      <c r="HIV55" s="346"/>
      <c r="HIW55" s="346"/>
      <c r="HIX55" s="346"/>
      <c r="HIY55" s="346"/>
      <c r="HIZ55" s="346"/>
      <c r="HJA55" s="346"/>
      <c r="HJB55" s="346"/>
      <c r="HJC55" s="346"/>
      <c r="HJD55" s="346"/>
      <c r="HJE55" s="346"/>
      <c r="HJF55" s="346"/>
      <c r="HJG55" s="346"/>
      <c r="HJH55" s="346"/>
      <c r="HJI55" s="346"/>
      <c r="HJJ55" s="346"/>
      <c r="HJK55" s="346"/>
      <c r="HJL55" s="346"/>
      <c r="HJM55" s="346"/>
      <c r="HJN55" s="346"/>
      <c r="HJO55" s="346"/>
      <c r="HJP55" s="346"/>
      <c r="HJQ55" s="346"/>
      <c r="HJR55" s="346"/>
      <c r="HJS55" s="346"/>
      <c r="HJT55" s="346"/>
      <c r="HJU55" s="346"/>
      <c r="HJV55" s="346"/>
      <c r="HJW55" s="346"/>
      <c r="HJX55" s="346"/>
      <c r="HJY55" s="346"/>
      <c r="HJZ55" s="346"/>
      <c r="HKA55" s="346"/>
      <c r="HKB55" s="346"/>
      <c r="HKC55" s="346"/>
      <c r="HKD55" s="346"/>
      <c r="HKE55" s="346"/>
      <c r="HKF55" s="346"/>
      <c r="HKG55" s="346"/>
      <c r="HKH55" s="346"/>
      <c r="HKI55" s="346"/>
      <c r="HKJ55" s="346"/>
      <c r="HKK55" s="346"/>
      <c r="HKL55" s="346"/>
      <c r="HKM55" s="346"/>
      <c r="HKN55" s="346"/>
      <c r="HKO55" s="346"/>
      <c r="HKP55" s="346"/>
      <c r="HKQ55" s="346"/>
      <c r="HKR55" s="346"/>
      <c r="HKS55" s="346"/>
      <c r="HKT55" s="346"/>
      <c r="HKU55" s="346"/>
      <c r="HKV55" s="346"/>
      <c r="HKW55" s="346"/>
      <c r="HKX55" s="346"/>
      <c r="HKY55" s="346"/>
      <c r="HKZ55" s="346"/>
      <c r="HLA55" s="346"/>
      <c r="HLB55" s="346"/>
      <c r="HLC55" s="346"/>
      <c r="HLD55" s="346"/>
      <c r="HLE55" s="346"/>
      <c r="HLF55" s="346"/>
      <c r="HLG55" s="346"/>
      <c r="HLH55" s="346"/>
      <c r="HLI55" s="346"/>
      <c r="HLJ55" s="346"/>
      <c r="HLK55" s="346"/>
      <c r="HLL55" s="346"/>
      <c r="HLM55" s="346"/>
      <c r="HLN55" s="346"/>
      <c r="HLO55" s="346"/>
      <c r="HLP55" s="346"/>
      <c r="HLQ55" s="346"/>
      <c r="HLR55" s="346"/>
      <c r="HLS55" s="346"/>
      <c r="HLT55" s="346"/>
      <c r="HLU55" s="346"/>
      <c r="HLV55" s="346"/>
      <c r="HLW55" s="346"/>
      <c r="HLX55" s="346"/>
      <c r="HLY55" s="346"/>
      <c r="HLZ55" s="346"/>
      <c r="HMA55" s="346"/>
      <c r="HMB55" s="346"/>
      <c r="HMC55" s="346"/>
      <c r="HMD55" s="346"/>
      <c r="HME55" s="346"/>
      <c r="HMF55" s="346"/>
      <c r="HMG55" s="346"/>
      <c r="HMH55" s="346"/>
      <c r="HMI55" s="346"/>
      <c r="HMJ55" s="346"/>
      <c r="HMK55" s="346"/>
      <c r="HML55" s="346"/>
      <c r="HMM55" s="346"/>
      <c r="HMN55" s="346"/>
      <c r="HMO55" s="346"/>
      <c r="HMP55" s="346"/>
      <c r="HMQ55" s="346"/>
      <c r="HMR55" s="346"/>
      <c r="HMS55" s="346"/>
      <c r="HMT55" s="346"/>
      <c r="HMU55" s="346"/>
      <c r="HMV55" s="346"/>
      <c r="HMW55" s="346"/>
      <c r="HMX55" s="346"/>
      <c r="HMY55" s="346"/>
      <c r="HMZ55" s="346"/>
      <c r="HNA55" s="346"/>
      <c r="HNB55" s="346"/>
      <c r="HNC55" s="346"/>
      <c r="HND55" s="346"/>
      <c r="HNE55" s="346"/>
      <c r="HNF55" s="346"/>
      <c r="HNG55" s="346"/>
      <c r="HNH55" s="346"/>
      <c r="HNI55" s="346"/>
      <c r="HNJ55" s="346"/>
      <c r="HNK55" s="346"/>
      <c r="HNL55" s="346"/>
      <c r="HNM55" s="346"/>
      <c r="HNN55" s="346"/>
      <c r="HNO55" s="346"/>
      <c r="HNP55" s="346"/>
      <c r="HNQ55" s="346"/>
      <c r="HNR55" s="346"/>
      <c r="HNS55" s="346"/>
      <c r="HNT55" s="346"/>
      <c r="HNU55" s="346"/>
      <c r="HNV55" s="346"/>
      <c r="HNW55" s="346"/>
      <c r="HNX55" s="346"/>
      <c r="HNY55" s="346"/>
      <c r="HNZ55" s="346"/>
      <c r="HOA55" s="346"/>
      <c r="HOB55" s="346"/>
      <c r="HOC55" s="346"/>
      <c r="HOD55" s="346"/>
      <c r="HOE55" s="346"/>
      <c r="HOF55" s="346"/>
      <c r="HOG55" s="346"/>
      <c r="HOH55" s="346"/>
      <c r="HOI55" s="346"/>
      <c r="HOJ55" s="346"/>
      <c r="HOK55" s="346"/>
      <c r="HOL55" s="346"/>
      <c r="HOM55" s="346"/>
      <c r="HON55" s="346"/>
      <c r="HOO55" s="346"/>
      <c r="HOP55" s="346"/>
      <c r="HOQ55" s="346"/>
      <c r="HOR55" s="346"/>
      <c r="HOS55" s="346"/>
      <c r="HOT55" s="346"/>
      <c r="HOU55" s="346"/>
      <c r="HOV55" s="346"/>
      <c r="HOW55" s="346"/>
      <c r="HOX55" s="346"/>
      <c r="HOY55" s="346"/>
      <c r="HOZ55" s="346"/>
      <c r="HPA55" s="346"/>
      <c r="HPB55" s="346"/>
      <c r="HPC55" s="346"/>
      <c r="HPD55" s="346"/>
      <c r="HPE55" s="346"/>
      <c r="HPF55" s="346"/>
      <c r="HPG55" s="346"/>
      <c r="HPH55" s="346"/>
      <c r="HPI55" s="346"/>
      <c r="HPJ55" s="346"/>
      <c r="HPK55" s="346"/>
      <c r="HPL55" s="346"/>
      <c r="HPM55" s="346"/>
      <c r="HPN55" s="346"/>
      <c r="HPO55" s="346"/>
      <c r="HPP55" s="346"/>
      <c r="HPQ55" s="346"/>
      <c r="HPR55" s="346"/>
      <c r="HPS55" s="346"/>
      <c r="HPT55" s="346"/>
      <c r="HPU55" s="346"/>
      <c r="HPV55" s="346"/>
      <c r="HPW55" s="346"/>
      <c r="HPX55" s="346"/>
      <c r="HPY55" s="346"/>
      <c r="HPZ55" s="346"/>
      <c r="HQA55" s="346"/>
      <c r="HQB55" s="346"/>
      <c r="HQC55" s="346"/>
      <c r="HQD55" s="346"/>
      <c r="HQE55" s="346"/>
      <c r="HQF55" s="346"/>
      <c r="HQG55" s="346"/>
      <c r="HQH55" s="346"/>
      <c r="HQI55" s="346"/>
      <c r="HQJ55" s="346"/>
      <c r="HQK55" s="346"/>
      <c r="HQL55" s="346"/>
      <c r="HQM55" s="346"/>
      <c r="HQN55" s="346"/>
      <c r="HQO55" s="346"/>
      <c r="HQP55" s="346"/>
      <c r="HQQ55" s="346"/>
      <c r="HQR55" s="346"/>
      <c r="HQS55" s="346"/>
      <c r="HQT55" s="346"/>
      <c r="HQU55" s="346"/>
      <c r="HQV55" s="346"/>
      <c r="HQW55" s="346"/>
      <c r="HQX55" s="346"/>
      <c r="HQY55" s="346"/>
      <c r="HQZ55" s="346"/>
      <c r="HRA55" s="346"/>
      <c r="HRB55" s="346"/>
      <c r="HRC55" s="346"/>
      <c r="HRD55" s="346"/>
      <c r="HRE55" s="346"/>
      <c r="HRF55" s="346"/>
      <c r="HRG55" s="346"/>
      <c r="HRH55" s="346"/>
      <c r="HRI55" s="346"/>
      <c r="HRJ55" s="346"/>
      <c r="HRK55" s="346"/>
      <c r="HRL55" s="346"/>
      <c r="HRM55" s="346"/>
      <c r="HRN55" s="346"/>
      <c r="HRO55" s="346"/>
      <c r="HRP55" s="346"/>
      <c r="HRQ55" s="346"/>
      <c r="HRR55" s="346"/>
      <c r="HRS55" s="346"/>
      <c r="HRT55" s="346"/>
      <c r="HRU55" s="346"/>
      <c r="HRV55" s="346"/>
      <c r="HRW55" s="346"/>
      <c r="HRX55" s="346"/>
      <c r="HRY55" s="346"/>
      <c r="HRZ55" s="346"/>
      <c r="HSA55" s="346"/>
      <c r="HSB55" s="346"/>
      <c r="HSC55" s="346"/>
      <c r="HSD55" s="346"/>
      <c r="HSE55" s="346"/>
      <c r="HSF55" s="346"/>
      <c r="HSG55" s="346"/>
      <c r="HSH55" s="346"/>
      <c r="HSI55" s="346"/>
      <c r="HSJ55" s="346"/>
      <c r="HSK55" s="346"/>
      <c r="HSL55" s="346"/>
      <c r="HSM55" s="346"/>
      <c r="HSN55" s="346"/>
      <c r="HSO55" s="346"/>
      <c r="HSP55" s="346"/>
      <c r="HSQ55" s="346"/>
      <c r="HSR55" s="346"/>
      <c r="HSS55" s="346"/>
      <c r="HST55" s="346"/>
      <c r="HSU55" s="346"/>
      <c r="HSV55" s="346"/>
      <c r="HSW55" s="346"/>
      <c r="HSX55" s="346"/>
      <c r="HSY55" s="346"/>
      <c r="HSZ55" s="346"/>
      <c r="HTA55" s="346"/>
      <c r="HTB55" s="346"/>
      <c r="HTC55" s="346"/>
      <c r="HTD55" s="346"/>
      <c r="HTE55" s="346"/>
      <c r="HTF55" s="346"/>
      <c r="HTG55" s="346"/>
      <c r="HTH55" s="346"/>
      <c r="HTI55" s="346"/>
      <c r="HTJ55" s="346"/>
      <c r="HTK55" s="346"/>
      <c r="HTL55" s="346"/>
      <c r="HTM55" s="346"/>
      <c r="HTN55" s="346"/>
      <c r="HTO55" s="346"/>
      <c r="HTP55" s="346"/>
      <c r="HTQ55" s="346"/>
      <c r="HTR55" s="346"/>
      <c r="HTS55" s="346"/>
      <c r="HTT55" s="346"/>
      <c r="HTU55" s="346"/>
      <c r="HTV55" s="346"/>
      <c r="HTW55" s="346"/>
      <c r="HTX55" s="346"/>
      <c r="HTY55" s="346"/>
      <c r="HTZ55" s="346"/>
      <c r="HUA55" s="346"/>
      <c r="HUB55" s="346"/>
      <c r="HUC55" s="346"/>
      <c r="HUD55" s="346"/>
      <c r="HUE55" s="346"/>
      <c r="HUF55" s="346"/>
      <c r="HUG55" s="346"/>
      <c r="HUH55" s="346"/>
      <c r="HUI55" s="346"/>
      <c r="HUJ55" s="346"/>
      <c r="HUK55" s="346"/>
      <c r="HUL55" s="346"/>
      <c r="HUM55" s="346"/>
      <c r="HUN55" s="346"/>
      <c r="HUO55" s="346"/>
      <c r="HUP55" s="346"/>
      <c r="HUQ55" s="346"/>
      <c r="HUR55" s="346"/>
      <c r="HUS55" s="346"/>
      <c r="HUT55" s="346"/>
      <c r="HUU55" s="346"/>
      <c r="HUV55" s="346"/>
      <c r="HUW55" s="346"/>
      <c r="HUX55" s="346"/>
      <c r="HUY55" s="346"/>
      <c r="HUZ55" s="346"/>
      <c r="HVA55" s="346"/>
      <c r="HVB55" s="346"/>
      <c r="HVC55" s="346"/>
      <c r="HVD55" s="346"/>
      <c r="HVE55" s="346"/>
      <c r="HVF55" s="346"/>
      <c r="HVG55" s="346"/>
      <c r="HVH55" s="346"/>
      <c r="HVI55" s="346"/>
      <c r="HVJ55" s="346"/>
      <c r="HVK55" s="346"/>
      <c r="HVL55" s="346"/>
      <c r="HVM55" s="346"/>
      <c r="HVN55" s="346"/>
      <c r="HVO55" s="346"/>
      <c r="HVP55" s="346"/>
      <c r="HVQ55" s="346"/>
      <c r="HVR55" s="346"/>
      <c r="HVS55" s="346"/>
      <c r="HVT55" s="346"/>
      <c r="HVU55" s="346"/>
      <c r="HVV55" s="346"/>
      <c r="HVW55" s="346"/>
      <c r="HVX55" s="346"/>
      <c r="HVY55" s="346"/>
      <c r="HVZ55" s="346"/>
      <c r="HWA55" s="346"/>
      <c r="HWB55" s="346"/>
      <c r="HWC55" s="346"/>
      <c r="HWD55" s="346"/>
      <c r="HWE55" s="346"/>
      <c r="HWF55" s="346"/>
      <c r="HWG55" s="346"/>
      <c r="HWH55" s="346"/>
      <c r="HWI55" s="346"/>
      <c r="HWJ55" s="346"/>
      <c r="HWK55" s="346"/>
      <c r="HWL55" s="346"/>
      <c r="HWM55" s="346"/>
      <c r="HWN55" s="346"/>
      <c r="HWO55" s="346"/>
      <c r="HWP55" s="346"/>
      <c r="HWQ55" s="346"/>
      <c r="HWR55" s="346"/>
      <c r="HWS55" s="346"/>
      <c r="HWT55" s="346"/>
      <c r="HWU55" s="346"/>
      <c r="HWV55" s="346"/>
      <c r="HWW55" s="346"/>
      <c r="HWX55" s="346"/>
      <c r="HWY55" s="346"/>
      <c r="HWZ55" s="346"/>
      <c r="HXA55" s="346"/>
      <c r="HXB55" s="346"/>
      <c r="HXC55" s="346"/>
      <c r="HXD55" s="346"/>
      <c r="HXE55" s="346"/>
      <c r="HXF55" s="346"/>
      <c r="HXG55" s="346"/>
      <c r="HXH55" s="346"/>
      <c r="HXI55" s="346"/>
      <c r="HXJ55" s="346"/>
      <c r="HXK55" s="346"/>
      <c r="HXL55" s="346"/>
      <c r="HXM55" s="346"/>
      <c r="HXN55" s="346"/>
      <c r="HXO55" s="346"/>
      <c r="HXP55" s="346"/>
      <c r="HXQ55" s="346"/>
      <c r="HXR55" s="346"/>
      <c r="HXS55" s="346"/>
      <c r="HXT55" s="346"/>
      <c r="HXU55" s="346"/>
      <c r="HXV55" s="346"/>
      <c r="HXW55" s="346"/>
      <c r="HXX55" s="346"/>
      <c r="HXY55" s="346"/>
      <c r="HXZ55" s="346"/>
      <c r="HYA55" s="346"/>
      <c r="HYB55" s="346"/>
      <c r="HYC55" s="346"/>
      <c r="HYD55" s="346"/>
      <c r="HYE55" s="346"/>
      <c r="HYF55" s="346"/>
      <c r="HYG55" s="346"/>
      <c r="HYH55" s="346"/>
      <c r="HYI55" s="346"/>
      <c r="HYJ55" s="346"/>
      <c r="HYK55" s="346"/>
      <c r="HYL55" s="346"/>
      <c r="HYM55" s="346"/>
      <c r="HYN55" s="346"/>
      <c r="HYO55" s="346"/>
      <c r="HYP55" s="346"/>
      <c r="HYQ55" s="346"/>
      <c r="HYR55" s="346"/>
      <c r="HYS55" s="346"/>
      <c r="HYT55" s="346"/>
      <c r="HYU55" s="346"/>
      <c r="HYV55" s="346"/>
      <c r="HYW55" s="346"/>
      <c r="HYX55" s="346"/>
      <c r="HYY55" s="346"/>
      <c r="HYZ55" s="346"/>
      <c r="HZA55" s="346"/>
      <c r="HZB55" s="346"/>
      <c r="HZC55" s="346"/>
      <c r="HZD55" s="346"/>
      <c r="HZE55" s="346"/>
      <c r="HZF55" s="346"/>
      <c r="HZG55" s="346"/>
      <c r="HZH55" s="346"/>
      <c r="HZI55" s="346"/>
      <c r="HZJ55" s="346"/>
      <c r="HZK55" s="346"/>
      <c r="HZL55" s="346"/>
      <c r="HZM55" s="346"/>
      <c r="HZN55" s="346"/>
      <c r="HZO55" s="346"/>
      <c r="HZP55" s="346"/>
      <c r="HZQ55" s="346"/>
      <c r="HZR55" s="346"/>
      <c r="HZS55" s="346"/>
      <c r="HZT55" s="346"/>
      <c r="HZU55" s="346"/>
      <c r="HZV55" s="346"/>
      <c r="HZW55" s="346"/>
      <c r="HZX55" s="346"/>
      <c r="HZY55" s="346"/>
      <c r="HZZ55" s="346"/>
      <c r="IAA55" s="346"/>
      <c r="IAB55" s="346"/>
      <c r="IAC55" s="346"/>
      <c r="IAD55" s="346"/>
      <c r="IAE55" s="346"/>
      <c r="IAF55" s="346"/>
      <c r="IAG55" s="346"/>
      <c r="IAH55" s="346"/>
      <c r="IAI55" s="346"/>
      <c r="IAJ55" s="346"/>
      <c r="IAK55" s="346"/>
      <c r="IAL55" s="346"/>
      <c r="IAM55" s="346"/>
      <c r="IAN55" s="346"/>
      <c r="IAO55" s="346"/>
      <c r="IAP55" s="346"/>
      <c r="IAQ55" s="346"/>
      <c r="IAR55" s="346"/>
      <c r="IAS55" s="346"/>
      <c r="IAT55" s="346"/>
      <c r="IAU55" s="346"/>
      <c r="IAV55" s="346"/>
      <c r="IAW55" s="346"/>
      <c r="IAX55" s="346"/>
      <c r="IAY55" s="346"/>
      <c r="IAZ55" s="346"/>
      <c r="IBA55" s="346"/>
      <c r="IBB55" s="346"/>
      <c r="IBC55" s="346"/>
      <c r="IBD55" s="346"/>
      <c r="IBE55" s="346"/>
      <c r="IBF55" s="346"/>
      <c r="IBG55" s="346"/>
      <c r="IBH55" s="346"/>
      <c r="IBI55" s="346"/>
      <c r="IBJ55" s="346"/>
      <c r="IBK55" s="346"/>
      <c r="IBL55" s="346"/>
      <c r="IBM55" s="346"/>
      <c r="IBN55" s="346"/>
      <c r="IBO55" s="346"/>
      <c r="IBP55" s="346"/>
      <c r="IBQ55" s="346"/>
      <c r="IBR55" s="346"/>
      <c r="IBS55" s="346"/>
      <c r="IBT55" s="346"/>
      <c r="IBU55" s="346"/>
      <c r="IBV55" s="346"/>
      <c r="IBW55" s="346"/>
      <c r="IBX55" s="346"/>
      <c r="IBY55" s="346"/>
      <c r="IBZ55" s="346"/>
      <c r="ICA55" s="346"/>
      <c r="ICB55" s="346"/>
      <c r="ICC55" s="346"/>
      <c r="ICD55" s="346"/>
      <c r="ICE55" s="346"/>
      <c r="ICF55" s="346"/>
      <c r="ICG55" s="346"/>
      <c r="ICH55" s="346"/>
      <c r="ICI55" s="346"/>
      <c r="ICJ55" s="346"/>
      <c r="ICK55" s="346"/>
      <c r="ICL55" s="346"/>
      <c r="ICM55" s="346"/>
      <c r="ICN55" s="346"/>
      <c r="ICO55" s="346"/>
      <c r="ICP55" s="346"/>
      <c r="ICQ55" s="346"/>
      <c r="ICR55" s="346"/>
      <c r="ICS55" s="346"/>
      <c r="ICT55" s="346"/>
      <c r="ICU55" s="346"/>
      <c r="ICV55" s="346"/>
      <c r="ICW55" s="346"/>
      <c r="ICX55" s="346"/>
      <c r="ICY55" s="346"/>
      <c r="ICZ55" s="346"/>
      <c r="IDA55" s="346"/>
      <c r="IDB55" s="346"/>
      <c r="IDC55" s="346"/>
      <c r="IDD55" s="346"/>
      <c r="IDE55" s="346"/>
      <c r="IDF55" s="346"/>
      <c r="IDG55" s="346"/>
      <c r="IDH55" s="346"/>
      <c r="IDI55" s="346"/>
      <c r="IDJ55" s="346"/>
      <c r="IDK55" s="346"/>
      <c r="IDL55" s="346"/>
      <c r="IDM55" s="346"/>
      <c r="IDN55" s="346"/>
      <c r="IDO55" s="346"/>
      <c r="IDP55" s="346"/>
      <c r="IDQ55" s="346"/>
      <c r="IDR55" s="346"/>
      <c r="IDS55" s="346"/>
      <c r="IDT55" s="346"/>
      <c r="IDU55" s="346"/>
      <c r="IDV55" s="346"/>
      <c r="IDW55" s="346"/>
      <c r="IDX55" s="346"/>
      <c r="IDY55" s="346"/>
      <c r="IDZ55" s="346"/>
      <c r="IEA55" s="346"/>
      <c r="IEB55" s="346"/>
      <c r="IEC55" s="346"/>
      <c r="IED55" s="346"/>
      <c r="IEE55" s="346"/>
      <c r="IEF55" s="346"/>
      <c r="IEG55" s="346"/>
      <c r="IEH55" s="346"/>
      <c r="IEI55" s="346"/>
      <c r="IEJ55" s="346"/>
      <c r="IEK55" s="346"/>
      <c r="IEL55" s="346"/>
      <c r="IEM55" s="346"/>
      <c r="IEN55" s="346"/>
      <c r="IEO55" s="346"/>
      <c r="IEP55" s="346"/>
      <c r="IEQ55" s="346"/>
      <c r="IER55" s="346"/>
      <c r="IES55" s="346"/>
      <c r="IET55" s="346"/>
      <c r="IEU55" s="346"/>
      <c r="IEV55" s="346"/>
      <c r="IEW55" s="346"/>
      <c r="IEX55" s="346"/>
      <c r="IEY55" s="346"/>
      <c r="IEZ55" s="346"/>
      <c r="IFA55" s="346"/>
      <c r="IFB55" s="346"/>
      <c r="IFC55" s="346"/>
      <c r="IFD55" s="346"/>
      <c r="IFE55" s="346"/>
      <c r="IFF55" s="346"/>
      <c r="IFG55" s="346"/>
      <c r="IFH55" s="346"/>
      <c r="IFI55" s="346"/>
      <c r="IFJ55" s="346"/>
      <c r="IFK55" s="346"/>
      <c r="IFL55" s="346"/>
      <c r="IFM55" s="346"/>
      <c r="IFN55" s="346"/>
      <c r="IFO55" s="346"/>
      <c r="IFP55" s="346"/>
      <c r="IFQ55" s="346"/>
      <c r="IFR55" s="346"/>
      <c r="IFS55" s="346"/>
      <c r="IFT55" s="346"/>
      <c r="IFU55" s="346"/>
      <c r="IFV55" s="346"/>
      <c r="IFW55" s="346"/>
      <c r="IFX55" s="346"/>
      <c r="IFY55" s="346"/>
      <c r="IFZ55" s="346"/>
      <c r="IGA55" s="346"/>
      <c r="IGB55" s="346"/>
      <c r="IGC55" s="346"/>
      <c r="IGD55" s="346"/>
      <c r="IGE55" s="346"/>
      <c r="IGF55" s="346"/>
      <c r="IGG55" s="346"/>
      <c r="IGH55" s="346"/>
      <c r="IGI55" s="346"/>
      <c r="IGJ55" s="346"/>
      <c r="IGK55" s="346"/>
      <c r="IGL55" s="346"/>
      <c r="IGM55" s="346"/>
      <c r="IGN55" s="346"/>
      <c r="IGO55" s="346"/>
      <c r="IGP55" s="346"/>
      <c r="IGQ55" s="346"/>
      <c r="IGR55" s="346"/>
      <c r="IGS55" s="346"/>
      <c r="IGT55" s="346"/>
      <c r="IGU55" s="346"/>
      <c r="IGV55" s="346"/>
      <c r="IGW55" s="346"/>
      <c r="IGX55" s="346"/>
      <c r="IGY55" s="346"/>
      <c r="IGZ55" s="346"/>
      <c r="IHA55" s="346"/>
      <c r="IHB55" s="346"/>
      <c r="IHC55" s="346"/>
      <c r="IHD55" s="346"/>
      <c r="IHE55" s="346"/>
      <c r="IHF55" s="346"/>
      <c r="IHG55" s="346"/>
      <c r="IHH55" s="346"/>
      <c r="IHI55" s="346"/>
      <c r="IHJ55" s="346"/>
      <c r="IHK55" s="346"/>
      <c r="IHL55" s="346"/>
      <c r="IHM55" s="346"/>
      <c r="IHN55" s="346"/>
      <c r="IHO55" s="346"/>
      <c r="IHP55" s="346"/>
      <c r="IHQ55" s="346"/>
      <c r="IHR55" s="346"/>
      <c r="IHS55" s="346"/>
      <c r="IHT55" s="346"/>
      <c r="IHU55" s="346"/>
      <c r="IHV55" s="346"/>
      <c r="IHW55" s="346"/>
      <c r="IHX55" s="346"/>
      <c r="IHY55" s="346"/>
      <c r="IHZ55" s="346"/>
      <c r="IIA55" s="346"/>
      <c r="IIB55" s="346"/>
      <c r="IIC55" s="346"/>
      <c r="IID55" s="346"/>
      <c r="IIE55" s="346"/>
      <c r="IIF55" s="346"/>
      <c r="IIG55" s="346"/>
      <c r="IIH55" s="346"/>
      <c r="III55" s="346"/>
      <c r="IIJ55" s="346"/>
      <c r="IIK55" s="346"/>
      <c r="IIL55" s="346"/>
      <c r="IIM55" s="346"/>
      <c r="IIN55" s="346"/>
      <c r="IIO55" s="346"/>
      <c r="IIP55" s="346"/>
      <c r="IIQ55" s="346"/>
      <c r="IIR55" s="346"/>
      <c r="IIS55" s="346"/>
      <c r="IIT55" s="346"/>
      <c r="IIU55" s="346"/>
      <c r="IIV55" s="346"/>
      <c r="IIW55" s="346"/>
      <c r="IIX55" s="346"/>
      <c r="IIY55" s="346"/>
      <c r="IIZ55" s="346"/>
      <c r="IJA55" s="346"/>
      <c r="IJB55" s="346"/>
      <c r="IJC55" s="346"/>
      <c r="IJD55" s="346"/>
      <c r="IJE55" s="346"/>
      <c r="IJF55" s="346"/>
      <c r="IJG55" s="346"/>
      <c r="IJH55" s="346"/>
      <c r="IJI55" s="346"/>
      <c r="IJJ55" s="346"/>
      <c r="IJK55" s="346"/>
      <c r="IJL55" s="346"/>
      <c r="IJM55" s="346"/>
      <c r="IJN55" s="346"/>
      <c r="IJO55" s="346"/>
      <c r="IJP55" s="346"/>
      <c r="IJQ55" s="346"/>
      <c r="IJR55" s="346"/>
      <c r="IJS55" s="346"/>
      <c r="IJT55" s="346"/>
      <c r="IJU55" s="346"/>
      <c r="IJV55" s="346"/>
      <c r="IJW55" s="346"/>
      <c r="IJX55" s="346"/>
      <c r="IJY55" s="346"/>
      <c r="IJZ55" s="346"/>
      <c r="IKA55" s="346"/>
      <c r="IKB55" s="346"/>
      <c r="IKC55" s="346"/>
      <c r="IKD55" s="346"/>
      <c r="IKE55" s="346"/>
      <c r="IKF55" s="346"/>
      <c r="IKG55" s="346"/>
      <c r="IKH55" s="346"/>
      <c r="IKI55" s="346"/>
      <c r="IKJ55" s="346"/>
      <c r="IKK55" s="346"/>
      <c r="IKL55" s="346"/>
      <c r="IKM55" s="346"/>
      <c r="IKN55" s="346"/>
      <c r="IKO55" s="346"/>
      <c r="IKP55" s="346"/>
      <c r="IKQ55" s="346"/>
      <c r="IKR55" s="346"/>
      <c r="IKS55" s="346"/>
      <c r="IKT55" s="346"/>
      <c r="IKU55" s="346"/>
      <c r="IKV55" s="346"/>
      <c r="IKW55" s="346"/>
      <c r="IKX55" s="346"/>
      <c r="IKY55" s="346"/>
      <c r="IKZ55" s="346"/>
      <c r="ILA55" s="346"/>
      <c r="ILB55" s="346"/>
      <c r="ILC55" s="346"/>
      <c r="ILD55" s="346"/>
      <c r="ILE55" s="346"/>
      <c r="ILF55" s="346"/>
      <c r="ILG55" s="346"/>
      <c r="ILH55" s="346"/>
      <c r="ILI55" s="346"/>
      <c r="ILJ55" s="346"/>
      <c r="ILK55" s="346"/>
      <c r="ILL55" s="346"/>
      <c r="ILM55" s="346"/>
      <c r="ILN55" s="346"/>
      <c r="ILO55" s="346"/>
      <c r="ILP55" s="346"/>
      <c r="ILQ55" s="346"/>
      <c r="ILR55" s="346"/>
      <c r="ILS55" s="346"/>
      <c r="ILT55" s="346"/>
      <c r="ILU55" s="346"/>
      <c r="ILV55" s="346"/>
      <c r="ILW55" s="346"/>
      <c r="ILX55" s="346"/>
      <c r="ILY55" s="346"/>
      <c r="ILZ55" s="346"/>
      <c r="IMA55" s="346"/>
      <c r="IMB55" s="346"/>
      <c r="IMC55" s="346"/>
      <c r="IMD55" s="346"/>
      <c r="IME55" s="346"/>
      <c r="IMF55" s="346"/>
      <c r="IMG55" s="346"/>
      <c r="IMH55" s="346"/>
      <c r="IMI55" s="346"/>
      <c r="IMJ55" s="346"/>
      <c r="IMK55" s="346"/>
      <c r="IML55" s="346"/>
      <c r="IMM55" s="346"/>
      <c r="IMN55" s="346"/>
      <c r="IMO55" s="346"/>
      <c r="IMP55" s="346"/>
      <c r="IMQ55" s="346"/>
      <c r="IMR55" s="346"/>
      <c r="IMS55" s="346"/>
      <c r="IMT55" s="346"/>
      <c r="IMU55" s="346"/>
      <c r="IMV55" s="346"/>
      <c r="IMW55" s="346"/>
      <c r="IMX55" s="346"/>
      <c r="IMY55" s="346"/>
      <c r="IMZ55" s="346"/>
      <c r="INA55" s="346"/>
      <c r="INB55" s="346"/>
      <c r="INC55" s="346"/>
      <c r="IND55" s="346"/>
      <c r="INE55" s="346"/>
      <c r="INF55" s="346"/>
      <c r="ING55" s="346"/>
      <c r="INH55" s="346"/>
      <c r="INI55" s="346"/>
      <c r="INJ55" s="346"/>
      <c r="INK55" s="346"/>
      <c r="INL55" s="346"/>
      <c r="INM55" s="346"/>
      <c r="INN55" s="346"/>
      <c r="INO55" s="346"/>
      <c r="INP55" s="346"/>
      <c r="INQ55" s="346"/>
      <c r="INR55" s="346"/>
      <c r="INS55" s="346"/>
      <c r="INT55" s="346"/>
      <c r="INU55" s="346"/>
      <c r="INV55" s="346"/>
      <c r="INW55" s="346"/>
      <c r="INX55" s="346"/>
      <c r="INY55" s="346"/>
      <c r="INZ55" s="346"/>
      <c r="IOA55" s="346"/>
      <c r="IOB55" s="346"/>
      <c r="IOC55" s="346"/>
      <c r="IOD55" s="346"/>
      <c r="IOE55" s="346"/>
      <c r="IOF55" s="346"/>
      <c r="IOG55" s="346"/>
      <c r="IOH55" s="346"/>
      <c r="IOI55" s="346"/>
      <c r="IOJ55" s="346"/>
      <c r="IOK55" s="346"/>
      <c r="IOL55" s="346"/>
      <c r="IOM55" s="346"/>
      <c r="ION55" s="346"/>
      <c r="IOO55" s="346"/>
      <c r="IOP55" s="346"/>
      <c r="IOQ55" s="346"/>
      <c r="IOR55" s="346"/>
      <c r="IOS55" s="346"/>
      <c r="IOT55" s="346"/>
      <c r="IOU55" s="346"/>
      <c r="IOV55" s="346"/>
      <c r="IOW55" s="346"/>
      <c r="IOX55" s="346"/>
      <c r="IOY55" s="346"/>
      <c r="IOZ55" s="346"/>
      <c r="IPA55" s="346"/>
      <c r="IPB55" s="346"/>
      <c r="IPC55" s="346"/>
      <c r="IPD55" s="346"/>
      <c r="IPE55" s="346"/>
      <c r="IPF55" s="346"/>
      <c r="IPG55" s="346"/>
      <c r="IPH55" s="346"/>
      <c r="IPI55" s="346"/>
      <c r="IPJ55" s="346"/>
      <c r="IPK55" s="346"/>
      <c r="IPL55" s="346"/>
      <c r="IPM55" s="346"/>
      <c r="IPN55" s="346"/>
      <c r="IPO55" s="346"/>
      <c r="IPP55" s="346"/>
      <c r="IPQ55" s="346"/>
      <c r="IPR55" s="346"/>
      <c r="IPS55" s="346"/>
      <c r="IPT55" s="346"/>
      <c r="IPU55" s="346"/>
      <c r="IPV55" s="346"/>
      <c r="IPW55" s="346"/>
      <c r="IPX55" s="346"/>
      <c r="IPY55" s="346"/>
      <c r="IPZ55" s="346"/>
      <c r="IQA55" s="346"/>
      <c r="IQB55" s="346"/>
      <c r="IQC55" s="346"/>
      <c r="IQD55" s="346"/>
      <c r="IQE55" s="346"/>
      <c r="IQF55" s="346"/>
      <c r="IQG55" s="346"/>
      <c r="IQH55" s="346"/>
      <c r="IQI55" s="346"/>
      <c r="IQJ55" s="346"/>
      <c r="IQK55" s="346"/>
      <c r="IQL55" s="346"/>
      <c r="IQM55" s="346"/>
      <c r="IQN55" s="346"/>
      <c r="IQO55" s="346"/>
      <c r="IQP55" s="346"/>
      <c r="IQQ55" s="346"/>
      <c r="IQR55" s="346"/>
      <c r="IQS55" s="346"/>
      <c r="IQT55" s="346"/>
      <c r="IQU55" s="346"/>
      <c r="IQV55" s="346"/>
      <c r="IQW55" s="346"/>
      <c r="IQX55" s="346"/>
      <c r="IQY55" s="346"/>
      <c r="IQZ55" s="346"/>
      <c r="IRA55" s="346"/>
      <c r="IRB55" s="346"/>
      <c r="IRC55" s="346"/>
      <c r="IRD55" s="346"/>
      <c r="IRE55" s="346"/>
      <c r="IRF55" s="346"/>
      <c r="IRG55" s="346"/>
      <c r="IRH55" s="346"/>
      <c r="IRI55" s="346"/>
      <c r="IRJ55" s="346"/>
      <c r="IRK55" s="346"/>
      <c r="IRL55" s="346"/>
      <c r="IRM55" s="346"/>
      <c r="IRN55" s="346"/>
      <c r="IRO55" s="346"/>
      <c r="IRP55" s="346"/>
      <c r="IRQ55" s="346"/>
      <c r="IRR55" s="346"/>
      <c r="IRS55" s="346"/>
      <c r="IRT55" s="346"/>
      <c r="IRU55" s="346"/>
      <c r="IRV55" s="346"/>
      <c r="IRW55" s="346"/>
      <c r="IRX55" s="346"/>
      <c r="IRY55" s="346"/>
      <c r="IRZ55" s="346"/>
      <c r="ISA55" s="346"/>
      <c r="ISB55" s="346"/>
      <c r="ISC55" s="346"/>
      <c r="ISD55" s="346"/>
      <c r="ISE55" s="346"/>
      <c r="ISF55" s="346"/>
      <c r="ISG55" s="346"/>
      <c r="ISH55" s="346"/>
      <c r="ISI55" s="346"/>
      <c r="ISJ55" s="346"/>
      <c r="ISK55" s="346"/>
      <c r="ISL55" s="346"/>
      <c r="ISM55" s="346"/>
      <c r="ISN55" s="346"/>
      <c r="ISO55" s="346"/>
      <c r="ISP55" s="346"/>
      <c r="ISQ55" s="346"/>
      <c r="ISR55" s="346"/>
      <c r="ISS55" s="346"/>
      <c r="IST55" s="346"/>
      <c r="ISU55" s="346"/>
      <c r="ISV55" s="346"/>
      <c r="ISW55" s="346"/>
      <c r="ISX55" s="346"/>
      <c r="ISY55" s="346"/>
      <c r="ISZ55" s="346"/>
      <c r="ITA55" s="346"/>
      <c r="ITB55" s="346"/>
      <c r="ITC55" s="346"/>
      <c r="ITD55" s="346"/>
      <c r="ITE55" s="346"/>
      <c r="ITF55" s="346"/>
      <c r="ITG55" s="346"/>
      <c r="ITH55" s="346"/>
      <c r="ITI55" s="346"/>
      <c r="ITJ55" s="346"/>
      <c r="ITK55" s="346"/>
      <c r="ITL55" s="346"/>
      <c r="ITM55" s="346"/>
      <c r="ITN55" s="346"/>
      <c r="ITO55" s="346"/>
      <c r="ITP55" s="346"/>
      <c r="ITQ55" s="346"/>
      <c r="ITR55" s="346"/>
      <c r="ITS55" s="346"/>
      <c r="ITT55" s="346"/>
      <c r="ITU55" s="346"/>
      <c r="ITV55" s="346"/>
      <c r="ITW55" s="346"/>
      <c r="ITX55" s="346"/>
      <c r="ITY55" s="346"/>
      <c r="ITZ55" s="346"/>
      <c r="IUA55" s="346"/>
      <c r="IUB55" s="346"/>
      <c r="IUC55" s="346"/>
      <c r="IUD55" s="346"/>
      <c r="IUE55" s="346"/>
      <c r="IUF55" s="346"/>
      <c r="IUG55" s="346"/>
      <c r="IUH55" s="346"/>
      <c r="IUI55" s="346"/>
      <c r="IUJ55" s="346"/>
      <c r="IUK55" s="346"/>
      <c r="IUL55" s="346"/>
      <c r="IUM55" s="346"/>
      <c r="IUN55" s="346"/>
      <c r="IUO55" s="346"/>
      <c r="IUP55" s="346"/>
      <c r="IUQ55" s="346"/>
      <c r="IUR55" s="346"/>
      <c r="IUS55" s="346"/>
      <c r="IUT55" s="346"/>
      <c r="IUU55" s="346"/>
      <c r="IUV55" s="346"/>
      <c r="IUW55" s="346"/>
      <c r="IUX55" s="346"/>
      <c r="IUY55" s="346"/>
      <c r="IUZ55" s="346"/>
      <c r="IVA55" s="346"/>
      <c r="IVB55" s="346"/>
      <c r="IVC55" s="346"/>
      <c r="IVD55" s="346"/>
      <c r="IVE55" s="346"/>
      <c r="IVF55" s="346"/>
      <c r="IVG55" s="346"/>
      <c r="IVH55" s="346"/>
      <c r="IVI55" s="346"/>
      <c r="IVJ55" s="346"/>
      <c r="IVK55" s="346"/>
      <c r="IVL55" s="346"/>
      <c r="IVM55" s="346"/>
      <c r="IVN55" s="346"/>
      <c r="IVO55" s="346"/>
      <c r="IVP55" s="346"/>
      <c r="IVQ55" s="346"/>
      <c r="IVR55" s="346"/>
      <c r="IVS55" s="346"/>
      <c r="IVT55" s="346"/>
      <c r="IVU55" s="346"/>
      <c r="IVV55" s="346"/>
      <c r="IVW55" s="346"/>
      <c r="IVX55" s="346"/>
      <c r="IVY55" s="346"/>
      <c r="IVZ55" s="346"/>
      <c r="IWA55" s="346"/>
      <c r="IWB55" s="346"/>
      <c r="IWC55" s="346"/>
      <c r="IWD55" s="346"/>
      <c r="IWE55" s="346"/>
      <c r="IWF55" s="346"/>
      <c r="IWG55" s="346"/>
      <c r="IWH55" s="346"/>
      <c r="IWI55" s="346"/>
      <c r="IWJ55" s="346"/>
      <c r="IWK55" s="346"/>
      <c r="IWL55" s="346"/>
      <c r="IWM55" s="346"/>
      <c r="IWN55" s="346"/>
      <c r="IWO55" s="346"/>
      <c r="IWP55" s="346"/>
      <c r="IWQ55" s="346"/>
      <c r="IWR55" s="346"/>
      <c r="IWS55" s="346"/>
      <c r="IWT55" s="346"/>
      <c r="IWU55" s="346"/>
      <c r="IWV55" s="346"/>
      <c r="IWW55" s="346"/>
      <c r="IWX55" s="346"/>
      <c r="IWY55" s="346"/>
      <c r="IWZ55" s="346"/>
      <c r="IXA55" s="346"/>
      <c r="IXB55" s="346"/>
      <c r="IXC55" s="346"/>
      <c r="IXD55" s="346"/>
      <c r="IXE55" s="346"/>
      <c r="IXF55" s="346"/>
      <c r="IXG55" s="346"/>
      <c r="IXH55" s="346"/>
      <c r="IXI55" s="346"/>
      <c r="IXJ55" s="346"/>
      <c r="IXK55" s="346"/>
      <c r="IXL55" s="346"/>
      <c r="IXM55" s="346"/>
      <c r="IXN55" s="346"/>
      <c r="IXO55" s="346"/>
      <c r="IXP55" s="346"/>
      <c r="IXQ55" s="346"/>
      <c r="IXR55" s="346"/>
      <c r="IXS55" s="346"/>
      <c r="IXT55" s="346"/>
      <c r="IXU55" s="346"/>
      <c r="IXV55" s="346"/>
      <c r="IXW55" s="346"/>
      <c r="IXX55" s="346"/>
      <c r="IXY55" s="346"/>
      <c r="IXZ55" s="346"/>
      <c r="IYA55" s="346"/>
      <c r="IYB55" s="346"/>
      <c r="IYC55" s="346"/>
      <c r="IYD55" s="346"/>
      <c r="IYE55" s="346"/>
      <c r="IYF55" s="346"/>
      <c r="IYG55" s="346"/>
      <c r="IYH55" s="346"/>
      <c r="IYI55" s="346"/>
      <c r="IYJ55" s="346"/>
      <c r="IYK55" s="346"/>
      <c r="IYL55" s="346"/>
      <c r="IYM55" s="346"/>
      <c r="IYN55" s="346"/>
      <c r="IYO55" s="346"/>
      <c r="IYP55" s="346"/>
      <c r="IYQ55" s="346"/>
      <c r="IYR55" s="346"/>
      <c r="IYS55" s="346"/>
      <c r="IYT55" s="346"/>
      <c r="IYU55" s="346"/>
      <c r="IYV55" s="346"/>
      <c r="IYW55" s="346"/>
      <c r="IYX55" s="346"/>
      <c r="IYY55" s="346"/>
      <c r="IYZ55" s="346"/>
      <c r="IZA55" s="346"/>
      <c r="IZB55" s="346"/>
      <c r="IZC55" s="346"/>
      <c r="IZD55" s="346"/>
      <c r="IZE55" s="346"/>
      <c r="IZF55" s="346"/>
      <c r="IZG55" s="346"/>
      <c r="IZH55" s="346"/>
      <c r="IZI55" s="346"/>
      <c r="IZJ55" s="346"/>
      <c r="IZK55" s="346"/>
      <c r="IZL55" s="346"/>
      <c r="IZM55" s="346"/>
      <c r="IZN55" s="346"/>
      <c r="IZO55" s="346"/>
      <c r="IZP55" s="346"/>
      <c r="IZQ55" s="346"/>
      <c r="IZR55" s="346"/>
      <c r="IZS55" s="346"/>
      <c r="IZT55" s="346"/>
      <c r="IZU55" s="346"/>
      <c r="IZV55" s="346"/>
      <c r="IZW55" s="346"/>
      <c r="IZX55" s="346"/>
      <c r="IZY55" s="346"/>
      <c r="IZZ55" s="346"/>
      <c r="JAA55" s="346"/>
      <c r="JAB55" s="346"/>
      <c r="JAC55" s="346"/>
      <c r="JAD55" s="346"/>
      <c r="JAE55" s="346"/>
      <c r="JAF55" s="346"/>
      <c r="JAG55" s="346"/>
      <c r="JAH55" s="346"/>
      <c r="JAI55" s="346"/>
      <c r="JAJ55" s="346"/>
      <c r="JAK55" s="346"/>
      <c r="JAL55" s="346"/>
      <c r="JAM55" s="346"/>
      <c r="JAN55" s="346"/>
      <c r="JAO55" s="346"/>
      <c r="JAP55" s="346"/>
      <c r="JAQ55" s="346"/>
      <c r="JAR55" s="346"/>
      <c r="JAS55" s="346"/>
      <c r="JAT55" s="346"/>
      <c r="JAU55" s="346"/>
      <c r="JAV55" s="346"/>
      <c r="JAW55" s="346"/>
      <c r="JAX55" s="346"/>
      <c r="JAY55" s="346"/>
      <c r="JAZ55" s="346"/>
      <c r="JBA55" s="346"/>
      <c r="JBB55" s="346"/>
      <c r="JBC55" s="346"/>
      <c r="JBD55" s="346"/>
      <c r="JBE55" s="346"/>
      <c r="JBF55" s="346"/>
      <c r="JBG55" s="346"/>
      <c r="JBH55" s="346"/>
      <c r="JBI55" s="346"/>
      <c r="JBJ55" s="346"/>
      <c r="JBK55" s="346"/>
      <c r="JBL55" s="346"/>
      <c r="JBM55" s="346"/>
      <c r="JBN55" s="346"/>
      <c r="JBO55" s="346"/>
      <c r="JBP55" s="346"/>
      <c r="JBQ55" s="346"/>
      <c r="JBR55" s="346"/>
      <c r="JBS55" s="346"/>
      <c r="JBT55" s="346"/>
      <c r="JBU55" s="346"/>
      <c r="JBV55" s="346"/>
      <c r="JBW55" s="346"/>
      <c r="JBX55" s="346"/>
      <c r="JBY55" s="346"/>
      <c r="JBZ55" s="346"/>
      <c r="JCA55" s="346"/>
      <c r="JCB55" s="346"/>
      <c r="JCC55" s="346"/>
      <c r="JCD55" s="346"/>
      <c r="JCE55" s="346"/>
      <c r="JCF55" s="346"/>
      <c r="JCG55" s="346"/>
      <c r="JCH55" s="346"/>
      <c r="JCI55" s="346"/>
      <c r="JCJ55" s="346"/>
      <c r="JCK55" s="346"/>
      <c r="JCL55" s="346"/>
      <c r="JCM55" s="346"/>
      <c r="JCN55" s="346"/>
      <c r="JCO55" s="346"/>
      <c r="JCP55" s="346"/>
      <c r="JCQ55" s="346"/>
      <c r="JCR55" s="346"/>
      <c r="JCS55" s="346"/>
      <c r="JCT55" s="346"/>
      <c r="JCU55" s="346"/>
      <c r="JCV55" s="346"/>
      <c r="JCW55" s="346"/>
      <c r="JCX55" s="346"/>
      <c r="JCY55" s="346"/>
      <c r="JCZ55" s="346"/>
      <c r="JDA55" s="346"/>
      <c r="JDB55" s="346"/>
      <c r="JDC55" s="346"/>
      <c r="JDD55" s="346"/>
      <c r="JDE55" s="346"/>
      <c r="JDF55" s="346"/>
      <c r="JDG55" s="346"/>
      <c r="JDH55" s="346"/>
      <c r="JDI55" s="346"/>
      <c r="JDJ55" s="346"/>
      <c r="JDK55" s="346"/>
      <c r="JDL55" s="346"/>
      <c r="JDM55" s="346"/>
      <c r="JDN55" s="346"/>
      <c r="JDO55" s="346"/>
      <c r="JDP55" s="346"/>
      <c r="JDQ55" s="346"/>
      <c r="JDR55" s="346"/>
      <c r="JDS55" s="346"/>
      <c r="JDT55" s="346"/>
      <c r="JDU55" s="346"/>
      <c r="JDV55" s="346"/>
      <c r="JDW55" s="346"/>
      <c r="JDX55" s="346"/>
      <c r="JDY55" s="346"/>
      <c r="JDZ55" s="346"/>
      <c r="JEA55" s="346"/>
      <c r="JEB55" s="346"/>
      <c r="JEC55" s="346"/>
      <c r="JED55" s="346"/>
      <c r="JEE55" s="346"/>
      <c r="JEF55" s="346"/>
      <c r="JEG55" s="346"/>
      <c r="JEH55" s="346"/>
      <c r="JEI55" s="346"/>
      <c r="JEJ55" s="346"/>
      <c r="JEK55" s="346"/>
      <c r="JEL55" s="346"/>
      <c r="JEM55" s="346"/>
      <c r="JEN55" s="346"/>
      <c r="JEO55" s="346"/>
      <c r="JEP55" s="346"/>
      <c r="JEQ55" s="346"/>
      <c r="JER55" s="346"/>
      <c r="JES55" s="346"/>
      <c r="JET55" s="346"/>
      <c r="JEU55" s="346"/>
      <c r="JEV55" s="346"/>
      <c r="JEW55" s="346"/>
      <c r="JEX55" s="346"/>
      <c r="JEY55" s="346"/>
      <c r="JEZ55" s="346"/>
      <c r="JFA55" s="346"/>
      <c r="JFB55" s="346"/>
      <c r="JFC55" s="346"/>
      <c r="JFD55" s="346"/>
      <c r="JFE55" s="346"/>
      <c r="JFF55" s="346"/>
      <c r="JFG55" s="346"/>
      <c r="JFH55" s="346"/>
      <c r="JFI55" s="346"/>
      <c r="JFJ55" s="346"/>
      <c r="JFK55" s="346"/>
      <c r="JFL55" s="346"/>
      <c r="JFM55" s="346"/>
      <c r="JFN55" s="346"/>
      <c r="JFO55" s="346"/>
      <c r="JFP55" s="346"/>
      <c r="JFQ55" s="346"/>
      <c r="JFR55" s="346"/>
      <c r="JFS55" s="346"/>
      <c r="JFT55" s="346"/>
      <c r="JFU55" s="346"/>
      <c r="JFV55" s="346"/>
      <c r="JFW55" s="346"/>
      <c r="JFX55" s="346"/>
      <c r="JFY55" s="346"/>
      <c r="JFZ55" s="346"/>
      <c r="JGA55" s="346"/>
      <c r="JGB55" s="346"/>
      <c r="JGC55" s="346"/>
      <c r="JGD55" s="346"/>
      <c r="JGE55" s="346"/>
      <c r="JGF55" s="346"/>
      <c r="JGG55" s="346"/>
      <c r="JGH55" s="346"/>
      <c r="JGI55" s="346"/>
      <c r="JGJ55" s="346"/>
      <c r="JGK55" s="346"/>
      <c r="JGL55" s="346"/>
      <c r="JGM55" s="346"/>
      <c r="JGN55" s="346"/>
      <c r="JGO55" s="346"/>
      <c r="JGP55" s="346"/>
      <c r="JGQ55" s="346"/>
      <c r="JGR55" s="346"/>
      <c r="JGS55" s="346"/>
      <c r="JGT55" s="346"/>
      <c r="JGU55" s="346"/>
      <c r="JGV55" s="346"/>
      <c r="JGW55" s="346"/>
      <c r="JGX55" s="346"/>
      <c r="JGY55" s="346"/>
      <c r="JGZ55" s="346"/>
      <c r="JHA55" s="346"/>
      <c r="JHB55" s="346"/>
      <c r="JHC55" s="346"/>
      <c r="JHD55" s="346"/>
      <c r="JHE55" s="346"/>
      <c r="JHF55" s="346"/>
      <c r="JHG55" s="346"/>
      <c r="JHH55" s="346"/>
      <c r="JHI55" s="346"/>
      <c r="JHJ55" s="346"/>
      <c r="JHK55" s="346"/>
      <c r="JHL55" s="346"/>
      <c r="JHM55" s="346"/>
      <c r="JHN55" s="346"/>
      <c r="JHO55" s="346"/>
      <c r="JHP55" s="346"/>
      <c r="JHQ55" s="346"/>
      <c r="JHR55" s="346"/>
      <c r="JHS55" s="346"/>
      <c r="JHT55" s="346"/>
      <c r="JHU55" s="346"/>
      <c r="JHV55" s="346"/>
      <c r="JHW55" s="346"/>
      <c r="JHX55" s="346"/>
      <c r="JHY55" s="346"/>
      <c r="JHZ55" s="346"/>
      <c r="JIA55" s="346"/>
      <c r="JIB55" s="346"/>
      <c r="JIC55" s="346"/>
      <c r="JID55" s="346"/>
      <c r="JIE55" s="346"/>
      <c r="JIF55" s="346"/>
      <c r="JIG55" s="346"/>
      <c r="JIH55" s="346"/>
      <c r="JII55" s="346"/>
      <c r="JIJ55" s="346"/>
      <c r="JIK55" s="346"/>
      <c r="JIL55" s="346"/>
      <c r="JIM55" s="346"/>
      <c r="JIN55" s="346"/>
      <c r="JIO55" s="346"/>
      <c r="JIP55" s="346"/>
      <c r="JIQ55" s="346"/>
      <c r="JIR55" s="346"/>
      <c r="JIS55" s="346"/>
      <c r="JIT55" s="346"/>
      <c r="JIU55" s="346"/>
      <c r="JIV55" s="346"/>
      <c r="JIW55" s="346"/>
      <c r="JIX55" s="346"/>
      <c r="JIY55" s="346"/>
      <c r="JIZ55" s="346"/>
      <c r="JJA55" s="346"/>
      <c r="JJB55" s="346"/>
      <c r="JJC55" s="346"/>
      <c r="JJD55" s="346"/>
      <c r="JJE55" s="346"/>
      <c r="JJF55" s="346"/>
      <c r="JJG55" s="346"/>
      <c r="JJH55" s="346"/>
      <c r="JJI55" s="346"/>
      <c r="JJJ55" s="346"/>
      <c r="JJK55" s="346"/>
      <c r="JJL55" s="346"/>
      <c r="JJM55" s="346"/>
      <c r="JJN55" s="346"/>
      <c r="JJO55" s="346"/>
      <c r="JJP55" s="346"/>
      <c r="JJQ55" s="346"/>
      <c r="JJR55" s="346"/>
      <c r="JJS55" s="346"/>
      <c r="JJT55" s="346"/>
      <c r="JJU55" s="346"/>
      <c r="JJV55" s="346"/>
      <c r="JJW55" s="346"/>
      <c r="JJX55" s="346"/>
      <c r="JJY55" s="346"/>
      <c r="JJZ55" s="346"/>
      <c r="JKA55" s="346"/>
      <c r="JKB55" s="346"/>
      <c r="JKC55" s="346"/>
      <c r="JKD55" s="346"/>
      <c r="JKE55" s="346"/>
      <c r="JKF55" s="346"/>
      <c r="JKG55" s="346"/>
      <c r="JKH55" s="346"/>
      <c r="JKI55" s="346"/>
      <c r="JKJ55" s="346"/>
      <c r="JKK55" s="346"/>
      <c r="JKL55" s="346"/>
      <c r="JKM55" s="346"/>
      <c r="JKN55" s="346"/>
      <c r="JKO55" s="346"/>
      <c r="JKP55" s="346"/>
      <c r="JKQ55" s="346"/>
      <c r="JKR55" s="346"/>
      <c r="JKS55" s="346"/>
      <c r="JKT55" s="346"/>
      <c r="JKU55" s="346"/>
      <c r="JKV55" s="346"/>
      <c r="JKW55" s="346"/>
      <c r="JKX55" s="346"/>
      <c r="JKY55" s="346"/>
      <c r="JKZ55" s="346"/>
      <c r="JLA55" s="346"/>
      <c r="JLB55" s="346"/>
      <c r="JLC55" s="346"/>
      <c r="JLD55" s="346"/>
      <c r="JLE55" s="346"/>
      <c r="JLF55" s="346"/>
      <c r="JLG55" s="346"/>
      <c r="JLH55" s="346"/>
      <c r="JLI55" s="346"/>
      <c r="JLJ55" s="346"/>
      <c r="JLK55" s="346"/>
      <c r="JLL55" s="346"/>
      <c r="JLM55" s="346"/>
      <c r="JLN55" s="346"/>
      <c r="JLO55" s="346"/>
      <c r="JLP55" s="346"/>
      <c r="JLQ55" s="346"/>
      <c r="JLR55" s="346"/>
      <c r="JLS55" s="346"/>
      <c r="JLT55" s="346"/>
      <c r="JLU55" s="346"/>
      <c r="JLV55" s="346"/>
      <c r="JLW55" s="346"/>
      <c r="JLX55" s="346"/>
      <c r="JLY55" s="346"/>
      <c r="JLZ55" s="346"/>
      <c r="JMA55" s="346"/>
      <c r="JMB55" s="346"/>
      <c r="JMC55" s="346"/>
      <c r="JMD55" s="346"/>
      <c r="JME55" s="346"/>
      <c r="JMF55" s="346"/>
      <c r="JMG55" s="346"/>
      <c r="JMH55" s="346"/>
      <c r="JMI55" s="346"/>
      <c r="JMJ55" s="346"/>
      <c r="JMK55" s="346"/>
      <c r="JML55" s="346"/>
      <c r="JMM55" s="346"/>
      <c r="JMN55" s="346"/>
      <c r="JMO55" s="346"/>
      <c r="JMP55" s="346"/>
      <c r="JMQ55" s="346"/>
      <c r="JMR55" s="346"/>
      <c r="JMS55" s="346"/>
      <c r="JMT55" s="346"/>
      <c r="JMU55" s="346"/>
      <c r="JMV55" s="346"/>
      <c r="JMW55" s="346"/>
      <c r="JMX55" s="346"/>
      <c r="JMY55" s="346"/>
      <c r="JMZ55" s="346"/>
      <c r="JNA55" s="346"/>
      <c r="JNB55" s="346"/>
      <c r="JNC55" s="346"/>
      <c r="JND55" s="346"/>
      <c r="JNE55" s="346"/>
      <c r="JNF55" s="346"/>
      <c r="JNG55" s="346"/>
      <c r="JNH55" s="346"/>
      <c r="JNI55" s="346"/>
      <c r="JNJ55" s="346"/>
      <c r="JNK55" s="346"/>
      <c r="JNL55" s="346"/>
      <c r="JNM55" s="346"/>
      <c r="JNN55" s="346"/>
      <c r="JNO55" s="346"/>
      <c r="JNP55" s="346"/>
      <c r="JNQ55" s="346"/>
      <c r="JNR55" s="346"/>
      <c r="JNS55" s="346"/>
      <c r="JNT55" s="346"/>
      <c r="JNU55" s="346"/>
      <c r="JNV55" s="346"/>
      <c r="JNW55" s="346"/>
      <c r="JNX55" s="346"/>
      <c r="JNY55" s="346"/>
      <c r="JNZ55" s="346"/>
      <c r="JOA55" s="346"/>
      <c r="JOB55" s="346"/>
      <c r="JOC55" s="346"/>
      <c r="JOD55" s="346"/>
      <c r="JOE55" s="346"/>
      <c r="JOF55" s="346"/>
      <c r="JOG55" s="346"/>
      <c r="JOH55" s="346"/>
      <c r="JOI55" s="346"/>
      <c r="JOJ55" s="346"/>
      <c r="JOK55" s="346"/>
      <c r="JOL55" s="346"/>
      <c r="JOM55" s="346"/>
      <c r="JON55" s="346"/>
      <c r="JOO55" s="346"/>
      <c r="JOP55" s="346"/>
      <c r="JOQ55" s="346"/>
      <c r="JOR55" s="346"/>
      <c r="JOS55" s="346"/>
      <c r="JOT55" s="346"/>
      <c r="JOU55" s="346"/>
      <c r="JOV55" s="346"/>
      <c r="JOW55" s="346"/>
      <c r="JOX55" s="346"/>
      <c r="JOY55" s="346"/>
      <c r="JOZ55" s="346"/>
      <c r="JPA55" s="346"/>
      <c r="JPB55" s="346"/>
      <c r="JPC55" s="346"/>
      <c r="JPD55" s="346"/>
      <c r="JPE55" s="346"/>
      <c r="JPF55" s="346"/>
      <c r="JPG55" s="346"/>
      <c r="JPH55" s="346"/>
      <c r="JPI55" s="346"/>
      <c r="JPJ55" s="346"/>
      <c r="JPK55" s="346"/>
      <c r="JPL55" s="346"/>
      <c r="JPM55" s="346"/>
      <c r="JPN55" s="346"/>
      <c r="JPO55" s="346"/>
      <c r="JPP55" s="346"/>
      <c r="JPQ55" s="346"/>
      <c r="JPR55" s="346"/>
      <c r="JPS55" s="346"/>
      <c r="JPT55" s="346"/>
      <c r="JPU55" s="346"/>
      <c r="JPV55" s="346"/>
      <c r="JPW55" s="346"/>
      <c r="JPX55" s="346"/>
      <c r="JPY55" s="346"/>
      <c r="JPZ55" s="346"/>
      <c r="JQA55" s="346"/>
      <c r="JQB55" s="346"/>
      <c r="JQC55" s="346"/>
      <c r="JQD55" s="346"/>
      <c r="JQE55" s="346"/>
      <c r="JQF55" s="346"/>
      <c r="JQG55" s="346"/>
      <c r="JQH55" s="346"/>
      <c r="JQI55" s="346"/>
      <c r="JQJ55" s="346"/>
      <c r="JQK55" s="346"/>
      <c r="JQL55" s="346"/>
      <c r="JQM55" s="346"/>
      <c r="JQN55" s="346"/>
      <c r="JQO55" s="346"/>
      <c r="JQP55" s="346"/>
      <c r="JQQ55" s="346"/>
      <c r="JQR55" s="346"/>
      <c r="JQS55" s="346"/>
      <c r="JQT55" s="346"/>
      <c r="JQU55" s="346"/>
      <c r="JQV55" s="346"/>
      <c r="JQW55" s="346"/>
      <c r="JQX55" s="346"/>
      <c r="JQY55" s="346"/>
      <c r="JQZ55" s="346"/>
      <c r="JRA55" s="346"/>
      <c r="JRB55" s="346"/>
      <c r="JRC55" s="346"/>
      <c r="JRD55" s="346"/>
      <c r="JRE55" s="346"/>
      <c r="JRF55" s="346"/>
      <c r="JRG55" s="346"/>
      <c r="JRH55" s="346"/>
      <c r="JRI55" s="346"/>
      <c r="JRJ55" s="346"/>
      <c r="JRK55" s="346"/>
      <c r="JRL55" s="346"/>
      <c r="JRM55" s="346"/>
      <c r="JRN55" s="346"/>
      <c r="JRO55" s="346"/>
      <c r="JRP55" s="346"/>
      <c r="JRQ55" s="346"/>
      <c r="JRR55" s="346"/>
      <c r="JRS55" s="346"/>
      <c r="JRT55" s="346"/>
      <c r="JRU55" s="346"/>
      <c r="JRV55" s="346"/>
      <c r="JRW55" s="346"/>
      <c r="JRX55" s="346"/>
      <c r="JRY55" s="346"/>
      <c r="JRZ55" s="346"/>
      <c r="JSA55" s="346"/>
      <c r="JSB55" s="346"/>
      <c r="JSC55" s="346"/>
      <c r="JSD55" s="346"/>
      <c r="JSE55" s="346"/>
      <c r="JSF55" s="346"/>
      <c r="JSG55" s="346"/>
      <c r="JSH55" s="346"/>
      <c r="JSI55" s="346"/>
      <c r="JSJ55" s="346"/>
      <c r="JSK55" s="346"/>
      <c r="JSL55" s="346"/>
      <c r="JSM55" s="346"/>
      <c r="JSN55" s="346"/>
      <c r="JSO55" s="346"/>
      <c r="JSP55" s="346"/>
      <c r="JSQ55" s="346"/>
      <c r="JSR55" s="346"/>
      <c r="JSS55" s="346"/>
      <c r="JST55" s="346"/>
      <c r="JSU55" s="346"/>
      <c r="JSV55" s="346"/>
      <c r="JSW55" s="346"/>
      <c r="JSX55" s="346"/>
      <c r="JSY55" s="346"/>
      <c r="JSZ55" s="346"/>
      <c r="JTA55" s="346"/>
      <c r="JTB55" s="346"/>
      <c r="JTC55" s="346"/>
      <c r="JTD55" s="346"/>
      <c r="JTE55" s="346"/>
      <c r="JTF55" s="346"/>
      <c r="JTG55" s="346"/>
      <c r="JTH55" s="346"/>
      <c r="JTI55" s="346"/>
      <c r="JTJ55" s="346"/>
      <c r="JTK55" s="346"/>
      <c r="JTL55" s="346"/>
      <c r="JTM55" s="346"/>
      <c r="JTN55" s="346"/>
      <c r="JTO55" s="346"/>
      <c r="JTP55" s="346"/>
      <c r="JTQ55" s="346"/>
      <c r="JTR55" s="346"/>
      <c r="JTS55" s="346"/>
      <c r="JTT55" s="346"/>
      <c r="JTU55" s="346"/>
      <c r="JTV55" s="346"/>
      <c r="JTW55" s="346"/>
      <c r="JTX55" s="346"/>
      <c r="JTY55" s="346"/>
      <c r="JTZ55" s="346"/>
      <c r="JUA55" s="346"/>
      <c r="JUB55" s="346"/>
      <c r="JUC55" s="346"/>
      <c r="JUD55" s="346"/>
      <c r="JUE55" s="346"/>
      <c r="JUF55" s="346"/>
      <c r="JUG55" s="346"/>
      <c r="JUH55" s="346"/>
      <c r="JUI55" s="346"/>
      <c r="JUJ55" s="346"/>
      <c r="JUK55" s="346"/>
      <c r="JUL55" s="346"/>
      <c r="JUM55" s="346"/>
      <c r="JUN55" s="346"/>
      <c r="JUO55" s="346"/>
      <c r="JUP55" s="346"/>
      <c r="JUQ55" s="346"/>
      <c r="JUR55" s="346"/>
      <c r="JUS55" s="346"/>
      <c r="JUT55" s="346"/>
      <c r="JUU55" s="346"/>
      <c r="JUV55" s="346"/>
      <c r="JUW55" s="346"/>
      <c r="JUX55" s="346"/>
      <c r="JUY55" s="346"/>
      <c r="JUZ55" s="346"/>
      <c r="JVA55" s="346"/>
      <c r="JVB55" s="346"/>
      <c r="JVC55" s="346"/>
      <c r="JVD55" s="346"/>
      <c r="JVE55" s="346"/>
      <c r="JVF55" s="346"/>
      <c r="JVG55" s="346"/>
      <c r="JVH55" s="346"/>
      <c r="JVI55" s="346"/>
      <c r="JVJ55" s="346"/>
      <c r="JVK55" s="346"/>
      <c r="JVL55" s="346"/>
      <c r="JVM55" s="346"/>
      <c r="JVN55" s="346"/>
      <c r="JVO55" s="346"/>
      <c r="JVP55" s="346"/>
      <c r="JVQ55" s="346"/>
      <c r="JVR55" s="346"/>
      <c r="JVS55" s="346"/>
      <c r="JVT55" s="346"/>
      <c r="JVU55" s="346"/>
      <c r="JVV55" s="346"/>
      <c r="JVW55" s="346"/>
      <c r="JVX55" s="346"/>
      <c r="JVY55" s="346"/>
      <c r="JVZ55" s="346"/>
      <c r="JWA55" s="346"/>
      <c r="JWB55" s="346"/>
      <c r="JWC55" s="346"/>
      <c r="JWD55" s="346"/>
      <c r="JWE55" s="346"/>
      <c r="JWF55" s="346"/>
      <c r="JWG55" s="346"/>
      <c r="JWH55" s="346"/>
      <c r="JWI55" s="346"/>
      <c r="JWJ55" s="346"/>
      <c r="JWK55" s="346"/>
      <c r="JWL55" s="346"/>
      <c r="JWM55" s="346"/>
      <c r="JWN55" s="346"/>
      <c r="JWO55" s="346"/>
      <c r="JWP55" s="346"/>
      <c r="JWQ55" s="346"/>
      <c r="JWR55" s="346"/>
      <c r="JWS55" s="346"/>
      <c r="JWT55" s="346"/>
      <c r="JWU55" s="346"/>
      <c r="JWV55" s="346"/>
      <c r="JWW55" s="346"/>
      <c r="JWX55" s="346"/>
      <c r="JWY55" s="346"/>
      <c r="JWZ55" s="346"/>
      <c r="JXA55" s="346"/>
      <c r="JXB55" s="346"/>
      <c r="JXC55" s="346"/>
      <c r="JXD55" s="346"/>
      <c r="JXE55" s="346"/>
      <c r="JXF55" s="346"/>
      <c r="JXG55" s="346"/>
      <c r="JXH55" s="346"/>
      <c r="JXI55" s="346"/>
      <c r="JXJ55" s="346"/>
      <c r="JXK55" s="346"/>
      <c r="JXL55" s="346"/>
      <c r="JXM55" s="346"/>
      <c r="JXN55" s="346"/>
      <c r="JXO55" s="346"/>
      <c r="JXP55" s="346"/>
      <c r="JXQ55" s="346"/>
      <c r="JXR55" s="346"/>
      <c r="JXS55" s="346"/>
      <c r="JXT55" s="346"/>
      <c r="JXU55" s="346"/>
      <c r="JXV55" s="346"/>
      <c r="JXW55" s="346"/>
      <c r="JXX55" s="346"/>
      <c r="JXY55" s="346"/>
      <c r="JXZ55" s="346"/>
      <c r="JYA55" s="346"/>
      <c r="JYB55" s="346"/>
      <c r="JYC55" s="346"/>
      <c r="JYD55" s="346"/>
      <c r="JYE55" s="346"/>
      <c r="JYF55" s="346"/>
      <c r="JYG55" s="346"/>
      <c r="JYH55" s="346"/>
      <c r="JYI55" s="346"/>
      <c r="JYJ55" s="346"/>
      <c r="JYK55" s="346"/>
      <c r="JYL55" s="346"/>
      <c r="JYM55" s="346"/>
      <c r="JYN55" s="346"/>
      <c r="JYO55" s="346"/>
      <c r="JYP55" s="346"/>
      <c r="JYQ55" s="346"/>
      <c r="JYR55" s="346"/>
      <c r="JYS55" s="346"/>
      <c r="JYT55" s="346"/>
      <c r="JYU55" s="346"/>
      <c r="JYV55" s="346"/>
      <c r="JYW55" s="346"/>
      <c r="JYX55" s="346"/>
      <c r="JYY55" s="346"/>
      <c r="JYZ55" s="346"/>
      <c r="JZA55" s="346"/>
      <c r="JZB55" s="346"/>
      <c r="JZC55" s="346"/>
      <c r="JZD55" s="346"/>
      <c r="JZE55" s="346"/>
      <c r="JZF55" s="346"/>
      <c r="JZG55" s="346"/>
      <c r="JZH55" s="346"/>
      <c r="JZI55" s="346"/>
      <c r="JZJ55" s="346"/>
      <c r="JZK55" s="346"/>
      <c r="JZL55" s="346"/>
      <c r="JZM55" s="346"/>
      <c r="JZN55" s="346"/>
      <c r="JZO55" s="346"/>
      <c r="JZP55" s="346"/>
      <c r="JZQ55" s="346"/>
      <c r="JZR55" s="346"/>
      <c r="JZS55" s="346"/>
      <c r="JZT55" s="346"/>
      <c r="JZU55" s="346"/>
      <c r="JZV55" s="346"/>
      <c r="JZW55" s="346"/>
      <c r="JZX55" s="346"/>
      <c r="JZY55" s="346"/>
      <c r="JZZ55" s="346"/>
      <c r="KAA55" s="346"/>
      <c r="KAB55" s="346"/>
      <c r="KAC55" s="346"/>
      <c r="KAD55" s="346"/>
      <c r="KAE55" s="346"/>
      <c r="KAF55" s="346"/>
      <c r="KAG55" s="346"/>
      <c r="KAH55" s="346"/>
      <c r="KAI55" s="346"/>
      <c r="KAJ55" s="346"/>
      <c r="KAK55" s="346"/>
      <c r="KAL55" s="346"/>
      <c r="KAM55" s="346"/>
      <c r="KAN55" s="346"/>
      <c r="KAO55" s="346"/>
      <c r="KAP55" s="346"/>
      <c r="KAQ55" s="346"/>
      <c r="KAR55" s="346"/>
      <c r="KAS55" s="346"/>
      <c r="KAT55" s="346"/>
      <c r="KAU55" s="346"/>
      <c r="KAV55" s="346"/>
      <c r="KAW55" s="346"/>
      <c r="KAX55" s="346"/>
      <c r="KAY55" s="346"/>
      <c r="KAZ55" s="346"/>
      <c r="KBA55" s="346"/>
      <c r="KBB55" s="346"/>
      <c r="KBC55" s="346"/>
      <c r="KBD55" s="346"/>
      <c r="KBE55" s="346"/>
      <c r="KBF55" s="346"/>
      <c r="KBG55" s="346"/>
      <c r="KBH55" s="346"/>
      <c r="KBI55" s="346"/>
      <c r="KBJ55" s="346"/>
      <c r="KBK55" s="346"/>
      <c r="KBL55" s="346"/>
      <c r="KBM55" s="346"/>
      <c r="KBN55" s="346"/>
      <c r="KBO55" s="346"/>
      <c r="KBP55" s="346"/>
      <c r="KBQ55" s="346"/>
      <c r="KBR55" s="346"/>
      <c r="KBS55" s="346"/>
      <c r="KBT55" s="346"/>
      <c r="KBU55" s="346"/>
      <c r="KBV55" s="346"/>
      <c r="KBW55" s="346"/>
      <c r="KBX55" s="346"/>
      <c r="KBY55" s="346"/>
      <c r="KBZ55" s="346"/>
      <c r="KCA55" s="346"/>
      <c r="KCB55" s="346"/>
      <c r="KCC55" s="346"/>
      <c r="KCD55" s="346"/>
      <c r="KCE55" s="346"/>
      <c r="KCF55" s="346"/>
      <c r="KCG55" s="346"/>
      <c r="KCH55" s="346"/>
      <c r="KCI55" s="346"/>
      <c r="KCJ55" s="346"/>
      <c r="KCK55" s="346"/>
      <c r="KCL55" s="346"/>
      <c r="KCM55" s="346"/>
      <c r="KCN55" s="346"/>
      <c r="KCO55" s="346"/>
      <c r="KCP55" s="346"/>
      <c r="KCQ55" s="346"/>
      <c r="KCR55" s="346"/>
      <c r="KCS55" s="346"/>
      <c r="KCT55" s="346"/>
      <c r="KCU55" s="346"/>
      <c r="KCV55" s="346"/>
      <c r="KCW55" s="346"/>
      <c r="KCX55" s="346"/>
      <c r="KCY55" s="346"/>
      <c r="KCZ55" s="346"/>
      <c r="KDA55" s="346"/>
      <c r="KDB55" s="346"/>
      <c r="KDC55" s="346"/>
      <c r="KDD55" s="346"/>
      <c r="KDE55" s="346"/>
      <c r="KDF55" s="346"/>
      <c r="KDG55" s="346"/>
      <c r="KDH55" s="346"/>
      <c r="KDI55" s="346"/>
      <c r="KDJ55" s="346"/>
      <c r="KDK55" s="346"/>
      <c r="KDL55" s="346"/>
      <c r="KDM55" s="346"/>
      <c r="KDN55" s="346"/>
      <c r="KDO55" s="346"/>
      <c r="KDP55" s="346"/>
      <c r="KDQ55" s="346"/>
      <c r="KDR55" s="346"/>
      <c r="KDS55" s="346"/>
      <c r="KDT55" s="346"/>
      <c r="KDU55" s="346"/>
      <c r="KDV55" s="346"/>
      <c r="KDW55" s="346"/>
      <c r="KDX55" s="346"/>
      <c r="KDY55" s="346"/>
      <c r="KDZ55" s="346"/>
      <c r="KEA55" s="346"/>
      <c r="KEB55" s="346"/>
      <c r="KEC55" s="346"/>
      <c r="KED55" s="346"/>
      <c r="KEE55" s="346"/>
      <c r="KEF55" s="346"/>
      <c r="KEG55" s="346"/>
      <c r="KEH55" s="346"/>
      <c r="KEI55" s="346"/>
      <c r="KEJ55" s="346"/>
      <c r="KEK55" s="346"/>
      <c r="KEL55" s="346"/>
      <c r="KEM55" s="346"/>
      <c r="KEN55" s="346"/>
      <c r="KEO55" s="346"/>
      <c r="KEP55" s="346"/>
      <c r="KEQ55" s="346"/>
      <c r="KER55" s="346"/>
      <c r="KES55" s="346"/>
      <c r="KET55" s="346"/>
      <c r="KEU55" s="346"/>
      <c r="KEV55" s="346"/>
      <c r="KEW55" s="346"/>
      <c r="KEX55" s="346"/>
      <c r="KEY55" s="346"/>
      <c r="KEZ55" s="346"/>
      <c r="KFA55" s="346"/>
      <c r="KFB55" s="346"/>
      <c r="KFC55" s="346"/>
      <c r="KFD55" s="346"/>
      <c r="KFE55" s="346"/>
      <c r="KFF55" s="346"/>
      <c r="KFG55" s="346"/>
      <c r="KFH55" s="346"/>
      <c r="KFI55" s="346"/>
      <c r="KFJ55" s="346"/>
      <c r="KFK55" s="346"/>
      <c r="KFL55" s="346"/>
      <c r="KFM55" s="346"/>
      <c r="KFN55" s="346"/>
      <c r="KFO55" s="346"/>
      <c r="KFP55" s="346"/>
      <c r="KFQ55" s="346"/>
      <c r="KFR55" s="346"/>
      <c r="KFS55" s="346"/>
      <c r="KFT55" s="346"/>
      <c r="KFU55" s="346"/>
      <c r="KFV55" s="346"/>
      <c r="KFW55" s="346"/>
      <c r="KFX55" s="346"/>
      <c r="KFY55" s="346"/>
      <c r="KFZ55" s="346"/>
      <c r="KGA55" s="346"/>
      <c r="KGB55" s="346"/>
      <c r="KGC55" s="346"/>
      <c r="KGD55" s="346"/>
      <c r="KGE55" s="346"/>
      <c r="KGF55" s="346"/>
      <c r="KGG55" s="346"/>
      <c r="KGH55" s="346"/>
      <c r="KGI55" s="346"/>
      <c r="KGJ55" s="346"/>
      <c r="KGK55" s="346"/>
      <c r="KGL55" s="346"/>
      <c r="KGM55" s="346"/>
      <c r="KGN55" s="346"/>
      <c r="KGO55" s="346"/>
      <c r="KGP55" s="346"/>
      <c r="KGQ55" s="346"/>
      <c r="KGR55" s="346"/>
      <c r="KGS55" s="346"/>
      <c r="KGT55" s="346"/>
      <c r="KGU55" s="346"/>
      <c r="KGV55" s="346"/>
      <c r="KGW55" s="346"/>
      <c r="KGX55" s="346"/>
      <c r="KGY55" s="346"/>
      <c r="KGZ55" s="346"/>
      <c r="KHA55" s="346"/>
      <c r="KHB55" s="346"/>
      <c r="KHC55" s="346"/>
      <c r="KHD55" s="346"/>
      <c r="KHE55" s="346"/>
      <c r="KHF55" s="346"/>
      <c r="KHG55" s="346"/>
      <c r="KHH55" s="346"/>
      <c r="KHI55" s="346"/>
      <c r="KHJ55" s="346"/>
      <c r="KHK55" s="346"/>
      <c r="KHL55" s="346"/>
      <c r="KHM55" s="346"/>
      <c r="KHN55" s="346"/>
      <c r="KHO55" s="346"/>
      <c r="KHP55" s="346"/>
      <c r="KHQ55" s="346"/>
      <c r="KHR55" s="346"/>
      <c r="KHS55" s="346"/>
      <c r="KHT55" s="346"/>
      <c r="KHU55" s="346"/>
      <c r="KHV55" s="346"/>
      <c r="KHW55" s="346"/>
      <c r="KHX55" s="346"/>
      <c r="KHY55" s="346"/>
      <c r="KHZ55" s="346"/>
      <c r="KIA55" s="346"/>
      <c r="KIB55" s="346"/>
      <c r="KIC55" s="346"/>
      <c r="KID55" s="346"/>
      <c r="KIE55" s="346"/>
      <c r="KIF55" s="346"/>
      <c r="KIG55" s="346"/>
      <c r="KIH55" s="346"/>
      <c r="KII55" s="346"/>
      <c r="KIJ55" s="346"/>
      <c r="KIK55" s="346"/>
      <c r="KIL55" s="346"/>
      <c r="KIM55" s="346"/>
      <c r="KIN55" s="346"/>
      <c r="KIO55" s="346"/>
      <c r="KIP55" s="346"/>
      <c r="KIQ55" s="346"/>
      <c r="KIR55" s="346"/>
      <c r="KIS55" s="346"/>
      <c r="KIT55" s="346"/>
      <c r="KIU55" s="346"/>
      <c r="KIV55" s="346"/>
      <c r="KIW55" s="346"/>
      <c r="KIX55" s="346"/>
      <c r="KIY55" s="346"/>
      <c r="KIZ55" s="346"/>
      <c r="KJA55" s="346"/>
      <c r="KJB55" s="346"/>
      <c r="KJC55" s="346"/>
      <c r="KJD55" s="346"/>
      <c r="KJE55" s="346"/>
      <c r="KJF55" s="346"/>
      <c r="KJG55" s="346"/>
      <c r="KJH55" s="346"/>
      <c r="KJI55" s="346"/>
      <c r="KJJ55" s="346"/>
      <c r="KJK55" s="346"/>
      <c r="KJL55" s="346"/>
      <c r="KJM55" s="346"/>
      <c r="KJN55" s="346"/>
      <c r="KJO55" s="346"/>
      <c r="KJP55" s="346"/>
      <c r="KJQ55" s="346"/>
      <c r="KJR55" s="346"/>
      <c r="KJS55" s="346"/>
      <c r="KJT55" s="346"/>
      <c r="KJU55" s="346"/>
      <c r="KJV55" s="346"/>
      <c r="KJW55" s="346"/>
      <c r="KJX55" s="346"/>
      <c r="KJY55" s="346"/>
      <c r="KJZ55" s="346"/>
      <c r="KKA55" s="346"/>
      <c r="KKB55" s="346"/>
      <c r="KKC55" s="346"/>
      <c r="KKD55" s="346"/>
      <c r="KKE55" s="346"/>
      <c r="KKF55" s="346"/>
      <c r="KKG55" s="346"/>
      <c r="KKH55" s="346"/>
      <c r="KKI55" s="346"/>
      <c r="KKJ55" s="346"/>
      <c r="KKK55" s="346"/>
      <c r="KKL55" s="346"/>
      <c r="KKM55" s="346"/>
      <c r="KKN55" s="346"/>
      <c r="KKO55" s="346"/>
      <c r="KKP55" s="346"/>
      <c r="KKQ55" s="346"/>
      <c r="KKR55" s="346"/>
      <c r="KKS55" s="346"/>
      <c r="KKT55" s="346"/>
      <c r="KKU55" s="346"/>
      <c r="KKV55" s="346"/>
      <c r="KKW55" s="346"/>
      <c r="KKX55" s="346"/>
      <c r="KKY55" s="346"/>
      <c r="KKZ55" s="346"/>
      <c r="KLA55" s="346"/>
      <c r="KLB55" s="346"/>
      <c r="KLC55" s="346"/>
      <c r="KLD55" s="346"/>
      <c r="KLE55" s="346"/>
      <c r="KLF55" s="346"/>
      <c r="KLG55" s="346"/>
      <c r="KLH55" s="346"/>
      <c r="KLI55" s="346"/>
      <c r="KLJ55" s="346"/>
      <c r="KLK55" s="346"/>
      <c r="KLL55" s="346"/>
      <c r="KLM55" s="346"/>
      <c r="KLN55" s="346"/>
      <c r="KLO55" s="346"/>
      <c r="KLP55" s="346"/>
      <c r="KLQ55" s="346"/>
      <c r="KLR55" s="346"/>
      <c r="KLS55" s="346"/>
      <c r="KLT55" s="346"/>
      <c r="KLU55" s="346"/>
      <c r="KLV55" s="346"/>
      <c r="KLW55" s="346"/>
      <c r="KLX55" s="346"/>
      <c r="KLY55" s="346"/>
      <c r="KLZ55" s="346"/>
      <c r="KMA55" s="346"/>
      <c r="KMB55" s="346"/>
      <c r="KMC55" s="346"/>
      <c r="KMD55" s="346"/>
      <c r="KME55" s="346"/>
      <c r="KMF55" s="346"/>
      <c r="KMG55" s="346"/>
      <c r="KMH55" s="346"/>
      <c r="KMI55" s="346"/>
      <c r="KMJ55" s="346"/>
      <c r="KMK55" s="346"/>
      <c r="KML55" s="346"/>
      <c r="KMM55" s="346"/>
      <c r="KMN55" s="346"/>
      <c r="KMO55" s="346"/>
      <c r="KMP55" s="346"/>
      <c r="KMQ55" s="346"/>
      <c r="KMR55" s="346"/>
      <c r="KMS55" s="346"/>
      <c r="KMT55" s="346"/>
      <c r="KMU55" s="346"/>
      <c r="KMV55" s="346"/>
      <c r="KMW55" s="346"/>
      <c r="KMX55" s="346"/>
      <c r="KMY55" s="346"/>
      <c r="KMZ55" s="346"/>
      <c r="KNA55" s="346"/>
      <c r="KNB55" s="346"/>
      <c r="KNC55" s="346"/>
      <c r="KND55" s="346"/>
      <c r="KNE55" s="346"/>
      <c r="KNF55" s="346"/>
      <c r="KNG55" s="346"/>
      <c r="KNH55" s="346"/>
      <c r="KNI55" s="346"/>
      <c r="KNJ55" s="346"/>
      <c r="KNK55" s="346"/>
      <c r="KNL55" s="346"/>
      <c r="KNM55" s="346"/>
      <c r="KNN55" s="346"/>
      <c r="KNO55" s="346"/>
      <c r="KNP55" s="346"/>
      <c r="KNQ55" s="346"/>
      <c r="KNR55" s="346"/>
      <c r="KNS55" s="346"/>
      <c r="KNT55" s="346"/>
      <c r="KNU55" s="346"/>
      <c r="KNV55" s="346"/>
      <c r="KNW55" s="346"/>
      <c r="KNX55" s="346"/>
      <c r="KNY55" s="346"/>
      <c r="KNZ55" s="346"/>
      <c r="KOA55" s="346"/>
      <c r="KOB55" s="346"/>
      <c r="KOC55" s="346"/>
      <c r="KOD55" s="346"/>
      <c r="KOE55" s="346"/>
      <c r="KOF55" s="346"/>
      <c r="KOG55" s="346"/>
      <c r="KOH55" s="346"/>
      <c r="KOI55" s="346"/>
      <c r="KOJ55" s="346"/>
      <c r="KOK55" s="346"/>
      <c r="KOL55" s="346"/>
      <c r="KOM55" s="346"/>
      <c r="KON55" s="346"/>
      <c r="KOO55" s="346"/>
      <c r="KOP55" s="346"/>
      <c r="KOQ55" s="346"/>
      <c r="KOR55" s="346"/>
      <c r="KOS55" s="346"/>
      <c r="KOT55" s="346"/>
      <c r="KOU55" s="346"/>
      <c r="KOV55" s="346"/>
      <c r="KOW55" s="346"/>
      <c r="KOX55" s="346"/>
      <c r="KOY55" s="346"/>
      <c r="KOZ55" s="346"/>
      <c r="KPA55" s="346"/>
      <c r="KPB55" s="346"/>
      <c r="KPC55" s="346"/>
      <c r="KPD55" s="346"/>
      <c r="KPE55" s="346"/>
      <c r="KPF55" s="346"/>
      <c r="KPG55" s="346"/>
      <c r="KPH55" s="346"/>
      <c r="KPI55" s="346"/>
      <c r="KPJ55" s="346"/>
      <c r="KPK55" s="346"/>
      <c r="KPL55" s="346"/>
      <c r="KPM55" s="346"/>
      <c r="KPN55" s="346"/>
      <c r="KPO55" s="346"/>
      <c r="KPP55" s="346"/>
      <c r="KPQ55" s="346"/>
      <c r="KPR55" s="346"/>
      <c r="KPS55" s="346"/>
      <c r="KPT55" s="346"/>
      <c r="KPU55" s="346"/>
      <c r="KPV55" s="346"/>
      <c r="KPW55" s="346"/>
      <c r="KPX55" s="346"/>
      <c r="KPY55" s="346"/>
      <c r="KPZ55" s="346"/>
      <c r="KQA55" s="346"/>
      <c r="KQB55" s="346"/>
      <c r="KQC55" s="346"/>
      <c r="KQD55" s="346"/>
      <c r="KQE55" s="346"/>
      <c r="KQF55" s="346"/>
      <c r="KQG55" s="346"/>
      <c r="KQH55" s="346"/>
      <c r="KQI55" s="346"/>
      <c r="KQJ55" s="346"/>
      <c r="KQK55" s="346"/>
      <c r="KQL55" s="346"/>
      <c r="KQM55" s="346"/>
      <c r="KQN55" s="346"/>
      <c r="KQO55" s="346"/>
      <c r="KQP55" s="346"/>
      <c r="KQQ55" s="346"/>
      <c r="KQR55" s="346"/>
      <c r="KQS55" s="346"/>
      <c r="KQT55" s="346"/>
      <c r="KQU55" s="346"/>
      <c r="KQV55" s="346"/>
      <c r="KQW55" s="346"/>
      <c r="KQX55" s="346"/>
      <c r="KQY55" s="346"/>
      <c r="KQZ55" s="346"/>
      <c r="KRA55" s="346"/>
      <c r="KRB55" s="346"/>
      <c r="KRC55" s="346"/>
      <c r="KRD55" s="346"/>
      <c r="KRE55" s="346"/>
      <c r="KRF55" s="346"/>
      <c r="KRG55" s="346"/>
      <c r="KRH55" s="346"/>
      <c r="KRI55" s="346"/>
      <c r="KRJ55" s="346"/>
      <c r="KRK55" s="346"/>
      <c r="KRL55" s="346"/>
      <c r="KRM55" s="346"/>
      <c r="KRN55" s="346"/>
      <c r="KRO55" s="346"/>
      <c r="KRP55" s="346"/>
      <c r="KRQ55" s="346"/>
      <c r="KRR55" s="346"/>
      <c r="KRS55" s="346"/>
      <c r="KRT55" s="346"/>
      <c r="KRU55" s="346"/>
      <c r="KRV55" s="346"/>
      <c r="KRW55" s="346"/>
      <c r="KRX55" s="346"/>
      <c r="KRY55" s="346"/>
      <c r="KRZ55" s="346"/>
      <c r="KSA55" s="346"/>
      <c r="KSB55" s="346"/>
      <c r="KSC55" s="346"/>
      <c r="KSD55" s="346"/>
      <c r="KSE55" s="346"/>
      <c r="KSF55" s="346"/>
      <c r="KSG55" s="346"/>
      <c r="KSH55" s="346"/>
      <c r="KSI55" s="346"/>
      <c r="KSJ55" s="346"/>
      <c r="KSK55" s="346"/>
      <c r="KSL55" s="346"/>
      <c r="KSM55" s="346"/>
      <c r="KSN55" s="346"/>
      <c r="KSO55" s="346"/>
      <c r="KSP55" s="346"/>
      <c r="KSQ55" s="346"/>
      <c r="KSR55" s="346"/>
      <c r="KSS55" s="346"/>
      <c r="KST55" s="346"/>
      <c r="KSU55" s="346"/>
      <c r="KSV55" s="346"/>
      <c r="KSW55" s="346"/>
      <c r="KSX55" s="346"/>
      <c r="KSY55" s="346"/>
      <c r="KSZ55" s="346"/>
      <c r="KTA55" s="346"/>
      <c r="KTB55" s="346"/>
      <c r="KTC55" s="346"/>
      <c r="KTD55" s="346"/>
      <c r="KTE55" s="346"/>
      <c r="KTF55" s="346"/>
      <c r="KTG55" s="346"/>
      <c r="KTH55" s="346"/>
      <c r="KTI55" s="346"/>
      <c r="KTJ55" s="346"/>
      <c r="KTK55" s="346"/>
      <c r="KTL55" s="346"/>
      <c r="KTM55" s="346"/>
      <c r="KTN55" s="346"/>
      <c r="KTO55" s="346"/>
      <c r="KTP55" s="346"/>
      <c r="KTQ55" s="346"/>
      <c r="KTR55" s="346"/>
      <c r="KTS55" s="346"/>
      <c r="KTT55" s="346"/>
      <c r="KTU55" s="346"/>
      <c r="KTV55" s="346"/>
      <c r="KTW55" s="346"/>
      <c r="KTX55" s="346"/>
      <c r="KTY55" s="346"/>
      <c r="KTZ55" s="346"/>
      <c r="KUA55" s="346"/>
      <c r="KUB55" s="346"/>
      <c r="KUC55" s="346"/>
      <c r="KUD55" s="346"/>
      <c r="KUE55" s="346"/>
      <c r="KUF55" s="346"/>
      <c r="KUG55" s="346"/>
      <c r="KUH55" s="346"/>
      <c r="KUI55" s="346"/>
      <c r="KUJ55" s="346"/>
      <c r="KUK55" s="346"/>
      <c r="KUL55" s="346"/>
      <c r="KUM55" s="346"/>
      <c r="KUN55" s="346"/>
      <c r="KUO55" s="346"/>
      <c r="KUP55" s="346"/>
      <c r="KUQ55" s="346"/>
      <c r="KUR55" s="346"/>
      <c r="KUS55" s="346"/>
      <c r="KUT55" s="346"/>
      <c r="KUU55" s="346"/>
      <c r="KUV55" s="346"/>
      <c r="KUW55" s="346"/>
      <c r="KUX55" s="346"/>
      <c r="KUY55" s="346"/>
      <c r="KUZ55" s="346"/>
      <c r="KVA55" s="346"/>
      <c r="KVB55" s="346"/>
      <c r="KVC55" s="346"/>
      <c r="KVD55" s="346"/>
      <c r="KVE55" s="346"/>
      <c r="KVF55" s="346"/>
      <c r="KVG55" s="346"/>
      <c r="KVH55" s="346"/>
      <c r="KVI55" s="346"/>
      <c r="KVJ55" s="346"/>
      <c r="KVK55" s="346"/>
      <c r="KVL55" s="346"/>
      <c r="KVM55" s="346"/>
      <c r="KVN55" s="346"/>
      <c r="KVO55" s="346"/>
      <c r="KVP55" s="346"/>
      <c r="KVQ55" s="346"/>
      <c r="KVR55" s="346"/>
      <c r="KVS55" s="346"/>
      <c r="KVT55" s="346"/>
      <c r="KVU55" s="346"/>
      <c r="KVV55" s="346"/>
      <c r="KVW55" s="346"/>
      <c r="KVX55" s="346"/>
      <c r="KVY55" s="346"/>
      <c r="KVZ55" s="346"/>
      <c r="KWA55" s="346"/>
      <c r="KWB55" s="346"/>
      <c r="KWC55" s="346"/>
      <c r="KWD55" s="346"/>
      <c r="KWE55" s="346"/>
      <c r="KWF55" s="346"/>
      <c r="KWG55" s="346"/>
      <c r="KWH55" s="346"/>
      <c r="KWI55" s="346"/>
      <c r="KWJ55" s="346"/>
      <c r="KWK55" s="346"/>
      <c r="KWL55" s="346"/>
      <c r="KWM55" s="346"/>
      <c r="KWN55" s="346"/>
      <c r="KWO55" s="346"/>
      <c r="KWP55" s="346"/>
      <c r="KWQ55" s="346"/>
      <c r="KWR55" s="346"/>
      <c r="KWS55" s="346"/>
      <c r="KWT55" s="346"/>
      <c r="KWU55" s="346"/>
      <c r="KWV55" s="346"/>
      <c r="KWW55" s="346"/>
      <c r="KWX55" s="346"/>
      <c r="KWY55" s="346"/>
      <c r="KWZ55" s="346"/>
      <c r="KXA55" s="346"/>
      <c r="KXB55" s="346"/>
      <c r="KXC55" s="346"/>
      <c r="KXD55" s="346"/>
      <c r="KXE55" s="346"/>
      <c r="KXF55" s="346"/>
      <c r="KXG55" s="346"/>
      <c r="KXH55" s="346"/>
      <c r="KXI55" s="346"/>
      <c r="KXJ55" s="346"/>
      <c r="KXK55" s="346"/>
      <c r="KXL55" s="346"/>
      <c r="KXM55" s="346"/>
      <c r="KXN55" s="346"/>
      <c r="KXO55" s="346"/>
      <c r="KXP55" s="346"/>
      <c r="KXQ55" s="346"/>
      <c r="KXR55" s="346"/>
      <c r="KXS55" s="346"/>
      <c r="KXT55" s="346"/>
      <c r="KXU55" s="346"/>
      <c r="KXV55" s="346"/>
      <c r="KXW55" s="346"/>
      <c r="KXX55" s="346"/>
      <c r="KXY55" s="346"/>
      <c r="KXZ55" s="346"/>
      <c r="KYA55" s="346"/>
      <c r="KYB55" s="346"/>
      <c r="KYC55" s="346"/>
      <c r="KYD55" s="346"/>
      <c r="KYE55" s="346"/>
      <c r="KYF55" s="346"/>
      <c r="KYG55" s="346"/>
      <c r="KYH55" s="346"/>
      <c r="KYI55" s="346"/>
      <c r="KYJ55" s="346"/>
      <c r="KYK55" s="346"/>
      <c r="KYL55" s="346"/>
      <c r="KYM55" s="346"/>
      <c r="KYN55" s="346"/>
      <c r="KYO55" s="346"/>
      <c r="KYP55" s="346"/>
      <c r="KYQ55" s="346"/>
      <c r="KYR55" s="346"/>
      <c r="KYS55" s="346"/>
      <c r="KYT55" s="346"/>
      <c r="KYU55" s="346"/>
      <c r="KYV55" s="346"/>
      <c r="KYW55" s="346"/>
      <c r="KYX55" s="346"/>
      <c r="KYY55" s="346"/>
      <c r="KYZ55" s="346"/>
      <c r="KZA55" s="346"/>
      <c r="KZB55" s="346"/>
      <c r="KZC55" s="346"/>
      <c r="KZD55" s="346"/>
      <c r="KZE55" s="346"/>
      <c r="KZF55" s="346"/>
      <c r="KZG55" s="346"/>
      <c r="KZH55" s="346"/>
      <c r="KZI55" s="346"/>
      <c r="KZJ55" s="346"/>
      <c r="KZK55" s="346"/>
      <c r="KZL55" s="346"/>
      <c r="KZM55" s="346"/>
      <c r="KZN55" s="346"/>
      <c r="KZO55" s="346"/>
      <c r="KZP55" s="346"/>
      <c r="KZQ55" s="346"/>
      <c r="KZR55" s="346"/>
      <c r="KZS55" s="346"/>
      <c r="KZT55" s="346"/>
      <c r="KZU55" s="346"/>
      <c r="KZV55" s="346"/>
      <c r="KZW55" s="346"/>
      <c r="KZX55" s="346"/>
      <c r="KZY55" s="346"/>
      <c r="KZZ55" s="346"/>
      <c r="LAA55" s="346"/>
      <c r="LAB55" s="346"/>
      <c r="LAC55" s="346"/>
      <c r="LAD55" s="346"/>
      <c r="LAE55" s="346"/>
      <c r="LAF55" s="346"/>
      <c r="LAG55" s="346"/>
      <c r="LAH55" s="346"/>
      <c r="LAI55" s="346"/>
      <c r="LAJ55" s="346"/>
      <c r="LAK55" s="346"/>
      <c r="LAL55" s="346"/>
      <c r="LAM55" s="346"/>
      <c r="LAN55" s="346"/>
      <c r="LAO55" s="346"/>
      <c r="LAP55" s="346"/>
      <c r="LAQ55" s="346"/>
      <c r="LAR55" s="346"/>
      <c r="LAS55" s="346"/>
      <c r="LAT55" s="346"/>
      <c r="LAU55" s="346"/>
      <c r="LAV55" s="346"/>
      <c r="LAW55" s="346"/>
      <c r="LAX55" s="346"/>
      <c r="LAY55" s="346"/>
      <c r="LAZ55" s="346"/>
      <c r="LBA55" s="346"/>
      <c r="LBB55" s="346"/>
      <c r="LBC55" s="346"/>
      <c r="LBD55" s="346"/>
      <c r="LBE55" s="346"/>
      <c r="LBF55" s="346"/>
      <c r="LBG55" s="346"/>
      <c r="LBH55" s="346"/>
      <c r="LBI55" s="346"/>
      <c r="LBJ55" s="346"/>
      <c r="LBK55" s="346"/>
      <c r="LBL55" s="346"/>
      <c r="LBM55" s="346"/>
      <c r="LBN55" s="346"/>
      <c r="LBO55" s="346"/>
      <c r="LBP55" s="346"/>
      <c r="LBQ55" s="346"/>
      <c r="LBR55" s="346"/>
      <c r="LBS55" s="346"/>
      <c r="LBT55" s="346"/>
      <c r="LBU55" s="346"/>
      <c r="LBV55" s="346"/>
      <c r="LBW55" s="346"/>
      <c r="LBX55" s="346"/>
      <c r="LBY55" s="346"/>
      <c r="LBZ55" s="346"/>
      <c r="LCA55" s="346"/>
      <c r="LCB55" s="346"/>
      <c r="LCC55" s="346"/>
      <c r="LCD55" s="346"/>
      <c r="LCE55" s="346"/>
      <c r="LCF55" s="346"/>
      <c r="LCG55" s="346"/>
      <c r="LCH55" s="346"/>
      <c r="LCI55" s="346"/>
      <c r="LCJ55" s="346"/>
      <c r="LCK55" s="346"/>
      <c r="LCL55" s="346"/>
      <c r="LCM55" s="346"/>
      <c r="LCN55" s="346"/>
      <c r="LCO55" s="346"/>
      <c r="LCP55" s="346"/>
      <c r="LCQ55" s="346"/>
      <c r="LCR55" s="346"/>
      <c r="LCS55" s="346"/>
      <c r="LCT55" s="346"/>
      <c r="LCU55" s="346"/>
      <c r="LCV55" s="346"/>
      <c r="LCW55" s="346"/>
      <c r="LCX55" s="346"/>
      <c r="LCY55" s="346"/>
      <c r="LCZ55" s="346"/>
      <c r="LDA55" s="346"/>
      <c r="LDB55" s="346"/>
      <c r="LDC55" s="346"/>
      <c r="LDD55" s="346"/>
      <c r="LDE55" s="346"/>
      <c r="LDF55" s="346"/>
      <c r="LDG55" s="346"/>
      <c r="LDH55" s="346"/>
      <c r="LDI55" s="346"/>
      <c r="LDJ55" s="346"/>
      <c r="LDK55" s="346"/>
      <c r="LDL55" s="346"/>
      <c r="LDM55" s="346"/>
      <c r="LDN55" s="346"/>
      <c r="LDO55" s="346"/>
      <c r="LDP55" s="346"/>
      <c r="LDQ55" s="346"/>
      <c r="LDR55" s="346"/>
      <c r="LDS55" s="346"/>
      <c r="LDT55" s="346"/>
      <c r="LDU55" s="346"/>
      <c r="LDV55" s="346"/>
      <c r="LDW55" s="346"/>
      <c r="LDX55" s="346"/>
      <c r="LDY55" s="346"/>
      <c r="LDZ55" s="346"/>
      <c r="LEA55" s="346"/>
      <c r="LEB55" s="346"/>
      <c r="LEC55" s="346"/>
      <c r="LED55" s="346"/>
      <c r="LEE55" s="346"/>
      <c r="LEF55" s="346"/>
      <c r="LEG55" s="346"/>
      <c r="LEH55" s="346"/>
      <c r="LEI55" s="346"/>
      <c r="LEJ55" s="346"/>
      <c r="LEK55" s="346"/>
      <c r="LEL55" s="346"/>
      <c r="LEM55" s="346"/>
      <c r="LEN55" s="346"/>
      <c r="LEO55" s="346"/>
      <c r="LEP55" s="346"/>
      <c r="LEQ55" s="346"/>
      <c r="LER55" s="346"/>
      <c r="LES55" s="346"/>
      <c r="LET55" s="346"/>
      <c r="LEU55" s="346"/>
      <c r="LEV55" s="346"/>
      <c r="LEW55" s="346"/>
      <c r="LEX55" s="346"/>
      <c r="LEY55" s="346"/>
      <c r="LEZ55" s="346"/>
      <c r="LFA55" s="346"/>
      <c r="LFB55" s="346"/>
      <c r="LFC55" s="346"/>
      <c r="LFD55" s="346"/>
      <c r="LFE55" s="346"/>
      <c r="LFF55" s="346"/>
      <c r="LFG55" s="346"/>
      <c r="LFH55" s="346"/>
      <c r="LFI55" s="346"/>
      <c r="LFJ55" s="346"/>
      <c r="LFK55" s="346"/>
      <c r="LFL55" s="346"/>
      <c r="LFM55" s="346"/>
      <c r="LFN55" s="346"/>
      <c r="LFO55" s="346"/>
      <c r="LFP55" s="346"/>
      <c r="LFQ55" s="346"/>
      <c r="LFR55" s="346"/>
      <c r="LFS55" s="346"/>
      <c r="LFT55" s="346"/>
      <c r="LFU55" s="346"/>
      <c r="LFV55" s="346"/>
      <c r="LFW55" s="346"/>
      <c r="LFX55" s="346"/>
      <c r="LFY55" s="346"/>
      <c r="LFZ55" s="346"/>
      <c r="LGA55" s="346"/>
      <c r="LGB55" s="346"/>
      <c r="LGC55" s="346"/>
      <c r="LGD55" s="346"/>
      <c r="LGE55" s="346"/>
      <c r="LGF55" s="346"/>
      <c r="LGG55" s="346"/>
      <c r="LGH55" s="346"/>
      <c r="LGI55" s="346"/>
      <c r="LGJ55" s="346"/>
      <c r="LGK55" s="346"/>
      <c r="LGL55" s="346"/>
      <c r="LGM55" s="346"/>
      <c r="LGN55" s="346"/>
      <c r="LGO55" s="346"/>
      <c r="LGP55" s="346"/>
      <c r="LGQ55" s="346"/>
      <c r="LGR55" s="346"/>
      <c r="LGS55" s="346"/>
      <c r="LGT55" s="346"/>
      <c r="LGU55" s="346"/>
      <c r="LGV55" s="346"/>
      <c r="LGW55" s="346"/>
      <c r="LGX55" s="346"/>
      <c r="LGY55" s="346"/>
      <c r="LGZ55" s="346"/>
      <c r="LHA55" s="346"/>
      <c r="LHB55" s="346"/>
      <c r="LHC55" s="346"/>
      <c r="LHD55" s="346"/>
      <c r="LHE55" s="346"/>
      <c r="LHF55" s="346"/>
      <c r="LHG55" s="346"/>
      <c r="LHH55" s="346"/>
      <c r="LHI55" s="346"/>
      <c r="LHJ55" s="346"/>
      <c r="LHK55" s="346"/>
      <c r="LHL55" s="346"/>
      <c r="LHM55" s="346"/>
      <c r="LHN55" s="346"/>
      <c r="LHO55" s="346"/>
      <c r="LHP55" s="346"/>
      <c r="LHQ55" s="346"/>
      <c r="LHR55" s="346"/>
      <c r="LHS55" s="346"/>
      <c r="LHT55" s="346"/>
      <c r="LHU55" s="346"/>
      <c r="LHV55" s="346"/>
      <c r="LHW55" s="346"/>
      <c r="LHX55" s="346"/>
      <c r="LHY55" s="346"/>
      <c r="LHZ55" s="346"/>
      <c r="LIA55" s="346"/>
      <c r="LIB55" s="346"/>
      <c r="LIC55" s="346"/>
      <c r="LID55" s="346"/>
      <c r="LIE55" s="346"/>
      <c r="LIF55" s="346"/>
      <c r="LIG55" s="346"/>
      <c r="LIH55" s="346"/>
      <c r="LII55" s="346"/>
      <c r="LIJ55" s="346"/>
      <c r="LIK55" s="346"/>
      <c r="LIL55" s="346"/>
      <c r="LIM55" s="346"/>
      <c r="LIN55" s="346"/>
      <c r="LIO55" s="346"/>
      <c r="LIP55" s="346"/>
      <c r="LIQ55" s="346"/>
      <c r="LIR55" s="346"/>
      <c r="LIS55" s="346"/>
      <c r="LIT55" s="346"/>
      <c r="LIU55" s="346"/>
      <c r="LIV55" s="346"/>
      <c r="LIW55" s="346"/>
      <c r="LIX55" s="346"/>
      <c r="LIY55" s="346"/>
      <c r="LIZ55" s="346"/>
      <c r="LJA55" s="346"/>
      <c r="LJB55" s="346"/>
      <c r="LJC55" s="346"/>
      <c r="LJD55" s="346"/>
      <c r="LJE55" s="346"/>
      <c r="LJF55" s="346"/>
      <c r="LJG55" s="346"/>
      <c r="LJH55" s="346"/>
      <c r="LJI55" s="346"/>
      <c r="LJJ55" s="346"/>
      <c r="LJK55" s="346"/>
      <c r="LJL55" s="346"/>
      <c r="LJM55" s="346"/>
      <c r="LJN55" s="346"/>
      <c r="LJO55" s="346"/>
      <c r="LJP55" s="346"/>
      <c r="LJQ55" s="346"/>
      <c r="LJR55" s="346"/>
      <c r="LJS55" s="346"/>
      <c r="LJT55" s="346"/>
      <c r="LJU55" s="346"/>
      <c r="LJV55" s="346"/>
      <c r="LJW55" s="346"/>
      <c r="LJX55" s="346"/>
      <c r="LJY55" s="346"/>
      <c r="LJZ55" s="346"/>
      <c r="LKA55" s="346"/>
      <c r="LKB55" s="346"/>
      <c r="LKC55" s="346"/>
      <c r="LKD55" s="346"/>
      <c r="LKE55" s="346"/>
      <c r="LKF55" s="346"/>
      <c r="LKG55" s="346"/>
      <c r="LKH55" s="346"/>
      <c r="LKI55" s="346"/>
      <c r="LKJ55" s="346"/>
      <c r="LKK55" s="346"/>
      <c r="LKL55" s="346"/>
      <c r="LKM55" s="346"/>
      <c r="LKN55" s="346"/>
      <c r="LKO55" s="346"/>
      <c r="LKP55" s="346"/>
      <c r="LKQ55" s="346"/>
      <c r="LKR55" s="346"/>
      <c r="LKS55" s="346"/>
      <c r="LKT55" s="346"/>
      <c r="LKU55" s="346"/>
      <c r="LKV55" s="346"/>
      <c r="LKW55" s="346"/>
      <c r="LKX55" s="346"/>
      <c r="LKY55" s="346"/>
      <c r="LKZ55" s="346"/>
      <c r="LLA55" s="346"/>
      <c r="LLB55" s="346"/>
      <c r="LLC55" s="346"/>
      <c r="LLD55" s="346"/>
      <c r="LLE55" s="346"/>
      <c r="LLF55" s="346"/>
      <c r="LLG55" s="346"/>
      <c r="LLH55" s="346"/>
      <c r="LLI55" s="346"/>
      <c r="LLJ55" s="346"/>
      <c r="LLK55" s="346"/>
      <c r="LLL55" s="346"/>
      <c r="LLM55" s="346"/>
      <c r="LLN55" s="346"/>
      <c r="LLO55" s="346"/>
      <c r="LLP55" s="346"/>
      <c r="LLQ55" s="346"/>
      <c r="LLR55" s="346"/>
      <c r="LLS55" s="346"/>
      <c r="LLT55" s="346"/>
      <c r="LLU55" s="346"/>
      <c r="LLV55" s="346"/>
      <c r="LLW55" s="346"/>
      <c r="LLX55" s="346"/>
      <c r="LLY55" s="346"/>
      <c r="LLZ55" s="346"/>
      <c r="LMA55" s="346"/>
      <c r="LMB55" s="346"/>
      <c r="LMC55" s="346"/>
      <c r="LMD55" s="346"/>
      <c r="LME55" s="346"/>
      <c r="LMF55" s="346"/>
      <c r="LMG55" s="346"/>
      <c r="LMH55" s="346"/>
      <c r="LMI55" s="346"/>
      <c r="LMJ55" s="346"/>
      <c r="LMK55" s="346"/>
      <c r="LML55" s="346"/>
      <c r="LMM55" s="346"/>
      <c r="LMN55" s="346"/>
      <c r="LMO55" s="346"/>
      <c r="LMP55" s="346"/>
      <c r="LMQ55" s="346"/>
      <c r="LMR55" s="346"/>
      <c r="LMS55" s="346"/>
      <c r="LMT55" s="346"/>
      <c r="LMU55" s="346"/>
      <c r="LMV55" s="346"/>
      <c r="LMW55" s="346"/>
      <c r="LMX55" s="346"/>
      <c r="LMY55" s="346"/>
      <c r="LMZ55" s="346"/>
      <c r="LNA55" s="346"/>
      <c r="LNB55" s="346"/>
      <c r="LNC55" s="346"/>
      <c r="LND55" s="346"/>
      <c r="LNE55" s="346"/>
      <c r="LNF55" s="346"/>
      <c r="LNG55" s="346"/>
      <c r="LNH55" s="346"/>
      <c r="LNI55" s="346"/>
      <c r="LNJ55" s="346"/>
      <c r="LNK55" s="346"/>
      <c r="LNL55" s="346"/>
      <c r="LNM55" s="346"/>
      <c r="LNN55" s="346"/>
      <c r="LNO55" s="346"/>
      <c r="LNP55" s="346"/>
      <c r="LNQ55" s="346"/>
      <c r="LNR55" s="346"/>
      <c r="LNS55" s="346"/>
      <c r="LNT55" s="346"/>
      <c r="LNU55" s="346"/>
      <c r="LNV55" s="346"/>
      <c r="LNW55" s="346"/>
      <c r="LNX55" s="346"/>
      <c r="LNY55" s="346"/>
      <c r="LNZ55" s="346"/>
      <c r="LOA55" s="346"/>
      <c r="LOB55" s="346"/>
      <c r="LOC55" s="346"/>
      <c r="LOD55" s="346"/>
      <c r="LOE55" s="346"/>
      <c r="LOF55" s="346"/>
      <c r="LOG55" s="346"/>
      <c r="LOH55" s="346"/>
      <c r="LOI55" s="346"/>
      <c r="LOJ55" s="346"/>
      <c r="LOK55" s="346"/>
      <c r="LOL55" s="346"/>
      <c r="LOM55" s="346"/>
      <c r="LON55" s="346"/>
      <c r="LOO55" s="346"/>
      <c r="LOP55" s="346"/>
      <c r="LOQ55" s="346"/>
      <c r="LOR55" s="346"/>
      <c r="LOS55" s="346"/>
      <c r="LOT55" s="346"/>
      <c r="LOU55" s="346"/>
      <c r="LOV55" s="346"/>
      <c r="LOW55" s="346"/>
      <c r="LOX55" s="346"/>
      <c r="LOY55" s="346"/>
      <c r="LOZ55" s="346"/>
      <c r="LPA55" s="346"/>
      <c r="LPB55" s="346"/>
      <c r="LPC55" s="346"/>
      <c r="LPD55" s="346"/>
      <c r="LPE55" s="346"/>
      <c r="LPF55" s="346"/>
      <c r="LPG55" s="346"/>
      <c r="LPH55" s="346"/>
      <c r="LPI55" s="346"/>
      <c r="LPJ55" s="346"/>
      <c r="LPK55" s="346"/>
      <c r="LPL55" s="346"/>
      <c r="LPM55" s="346"/>
      <c r="LPN55" s="346"/>
      <c r="LPO55" s="346"/>
      <c r="LPP55" s="346"/>
      <c r="LPQ55" s="346"/>
      <c r="LPR55" s="346"/>
      <c r="LPS55" s="346"/>
      <c r="LPT55" s="346"/>
      <c r="LPU55" s="346"/>
      <c r="LPV55" s="346"/>
      <c r="LPW55" s="346"/>
      <c r="LPX55" s="346"/>
      <c r="LPY55" s="346"/>
      <c r="LPZ55" s="346"/>
      <c r="LQA55" s="346"/>
      <c r="LQB55" s="346"/>
      <c r="LQC55" s="346"/>
      <c r="LQD55" s="346"/>
      <c r="LQE55" s="346"/>
      <c r="LQF55" s="346"/>
      <c r="LQG55" s="346"/>
      <c r="LQH55" s="346"/>
      <c r="LQI55" s="346"/>
      <c r="LQJ55" s="346"/>
      <c r="LQK55" s="346"/>
      <c r="LQL55" s="346"/>
      <c r="LQM55" s="346"/>
      <c r="LQN55" s="346"/>
      <c r="LQO55" s="346"/>
      <c r="LQP55" s="346"/>
      <c r="LQQ55" s="346"/>
      <c r="LQR55" s="346"/>
      <c r="LQS55" s="346"/>
      <c r="LQT55" s="346"/>
      <c r="LQU55" s="346"/>
      <c r="LQV55" s="346"/>
      <c r="LQW55" s="346"/>
      <c r="LQX55" s="346"/>
      <c r="LQY55" s="346"/>
      <c r="LQZ55" s="346"/>
      <c r="LRA55" s="346"/>
      <c r="LRB55" s="346"/>
      <c r="LRC55" s="346"/>
      <c r="LRD55" s="346"/>
      <c r="LRE55" s="346"/>
      <c r="LRF55" s="346"/>
      <c r="LRG55" s="346"/>
      <c r="LRH55" s="346"/>
      <c r="LRI55" s="346"/>
      <c r="LRJ55" s="346"/>
      <c r="LRK55" s="346"/>
      <c r="LRL55" s="346"/>
      <c r="LRM55" s="346"/>
      <c r="LRN55" s="346"/>
      <c r="LRO55" s="346"/>
      <c r="LRP55" s="346"/>
      <c r="LRQ55" s="346"/>
      <c r="LRR55" s="346"/>
      <c r="LRS55" s="346"/>
      <c r="LRT55" s="346"/>
      <c r="LRU55" s="346"/>
      <c r="LRV55" s="346"/>
      <c r="LRW55" s="346"/>
      <c r="LRX55" s="346"/>
      <c r="LRY55" s="346"/>
      <c r="LRZ55" s="346"/>
      <c r="LSA55" s="346"/>
      <c r="LSB55" s="346"/>
      <c r="LSC55" s="346"/>
      <c r="LSD55" s="346"/>
      <c r="LSE55" s="346"/>
      <c r="LSF55" s="346"/>
      <c r="LSG55" s="346"/>
      <c r="LSH55" s="346"/>
      <c r="LSI55" s="346"/>
      <c r="LSJ55" s="346"/>
      <c r="LSK55" s="346"/>
      <c r="LSL55" s="346"/>
      <c r="LSM55" s="346"/>
      <c r="LSN55" s="346"/>
      <c r="LSO55" s="346"/>
      <c r="LSP55" s="346"/>
      <c r="LSQ55" s="346"/>
      <c r="LSR55" s="346"/>
      <c r="LSS55" s="346"/>
      <c r="LST55" s="346"/>
      <c r="LSU55" s="346"/>
      <c r="LSV55" s="346"/>
      <c r="LSW55" s="346"/>
      <c r="LSX55" s="346"/>
      <c r="LSY55" s="346"/>
      <c r="LSZ55" s="346"/>
      <c r="LTA55" s="346"/>
      <c r="LTB55" s="346"/>
      <c r="LTC55" s="346"/>
      <c r="LTD55" s="346"/>
      <c r="LTE55" s="346"/>
      <c r="LTF55" s="346"/>
      <c r="LTG55" s="346"/>
      <c r="LTH55" s="346"/>
      <c r="LTI55" s="346"/>
      <c r="LTJ55" s="346"/>
      <c r="LTK55" s="346"/>
      <c r="LTL55" s="346"/>
      <c r="LTM55" s="346"/>
      <c r="LTN55" s="346"/>
      <c r="LTO55" s="346"/>
      <c r="LTP55" s="346"/>
      <c r="LTQ55" s="346"/>
      <c r="LTR55" s="346"/>
      <c r="LTS55" s="346"/>
      <c r="LTT55" s="346"/>
      <c r="LTU55" s="346"/>
      <c r="LTV55" s="346"/>
      <c r="LTW55" s="346"/>
      <c r="LTX55" s="346"/>
      <c r="LTY55" s="346"/>
      <c r="LTZ55" s="346"/>
      <c r="LUA55" s="346"/>
      <c r="LUB55" s="346"/>
      <c r="LUC55" s="346"/>
      <c r="LUD55" s="346"/>
      <c r="LUE55" s="346"/>
      <c r="LUF55" s="346"/>
      <c r="LUG55" s="346"/>
      <c r="LUH55" s="346"/>
      <c r="LUI55" s="346"/>
      <c r="LUJ55" s="346"/>
      <c r="LUK55" s="346"/>
      <c r="LUL55" s="346"/>
      <c r="LUM55" s="346"/>
      <c r="LUN55" s="346"/>
      <c r="LUO55" s="346"/>
      <c r="LUP55" s="346"/>
      <c r="LUQ55" s="346"/>
      <c r="LUR55" s="346"/>
      <c r="LUS55" s="346"/>
      <c r="LUT55" s="346"/>
      <c r="LUU55" s="346"/>
      <c r="LUV55" s="346"/>
      <c r="LUW55" s="346"/>
      <c r="LUX55" s="346"/>
      <c r="LUY55" s="346"/>
      <c r="LUZ55" s="346"/>
      <c r="LVA55" s="346"/>
      <c r="LVB55" s="346"/>
      <c r="LVC55" s="346"/>
      <c r="LVD55" s="346"/>
      <c r="LVE55" s="346"/>
      <c r="LVF55" s="346"/>
      <c r="LVG55" s="346"/>
      <c r="LVH55" s="346"/>
      <c r="LVI55" s="346"/>
      <c r="LVJ55" s="346"/>
      <c r="LVK55" s="346"/>
      <c r="LVL55" s="346"/>
      <c r="LVM55" s="346"/>
      <c r="LVN55" s="346"/>
      <c r="LVO55" s="346"/>
      <c r="LVP55" s="346"/>
      <c r="LVQ55" s="346"/>
      <c r="LVR55" s="346"/>
      <c r="LVS55" s="346"/>
      <c r="LVT55" s="346"/>
      <c r="LVU55" s="346"/>
      <c r="LVV55" s="346"/>
      <c r="LVW55" s="346"/>
      <c r="LVX55" s="346"/>
      <c r="LVY55" s="346"/>
      <c r="LVZ55" s="346"/>
      <c r="LWA55" s="346"/>
      <c r="LWB55" s="346"/>
      <c r="LWC55" s="346"/>
      <c r="LWD55" s="346"/>
      <c r="LWE55" s="346"/>
      <c r="LWF55" s="346"/>
      <c r="LWG55" s="346"/>
      <c r="LWH55" s="346"/>
      <c r="LWI55" s="346"/>
      <c r="LWJ55" s="346"/>
      <c r="LWK55" s="346"/>
      <c r="LWL55" s="346"/>
      <c r="LWM55" s="346"/>
      <c r="LWN55" s="346"/>
      <c r="LWO55" s="346"/>
      <c r="LWP55" s="346"/>
      <c r="LWQ55" s="346"/>
      <c r="LWR55" s="346"/>
      <c r="LWS55" s="346"/>
      <c r="LWT55" s="346"/>
      <c r="LWU55" s="346"/>
      <c r="LWV55" s="346"/>
      <c r="LWW55" s="346"/>
      <c r="LWX55" s="346"/>
      <c r="LWY55" s="346"/>
      <c r="LWZ55" s="346"/>
      <c r="LXA55" s="346"/>
      <c r="LXB55" s="346"/>
      <c r="LXC55" s="346"/>
      <c r="LXD55" s="346"/>
      <c r="LXE55" s="346"/>
      <c r="LXF55" s="346"/>
      <c r="LXG55" s="346"/>
      <c r="LXH55" s="346"/>
      <c r="LXI55" s="346"/>
      <c r="LXJ55" s="346"/>
      <c r="LXK55" s="346"/>
      <c r="LXL55" s="346"/>
      <c r="LXM55" s="346"/>
      <c r="LXN55" s="346"/>
      <c r="LXO55" s="346"/>
      <c r="LXP55" s="346"/>
      <c r="LXQ55" s="346"/>
      <c r="LXR55" s="346"/>
      <c r="LXS55" s="346"/>
      <c r="LXT55" s="346"/>
      <c r="LXU55" s="346"/>
      <c r="LXV55" s="346"/>
      <c r="LXW55" s="346"/>
      <c r="LXX55" s="346"/>
      <c r="LXY55" s="346"/>
      <c r="LXZ55" s="346"/>
      <c r="LYA55" s="346"/>
      <c r="LYB55" s="346"/>
      <c r="LYC55" s="346"/>
      <c r="LYD55" s="346"/>
      <c r="LYE55" s="346"/>
      <c r="LYF55" s="346"/>
      <c r="LYG55" s="346"/>
      <c r="LYH55" s="346"/>
      <c r="LYI55" s="346"/>
      <c r="LYJ55" s="346"/>
      <c r="LYK55" s="346"/>
      <c r="LYL55" s="346"/>
      <c r="LYM55" s="346"/>
      <c r="LYN55" s="346"/>
      <c r="LYO55" s="346"/>
      <c r="LYP55" s="346"/>
      <c r="LYQ55" s="346"/>
      <c r="LYR55" s="346"/>
      <c r="LYS55" s="346"/>
      <c r="LYT55" s="346"/>
      <c r="LYU55" s="346"/>
      <c r="LYV55" s="346"/>
      <c r="LYW55" s="346"/>
      <c r="LYX55" s="346"/>
      <c r="LYY55" s="346"/>
      <c r="LYZ55" s="346"/>
      <c r="LZA55" s="346"/>
      <c r="LZB55" s="346"/>
      <c r="LZC55" s="346"/>
      <c r="LZD55" s="346"/>
      <c r="LZE55" s="346"/>
      <c r="LZF55" s="346"/>
      <c r="LZG55" s="346"/>
      <c r="LZH55" s="346"/>
      <c r="LZI55" s="346"/>
      <c r="LZJ55" s="346"/>
      <c r="LZK55" s="346"/>
      <c r="LZL55" s="346"/>
      <c r="LZM55" s="346"/>
      <c r="LZN55" s="346"/>
      <c r="LZO55" s="346"/>
      <c r="LZP55" s="346"/>
      <c r="LZQ55" s="346"/>
      <c r="LZR55" s="346"/>
      <c r="LZS55" s="346"/>
      <c r="LZT55" s="346"/>
      <c r="LZU55" s="346"/>
      <c r="LZV55" s="346"/>
      <c r="LZW55" s="346"/>
      <c r="LZX55" s="346"/>
      <c r="LZY55" s="346"/>
      <c r="LZZ55" s="346"/>
      <c r="MAA55" s="346"/>
      <c r="MAB55" s="346"/>
      <c r="MAC55" s="346"/>
      <c r="MAD55" s="346"/>
      <c r="MAE55" s="346"/>
      <c r="MAF55" s="346"/>
      <c r="MAG55" s="346"/>
      <c r="MAH55" s="346"/>
      <c r="MAI55" s="346"/>
      <c r="MAJ55" s="346"/>
      <c r="MAK55" s="346"/>
      <c r="MAL55" s="346"/>
      <c r="MAM55" s="346"/>
      <c r="MAN55" s="346"/>
      <c r="MAO55" s="346"/>
      <c r="MAP55" s="346"/>
      <c r="MAQ55" s="346"/>
      <c r="MAR55" s="346"/>
      <c r="MAS55" s="346"/>
      <c r="MAT55" s="346"/>
      <c r="MAU55" s="346"/>
      <c r="MAV55" s="346"/>
      <c r="MAW55" s="346"/>
      <c r="MAX55" s="346"/>
      <c r="MAY55" s="346"/>
      <c r="MAZ55" s="346"/>
      <c r="MBA55" s="346"/>
      <c r="MBB55" s="346"/>
      <c r="MBC55" s="346"/>
      <c r="MBD55" s="346"/>
      <c r="MBE55" s="346"/>
      <c r="MBF55" s="346"/>
      <c r="MBG55" s="346"/>
      <c r="MBH55" s="346"/>
      <c r="MBI55" s="346"/>
      <c r="MBJ55" s="346"/>
      <c r="MBK55" s="346"/>
      <c r="MBL55" s="346"/>
      <c r="MBM55" s="346"/>
      <c r="MBN55" s="346"/>
      <c r="MBO55" s="346"/>
      <c r="MBP55" s="346"/>
      <c r="MBQ55" s="346"/>
      <c r="MBR55" s="346"/>
      <c r="MBS55" s="346"/>
      <c r="MBT55" s="346"/>
      <c r="MBU55" s="346"/>
      <c r="MBV55" s="346"/>
      <c r="MBW55" s="346"/>
      <c r="MBX55" s="346"/>
      <c r="MBY55" s="346"/>
      <c r="MBZ55" s="346"/>
      <c r="MCA55" s="346"/>
      <c r="MCB55" s="346"/>
      <c r="MCC55" s="346"/>
      <c r="MCD55" s="346"/>
      <c r="MCE55" s="346"/>
      <c r="MCF55" s="346"/>
      <c r="MCG55" s="346"/>
      <c r="MCH55" s="346"/>
      <c r="MCI55" s="346"/>
      <c r="MCJ55" s="346"/>
      <c r="MCK55" s="346"/>
      <c r="MCL55" s="346"/>
      <c r="MCM55" s="346"/>
      <c r="MCN55" s="346"/>
      <c r="MCO55" s="346"/>
      <c r="MCP55" s="346"/>
      <c r="MCQ55" s="346"/>
      <c r="MCR55" s="346"/>
      <c r="MCS55" s="346"/>
      <c r="MCT55" s="346"/>
      <c r="MCU55" s="346"/>
      <c r="MCV55" s="346"/>
      <c r="MCW55" s="346"/>
      <c r="MCX55" s="346"/>
      <c r="MCY55" s="346"/>
      <c r="MCZ55" s="346"/>
      <c r="MDA55" s="346"/>
      <c r="MDB55" s="346"/>
      <c r="MDC55" s="346"/>
      <c r="MDD55" s="346"/>
      <c r="MDE55" s="346"/>
      <c r="MDF55" s="346"/>
      <c r="MDG55" s="346"/>
      <c r="MDH55" s="346"/>
      <c r="MDI55" s="346"/>
      <c r="MDJ55" s="346"/>
      <c r="MDK55" s="346"/>
      <c r="MDL55" s="346"/>
      <c r="MDM55" s="346"/>
      <c r="MDN55" s="346"/>
      <c r="MDO55" s="346"/>
      <c r="MDP55" s="346"/>
      <c r="MDQ55" s="346"/>
      <c r="MDR55" s="346"/>
      <c r="MDS55" s="346"/>
      <c r="MDT55" s="346"/>
      <c r="MDU55" s="346"/>
      <c r="MDV55" s="346"/>
      <c r="MDW55" s="346"/>
      <c r="MDX55" s="346"/>
      <c r="MDY55" s="346"/>
      <c r="MDZ55" s="346"/>
      <c r="MEA55" s="346"/>
      <c r="MEB55" s="346"/>
      <c r="MEC55" s="346"/>
      <c r="MED55" s="346"/>
      <c r="MEE55" s="346"/>
      <c r="MEF55" s="346"/>
      <c r="MEG55" s="346"/>
      <c r="MEH55" s="346"/>
      <c r="MEI55" s="346"/>
      <c r="MEJ55" s="346"/>
      <c r="MEK55" s="346"/>
      <c r="MEL55" s="346"/>
      <c r="MEM55" s="346"/>
      <c r="MEN55" s="346"/>
      <c r="MEO55" s="346"/>
      <c r="MEP55" s="346"/>
      <c r="MEQ55" s="346"/>
      <c r="MER55" s="346"/>
      <c r="MES55" s="346"/>
      <c r="MET55" s="346"/>
      <c r="MEU55" s="346"/>
      <c r="MEV55" s="346"/>
      <c r="MEW55" s="346"/>
      <c r="MEX55" s="346"/>
      <c r="MEY55" s="346"/>
      <c r="MEZ55" s="346"/>
      <c r="MFA55" s="346"/>
      <c r="MFB55" s="346"/>
      <c r="MFC55" s="346"/>
      <c r="MFD55" s="346"/>
      <c r="MFE55" s="346"/>
      <c r="MFF55" s="346"/>
      <c r="MFG55" s="346"/>
      <c r="MFH55" s="346"/>
      <c r="MFI55" s="346"/>
      <c r="MFJ55" s="346"/>
      <c r="MFK55" s="346"/>
      <c r="MFL55" s="346"/>
      <c r="MFM55" s="346"/>
      <c r="MFN55" s="346"/>
      <c r="MFO55" s="346"/>
      <c r="MFP55" s="346"/>
      <c r="MFQ55" s="346"/>
      <c r="MFR55" s="346"/>
      <c r="MFS55" s="346"/>
      <c r="MFT55" s="346"/>
      <c r="MFU55" s="346"/>
      <c r="MFV55" s="346"/>
      <c r="MFW55" s="346"/>
      <c r="MFX55" s="346"/>
      <c r="MFY55" s="346"/>
      <c r="MFZ55" s="346"/>
      <c r="MGA55" s="346"/>
      <c r="MGB55" s="346"/>
      <c r="MGC55" s="346"/>
      <c r="MGD55" s="346"/>
      <c r="MGE55" s="346"/>
      <c r="MGF55" s="346"/>
      <c r="MGG55" s="346"/>
      <c r="MGH55" s="346"/>
      <c r="MGI55" s="346"/>
      <c r="MGJ55" s="346"/>
      <c r="MGK55" s="346"/>
      <c r="MGL55" s="346"/>
      <c r="MGM55" s="346"/>
      <c r="MGN55" s="346"/>
      <c r="MGO55" s="346"/>
      <c r="MGP55" s="346"/>
      <c r="MGQ55" s="346"/>
      <c r="MGR55" s="346"/>
      <c r="MGS55" s="346"/>
      <c r="MGT55" s="346"/>
      <c r="MGU55" s="346"/>
      <c r="MGV55" s="346"/>
      <c r="MGW55" s="346"/>
      <c r="MGX55" s="346"/>
      <c r="MGY55" s="346"/>
      <c r="MGZ55" s="346"/>
      <c r="MHA55" s="346"/>
      <c r="MHB55" s="346"/>
      <c r="MHC55" s="346"/>
      <c r="MHD55" s="346"/>
      <c r="MHE55" s="346"/>
      <c r="MHF55" s="346"/>
      <c r="MHG55" s="346"/>
      <c r="MHH55" s="346"/>
      <c r="MHI55" s="346"/>
      <c r="MHJ55" s="346"/>
      <c r="MHK55" s="346"/>
      <c r="MHL55" s="346"/>
      <c r="MHM55" s="346"/>
      <c r="MHN55" s="346"/>
      <c r="MHO55" s="346"/>
      <c r="MHP55" s="346"/>
      <c r="MHQ55" s="346"/>
      <c r="MHR55" s="346"/>
      <c r="MHS55" s="346"/>
      <c r="MHT55" s="346"/>
      <c r="MHU55" s="346"/>
      <c r="MHV55" s="346"/>
      <c r="MHW55" s="346"/>
      <c r="MHX55" s="346"/>
      <c r="MHY55" s="346"/>
      <c r="MHZ55" s="346"/>
      <c r="MIA55" s="346"/>
      <c r="MIB55" s="346"/>
      <c r="MIC55" s="346"/>
      <c r="MID55" s="346"/>
      <c r="MIE55" s="346"/>
      <c r="MIF55" s="346"/>
      <c r="MIG55" s="346"/>
      <c r="MIH55" s="346"/>
      <c r="MII55" s="346"/>
      <c r="MIJ55" s="346"/>
      <c r="MIK55" s="346"/>
      <c r="MIL55" s="346"/>
      <c r="MIM55" s="346"/>
      <c r="MIN55" s="346"/>
      <c r="MIO55" s="346"/>
      <c r="MIP55" s="346"/>
      <c r="MIQ55" s="346"/>
      <c r="MIR55" s="346"/>
      <c r="MIS55" s="346"/>
      <c r="MIT55" s="346"/>
      <c r="MIU55" s="346"/>
      <c r="MIV55" s="346"/>
      <c r="MIW55" s="346"/>
      <c r="MIX55" s="346"/>
      <c r="MIY55" s="346"/>
      <c r="MIZ55" s="346"/>
      <c r="MJA55" s="346"/>
      <c r="MJB55" s="346"/>
      <c r="MJC55" s="346"/>
      <c r="MJD55" s="346"/>
      <c r="MJE55" s="346"/>
      <c r="MJF55" s="346"/>
      <c r="MJG55" s="346"/>
      <c r="MJH55" s="346"/>
      <c r="MJI55" s="346"/>
      <c r="MJJ55" s="346"/>
      <c r="MJK55" s="346"/>
      <c r="MJL55" s="346"/>
      <c r="MJM55" s="346"/>
      <c r="MJN55" s="346"/>
      <c r="MJO55" s="346"/>
      <c r="MJP55" s="346"/>
      <c r="MJQ55" s="346"/>
      <c r="MJR55" s="346"/>
      <c r="MJS55" s="346"/>
      <c r="MJT55" s="346"/>
      <c r="MJU55" s="346"/>
      <c r="MJV55" s="346"/>
      <c r="MJW55" s="346"/>
      <c r="MJX55" s="346"/>
      <c r="MJY55" s="346"/>
      <c r="MJZ55" s="346"/>
      <c r="MKA55" s="346"/>
      <c r="MKB55" s="346"/>
      <c r="MKC55" s="346"/>
      <c r="MKD55" s="346"/>
      <c r="MKE55" s="346"/>
      <c r="MKF55" s="346"/>
      <c r="MKG55" s="346"/>
      <c r="MKH55" s="346"/>
      <c r="MKI55" s="346"/>
      <c r="MKJ55" s="346"/>
      <c r="MKK55" s="346"/>
      <c r="MKL55" s="346"/>
      <c r="MKM55" s="346"/>
      <c r="MKN55" s="346"/>
      <c r="MKO55" s="346"/>
      <c r="MKP55" s="346"/>
      <c r="MKQ55" s="346"/>
      <c r="MKR55" s="346"/>
      <c r="MKS55" s="346"/>
      <c r="MKT55" s="346"/>
      <c r="MKU55" s="346"/>
      <c r="MKV55" s="346"/>
      <c r="MKW55" s="346"/>
      <c r="MKX55" s="346"/>
      <c r="MKY55" s="346"/>
      <c r="MKZ55" s="346"/>
      <c r="MLA55" s="346"/>
      <c r="MLB55" s="346"/>
      <c r="MLC55" s="346"/>
      <c r="MLD55" s="346"/>
      <c r="MLE55" s="346"/>
      <c r="MLF55" s="346"/>
      <c r="MLG55" s="346"/>
      <c r="MLH55" s="346"/>
      <c r="MLI55" s="346"/>
      <c r="MLJ55" s="346"/>
      <c r="MLK55" s="346"/>
      <c r="MLL55" s="346"/>
      <c r="MLM55" s="346"/>
      <c r="MLN55" s="346"/>
      <c r="MLO55" s="346"/>
      <c r="MLP55" s="346"/>
      <c r="MLQ55" s="346"/>
      <c r="MLR55" s="346"/>
      <c r="MLS55" s="346"/>
      <c r="MLT55" s="346"/>
      <c r="MLU55" s="346"/>
      <c r="MLV55" s="346"/>
      <c r="MLW55" s="346"/>
      <c r="MLX55" s="346"/>
      <c r="MLY55" s="346"/>
      <c r="MLZ55" s="346"/>
      <c r="MMA55" s="346"/>
      <c r="MMB55" s="346"/>
      <c r="MMC55" s="346"/>
      <c r="MMD55" s="346"/>
      <c r="MME55" s="346"/>
      <c r="MMF55" s="346"/>
      <c r="MMG55" s="346"/>
      <c r="MMH55" s="346"/>
      <c r="MMI55" s="346"/>
      <c r="MMJ55" s="346"/>
      <c r="MMK55" s="346"/>
      <c r="MML55" s="346"/>
      <c r="MMM55" s="346"/>
      <c r="MMN55" s="346"/>
      <c r="MMO55" s="346"/>
      <c r="MMP55" s="346"/>
      <c r="MMQ55" s="346"/>
      <c r="MMR55" s="346"/>
      <c r="MMS55" s="346"/>
      <c r="MMT55" s="346"/>
      <c r="MMU55" s="346"/>
      <c r="MMV55" s="346"/>
      <c r="MMW55" s="346"/>
      <c r="MMX55" s="346"/>
      <c r="MMY55" s="346"/>
      <c r="MMZ55" s="346"/>
      <c r="MNA55" s="346"/>
      <c r="MNB55" s="346"/>
      <c r="MNC55" s="346"/>
      <c r="MND55" s="346"/>
      <c r="MNE55" s="346"/>
      <c r="MNF55" s="346"/>
      <c r="MNG55" s="346"/>
      <c r="MNH55" s="346"/>
      <c r="MNI55" s="346"/>
      <c r="MNJ55" s="346"/>
      <c r="MNK55" s="346"/>
      <c r="MNL55" s="346"/>
      <c r="MNM55" s="346"/>
      <c r="MNN55" s="346"/>
      <c r="MNO55" s="346"/>
      <c r="MNP55" s="346"/>
      <c r="MNQ55" s="346"/>
      <c r="MNR55" s="346"/>
      <c r="MNS55" s="346"/>
      <c r="MNT55" s="346"/>
      <c r="MNU55" s="346"/>
      <c r="MNV55" s="346"/>
      <c r="MNW55" s="346"/>
      <c r="MNX55" s="346"/>
      <c r="MNY55" s="346"/>
      <c r="MNZ55" s="346"/>
      <c r="MOA55" s="346"/>
      <c r="MOB55" s="346"/>
      <c r="MOC55" s="346"/>
      <c r="MOD55" s="346"/>
      <c r="MOE55" s="346"/>
      <c r="MOF55" s="346"/>
      <c r="MOG55" s="346"/>
      <c r="MOH55" s="346"/>
      <c r="MOI55" s="346"/>
      <c r="MOJ55" s="346"/>
      <c r="MOK55" s="346"/>
      <c r="MOL55" s="346"/>
      <c r="MOM55" s="346"/>
      <c r="MON55" s="346"/>
      <c r="MOO55" s="346"/>
      <c r="MOP55" s="346"/>
      <c r="MOQ55" s="346"/>
      <c r="MOR55" s="346"/>
      <c r="MOS55" s="346"/>
      <c r="MOT55" s="346"/>
      <c r="MOU55" s="346"/>
      <c r="MOV55" s="346"/>
      <c r="MOW55" s="346"/>
      <c r="MOX55" s="346"/>
      <c r="MOY55" s="346"/>
      <c r="MOZ55" s="346"/>
      <c r="MPA55" s="346"/>
      <c r="MPB55" s="346"/>
      <c r="MPC55" s="346"/>
      <c r="MPD55" s="346"/>
      <c r="MPE55" s="346"/>
      <c r="MPF55" s="346"/>
      <c r="MPG55" s="346"/>
      <c r="MPH55" s="346"/>
      <c r="MPI55" s="346"/>
      <c r="MPJ55" s="346"/>
      <c r="MPK55" s="346"/>
      <c r="MPL55" s="346"/>
      <c r="MPM55" s="346"/>
      <c r="MPN55" s="346"/>
      <c r="MPO55" s="346"/>
      <c r="MPP55" s="346"/>
      <c r="MPQ55" s="346"/>
      <c r="MPR55" s="346"/>
      <c r="MPS55" s="346"/>
      <c r="MPT55" s="346"/>
      <c r="MPU55" s="346"/>
      <c r="MPV55" s="346"/>
      <c r="MPW55" s="346"/>
      <c r="MPX55" s="346"/>
      <c r="MPY55" s="346"/>
      <c r="MPZ55" s="346"/>
      <c r="MQA55" s="346"/>
      <c r="MQB55" s="346"/>
      <c r="MQC55" s="346"/>
      <c r="MQD55" s="346"/>
      <c r="MQE55" s="346"/>
      <c r="MQF55" s="346"/>
      <c r="MQG55" s="346"/>
      <c r="MQH55" s="346"/>
      <c r="MQI55" s="346"/>
      <c r="MQJ55" s="346"/>
      <c r="MQK55" s="346"/>
      <c r="MQL55" s="346"/>
      <c r="MQM55" s="346"/>
      <c r="MQN55" s="346"/>
      <c r="MQO55" s="346"/>
      <c r="MQP55" s="346"/>
      <c r="MQQ55" s="346"/>
      <c r="MQR55" s="346"/>
      <c r="MQS55" s="346"/>
      <c r="MQT55" s="346"/>
      <c r="MQU55" s="346"/>
      <c r="MQV55" s="346"/>
      <c r="MQW55" s="346"/>
      <c r="MQX55" s="346"/>
      <c r="MQY55" s="346"/>
      <c r="MQZ55" s="346"/>
      <c r="MRA55" s="346"/>
      <c r="MRB55" s="346"/>
      <c r="MRC55" s="346"/>
      <c r="MRD55" s="346"/>
      <c r="MRE55" s="346"/>
      <c r="MRF55" s="346"/>
      <c r="MRG55" s="346"/>
      <c r="MRH55" s="346"/>
      <c r="MRI55" s="346"/>
      <c r="MRJ55" s="346"/>
      <c r="MRK55" s="346"/>
      <c r="MRL55" s="346"/>
      <c r="MRM55" s="346"/>
      <c r="MRN55" s="346"/>
      <c r="MRO55" s="346"/>
      <c r="MRP55" s="346"/>
      <c r="MRQ55" s="346"/>
      <c r="MRR55" s="346"/>
      <c r="MRS55" s="346"/>
      <c r="MRT55" s="346"/>
      <c r="MRU55" s="346"/>
      <c r="MRV55" s="346"/>
      <c r="MRW55" s="346"/>
      <c r="MRX55" s="346"/>
      <c r="MRY55" s="346"/>
      <c r="MRZ55" s="346"/>
      <c r="MSA55" s="346"/>
      <c r="MSB55" s="346"/>
      <c r="MSC55" s="346"/>
      <c r="MSD55" s="346"/>
      <c r="MSE55" s="346"/>
      <c r="MSF55" s="346"/>
      <c r="MSG55" s="346"/>
      <c r="MSH55" s="346"/>
      <c r="MSI55" s="346"/>
      <c r="MSJ55" s="346"/>
      <c r="MSK55" s="346"/>
      <c r="MSL55" s="346"/>
      <c r="MSM55" s="346"/>
      <c r="MSN55" s="346"/>
      <c r="MSO55" s="346"/>
      <c r="MSP55" s="346"/>
      <c r="MSQ55" s="346"/>
      <c r="MSR55" s="346"/>
      <c r="MSS55" s="346"/>
      <c r="MST55" s="346"/>
      <c r="MSU55" s="346"/>
      <c r="MSV55" s="346"/>
      <c r="MSW55" s="346"/>
      <c r="MSX55" s="346"/>
      <c r="MSY55" s="346"/>
      <c r="MSZ55" s="346"/>
      <c r="MTA55" s="346"/>
      <c r="MTB55" s="346"/>
      <c r="MTC55" s="346"/>
      <c r="MTD55" s="346"/>
      <c r="MTE55" s="346"/>
      <c r="MTF55" s="346"/>
      <c r="MTG55" s="346"/>
      <c r="MTH55" s="346"/>
      <c r="MTI55" s="346"/>
      <c r="MTJ55" s="346"/>
      <c r="MTK55" s="346"/>
      <c r="MTL55" s="346"/>
      <c r="MTM55" s="346"/>
      <c r="MTN55" s="346"/>
      <c r="MTO55" s="346"/>
      <c r="MTP55" s="346"/>
      <c r="MTQ55" s="346"/>
      <c r="MTR55" s="346"/>
      <c r="MTS55" s="346"/>
      <c r="MTT55" s="346"/>
      <c r="MTU55" s="346"/>
      <c r="MTV55" s="346"/>
      <c r="MTW55" s="346"/>
      <c r="MTX55" s="346"/>
      <c r="MTY55" s="346"/>
      <c r="MTZ55" s="346"/>
      <c r="MUA55" s="346"/>
      <c r="MUB55" s="346"/>
      <c r="MUC55" s="346"/>
      <c r="MUD55" s="346"/>
      <c r="MUE55" s="346"/>
      <c r="MUF55" s="346"/>
      <c r="MUG55" s="346"/>
      <c r="MUH55" s="346"/>
      <c r="MUI55" s="346"/>
      <c r="MUJ55" s="346"/>
      <c r="MUK55" s="346"/>
      <c r="MUL55" s="346"/>
      <c r="MUM55" s="346"/>
      <c r="MUN55" s="346"/>
      <c r="MUO55" s="346"/>
      <c r="MUP55" s="346"/>
      <c r="MUQ55" s="346"/>
      <c r="MUR55" s="346"/>
      <c r="MUS55" s="346"/>
      <c r="MUT55" s="346"/>
      <c r="MUU55" s="346"/>
      <c r="MUV55" s="346"/>
      <c r="MUW55" s="346"/>
      <c r="MUX55" s="346"/>
      <c r="MUY55" s="346"/>
      <c r="MUZ55" s="346"/>
      <c r="MVA55" s="346"/>
      <c r="MVB55" s="346"/>
      <c r="MVC55" s="346"/>
      <c r="MVD55" s="346"/>
      <c r="MVE55" s="346"/>
      <c r="MVF55" s="346"/>
      <c r="MVG55" s="346"/>
      <c r="MVH55" s="346"/>
      <c r="MVI55" s="346"/>
      <c r="MVJ55" s="346"/>
      <c r="MVK55" s="346"/>
      <c r="MVL55" s="346"/>
      <c r="MVM55" s="346"/>
      <c r="MVN55" s="346"/>
      <c r="MVO55" s="346"/>
      <c r="MVP55" s="346"/>
      <c r="MVQ55" s="346"/>
      <c r="MVR55" s="346"/>
      <c r="MVS55" s="346"/>
      <c r="MVT55" s="346"/>
      <c r="MVU55" s="346"/>
      <c r="MVV55" s="346"/>
      <c r="MVW55" s="346"/>
      <c r="MVX55" s="346"/>
      <c r="MVY55" s="346"/>
      <c r="MVZ55" s="346"/>
      <c r="MWA55" s="346"/>
      <c r="MWB55" s="346"/>
      <c r="MWC55" s="346"/>
      <c r="MWD55" s="346"/>
      <c r="MWE55" s="346"/>
      <c r="MWF55" s="346"/>
      <c r="MWG55" s="346"/>
      <c r="MWH55" s="346"/>
      <c r="MWI55" s="346"/>
      <c r="MWJ55" s="346"/>
      <c r="MWK55" s="346"/>
      <c r="MWL55" s="346"/>
      <c r="MWM55" s="346"/>
      <c r="MWN55" s="346"/>
      <c r="MWO55" s="346"/>
      <c r="MWP55" s="346"/>
      <c r="MWQ55" s="346"/>
      <c r="MWR55" s="346"/>
      <c r="MWS55" s="346"/>
      <c r="MWT55" s="346"/>
      <c r="MWU55" s="346"/>
      <c r="MWV55" s="346"/>
      <c r="MWW55" s="346"/>
      <c r="MWX55" s="346"/>
      <c r="MWY55" s="346"/>
      <c r="MWZ55" s="346"/>
      <c r="MXA55" s="346"/>
      <c r="MXB55" s="346"/>
      <c r="MXC55" s="346"/>
      <c r="MXD55" s="346"/>
      <c r="MXE55" s="346"/>
      <c r="MXF55" s="346"/>
      <c r="MXG55" s="346"/>
      <c r="MXH55" s="346"/>
      <c r="MXI55" s="346"/>
      <c r="MXJ55" s="346"/>
      <c r="MXK55" s="346"/>
      <c r="MXL55" s="346"/>
      <c r="MXM55" s="346"/>
      <c r="MXN55" s="346"/>
      <c r="MXO55" s="346"/>
      <c r="MXP55" s="346"/>
      <c r="MXQ55" s="346"/>
      <c r="MXR55" s="346"/>
      <c r="MXS55" s="346"/>
      <c r="MXT55" s="346"/>
      <c r="MXU55" s="346"/>
      <c r="MXV55" s="346"/>
      <c r="MXW55" s="346"/>
      <c r="MXX55" s="346"/>
      <c r="MXY55" s="346"/>
      <c r="MXZ55" s="346"/>
      <c r="MYA55" s="346"/>
      <c r="MYB55" s="346"/>
      <c r="MYC55" s="346"/>
      <c r="MYD55" s="346"/>
      <c r="MYE55" s="346"/>
      <c r="MYF55" s="346"/>
      <c r="MYG55" s="346"/>
      <c r="MYH55" s="346"/>
      <c r="MYI55" s="346"/>
      <c r="MYJ55" s="346"/>
      <c r="MYK55" s="346"/>
      <c r="MYL55" s="346"/>
      <c r="MYM55" s="346"/>
      <c r="MYN55" s="346"/>
      <c r="MYO55" s="346"/>
      <c r="MYP55" s="346"/>
      <c r="MYQ55" s="346"/>
      <c r="MYR55" s="346"/>
      <c r="MYS55" s="346"/>
      <c r="MYT55" s="346"/>
      <c r="MYU55" s="346"/>
      <c r="MYV55" s="346"/>
      <c r="MYW55" s="346"/>
      <c r="MYX55" s="346"/>
      <c r="MYY55" s="346"/>
      <c r="MYZ55" s="346"/>
      <c r="MZA55" s="346"/>
      <c r="MZB55" s="346"/>
      <c r="MZC55" s="346"/>
      <c r="MZD55" s="346"/>
      <c r="MZE55" s="346"/>
      <c r="MZF55" s="346"/>
      <c r="MZG55" s="346"/>
      <c r="MZH55" s="346"/>
      <c r="MZI55" s="346"/>
      <c r="MZJ55" s="346"/>
      <c r="MZK55" s="346"/>
      <c r="MZL55" s="346"/>
      <c r="MZM55" s="346"/>
      <c r="MZN55" s="346"/>
      <c r="MZO55" s="346"/>
      <c r="MZP55" s="346"/>
      <c r="MZQ55" s="346"/>
      <c r="MZR55" s="346"/>
      <c r="MZS55" s="346"/>
      <c r="MZT55" s="346"/>
      <c r="MZU55" s="346"/>
      <c r="MZV55" s="346"/>
      <c r="MZW55" s="346"/>
      <c r="MZX55" s="346"/>
      <c r="MZY55" s="346"/>
      <c r="MZZ55" s="346"/>
      <c r="NAA55" s="346"/>
      <c r="NAB55" s="346"/>
      <c r="NAC55" s="346"/>
      <c r="NAD55" s="346"/>
      <c r="NAE55" s="346"/>
      <c r="NAF55" s="346"/>
      <c r="NAG55" s="346"/>
      <c r="NAH55" s="346"/>
      <c r="NAI55" s="346"/>
      <c r="NAJ55" s="346"/>
      <c r="NAK55" s="346"/>
      <c r="NAL55" s="346"/>
      <c r="NAM55" s="346"/>
      <c r="NAN55" s="346"/>
      <c r="NAO55" s="346"/>
      <c r="NAP55" s="346"/>
      <c r="NAQ55" s="346"/>
      <c r="NAR55" s="346"/>
      <c r="NAS55" s="346"/>
      <c r="NAT55" s="346"/>
      <c r="NAU55" s="346"/>
      <c r="NAV55" s="346"/>
      <c r="NAW55" s="346"/>
      <c r="NAX55" s="346"/>
      <c r="NAY55" s="346"/>
      <c r="NAZ55" s="346"/>
      <c r="NBA55" s="346"/>
      <c r="NBB55" s="346"/>
      <c r="NBC55" s="346"/>
      <c r="NBD55" s="346"/>
      <c r="NBE55" s="346"/>
      <c r="NBF55" s="346"/>
      <c r="NBG55" s="346"/>
      <c r="NBH55" s="346"/>
      <c r="NBI55" s="346"/>
      <c r="NBJ55" s="346"/>
      <c r="NBK55" s="346"/>
      <c r="NBL55" s="346"/>
      <c r="NBM55" s="346"/>
      <c r="NBN55" s="346"/>
      <c r="NBO55" s="346"/>
      <c r="NBP55" s="346"/>
      <c r="NBQ55" s="346"/>
      <c r="NBR55" s="346"/>
      <c r="NBS55" s="346"/>
      <c r="NBT55" s="346"/>
      <c r="NBU55" s="346"/>
      <c r="NBV55" s="346"/>
      <c r="NBW55" s="346"/>
      <c r="NBX55" s="346"/>
      <c r="NBY55" s="346"/>
      <c r="NBZ55" s="346"/>
      <c r="NCA55" s="346"/>
      <c r="NCB55" s="346"/>
      <c r="NCC55" s="346"/>
      <c r="NCD55" s="346"/>
      <c r="NCE55" s="346"/>
      <c r="NCF55" s="346"/>
      <c r="NCG55" s="346"/>
      <c r="NCH55" s="346"/>
      <c r="NCI55" s="346"/>
      <c r="NCJ55" s="346"/>
      <c r="NCK55" s="346"/>
      <c r="NCL55" s="346"/>
      <c r="NCM55" s="346"/>
      <c r="NCN55" s="346"/>
      <c r="NCO55" s="346"/>
      <c r="NCP55" s="346"/>
      <c r="NCQ55" s="346"/>
      <c r="NCR55" s="346"/>
      <c r="NCS55" s="346"/>
      <c r="NCT55" s="346"/>
      <c r="NCU55" s="346"/>
      <c r="NCV55" s="346"/>
      <c r="NCW55" s="346"/>
      <c r="NCX55" s="346"/>
      <c r="NCY55" s="346"/>
      <c r="NCZ55" s="346"/>
      <c r="NDA55" s="346"/>
      <c r="NDB55" s="346"/>
      <c r="NDC55" s="346"/>
      <c r="NDD55" s="346"/>
      <c r="NDE55" s="346"/>
      <c r="NDF55" s="346"/>
      <c r="NDG55" s="346"/>
      <c r="NDH55" s="346"/>
      <c r="NDI55" s="346"/>
      <c r="NDJ55" s="346"/>
      <c r="NDK55" s="346"/>
      <c r="NDL55" s="346"/>
      <c r="NDM55" s="346"/>
      <c r="NDN55" s="346"/>
      <c r="NDO55" s="346"/>
      <c r="NDP55" s="346"/>
      <c r="NDQ55" s="346"/>
      <c r="NDR55" s="346"/>
      <c r="NDS55" s="346"/>
      <c r="NDT55" s="346"/>
      <c r="NDU55" s="346"/>
      <c r="NDV55" s="346"/>
      <c r="NDW55" s="346"/>
      <c r="NDX55" s="346"/>
      <c r="NDY55" s="346"/>
      <c r="NDZ55" s="346"/>
      <c r="NEA55" s="346"/>
      <c r="NEB55" s="346"/>
      <c r="NEC55" s="346"/>
      <c r="NED55" s="346"/>
      <c r="NEE55" s="346"/>
      <c r="NEF55" s="346"/>
      <c r="NEG55" s="346"/>
      <c r="NEH55" s="346"/>
      <c r="NEI55" s="346"/>
      <c r="NEJ55" s="346"/>
      <c r="NEK55" s="346"/>
      <c r="NEL55" s="346"/>
      <c r="NEM55" s="346"/>
      <c r="NEN55" s="346"/>
      <c r="NEO55" s="346"/>
      <c r="NEP55" s="346"/>
      <c r="NEQ55" s="346"/>
      <c r="NER55" s="346"/>
      <c r="NES55" s="346"/>
      <c r="NET55" s="346"/>
      <c r="NEU55" s="346"/>
      <c r="NEV55" s="346"/>
      <c r="NEW55" s="346"/>
      <c r="NEX55" s="346"/>
      <c r="NEY55" s="346"/>
      <c r="NEZ55" s="346"/>
      <c r="NFA55" s="346"/>
      <c r="NFB55" s="346"/>
      <c r="NFC55" s="346"/>
      <c r="NFD55" s="346"/>
      <c r="NFE55" s="346"/>
      <c r="NFF55" s="346"/>
      <c r="NFG55" s="346"/>
      <c r="NFH55" s="346"/>
      <c r="NFI55" s="346"/>
      <c r="NFJ55" s="346"/>
      <c r="NFK55" s="346"/>
      <c r="NFL55" s="346"/>
      <c r="NFM55" s="346"/>
      <c r="NFN55" s="346"/>
      <c r="NFO55" s="346"/>
      <c r="NFP55" s="346"/>
      <c r="NFQ55" s="346"/>
      <c r="NFR55" s="346"/>
      <c r="NFS55" s="346"/>
      <c r="NFT55" s="346"/>
      <c r="NFU55" s="346"/>
      <c r="NFV55" s="346"/>
      <c r="NFW55" s="346"/>
      <c r="NFX55" s="346"/>
      <c r="NFY55" s="346"/>
      <c r="NFZ55" s="346"/>
      <c r="NGA55" s="346"/>
      <c r="NGB55" s="346"/>
      <c r="NGC55" s="346"/>
      <c r="NGD55" s="346"/>
      <c r="NGE55" s="346"/>
      <c r="NGF55" s="346"/>
      <c r="NGG55" s="346"/>
      <c r="NGH55" s="346"/>
      <c r="NGI55" s="346"/>
      <c r="NGJ55" s="346"/>
      <c r="NGK55" s="346"/>
      <c r="NGL55" s="346"/>
      <c r="NGM55" s="346"/>
      <c r="NGN55" s="346"/>
      <c r="NGO55" s="346"/>
      <c r="NGP55" s="346"/>
      <c r="NGQ55" s="346"/>
      <c r="NGR55" s="346"/>
      <c r="NGS55" s="346"/>
      <c r="NGT55" s="346"/>
      <c r="NGU55" s="346"/>
      <c r="NGV55" s="346"/>
      <c r="NGW55" s="346"/>
      <c r="NGX55" s="346"/>
      <c r="NGY55" s="346"/>
      <c r="NGZ55" s="346"/>
      <c r="NHA55" s="346"/>
      <c r="NHB55" s="346"/>
      <c r="NHC55" s="346"/>
      <c r="NHD55" s="346"/>
      <c r="NHE55" s="346"/>
      <c r="NHF55" s="346"/>
      <c r="NHG55" s="346"/>
      <c r="NHH55" s="346"/>
      <c r="NHI55" s="346"/>
      <c r="NHJ55" s="346"/>
      <c r="NHK55" s="346"/>
      <c r="NHL55" s="346"/>
      <c r="NHM55" s="346"/>
      <c r="NHN55" s="346"/>
      <c r="NHO55" s="346"/>
      <c r="NHP55" s="346"/>
      <c r="NHQ55" s="346"/>
      <c r="NHR55" s="346"/>
      <c r="NHS55" s="346"/>
      <c r="NHT55" s="346"/>
      <c r="NHU55" s="346"/>
      <c r="NHV55" s="346"/>
      <c r="NHW55" s="346"/>
      <c r="NHX55" s="346"/>
      <c r="NHY55" s="346"/>
      <c r="NHZ55" s="346"/>
      <c r="NIA55" s="346"/>
      <c r="NIB55" s="346"/>
      <c r="NIC55" s="346"/>
      <c r="NID55" s="346"/>
      <c r="NIE55" s="346"/>
      <c r="NIF55" s="346"/>
      <c r="NIG55" s="346"/>
      <c r="NIH55" s="346"/>
      <c r="NII55" s="346"/>
      <c r="NIJ55" s="346"/>
      <c r="NIK55" s="346"/>
      <c r="NIL55" s="346"/>
      <c r="NIM55" s="346"/>
      <c r="NIN55" s="346"/>
      <c r="NIO55" s="346"/>
      <c r="NIP55" s="346"/>
      <c r="NIQ55" s="346"/>
      <c r="NIR55" s="346"/>
      <c r="NIS55" s="346"/>
      <c r="NIT55" s="346"/>
      <c r="NIU55" s="346"/>
      <c r="NIV55" s="346"/>
      <c r="NIW55" s="346"/>
      <c r="NIX55" s="346"/>
      <c r="NIY55" s="346"/>
      <c r="NIZ55" s="346"/>
      <c r="NJA55" s="346"/>
      <c r="NJB55" s="346"/>
      <c r="NJC55" s="346"/>
      <c r="NJD55" s="346"/>
      <c r="NJE55" s="346"/>
      <c r="NJF55" s="346"/>
      <c r="NJG55" s="346"/>
      <c r="NJH55" s="346"/>
      <c r="NJI55" s="346"/>
      <c r="NJJ55" s="346"/>
      <c r="NJK55" s="346"/>
      <c r="NJL55" s="346"/>
      <c r="NJM55" s="346"/>
      <c r="NJN55" s="346"/>
      <c r="NJO55" s="346"/>
      <c r="NJP55" s="346"/>
      <c r="NJQ55" s="346"/>
      <c r="NJR55" s="346"/>
      <c r="NJS55" s="346"/>
      <c r="NJT55" s="346"/>
      <c r="NJU55" s="346"/>
      <c r="NJV55" s="346"/>
      <c r="NJW55" s="346"/>
      <c r="NJX55" s="346"/>
      <c r="NJY55" s="346"/>
      <c r="NJZ55" s="346"/>
      <c r="NKA55" s="346"/>
      <c r="NKB55" s="346"/>
      <c r="NKC55" s="346"/>
      <c r="NKD55" s="346"/>
      <c r="NKE55" s="346"/>
      <c r="NKF55" s="346"/>
      <c r="NKG55" s="346"/>
      <c r="NKH55" s="346"/>
      <c r="NKI55" s="346"/>
      <c r="NKJ55" s="346"/>
      <c r="NKK55" s="346"/>
      <c r="NKL55" s="346"/>
      <c r="NKM55" s="346"/>
      <c r="NKN55" s="346"/>
      <c r="NKO55" s="346"/>
      <c r="NKP55" s="346"/>
      <c r="NKQ55" s="346"/>
      <c r="NKR55" s="346"/>
      <c r="NKS55" s="346"/>
      <c r="NKT55" s="346"/>
      <c r="NKU55" s="346"/>
      <c r="NKV55" s="346"/>
      <c r="NKW55" s="346"/>
      <c r="NKX55" s="346"/>
      <c r="NKY55" s="346"/>
      <c r="NKZ55" s="346"/>
      <c r="NLA55" s="346"/>
      <c r="NLB55" s="346"/>
      <c r="NLC55" s="346"/>
      <c r="NLD55" s="346"/>
      <c r="NLE55" s="346"/>
      <c r="NLF55" s="346"/>
      <c r="NLG55" s="346"/>
      <c r="NLH55" s="346"/>
      <c r="NLI55" s="346"/>
      <c r="NLJ55" s="346"/>
      <c r="NLK55" s="346"/>
      <c r="NLL55" s="346"/>
      <c r="NLM55" s="346"/>
      <c r="NLN55" s="346"/>
      <c r="NLO55" s="346"/>
      <c r="NLP55" s="346"/>
      <c r="NLQ55" s="346"/>
      <c r="NLR55" s="346"/>
      <c r="NLS55" s="346"/>
      <c r="NLT55" s="346"/>
      <c r="NLU55" s="346"/>
      <c r="NLV55" s="346"/>
      <c r="NLW55" s="346"/>
      <c r="NLX55" s="346"/>
      <c r="NLY55" s="346"/>
      <c r="NLZ55" s="346"/>
      <c r="NMA55" s="346"/>
      <c r="NMB55" s="346"/>
      <c r="NMC55" s="346"/>
      <c r="NMD55" s="346"/>
      <c r="NME55" s="346"/>
      <c r="NMF55" s="346"/>
      <c r="NMG55" s="346"/>
      <c r="NMH55" s="346"/>
      <c r="NMI55" s="346"/>
      <c r="NMJ55" s="346"/>
      <c r="NMK55" s="346"/>
      <c r="NML55" s="346"/>
      <c r="NMM55" s="346"/>
      <c r="NMN55" s="346"/>
      <c r="NMO55" s="346"/>
      <c r="NMP55" s="346"/>
      <c r="NMQ55" s="346"/>
      <c r="NMR55" s="346"/>
      <c r="NMS55" s="346"/>
      <c r="NMT55" s="346"/>
      <c r="NMU55" s="346"/>
      <c r="NMV55" s="346"/>
      <c r="NMW55" s="346"/>
      <c r="NMX55" s="346"/>
      <c r="NMY55" s="346"/>
      <c r="NMZ55" s="346"/>
      <c r="NNA55" s="346"/>
      <c r="NNB55" s="346"/>
      <c r="NNC55" s="346"/>
      <c r="NND55" s="346"/>
      <c r="NNE55" s="346"/>
      <c r="NNF55" s="346"/>
      <c r="NNG55" s="346"/>
      <c r="NNH55" s="346"/>
      <c r="NNI55" s="346"/>
      <c r="NNJ55" s="346"/>
      <c r="NNK55" s="346"/>
      <c r="NNL55" s="346"/>
      <c r="NNM55" s="346"/>
      <c r="NNN55" s="346"/>
      <c r="NNO55" s="346"/>
      <c r="NNP55" s="346"/>
      <c r="NNQ55" s="346"/>
      <c r="NNR55" s="346"/>
      <c r="NNS55" s="346"/>
      <c r="NNT55" s="346"/>
      <c r="NNU55" s="346"/>
      <c r="NNV55" s="346"/>
      <c r="NNW55" s="346"/>
      <c r="NNX55" s="346"/>
      <c r="NNY55" s="346"/>
      <c r="NNZ55" s="346"/>
      <c r="NOA55" s="346"/>
      <c r="NOB55" s="346"/>
      <c r="NOC55" s="346"/>
      <c r="NOD55" s="346"/>
      <c r="NOE55" s="346"/>
      <c r="NOF55" s="346"/>
      <c r="NOG55" s="346"/>
      <c r="NOH55" s="346"/>
      <c r="NOI55" s="346"/>
      <c r="NOJ55" s="346"/>
      <c r="NOK55" s="346"/>
      <c r="NOL55" s="346"/>
      <c r="NOM55" s="346"/>
      <c r="NON55" s="346"/>
      <c r="NOO55" s="346"/>
      <c r="NOP55" s="346"/>
      <c r="NOQ55" s="346"/>
      <c r="NOR55" s="346"/>
      <c r="NOS55" s="346"/>
      <c r="NOT55" s="346"/>
      <c r="NOU55" s="346"/>
      <c r="NOV55" s="346"/>
      <c r="NOW55" s="346"/>
      <c r="NOX55" s="346"/>
      <c r="NOY55" s="346"/>
      <c r="NOZ55" s="346"/>
      <c r="NPA55" s="346"/>
      <c r="NPB55" s="346"/>
      <c r="NPC55" s="346"/>
      <c r="NPD55" s="346"/>
      <c r="NPE55" s="346"/>
      <c r="NPF55" s="346"/>
      <c r="NPG55" s="346"/>
      <c r="NPH55" s="346"/>
      <c r="NPI55" s="346"/>
      <c r="NPJ55" s="346"/>
      <c r="NPK55" s="346"/>
      <c r="NPL55" s="346"/>
      <c r="NPM55" s="346"/>
      <c r="NPN55" s="346"/>
      <c r="NPO55" s="346"/>
      <c r="NPP55" s="346"/>
      <c r="NPQ55" s="346"/>
      <c r="NPR55" s="346"/>
      <c r="NPS55" s="346"/>
      <c r="NPT55" s="346"/>
      <c r="NPU55" s="346"/>
      <c r="NPV55" s="346"/>
      <c r="NPW55" s="346"/>
      <c r="NPX55" s="346"/>
      <c r="NPY55" s="346"/>
      <c r="NPZ55" s="346"/>
      <c r="NQA55" s="346"/>
      <c r="NQB55" s="346"/>
      <c r="NQC55" s="346"/>
      <c r="NQD55" s="346"/>
      <c r="NQE55" s="346"/>
      <c r="NQF55" s="346"/>
      <c r="NQG55" s="346"/>
      <c r="NQH55" s="346"/>
      <c r="NQI55" s="346"/>
      <c r="NQJ55" s="346"/>
      <c r="NQK55" s="346"/>
      <c r="NQL55" s="346"/>
      <c r="NQM55" s="346"/>
      <c r="NQN55" s="346"/>
      <c r="NQO55" s="346"/>
      <c r="NQP55" s="346"/>
      <c r="NQQ55" s="346"/>
      <c r="NQR55" s="346"/>
      <c r="NQS55" s="346"/>
      <c r="NQT55" s="346"/>
      <c r="NQU55" s="346"/>
      <c r="NQV55" s="346"/>
      <c r="NQW55" s="346"/>
      <c r="NQX55" s="346"/>
      <c r="NQY55" s="346"/>
      <c r="NQZ55" s="346"/>
      <c r="NRA55" s="346"/>
      <c r="NRB55" s="346"/>
      <c r="NRC55" s="346"/>
      <c r="NRD55" s="346"/>
      <c r="NRE55" s="346"/>
      <c r="NRF55" s="346"/>
      <c r="NRG55" s="346"/>
      <c r="NRH55" s="346"/>
      <c r="NRI55" s="346"/>
      <c r="NRJ55" s="346"/>
      <c r="NRK55" s="346"/>
      <c r="NRL55" s="346"/>
      <c r="NRM55" s="346"/>
      <c r="NRN55" s="346"/>
      <c r="NRO55" s="346"/>
      <c r="NRP55" s="346"/>
      <c r="NRQ55" s="346"/>
      <c r="NRR55" s="346"/>
      <c r="NRS55" s="346"/>
      <c r="NRT55" s="346"/>
      <c r="NRU55" s="346"/>
      <c r="NRV55" s="346"/>
      <c r="NRW55" s="346"/>
      <c r="NRX55" s="346"/>
      <c r="NRY55" s="346"/>
      <c r="NRZ55" s="346"/>
      <c r="NSA55" s="346"/>
      <c r="NSB55" s="346"/>
      <c r="NSC55" s="346"/>
      <c r="NSD55" s="346"/>
      <c r="NSE55" s="346"/>
      <c r="NSF55" s="346"/>
      <c r="NSG55" s="346"/>
      <c r="NSH55" s="346"/>
      <c r="NSI55" s="346"/>
      <c r="NSJ55" s="346"/>
      <c r="NSK55" s="346"/>
      <c r="NSL55" s="346"/>
      <c r="NSM55" s="346"/>
      <c r="NSN55" s="346"/>
      <c r="NSO55" s="346"/>
      <c r="NSP55" s="346"/>
      <c r="NSQ55" s="346"/>
      <c r="NSR55" s="346"/>
      <c r="NSS55" s="346"/>
      <c r="NST55" s="346"/>
      <c r="NSU55" s="346"/>
      <c r="NSV55" s="346"/>
      <c r="NSW55" s="346"/>
      <c r="NSX55" s="346"/>
      <c r="NSY55" s="346"/>
      <c r="NSZ55" s="346"/>
      <c r="NTA55" s="346"/>
      <c r="NTB55" s="346"/>
      <c r="NTC55" s="346"/>
      <c r="NTD55" s="346"/>
      <c r="NTE55" s="346"/>
      <c r="NTF55" s="346"/>
      <c r="NTG55" s="346"/>
      <c r="NTH55" s="346"/>
      <c r="NTI55" s="346"/>
      <c r="NTJ55" s="346"/>
      <c r="NTK55" s="346"/>
      <c r="NTL55" s="346"/>
      <c r="NTM55" s="346"/>
      <c r="NTN55" s="346"/>
      <c r="NTO55" s="346"/>
      <c r="NTP55" s="346"/>
      <c r="NTQ55" s="346"/>
      <c r="NTR55" s="346"/>
      <c r="NTS55" s="346"/>
      <c r="NTT55" s="346"/>
      <c r="NTU55" s="346"/>
      <c r="NTV55" s="346"/>
      <c r="NTW55" s="346"/>
      <c r="NTX55" s="346"/>
      <c r="NTY55" s="346"/>
      <c r="NTZ55" s="346"/>
      <c r="NUA55" s="346"/>
      <c r="NUB55" s="346"/>
      <c r="NUC55" s="346"/>
      <c r="NUD55" s="346"/>
      <c r="NUE55" s="346"/>
      <c r="NUF55" s="346"/>
      <c r="NUG55" s="346"/>
      <c r="NUH55" s="346"/>
      <c r="NUI55" s="346"/>
      <c r="NUJ55" s="346"/>
      <c r="NUK55" s="346"/>
      <c r="NUL55" s="346"/>
      <c r="NUM55" s="346"/>
      <c r="NUN55" s="346"/>
      <c r="NUO55" s="346"/>
      <c r="NUP55" s="346"/>
      <c r="NUQ55" s="346"/>
      <c r="NUR55" s="346"/>
      <c r="NUS55" s="346"/>
      <c r="NUT55" s="346"/>
      <c r="NUU55" s="346"/>
      <c r="NUV55" s="346"/>
      <c r="NUW55" s="346"/>
      <c r="NUX55" s="346"/>
      <c r="NUY55" s="346"/>
      <c r="NUZ55" s="346"/>
      <c r="NVA55" s="346"/>
      <c r="NVB55" s="346"/>
      <c r="NVC55" s="346"/>
      <c r="NVD55" s="346"/>
      <c r="NVE55" s="346"/>
      <c r="NVF55" s="346"/>
      <c r="NVG55" s="346"/>
      <c r="NVH55" s="346"/>
      <c r="NVI55" s="346"/>
      <c r="NVJ55" s="346"/>
      <c r="NVK55" s="346"/>
      <c r="NVL55" s="346"/>
      <c r="NVM55" s="346"/>
      <c r="NVN55" s="346"/>
      <c r="NVO55" s="346"/>
      <c r="NVP55" s="346"/>
      <c r="NVQ55" s="346"/>
      <c r="NVR55" s="346"/>
      <c r="NVS55" s="346"/>
      <c r="NVT55" s="346"/>
      <c r="NVU55" s="346"/>
      <c r="NVV55" s="346"/>
      <c r="NVW55" s="346"/>
      <c r="NVX55" s="346"/>
      <c r="NVY55" s="346"/>
      <c r="NVZ55" s="346"/>
      <c r="NWA55" s="346"/>
      <c r="NWB55" s="346"/>
      <c r="NWC55" s="346"/>
      <c r="NWD55" s="346"/>
      <c r="NWE55" s="346"/>
      <c r="NWF55" s="346"/>
      <c r="NWG55" s="346"/>
      <c r="NWH55" s="346"/>
      <c r="NWI55" s="346"/>
      <c r="NWJ55" s="346"/>
      <c r="NWK55" s="346"/>
      <c r="NWL55" s="346"/>
      <c r="NWM55" s="346"/>
      <c r="NWN55" s="346"/>
      <c r="NWO55" s="346"/>
      <c r="NWP55" s="346"/>
      <c r="NWQ55" s="346"/>
      <c r="NWR55" s="346"/>
      <c r="NWS55" s="346"/>
      <c r="NWT55" s="346"/>
      <c r="NWU55" s="346"/>
      <c r="NWV55" s="346"/>
      <c r="NWW55" s="346"/>
      <c r="NWX55" s="346"/>
      <c r="NWY55" s="346"/>
      <c r="NWZ55" s="346"/>
      <c r="NXA55" s="346"/>
      <c r="NXB55" s="346"/>
      <c r="NXC55" s="346"/>
      <c r="NXD55" s="346"/>
      <c r="NXE55" s="346"/>
      <c r="NXF55" s="346"/>
      <c r="NXG55" s="346"/>
      <c r="NXH55" s="346"/>
      <c r="NXI55" s="346"/>
      <c r="NXJ55" s="346"/>
      <c r="NXK55" s="346"/>
      <c r="NXL55" s="346"/>
      <c r="NXM55" s="346"/>
      <c r="NXN55" s="346"/>
      <c r="NXO55" s="346"/>
      <c r="NXP55" s="346"/>
      <c r="NXQ55" s="346"/>
      <c r="NXR55" s="346"/>
      <c r="NXS55" s="346"/>
      <c r="NXT55" s="346"/>
      <c r="NXU55" s="346"/>
      <c r="NXV55" s="346"/>
      <c r="NXW55" s="346"/>
      <c r="NXX55" s="346"/>
      <c r="NXY55" s="346"/>
      <c r="NXZ55" s="346"/>
      <c r="NYA55" s="346"/>
      <c r="NYB55" s="346"/>
      <c r="NYC55" s="346"/>
      <c r="NYD55" s="346"/>
      <c r="NYE55" s="346"/>
      <c r="NYF55" s="346"/>
      <c r="NYG55" s="346"/>
      <c r="NYH55" s="346"/>
      <c r="NYI55" s="346"/>
      <c r="NYJ55" s="346"/>
      <c r="NYK55" s="346"/>
      <c r="NYL55" s="346"/>
      <c r="NYM55" s="346"/>
      <c r="NYN55" s="346"/>
      <c r="NYO55" s="346"/>
      <c r="NYP55" s="346"/>
      <c r="NYQ55" s="346"/>
      <c r="NYR55" s="346"/>
      <c r="NYS55" s="346"/>
      <c r="NYT55" s="346"/>
      <c r="NYU55" s="346"/>
      <c r="NYV55" s="346"/>
      <c r="NYW55" s="346"/>
      <c r="NYX55" s="346"/>
      <c r="NYY55" s="346"/>
      <c r="NYZ55" s="346"/>
      <c r="NZA55" s="346"/>
      <c r="NZB55" s="346"/>
      <c r="NZC55" s="346"/>
      <c r="NZD55" s="346"/>
      <c r="NZE55" s="346"/>
      <c r="NZF55" s="346"/>
      <c r="NZG55" s="346"/>
      <c r="NZH55" s="346"/>
      <c r="NZI55" s="346"/>
      <c r="NZJ55" s="346"/>
      <c r="NZK55" s="346"/>
      <c r="NZL55" s="346"/>
      <c r="NZM55" s="346"/>
      <c r="NZN55" s="346"/>
      <c r="NZO55" s="346"/>
      <c r="NZP55" s="346"/>
      <c r="NZQ55" s="346"/>
      <c r="NZR55" s="346"/>
      <c r="NZS55" s="346"/>
      <c r="NZT55" s="346"/>
      <c r="NZU55" s="346"/>
      <c r="NZV55" s="346"/>
      <c r="NZW55" s="346"/>
      <c r="NZX55" s="346"/>
      <c r="NZY55" s="346"/>
      <c r="NZZ55" s="346"/>
      <c r="OAA55" s="346"/>
      <c r="OAB55" s="346"/>
      <c r="OAC55" s="346"/>
      <c r="OAD55" s="346"/>
      <c r="OAE55" s="346"/>
      <c r="OAF55" s="346"/>
      <c r="OAG55" s="346"/>
      <c r="OAH55" s="346"/>
      <c r="OAI55" s="346"/>
      <c r="OAJ55" s="346"/>
      <c r="OAK55" s="346"/>
      <c r="OAL55" s="346"/>
      <c r="OAM55" s="346"/>
      <c r="OAN55" s="346"/>
      <c r="OAO55" s="346"/>
      <c r="OAP55" s="346"/>
      <c r="OAQ55" s="346"/>
      <c r="OAR55" s="346"/>
      <c r="OAS55" s="346"/>
      <c r="OAT55" s="346"/>
      <c r="OAU55" s="346"/>
      <c r="OAV55" s="346"/>
      <c r="OAW55" s="346"/>
      <c r="OAX55" s="346"/>
      <c r="OAY55" s="346"/>
      <c r="OAZ55" s="346"/>
      <c r="OBA55" s="346"/>
      <c r="OBB55" s="346"/>
      <c r="OBC55" s="346"/>
      <c r="OBD55" s="346"/>
      <c r="OBE55" s="346"/>
      <c r="OBF55" s="346"/>
      <c r="OBG55" s="346"/>
      <c r="OBH55" s="346"/>
      <c r="OBI55" s="346"/>
      <c r="OBJ55" s="346"/>
      <c r="OBK55" s="346"/>
      <c r="OBL55" s="346"/>
      <c r="OBM55" s="346"/>
      <c r="OBN55" s="346"/>
      <c r="OBO55" s="346"/>
      <c r="OBP55" s="346"/>
      <c r="OBQ55" s="346"/>
      <c r="OBR55" s="346"/>
      <c r="OBS55" s="346"/>
      <c r="OBT55" s="346"/>
      <c r="OBU55" s="346"/>
      <c r="OBV55" s="346"/>
      <c r="OBW55" s="346"/>
      <c r="OBX55" s="346"/>
      <c r="OBY55" s="346"/>
      <c r="OBZ55" s="346"/>
      <c r="OCA55" s="346"/>
      <c r="OCB55" s="346"/>
      <c r="OCC55" s="346"/>
      <c r="OCD55" s="346"/>
      <c r="OCE55" s="346"/>
      <c r="OCF55" s="346"/>
      <c r="OCG55" s="346"/>
      <c r="OCH55" s="346"/>
      <c r="OCI55" s="346"/>
      <c r="OCJ55" s="346"/>
      <c r="OCK55" s="346"/>
      <c r="OCL55" s="346"/>
      <c r="OCM55" s="346"/>
      <c r="OCN55" s="346"/>
      <c r="OCO55" s="346"/>
      <c r="OCP55" s="346"/>
      <c r="OCQ55" s="346"/>
      <c r="OCR55" s="346"/>
      <c r="OCS55" s="346"/>
      <c r="OCT55" s="346"/>
      <c r="OCU55" s="346"/>
      <c r="OCV55" s="346"/>
      <c r="OCW55" s="346"/>
      <c r="OCX55" s="346"/>
      <c r="OCY55" s="346"/>
      <c r="OCZ55" s="346"/>
      <c r="ODA55" s="346"/>
      <c r="ODB55" s="346"/>
      <c r="ODC55" s="346"/>
      <c r="ODD55" s="346"/>
      <c r="ODE55" s="346"/>
      <c r="ODF55" s="346"/>
      <c r="ODG55" s="346"/>
      <c r="ODH55" s="346"/>
      <c r="ODI55" s="346"/>
      <c r="ODJ55" s="346"/>
      <c r="ODK55" s="346"/>
      <c r="ODL55" s="346"/>
      <c r="ODM55" s="346"/>
      <c r="ODN55" s="346"/>
      <c r="ODO55" s="346"/>
      <c r="ODP55" s="346"/>
      <c r="ODQ55" s="346"/>
      <c r="ODR55" s="346"/>
      <c r="ODS55" s="346"/>
      <c r="ODT55" s="346"/>
      <c r="ODU55" s="346"/>
      <c r="ODV55" s="346"/>
      <c r="ODW55" s="346"/>
      <c r="ODX55" s="346"/>
      <c r="ODY55" s="346"/>
      <c r="ODZ55" s="346"/>
      <c r="OEA55" s="346"/>
      <c r="OEB55" s="346"/>
      <c r="OEC55" s="346"/>
      <c r="OED55" s="346"/>
      <c r="OEE55" s="346"/>
      <c r="OEF55" s="346"/>
      <c r="OEG55" s="346"/>
      <c r="OEH55" s="346"/>
      <c r="OEI55" s="346"/>
      <c r="OEJ55" s="346"/>
      <c r="OEK55" s="346"/>
      <c r="OEL55" s="346"/>
      <c r="OEM55" s="346"/>
      <c r="OEN55" s="346"/>
      <c r="OEO55" s="346"/>
      <c r="OEP55" s="346"/>
      <c r="OEQ55" s="346"/>
      <c r="OER55" s="346"/>
      <c r="OES55" s="346"/>
      <c r="OET55" s="346"/>
      <c r="OEU55" s="346"/>
      <c r="OEV55" s="346"/>
      <c r="OEW55" s="346"/>
      <c r="OEX55" s="346"/>
      <c r="OEY55" s="346"/>
      <c r="OEZ55" s="346"/>
      <c r="OFA55" s="346"/>
      <c r="OFB55" s="346"/>
      <c r="OFC55" s="346"/>
      <c r="OFD55" s="346"/>
      <c r="OFE55" s="346"/>
      <c r="OFF55" s="346"/>
      <c r="OFG55" s="346"/>
      <c r="OFH55" s="346"/>
      <c r="OFI55" s="346"/>
      <c r="OFJ55" s="346"/>
      <c r="OFK55" s="346"/>
      <c r="OFL55" s="346"/>
      <c r="OFM55" s="346"/>
      <c r="OFN55" s="346"/>
      <c r="OFO55" s="346"/>
      <c r="OFP55" s="346"/>
      <c r="OFQ55" s="346"/>
      <c r="OFR55" s="346"/>
      <c r="OFS55" s="346"/>
      <c r="OFT55" s="346"/>
      <c r="OFU55" s="346"/>
      <c r="OFV55" s="346"/>
      <c r="OFW55" s="346"/>
      <c r="OFX55" s="346"/>
      <c r="OFY55" s="346"/>
      <c r="OFZ55" s="346"/>
      <c r="OGA55" s="346"/>
      <c r="OGB55" s="346"/>
      <c r="OGC55" s="346"/>
      <c r="OGD55" s="346"/>
      <c r="OGE55" s="346"/>
      <c r="OGF55" s="346"/>
      <c r="OGG55" s="346"/>
      <c r="OGH55" s="346"/>
      <c r="OGI55" s="346"/>
      <c r="OGJ55" s="346"/>
      <c r="OGK55" s="346"/>
      <c r="OGL55" s="346"/>
      <c r="OGM55" s="346"/>
      <c r="OGN55" s="346"/>
      <c r="OGO55" s="346"/>
      <c r="OGP55" s="346"/>
      <c r="OGQ55" s="346"/>
      <c r="OGR55" s="346"/>
      <c r="OGS55" s="346"/>
      <c r="OGT55" s="346"/>
      <c r="OGU55" s="346"/>
      <c r="OGV55" s="346"/>
      <c r="OGW55" s="346"/>
      <c r="OGX55" s="346"/>
      <c r="OGY55" s="346"/>
      <c r="OGZ55" s="346"/>
      <c r="OHA55" s="346"/>
      <c r="OHB55" s="346"/>
      <c r="OHC55" s="346"/>
      <c r="OHD55" s="346"/>
      <c r="OHE55" s="346"/>
      <c r="OHF55" s="346"/>
      <c r="OHG55" s="346"/>
      <c r="OHH55" s="346"/>
      <c r="OHI55" s="346"/>
      <c r="OHJ55" s="346"/>
      <c r="OHK55" s="346"/>
      <c r="OHL55" s="346"/>
      <c r="OHM55" s="346"/>
      <c r="OHN55" s="346"/>
      <c r="OHO55" s="346"/>
      <c r="OHP55" s="346"/>
      <c r="OHQ55" s="346"/>
      <c r="OHR55" s="346"/>
      <c r="OHS55" s="346"/>
      <c r="OHT55" s="346"/>
      <c r="OHU55" s="346"/>
      <c r="OHV55" s="346"/>
      <c r="OHW55" s="346"/>
      <c r="OHX55" s="346"/>
      <c r="OHY55" s="346"/>
      <c r="OHZ55" s="346"/>
      <c r="OIA55" s="346"/>
      <c r="OIB55" s="346"/>
      <c r="OIC55" s="346"/>
      <c r="OID55" s="346"/>
      <c r="OIE55" s="346"/>
      <c r="OIF55" s="346"/>
      <c r="OIG55" s="346"/>
      <c r="OIH55" s="346"/>
      <c r="OII55" s="346"/>
      <c r="OIJ55" s="346"/>
      <c r="OIK55" s="346"/>
      <c r="OIL55" s="346"/>
      <c r="OIM55" s="346"/>
      <c r="OIN55" s="346"/>
      <c r="OIO55" s="346"/>
      <c r="OIP55" s="346"/>
      <c r="OIQ55" s="346"/>
      <c r="OIR55" s="346"/>
      <c r="OIS55" s="346"/>
      <c r="OIT55" s="346"/>
      <c r="OIU55" s="346"/>
      <c r="OIV55" s="346"/>
      <c r="OIW55" s="346"/>
      <c r="OIX55" s="346"/>
      <c r="OIY55" s="346"/>
      <c r="OIZ55" s="346"/>
      <c r="OJA55" s="346"/>
      <c r="OJB55" s="346"/>
      <c r="OJC55" s="346"/>
      <c r="OJD55" s="346"/>
      <c r="OJE55" s="346"/>
      <c r="OJF55" s="346"/>
      <c r="OJG55" s="346"/>
      <c r="OJH55" s="346"/>
      <c r="OJI55" s="346"/>
      <c r="OJJ55" s="346"/>
      <c r="OJK55" s="346"/>
      <c r="OJL55" s="346"/>
      <c r="OJM55" s="346"/>
      <c r="OJN55" s="346"/>
      <c r="OJO55" s="346"/>
      <c r="OJP55" s="346"/>
      <c r="OJQ55" s="346"/>
      <c r="OJR55" s="346"/>
      <c r="OJS55" s="346"/>
      <c r="OJT55" s="346"/>
      <c r="OJU55" s="346"/>
      <c r="OJV55" s="346"/>
      <c r="OJW55" s="346"/>
      <c r="OJX55" s="346"/>
      <c r="OJY55" s="346"/>
      <c r="OJZ55" s="346"/>
      <c r="OKA55" s="346"/>
      <c r="OKB55" s="346"/>
      <c r="OKC55" s="346"/>
      <c r="OKD55" s="346"/>
      <c r="OKE55" s="346"/>
      <c r="OKF55" s="346"/>
      <c r="OKG55" s="346"/>
      <c r="OKH55" s="346"/>
      <c r="OKI55" s="346"/>
      <c r="OKJ55" s="346"/>
      <c r="OKK55" s="346"/>
      <c r="OKL55" s="346"/>
      <c r="OKM55" s="346"/>
      <c r="OKN55" s="346"/>
      <c r="OKO55" s="346"/>
      <c r="OKP55" s="346"/>
      <c r="OKQ55" s="346"/>
      <c r="OKR55" s="346"/>
      <c r="OKS55" s="346"/>
      <c r="OKT55" s="346"/>
      <c r="OKU55" s="346"/>
      <c r="OKV55" s="346"/>
      <c r="OKW55" s="346"/>
      <c r="OKX55" s="346"/>
      <c r="OKY55" s="346"/>
      <c r="OKZ55" s="346"/>
      <c r="OLA55" s="346"/>
      <c r="OLB55" s="346"/>
      <c r="OLC55" s="346"/>
      <c r="OLD55" s="346"/>
      <c r="OLE55" s="346"/>
      <c r="OLF55" s="346"/>
      <c r="OLG55" s="346"/>
      <c r="OLH55" s="346"/>
      <c r="OLI55" s="346"/>
      <c r="OLJ55" s="346"/>
      <c r="OLK55" s="346"/>
      <c r="OLL55" s="346"/>
      <c r="OLM55" s="346"/>
      <c r="OLN55" s="346"/>
      <c r="OLO55" s="346"/>
      <c r="OLP55" s="346"/>
      <c r="OLQ55" s="346"/>
      <c r="OLR55" s="346"/>
      <c r="OLS55" s="346"/>
      <c r="OLT55" s="346"/>
      <c r="OLU55" s="346"/>
      <c r="OLV55" s="346"/>
      <c r="OLW55" s="346"/>
      <c r="OLX55" s="346"/>
      <c r="OLY55" s="346"/>
      <c r="OLZ55" s="346"/>
      <c r="OMA55" s="346"/>
      <c r="OMB55" s="346"/>
      <c r="OMC55" s="346"/>
      <c r="OMD55" s="346"/>
      <c r="OME55" s="346"/>
      <c r="OMF55" s="346"/>
      <c r="OMG55" s="346"/>
      <c r="OMH55" s="346"/>
      <c r="OMI55" s="346"/>
      <c r="OMJ55" s="346"/>
      <c r="OMK55" s="346"/>
      <c r="OML55" s="346"/>
      <c r="OMM55" s="346"/>
      <c r="OMN55" s="346"/>
      <c r="OMO55" s="346"/>
      <c r="OMP55" s="346"/>
      <c r="OMQ55" s="346"/>
      <c r="OMR55" s="346"/>
      <c r="OMS55" s="346"/>
      <c r="OMT55" s="346"/>
      <c r="OMU55" s="346"/>
      <c r="OMV55" s="346"/>
      <c r="OMW55" s="346"/>
      <c r="OMX55" s="346"/>
      <c r="OMY55" s="346"/>
      <c r="OMZ55" s="346"/>
      <c r="ONA55" s="346"/>
      <c r="ONB55" s="346"/>
      <c r="ONC55" s="346"/>
      <c r="OND55" s="346"/>
      <c r="ONE55" s="346"/>
      <c r="ONF55" s="346"/>
      <c r="ONG55" s="346"/>
      <c r="ONH55" s="346"/>
      <c r="ONI55" s="346"/>
      <c r="ONJ55" s="346"/>
      <c r="ONK55" s="346"/>
      <c r="ONL55" s="346"/>
      <c r="ONM55" s="346"/>
      <c r="ONN55" s="346"/>
      <c r="ONO55" s="346"/>
      <c r="ONP55" s="346"/>
      <c r="ONQ55" s="346"/>
      <c r="ONR55" s="346"/>
      <c r="ONS55" s="346"/>
      <c r="ONT55" s="346"/>
      <c r="ONU55" s="346"/>
      <c r="ONV55" s="346"/>
      <c r="ONW55" s="346"/>
      <c r="ONX55" s="346"/>
      <c r="ONY55" s="346"/>
      <c r="ONZ55" s="346"/>
      <c r="OOA55" s="346"/>
      <c r="OOB55" s="346"/>
      <c r="OOC55" s="346"/>
      <c r="OOD55" s="346"/>
      <c r="OOE55" s="346"/>
      <c r="OOF55" s="346"/>
      <c r="OOG55" s="346"/>
      <c r="OOH55" s="346"/>
      <c r="OOI55" s="346"/>
      <c r="OOJ55" s="346"/>
      <c r="OOK55" s="346"/>
      <c r="OOL55" s="346"/>
      <c r="OOM55" s="346"/>
      <c r="OON55" s="346"/>
      <c r="OOO55" s="346"/>
      <c r="OOP55" s="346"/>
      <c r="OOQ55" s="346"/>
      <c r="OOR55" s="346"/>
      <c r="OOS55" s="346"/>
      <c r="OOT55" s="346"/>
      <c r="OOU55" s="346"/>
      <c r="OOV55" s="346"/>
      <c r="OOW55" s="346"/>
      <c r="OOX55" s="346"/>
      <c r="OOY55" s="346"/>
      <c r="OOZ55" s="346"/>
      <c r="OPA55" s="346"/>
      <c r="OPB55" s="346"/>
      <c r="OPC55" s="346"/>
      <c r="OPD55" s="346"/>
      <c r="OPE55" s="346"/>
      <c r="OPF55" s="346"/>
      <c r="OPG55" s="346"/>
      <c r="OPH55" s="346"/>
      <c r="OPI55" s="346"/>
      <c r="OPJ55" s="346"/>
      <c r="OPK55" s="346"/>
      <c r="OPL55" s="346"/>
      <c r="OPM55" s="346"/>
      <c r="OPN55" s="346"/>
      <c r="OPO55" s="346"/>
      <c r="OPP55" s="346"/>
      <c r="OPQ55" s="346"/>
      <c r="OPR55" s="346"/>
      <c r="OPS55" s="346"/>
      <c r="OPT55" s="346"/>
      <c r="OPU55" s="346"/>
      <c r="OPV55" s="346"/>
      <c r="OPW55" s="346"/>
      <c r="OPX55" s="346"/>
      <c r="OPY55" s="346"/>
      <c r="OPZ55" s="346"/>
      <c r="OQA55" s="346"/>
      <c r="OQB55" s="346"/>
      <c r="OQC55" s="346"/>
      <c r="OQD55" s="346"/>
      <c r="OQE55" s="346"/>
      <c r="OQF55" s="346"/>
      <c r="OQG55" s="346"/>
      <c r="OQH55" s="346"/>
      <c r="OQI55" s="346"/>
      <c r="OQJ55" s="346"/>
      <c r="OQK55" s="346"/>
      <c r="OQL55" s="346"/>
      <c r="OQM55" s="346"/>
      <c r="OQN55" s="346"/>
      <c r="OQO55" s="346"/>
      <c r="OQP55" s="346"/>
      <c r="OQQ55" s="346"/>
      <c r="OQR55" s="346"/>
      <c r="OQS55" s="346"/>
      <c r="OQT55" s="346"/>
      <c r="OQU55" s="346"/>
      <c r="OQV55" s="346"/>
      <c r="OQW55" s="346"/>
      <c r="OQX55" s="346"/>
      <c r="OQY55" s="346"/>
      <c r="OQZ55" s="346"/>
      <c r="ORA55" s="346"/>
      <c r="ORB55" s="346"/>
      <c r="ORC55" s="346"/>
      <c r="ORD55" s="346"/>
      <c r="ORE55" s="346"/>
      <c r="ORF55" s="346"/>
      <c r="ORG55" s="346"/>
      <c r="ORH55" s="346"/>
      <c r="ORI55" s="346"/>
      <c r="ORJ55" s="346"/>
      <c r="ORK55" s="346"/>
      <c r="ORL55" s="346"/>
      <c r="ORM55" s="346"/>
      <c r="ORN55" s="346"/>
      <c r="ORO55" s="346"/>
      <c r="ORP55" s="346"/>
      <c r="ORQ55" s="346"/>
      <c r="ORR55" s="346"/>
      <c r="ORS55" s="346"/>
      <c r="ORT55" s="346"/>
      <c r="ORU55" s="346"/>
      <c r="ORV55" s="346"/>
      <c r="ORW55" s="346"/>
      <c r="ORX55" s="346"/>
      <c r="ORY55" s="346"/>
      <c r="ORZ55" s="346"/>
      <c r="OSA55" s="346"/>
      <c r="OSB55" s="346"/>
      <c r="OSC55" s="346"/>
      <c r="OSD55" s="346"/>
      <c r="OSE55" s="346"/>
      <c r="OSF55" s="346"/>
      <c r="OSG55" s="346"/>
      <c r="OSH55" s="346"/>
      <c r="OSI55" s="346"/>
      <c r="OSJ55" s="346"/>
      <c r="OSK55" s="346"/>
      <c r="OSL55" s="346"/>
      <c r="OSM55" s="346"/>
      <c r="OSN55" s="346"/>
      <c r="OSO55" s="346"/>
      <c r="OSP55" s="346"/>
      <c r="OSQ55" s="346"/>
      <c r="OSR55" s="346"/>
      <c r="OSS55" s="346"/>
      <c r="OST55" s="346"/>
      <c r="OSU55" s="346"/>
      <c r="OSV55" s="346"/>
      <c r="OSW55" s="346"/>
      <c r="OSX55" s="346"/>
      <c r="OSY55" s="346"/>
      <c r="OSZ55" s="346"/>
      <c r="OTA55" s="346"/>
      <c r="OTB55" s="346"/>
      <c r="OTC55" s="346"/>
      <c r="OTD55" s="346"/>
      <c r="OTE55" s="346"/>
      <c r="OTF55" s="346"/>
      <c r="OTG55" s="346"/>
      <c r="OTH55" s="346"/>
      <c r="OTI55" s="346"/>
      <c r="OTJ55" s="346"/>
      <c r="OTK55" s="346"/>
      <c r="OTL55" s="346"/>
      <c r="OTM55" s="346"/>
      <c r="OTN55" s="346"/>
      <c r="OTO55" s="346"/>
      <c r="OTP55" s="346"/>
      <c r="OTQ55" s="346"/>
      <c r="OTR55" s="346"/>
      <c r="OTS55" s="346"/>
      <c r="OTT55" s="346"/>
      <c r="OTU55" s="346"/>
      <c r="OTV55" s="346"/>
      <c r="OTW55" s="346"/>
      <c r="OTX55" s="346"/>
      <c r="OTY55" s="346"/>
      <c r="OTZ55" s="346"/>
      <c r="OUA55" s="346"/>
      <c r="OUB55" s="346"/>
      <c r="OUC55" s="346"/>
      <c r="OUD55" s="346"/>
      <c r="OUE55" s="346"/>
      <c r="OUF55" s="346"/>
      <c r="OUG55" s="346"/>
      <c r="OUH55" s="346"/>
      <c r="OUI55" s="346"/>
      <c r="OUJ55" s="346"/>
      <c r="OUK55" s="346"/>
      <c r="OUL55" s="346"/>
      <c r="OUM55" s="346"/>
      <c r="OUN55" s="346"/>
      <c r="OUO55" s="346"/>
      <c r="OUP55" s="346"/>
      <c r="OUQ55" s="346"/>
      <c r="OUR55" s="346"/>
      <c r="OUS55" s="346"/>
      <c r="OUT55" s="346"/>
      <c r="OUU55" s="346"/>
      <c r="OUV55" s="346"/>
      <c r="OUW55" s="346"/>
      <c r="OUX55" s="346"/>
      <c r="OUY55" s="346"/>
      <c r="OUZ55" s="346"/>
      <c r="OVA55" s="346"/>
      <c r="OVB55" s="346"/>
      <c r="OVC55" s="346"/>
      <c r="OVD55" s="346"/>
      <c r="OVE55" s="346"/>
      <c r="OVF55" s="346"/>
      <c r="OVG55" s="346"/>
      <c r="OVH55" s="346"/>
      <c r="OVI55" s="346"/>
      <c r="OVJ55" s="346"/>
      <c r="OVK55" s="346"/>
      <c r="OVL55" s="346"/>
      <c r="OVM55" s="346"/>
      <c r="OVN55" s="346"/>
      <c r="OVO55" s="346"/>
      <c r="OVP55" s="346"/>
      <c r="OVQ55" s="346"/>
      <c r="OVR55" s="346"/>
      <c r="OVS55" s="346"/>
      <c r="OVT55" s="346"/>
      <c r="OVU55" s="346"/>
      <c r="OVV55" s="346"/>
      <c r="OVW55" s="346"/>
      <c r="OVX55" s="346"/>
      <c r="OVY55" s="346"/>
      <c r="OVZ55" s="346"/>
      <c r="OWA55" s="346"/>
      <c r="OWB55" s="346"/>
      <c r="OWC55" s="346"/>
      <c r="OWD55" s="346"/>
      <c r="OWE55" s="346"/>
      <c r="OWF55" s="346"/>
      <c r="OWG55" s="346"/>
      <c r="OWH55" s="346"/>
      <c r="OWI55" s="346"/>
      <c r="OWJ55" s="346"/>
      <c r="OWK55" s="346"/>
      <c r="OWL55" s="346"/>
      <c r="OWM55" s="346"/>
      <c r="OWN55" s="346"/>
      <c r="OWO55" s="346"/>
      <c r="OWP55" s="346"/>
      <c r="OWQ55" s="346"/>
      <c r="OWR55" s="346"/>
      <c r="OWS55" s="346"/>
      <c r="OWT55" s="346"/>
      <c r="OWU55" s="346"/>
      <c r="OWV55" s="346"/>
      <c r="OWW55" s="346"/>
      <c r="OWX55" s="346"/>
      <c r="OWY55" s="346"/>
      <c r="OWZ55" s="346"/>
      <c r="OXA55" s="346"/>
      <c r="OXB55" s="346"/>
      <c r="OXC55" s="346"/>
      <c r="OXD55" s="346"/>
      <c r="OXE55" s="346"/>
      <c r="OXF55" s="346"/>
      <c r="OXG55" s="346"/>
      <c r="OXH55" s="346"/>
      <c r="OXI55" s="346"/>
      <c r="OXJ55" s="346"/>
      <c r="OXK55" s="346"/>
      <c r="OXL55" s="346"/>
      <c r="OXM55" s="346"/>
      <c r="OXN55" s="346"/>
      <c r="OXO55" s="346"/>
      <c r="OXP55" s="346"/>
      <c r="OXQ55" s="346"/>
      <c r="OXR55" s="346"/>
      <c r="OXS55" s="346"/>
      <c r="OXT55" s="346"/>
      <c r="OXU55" s="346"/>
      <c r="OXV55" s="346"/>
      <c r="OXW55" s="346"/>
      <c r="OXX55" s="346"/>
      <c r="OXY55" s="346"/>
      <c r="OXZ55" s="346"/>
      <c r="OYA55" s="346"/>
      <c r="OYB55" s="346"/>
      <c r="OYC55" s="346"/>
      <c r="OYD55" s="346"/>
      <c r="OYE55" s="346"/>
      <c r="OYF55" s="346"/>
      <c r="OYG55" s="346"/>
      <c r="OYH55" s="346"/>
      <c r="OYI55" s="346"/>
      <c r="OYJ55" s="346"/>
      <c r="OYK55" s="346"/>
      <c r="OYL55" s="346"/>
      <c r="OYM55" s="346"/>
      <c r="OYN55" s="346"/>
      <c r="OYO55" s="346"/>
      <c r="OYP55" s="346"/>
      <c r="OYQ55" s="346"/>
      <c r="OYR55" s="346"/>
      <c r="OYS55" s="346"/>
      <c r="OYT55" s="346"/>
      <c r="OYU55" s="346"/>
      <c r="OYV55" s="346"/>
      <c r="OYW55" s="346"/>
      <c r="OYX55" s="346"/>
      <c r="OYY55" s="346"/>
      <c r="OYZ55" s="346"/>
      <c r="OZA55" s="346"/>
      <c r="OZB55" s="346"/>
      <c r="OZC55" s="346"/>
      <c r="OZD55" s="346"/>
      <c r="OZE55" s="346"/>
      <c r="OZF55" s="346"/>
      <c r="OZG55" s="346"/>
      <c r="OZH55" s="346"/>
      <c r="OZI55" s="346"/>
      <c r="OZJ55" s="346"/>
      <c r="OZK55" s="346"/>
      <c r="OZL55" s="346"/>
      <c r="OZM55" s="346"/>
      <c r="OZN55" s="346"/>
      <c r="OZO55" s="346"/>
      <c r="OZP55" s="346"/>
      <c r="OZQ55" s="346"/>
      <c r="OZR55" s="346"/>
      <c r="OZS55" s="346"/>
      <c r="OZT55" s="346"/>
      <c r="OZU55" s="346"/>
      <c r="OZV55" s="346"/>
      <c r="OZW55" s="346"/>
      <c r="OZX55" s="346"/>
      <c r="OZY55" s="346"/>
      <c r="OZZ55" s="346"/>
      <c r="PAA55" s="346"/>
      <c r="PAB55" s="346"/>
      <c r="PAC55" s="346"/>
      <c r="PAD55" s="346"/>
      <c r="PAE55" s="346"/>
      <c r="PAF55" s="346"/>
      <c r="PAG55" s="346"/>
      <c r="PAH55" s="346"/>
      <c r="PAI55" s="346"/>
      <c r="PAJ55" s="346"/>
      <c r="PAK55" s="346"/>
      <c r="PAL55" s="346"/>
      <c r="PAM55" s="346"/>
      <c r="PAN55" s="346"/>
      <c r="PAO55" s="346"/>
      <c r="PAP55" s="346"/>
      <c r="PAQ55" s="346"/>
      <c r="PAR55" s="346"/>
      <c r="PAS55" s="346"/>
      <c r="PAT55" s="346"/>
      <c r="PAU55" s="346"/>
      <c r="PAV55" s="346"/>
      <c r="PAW55" s="346"/>
      <c r="PAX55" s="346"/>
      <c r="PAY55" s="346"/>
      <c r="PAZ55" s="346"/>
      <c r="PBA55" s="346"/>
      <c r="PBB55" s="346"/>
      <c r="PBC55" s="346"/>
      <c r="PBD55" s="346"/>
      <c r="PBE55" s="346"/>
      <c r="PBF55" s="346"/>
      <c r="PBG55" s="346"/>
      <c r="PBH55" s="346"/>
      <c r="PBI55" s="346"/>
      <c r="PBJ55" s="346"/>
      <c r="PBK55" s="346"/>
      <c r="PBL55" s="346"/>
      <c r="PBM55" s="346"/>
      <c r="PBN55" s="346"/>
      <c r="PBO55" s="346"/>
      <c r="PBP55" s="346"/>
      <c r="PBQ55" s="346"/>
      <c r="PBR55" s="346"/>
      <c r="PBS55" s="346"/>
      <c r="PBT55" s="346"/>
      <c r="PBU55" s="346"/>
      <c r="PBV55" s="346"/>
      <c r="PBW55" s="346"/>
      <c r="PBX55" s="346"/>
      <c r="PBY55" s="346"/>
      <c r="PBZ55" s="346"/>
      <c r="PCA55" s="346"/>
      <c r="PCB55" s="346"/>
      <c r="PCC55" s="346"/>
      <c r="PCD55" s="346"/>
      <c r="PCE55" s="346"/>
      <c r="PCF55" s="346"/>
      <c r="PCG55" s="346"/>
      <c r="PCH55" s="346"/>
      <c r="PCI55" s="346"/>
      <c r="PCJ55" s="346"/>
      <c r="PCK55" s="346"/>
      <c r="PCL55" s="346"/>
      <c r="PCM55" s="346"/>
      <c r="PCN55" s="346"/>
      <c r="PCO55" s="346"/>
      <c r="PCP55" s="346"/>
      <c r="PCQ55" s="346"/>
      <c r="PCR55" s="346"/>
      <c r="PCS55" s="346"/>
      <c r="PCT55" s="346"/>
      <c r="PCU55" s="346"/>
      <c r="PCV55" s="346"/>
      <c r="PCW55" s="346"/>
      <c r="PCX55" s="346"/>
      <c r="PCY55" s="346"/>
      <c r="PCZ55" s="346"/>
      <c r="PDA55" s="346"/>
      <c r="PDB55" s="346"/>
      <c r="PDC55" s="346"/>
      <c r="PDD55" s="346"/>
      <c r="PDE55" s="346"/>
      <c r="PDF55" s="346"/>
      <c r="PDG55" s="346"/>
      <c r="PDH55" s="346"/>
      <c r="PDI55" s="346"/>
      <c r="PDJ55" s="346"/>
      <c r="PDK55" s="346"/>
      <c r="PDL55" s="346"/>
      <c r="PDM55" s="346"/>
      <c r="PDN55" s="346"/>
      <c r="PDO55" s="346"/>
      <c r="PDP55" s="346"/>
      <c r="PDQ55" s="346"/>
      <c r="PDR55" s="346"/>
      <c r="PDS55" s="346"/>
      <c r="PDT55" s="346"/>
      <c r="PDU55" s="346"/>
      <c r="PDV55" s="346"/>
      <c r="PDW55" s="346"/>
      <c r="PDX55" s="346"/>
      <c r="PDY55" s="346"/>
      <c r="PDZ55" s="346"/>
      <c r="PEA55" s="346"/>
      <c r="PEB55" s="346"/>
      <c r="PEC55" s="346"/>
      <c r="PED55" s="346"/>
      <c r="PEE55" s="346"/>
      <c r="PEF55" s="346"/>
      <c r="PEG55" s="346"/>
      <c r="PEH55" s="346"/>
      <c r="PEI55" s="346"/>
      <c r="PEJ55" s="346"/>
      <c r="PEK55" s="346"/>
      <c r="PEL55" s="346"/>
      <c r="PEM55" s="346"/>
      <c r="PEN55" s="346"/>
      <c r="PEO55" s="346"/>
      <c r="PEP55" s="346"/>
      <c r="PEQ55" s="346"/>
      <c r="PER55" s="346"/>
      <c r="PES55" s="346"/>
      <c r="PET55" s="346"/>
      <c r="PEU55" s="346"/>
      <c r="PEV55" s="346"/>
      <c r="PEW55" s="346"/>
      <c r="PEX55" s="346"/>
      <c r="PEY55" s="346"/>
      <c r="PEZ55" s="346"/>
      <c r="PFA55" s="346"/>
      <c r="PFB55" s="346"/>
      <c r="PFC55" s="346"/>
      <c r="PFD55" s="346"/>
      <c r="PFE55" s="346"/>
      <c r="PFF55" s="346"/>
      <c r="PFG55" s="346"/>
      <c r="PFH55" s="346"/>
      <c r="PFI55" s="346"/>
      <c r="PFJ55" s="346"/>
      <c r="PFK55" s="346"/>
      <c r="PFL55" s="346"/>
      <c r="PFM55" s="346"/>
      <c r="PFN55" s="346"/>
      <c r="PFO55" s="346"/>
      <c r="PFP55" s="346"/>
      <c r="PFQ55" s="346"/>
      <c r="PFR55" s="346"/>
      <c r="PFS55" s="346"/>
      <c r="PFT55" s="346"/>
      <c r="PFU55" s="346"/>
      <c r="PFV55" s="346"/>
      <c r="PFW55" s="346"/>
      <c r="PFX55" s="346"/>
      <c r="PFY55" s="346"/>
      <c r="PFZ55" s="346"/>
      <c r="PGA55" s="346"/>
      <c r="PGB55" s="346"/>
      <c r="PGC55" s="346"/>
      <c r="PGD55" s="346"/>
      <c r="PGE55" s="346"/>
      <c r="PGF55" s="346"/>
      <c r="PGG55" s="346"/>
      <c r="PGH55" s="346"/>
      <c r="PGI55" s="346"/>
      <c r="PGJ55" s="346"/>
      <c r="PGK55" s="346"/>
      <c r="PGL55" s="346"/>
      <c r="PGM55" s="346"/>
      <c r="PGN55" s="346"/>
      <c r="PGO55" s="346"/>
      <c r="PGP55" s="346"/>
      <c r="PGQ55" s="346"/>
      <c r="PGR55" s="346"/>
      <c r="PGS55" s="346"/>
      <c r="PGT55" s="346"/>
      <c r="PGU55" s="346"/>
      <c r="PGV55" s="346"/>
      <c r="PGW55" s="346"/>
      <c r="PGX55" s="346"/>
      <c r="PGY55" s="346"/>
      <c r="PGZ55" s="346"/>
      <c r="PHA55" s="346"/>
      <c r="PHB55" s="346"/>
      <c r="PHC55" s="346"/>
      <c r="PHD55" s="346"/>
      <c r="PHE55" s="346"/>
      <c r="PHF55" s="346"/>
      <c r="PHG55" s="346"/>
      <c r="PHH55" s="346"/>
      <c r="PHI55" s="346"/>
      <c r="PHJ55" s="346"/>
      <c r="PHK55" s="346"/>
      <c r="PHL55" s="346"/>
      <c r="PHM55" s="346"/>
      <c r="PHN55" s="346"/>
      <c r="PHO55" s="346"/>
      <c r="PHP55" s="346"/>
      <c r="PHQ55" s="346"/>
      <c r="PHR55" s="346"/>
      <c r="PHS55" s="346"/>
      <c r="PHT55" s="346"/>
      <c r="PHU55" s="346"/>
      <c r="PHV55" s="346"/>
      <c r="PHW55" s="346"/>
      <c r="PHX55" s="346"/>
      <c r="PHY55" s="346"/>
      <c r="PHZ55" s="346"/>
      <c r="PIA55" s="346"/>
      <c r="PIB55" s="346"/>
      <c r="PIC55" s="346"/>
      <c r="PID55" s="346"/>
      <c r="PIE55" s="346"/>
      <c r="PIF55" s="346"/>
      <c r="PIG55" s="346"/>
      <c r="PIH55" s="346"/>
      <c r="PII55" s="346"/>
      <c r="PIJ55" s="346"/>
      <c r="PIK55" s="346"/>
      <c r="PIL55" s="346"/>
      <c r="PIM55" s="346"/>
      <c r="PIN55" s="346"/>
      <c r="PIO55" s="346"/>
      <c r="PIP55" s="346"/>
      <c r="PIQ55" s="346"/>
      <c r="PIR55" s="346"/>
      <c r="PIS55" s="346"/>
      <c r="PIT55" s="346"/>
      <c r="PIU55" s="346"/>
      <c r="PIV55" s="346"/>
      <c r="PIW55" s="346"/>
      <c r="PIX55" s="346"/>
      <c r="PIY55" s="346"/>
      <c r="PIZ55" s="346"/>
      <c r="PJA55" s="346"/>
      <c r="PJB55" s="346"/>
      <c r="PJC55" s="346"/>
      <c r="PJD55" s="346"/>
      <c r="PJE55" s="346"/>
      <c r="PJF55" s="346"/>
      <c r="PJG55" s="346"/>
      <c r="PJH55" s="346"/>
      <c r="PJI55" s="346"/>
      <c r="PJJ55" s="346"/>
      <c r="PJK55" s="346"/>
      <c r="PJL55" s="346"/>
      <c r="PJM55" s="346"/>
      <c r="PJN55" s="346"/>
      <c r="PJO55" s="346"/>
      <c r="PJP55" s="346"/>
      <c r="PJQ55" s="346"/>
      <c r="PJR55" s="346"/>
      <c r="PJS55" s="346"/>
      <c r="PJT55" s="346"/>
      <c r="PJU55" s="346"/>
      <c r="PJV55" s="346"/>
      <c r="PJW55" s="346"/>
      <c r="PJX55" s="346"/>
      <c r="PJY55" s="346"/>
      <c r="PJZ55" s="346"/>
      <c r="PKA55" s="346"/>
      <c r="PKB55" s="346"/>
      <c r="PKC55" s="346"/>
      <c r="PKD55" s="346"/>
      <c r="PKE55" s="346"/>
      <c r="PKF55" s="346"/>
      <c r="PKG55" s="346"/>
      <c r="PKH55" s="346"/>
      <c r="PKI55" s="346"/>
      <c r="PKJ55" s="346"/>
      <c r="PKK55" s="346"/>
      <c r="PKL55" s="346"/>
      <c r="PKM55" s="346"/>
      <c r="PKN55" s="346"/>
      <c r="PKO55" s="346"/>
      <c r="PKP55" s="346"/>
      <c r="PKQ55" s="346"/>
      <c r="PKR55" s="346"/>
      <c r="PKS55" s="346"/>
      <c r="PKT55" s="346"/>
      <c r="PKU55" s="346"/>
      <c r="PKV55" s="346"/>
      <c r="PKW55" s="346"/>
      <c r="PKX55" s="346"/>
      <c r="PKY55" s="346"/>
      <c r="PKZ55" s="346"/>
      <c r="PLA55" s="346"/>
      <c r="PLB55" s="346"/>
      <c r="PLC55" s="346"/>
      <c r="PLD55" s="346"/>
      <c r="PLE55" s="346"/>
      <c r="PLF55" s="346"/>
      <c r="PLG55" s="346"/>
      <c r="PLH55" s="346"/>
      <c r="PLI55" s="346"/>
      <c r="PLJ55" s="346"/>
      <c r="PLK55" s="346"/>
      <c r="PLL55" s="346"/>
      <c r="PLM55" s="346"/>
      <c r="PLN55" s="346"/>
      <c r="PLO55" s="346"/>
      <c r="PLP55" s="346"/>
      <c r="PLQ55" s="346"/>
      <c r="PLR55" s="346"/>
      <c r="PLS55" s="346"/>
      <c r="PLT55" s="346"/>
      <c r="PLU55" s="346"/>
      <c r="PLV55" s="346"/>
      <c r="PLW55" s="346"/>
      <c r="PLX55" s="346"/>
      <c r="PLY55" s="346"/>
      <c r="PLZ55" s="346"/>
      <c r="PMA55" s="346"/>
      <c r="PMB55" s="346"/>
      <c r="PMC55" s="346"/>
      <c r="PMD55" s="346"/>
      <c r="PME55" s="346"/>
      <c r="PMF55" s="346"/>
      <c r="PMG55" s="346"/>
      <c r="PMH55" s="346"/>
      <c r="PMI55" s="346"/>
      <c r="PMJ55" s="346"/>
      <c r="PMK55" s="346"/>
      <c r="PML55" s="346"/>
      <c r="PMM55" s="346"/>
      <c r="PMN55" s="346"/>
      <c r="PMO55" s="346"/>
      <c r="PMP55" s="346"/>
      <c r="PMQ55" s="346"/>
      <c r="PMR55" s="346"/>
      <c r="PMS55" s="346"/>
      <c r="PMT55" s="346"/>
      <c r="PMU55" s="346"/>
      <c r="PMV55" s="346"/>
      <c r="PMW55" s="346"/>
      <c r="PMX55" s="346"/>
      <c r="PMY55" s="346"/>
      <c r="PMZ55" s="346"/>
      <c r="PNA55" s="346"/>
      <c r="PNB55" s="346"/>
      <c r="PNC55" s="346"/>
      <c r="PND55" s="346"/>
      <c r="PNE55" s="346"/>
      <c r="PNF55" s="346"/>
      <c r="PNG55" s="346"/>
      <c r="PNH55" s="346"/>
      <c r="PNI55" s="346"/>
      <c r="PNJ55" s="346"/>
      <c r="PNK55" s="346"/>
      <c r="PNL55" s="346"/>
      <c r="PNM55" s="346"/>
      <c r="PNN55" s="346"/>
      <c r="PNO55" s="346"/>
      <c r="PNP55" s="346"/>
      <c r="PNQ55" s="346"/>
      <c r="PNR55" s="346"/>
      <c r="PNS55" s="346"/>
      <c r="PNT55" s="346"/>
      <c r="PNU55" s="346"/>
      <c r="PNV55" s="346"/>
      <c r="PNW55" s="346"/>
      <c r="PNX55" s="346"/>
      <c r="PNY55" s="346"/>
      <c r="PNZ55" s="346"/>
      <c r="POA55" s="346"/>
      <c r="POB55" s="346"/>
      <c r="POC55" s="346"/>
      <c r="POD55" s="346"/>
      <c r="POE55" s="346"/>
      <c r="POF55" s="346"/>
      <c r="POG55" s="346"/>
      <c r="POH55" s="346"/>
      <c r="POI55" s="346"/>
      <c r="POJ55" s="346"/>
      <c r="POK55" s="346"/>
      <c r="POL55" s="346"/>
      <c r="POM55" s="346"/>
      <c r="PON55" s="346"/>
      <c r="POO55" s="346"/>
      <c r="POP55" s="346"/>
      <c r="POQ55" s="346"/>
      <c r="POR55" s="346"/>
      <c r="POS55" s="346"/>
      <c r="POT55" s="346"/>
      <c r="POU55" s="346"/>
      <c r="POV55" s="346"/>
      <c r="POW55" s="346"/>
      <c r="POX55" s="346"/>
      <c r="POY55" s="346"/>
      <c r="POZ55" s="346"/>
      <c r="PPA55" s="346"/>
      <c r="PPB55" s="346"/>
      <c r="PPC55" s="346"/>
      <c r="PPD55" s="346"/>
      <c r="PPE55" s="346"/>
      <c r="PPF55" s="346"/>
      <c r="PPG55" s="346"/>
      <c r="PPH55" s="346"/>
      <c r="PPI55" s="346"/>
      <c r="PPJ55" s="346"/>
      <c r="PPK55" s="346"/>
      <c r="PPL55" s="346"/>
      <c r="PPM55" s="346"/>
      <c r="PPN55" s="346"/>
      <c r="PPO55" s="346"/>
      <c r="PPP55" s="346"/>
      <c r="PPQ55" s="346"/>
      <c r="PPR55" s="346"/>
      <c r="PPS55" s="346"/>
      <c r="PPT55" s="346"/>
      <c r="PPU55" s="346"/>
      <c r="PPV55" s="346"/>
      <c r="PPW55" s="346"/>
      <c r="PPX55" s="346"/>
      <c r="PPY55" s="346"/>
      <c r="PPZ55" s="346"/>
      <c r="PQA55" s="346"/>
      <c r="PQB55" s="346"/>
      <c r="PQC55" s="346"/>
      <c r="PQD55" s="346"/>
      <c r="PQE55" s="346"/>
      <c r="PQF55" s="346"/>
      <c r="PQG55" s="346"/>
      <c r="PQH55" s="346"/>
      <c r="PQI55" s="346"/>
      <c r="PQJ55" s="346"/>
      <c r="PQK55" s="346"/>
      <c r="PQL55" s="346"/>
      <c r="PQM55" s="346"/>
      <c r="PQN55" s="346"/>
      <c r="PQO55" s="346"/>
      <c r="PQP55" s="346"/>
      <c r="PQQ55" s="346"/>
      <c r="PQR55" s="346"/>
      <c r="PQS55" s="346"/>
      <c r="PQT55" s="346"/>
      <c r="PQU55" s="346"/>
      <c r="PQV55" s="346"/>
      <c r="PQW55" s="346"/>
      <c r="PQX55" s="346"/>
      <c r="PQY55" s="346"/>
      <c r="PQZ55" s="346"/>
      <c r="PRA55" s="346"/>
      <c r="PRB55" s="346"/>
      <c r="PRC55" s="346"/>
      <c r="PRD55" s="346"/>
      <c r="PRE55" s="346"/>
      <c r="PRF55" s="346"/>
      <c r="PRG55" s="346"/>
      <c r="PRH55" s="346"/>
      <c r="PRI55" s="346"/>
      <c r="PRJ55" s="346"/>
      <c r="PRK55" s="346"/>
      <c r="PRL55" s="346"/>
      <c r="PRM55" s="346"/>
      <c r="PRN55" s="346"/>
      <c r="PRO55" s="346"/>
      <c r="PRP55" s="346"/>
      <c r="PRQ55" s="346"/>
      <c r="PRR55" s="346"/>
      <c r="PRS55" s="346"/>
      <c r="PRT55" s="346"/>
      <c r="PRU55" s="346"/>
      <c r="PRV55" s="346"/>
      <c r="PRW55" s="346"/>
      <c r="PRX55" s="346"/>
      <c r="PRY55" s="346"/>
      <c r="PRZ55" s="346"/>
      <c r="PSA55" s="346"/>
      <c r="PSB55" s="346"/>
      <c r="PSC55" s="346"/>
      <c r="PSD55" s="346"/>
      <c r="PSE55" s="346"/>
      <c r="PSF55" s="346"/>
      <c r="PSG55" s="346"/>
      <c r="PSH55" s="346"/>
      <c r="PSI55" s="346"/>
      <c r="PSJ55" s="346"/>
      <c r="PSK55" s="346"/>
      <c r="PSL55" s="346"/>
      <c r="PSM55" s="346"/>
      <c r="PSN55" s="346"/>
      <c r="PSO55" s="346"/>
      <c r="PSP55" s="346"/>
      <c r="PSQ55" s="346"/>
      <c r="PSR55" s="346"/>
      <c r="PSS55" s="346"/>
      <c r="PST55" s="346"/>
      <c r="PSU55" s="346"/>
      <c r="PSV55" s="346"/>
      <c r="PSW55" s="346"/>
      <c r="PSX55" s="346"/>
      <c r="PSY55" s="346"/>
      <c r="PSZ55" s="346"/>
      <c r="PTA55" s="346"/>
      <c r="PTB55" s="346"/>
      <c r="PTC55" s="346"/>
      <c r="PTD55" s="346"/>
      <c r="PTE55" s="346"/>
      <c r="PTF55" s="346"/>
      <c r="PTG55" s="346"/>
      <c r="PTH55" s="346"/>
      <c r="PTI55" s="346"/>
      <c r="PTJ55" s="346"/>
      <c r="PTK55" s="346"/>
      <c r="PTL55" s="346"/>
      <c r="PTM55" s="346"/>
      <c r="PTN55" s="346"/>
      <c r="PTO55" s="346"/>
      <c r="PTP55" s="346"/>
      <c r="PTQ55" s="346"/>
      <c r="PTR55" s="346"/>
      <c r="PTS55" s="346"/>
      <c r="PTT55" s="346"/>
      <c r="PTU55" s="346"/>
      <c r="PTV55" s="346"/>
      <c r="PTW55" s="346"/>
      <c r="PTX55" s="346"/>
      <c r="PTY55" s="346"/>
      <c r="PTZ55" s="346"/>
      <c r="PUA55" s="346"/>
      <c r="PUB55" s="346"/>
      <c r="PUC55" s="346"/>
      <c r="PUD55" s="346"/>
      <c r="PUE55" s="346"/>
      <c r="PUF55" s="346"/>
      <c r="PUG55" s="346"/>
      <c r="PUH55" s="346"/>
      <c r="PUI55" s="346"/>
      <c r="PUJ55" s="346"/>
      <c r="PUK55" s="346"/>
      <c r="PUL55" s="346"/>
      <c r="PUM55" s="346"/>
      <c r="PUN55" s="346"/>
      <c r="PUO55" s="346"/>
      <c r="PUP55" s="346"/>
      <c r="PUQ55" s="346"/>
      <c r="PUR55" s="346"/>
      <c r="PUS55" s="346"/>
      <c r="PUT55" s="346"/>
      <c r="PUU55" s="346"/>
      <c r="PUV55" s="346"/>
      <c r="PUW55" s="346"/>
      <c r="PUX55" s="346"/>
      <c r="PUY55" s="346"/>
      <c r="PUZ55" s="346"/>
      <c r="PVA55" s="346"/>
      <c r="PVB55" s="346"/>
      <c r="PVC55" s="346"/>
      <c r="PVD55" s="346"/>
      <c r="PVE55" s="346"/>
      <c r="PVF55" s="346"/>
      <c r="PVG55" s="346"/>
      <c r="PVH55" s="346"/>
      <c r="PVI55" s="346"/>
      <c r="PVJ55" s="346"/>
      <c r="PVK55" s="346"/>
      <c r="PVL55" s="346"/>
      <c r="PVM55" s="346"/>
      <c r="PVN55" s="346"/>
      <c r="PVO55" s="346"/>
      <c r="PVP55" s="346"/>
      <c r="PVQ55" s="346"/>
      <c r="PVR55" s="346"/>
      <c r="PVS55" s="346"/>
      <c r="PVT55" s="346"/>
      <c r="PVU55" s="346"/>
      <c r="PVV55" s="346"/>
      <c r="PVW55" s="346"/>
      <c r="PVX55" s="346"/>
      <c r="PVY55" s="346"/>
      <c r="PVZ55" s="346"/>
      <c r="PWA55" s="346"/>
      <c r="PWB55" s="346"/>
      <c r="PWC55" s="346"/>
      <c r="PWD55" s="346"/>
      <c r="PWE55" s="346"/>
      <c r="PWF55" s="346"/>
      <c r="PWG55" s="346"/>
      <c r="PWH55" s="346"/>
      <c r="PWI55" s="346"/>
      <c r="PWJ55" s="346"/>
      <c r="PWK55" s="346"/>
      <c r="PWL55" s="346"/>
      <c r="PWM55" s="346"/>
      <c r="PWN55" s="346"/>
      <c r="PWO55" s="346"/>
      <c r="PWP55" s="346"/>
      <c r="PWQ55" s="346"/>
      <c r="PWR55" s="346"/>
      <c r="PWS55" s="346"/>
      <c r="PWT55" s="346"/>
      <c r="PWU55" s="346"/>
      <c r="PWV55" s="346"/>
      <c r="PWW55" s="346"/>
      <c r="PWX55" s="346"/>
      <c r="PWY55" s="346"/>
      <c r="PWZ55" s="346"/>
      <c r="PXA55" s="346"/>
      <c r="PXB55" s="346"/>
      <c r="PXC55" s="346"/>
      <c r="PXD55" s="346"/>
      <c r="PXE55" s="346"/>
      <c r="PXF55" s="346"/>
      <c r="PXG55" s="346"/>
      <c r="PXH55" s="346"/>
      <c r="PXI55" s="346"/>
      <c r="PXJ55" s="346"/>
      <c r="PXK55" s="346"/>
      <c r="PXL55" s="346"/>
      <c r="PXM55" s="346"/>
      <c r="PXN55" s="346"/>
      <c r="PXO55" s="346"/>
      <c r="PXP55" s="346"/>
      <c r="PXQ55" s="346"/>
      <c r="PXR55" s="346"/>
      <c r="PXS55" s="346"/>
      <c r="PXT55" s="346"/>
      <c r="PXU55" s="346"/>
      <c r="PXV55" s="346"/>
      <c r="PXW55" s="346"/>
      <c r="PXX55" s="346"/>
      <c r="PXY55" s="346"/>
      <c r="PXZ55" s="346"/>
      <c r="PYA55" s="346"/>
      <c r="PYB55" s="346"/>
      <c r="PYC55" s="346"/>
      <c r="PYD55" s="346"/>
      <c r="PYE55" s="346"/>
      <c r="PYF55" s="346"/>
      <c r="PYG55" s="346"/>
      <c r="PYH55" s="346"/>
      <c r="PYI55" s="346"/>
      <c r="PYJ55" s="346"/>
      <c r="PYK55" s="346"/>
      <c r="PYL55" s="346"/>
      <c r="PYM55" s="346"/>
      <c r="PYN55" s="346"/>
      <c r="PYO55" s="346"/>
      <c r="PYP55" s="346"/>
      <c r="PYQ55" s="346"/>
      <c r="PYR55" s="346"/>
      <c r="PYS55" s="346"/>
      <c r="PYT55" s="346"/>
      <c r="PYU55" s="346"/>
      <c r="PYV55" s="346"/>
      <c r="PYW55" s="346"/>
      <c r="PYX55" s="346"/>
      <c r="PYY55" s="346"/>
      <c r="PYZ55" s="346"/>
      <c r="PZA55" s="346"/>
      <c r="PZB55" s="346"/>
      <c r="PZC55" s="346"/>
      <c r="PZD55" s="346"/>
      <c r="PZE55" s="346"/>
      <c r="PZF55" s="346"/>
      <c r="PZG55" s="346"/>
      <c r="PZH55" s="346"/>
      <c r="PZI55" s="346"/>
      <c r="PZJ55" s="346"/>
      <c r="PZK55" s="346"/>
      <c r="PZL55" s="346"/>
      <c r="PZM55" s="346"/>
      <c r="PZN55" s="346"/>
      <c r="PZO55" s="346"/>
      <c r="PZP55" s="346"/>
      <c r="PZQ55" s="346"/>
      <c r="PZR55" s="346"/>
      <c r="PZS55" s="346"/>
      <c r="PZT55" s="346"/>
      <c r="PZU55" s="346"/>
      <c r="PZV55" s="346"/>
      <c r="PZW55" s="346"/>
      <c r="PZX55" s="346"/>
      <c r="PZY55" s="346"/>
      <c r="PZZ55" s="346"/>
      <c r="QAA55" s="346"/>
      <c r="QAB55" s="346"/>
      <c r="QAC55" s="346"/>
      <c r="QAD55" s="346"/>
      <c r="QAE55" s="346"/>
      <c r="QAF55" s="346"/>
      <c r="QAG55" s="346"/>
      <c r="QAH55" s="346"/>
      <c r="QAI55" s="346"/>
      <c r="QAJ55" s="346"/>
      <c r="QAK55" s="346"/>
      <c r="QAL55" s="346"/>
      <c r="QAM55" s="346"/>
      <c r="QAN55" s="346"/>
      <c r="QAO55" s="346"/>
      <c r="QAP55" s="346"/>
      <c r="QAQ55" s="346"/>
      <c r="QAR55" s="346"/>
      <c r="QAS55" s="346"/>
      <c r="QAT55" s="346"/>
      <c r="QAU55" s="346"/>
      <c r="QAV55" s="346"/>
      <c r="QAW55" s="346"/>
      <c r="QAX55" s="346"/>
      <c r="QAY55" s="346"/>
      <c r="QAZ55" s="346"/>
      <c r="QBA55" s="346"/>
      <c r="QBB55" s="346"/>
      <c r="QBC55" s="346"/>
      <c r="QBD55" s="346"/>
      <c r="QBE55" s="346"/>
      <c r="QBF55" s="346"/>
      <c r="QBG55" s="346"/>
      <c r="QBH55" s="346"/>
      <c r="QBI55" s="346"/>
      <c r="QBJ55" s="346"/>
      <c r="QBK55" s="346"/>
      <c r="QBL55" s="346"/>
      <c r="QBM55" s="346"/>
      <c r="QBN55" s="346"/>
      <c r="QBO55" s="346"/>
      <c r="QBP55" s="346"/>
      <c r="QBQ55" s="346"/>
      <c r="QBR55" s="346"/>
      <c r="QBS55" s="346"/>
      <c r="QBT55" s="346"/>
      <c r="QBU55" s="346"/>
      <c r="QBV55" s="346"/>
      <c r="QBW55" s="346"/>
      <c r="QBX55" s="346"/>
      <c r="QBY55" s="346"/>
      <c r="QBZ55" s="346"/>
      <c r="QCA55" s="346"/>
      <c r="QCB55" s="346"/>
      <c r="QCC55" s="346"/>
      <c r="QCD55" s="346"/>
      <c r="QCE55" s="346"/>
      <c r="QCF55" s="346"/>
      <c r="QCG55" s="346"/>
      <c r="QCH55" s="346"/>
      <c r="QCI55" s="346"/>
      <c r="QCJ55" s="346"/>
      <c r="QCK55" s="346"/>
      <c r="QCL55" s="346"/>
      <c r="QCM55" s="346"/>
      <c r="QCN55" s="346"/>
      <c r="QCO55" s="346"/>
      <c r="QCP55" s="346"/>
      <c r="QCQ55" s="346"/>
      <c r="QCR55" s="346"/>
      <c r="QCS55" s="346"/>
      <c r="QCT55" s="346"/>
      <c r="QCU55" s="346"/>
      <c r="QCV55" s="346"/>
      <c r="QCW55" s="346"/>
      <c r="QCX55" s="346"/>
      <c r="QCY55" s="346"/>
      <c r="QCZ55" s="346"/>
      <c r="QDA55" s="346"/>
      <c r="QDB55" s="346"/>
      <c r="QDC55" s="346"/>
      <c r="QDD55" s="346"/>
      <c r="QDE55" s="346"/>
      <c r="QDF55" s="346"/>
      <c r="QDG55" s="346"/>
      <c r="QDH55" s="346"/>
      <c r="QDI55" s="346"/>
      <c r="QDJ55" s="346"/>
      <c r="QDK55" s="346"/>
      <c r="QDL55" s="346"/>
      <c r="QDM55" s="346"/>
      <c r="QDN55" s="346"/>
      <c r="QDO55" s="346"/>
      <c r="QDP55" s="346"/>
      <c r="QDQ55" s="346"/>
      <c r="QDR55" s="346"/>
      <c r="QDS55" s="346"/>
      <c r="QDT55" s="346"/>
      <c r="QDU55" s="346"/>
      <c r="QDV55" s="346"/>
      <c r="QDW55" s="346"/>
      <c r="QDX55" s="346"/>
      <c r="QDY55" s="346"/>
      <c r="QDZ55" s="346"/>
      <c r="QEA55" s="346"/>
      <c r="QEB55" s="346"/>
      <c r="QEC55" s="346"/>
      <c r="QED55" s="346"/>
      <c r="QEE55" s="346"/>
      <c r="QEF55" s="346"/>
      <c r="QEG55" s="346"/>
      <c r="QEH55" s="346"/>
      <c r="QEI55" s="346"/>
      <c r="QEJ55" s="346"/>
      <c r="QEK55" s="346"/>
      <c r="QEL55" s="346"/>
      <c r="QEM55" s="346"/>
      <c r="QEN55" s="346"/>
      <c r="QEO55" s="346"/>
      <c r="QEP55" s="346"/>
      <c r="QEQ55" s="346"/>
      <c r="QER55" s="346"/>
      <c r="QES55" s="346"/>
      <c r="QET55" s="346"/>
      <c r="QEU55" s="346"/>
      <c r="QEV55" s="346"/>
      <c r="QEW55" s="346"/>
      <c r="QEX55" s="346"/>
      <c r="QEY55" s="346"/>
      <c r="QEZ55" s="346"/>
      <c r="QFA55" s="346"/>
      <c r="QFB55" s="346"/>
      <c r="QFC55" s="346"/>
      <c r="QFD55" s="346"/>
      <c r="QFE55" s="346"/>
      <c r="QFF55" s="346"/>
      <c r="QFG55" s="346"/>
      <c r="QFH55" s="346"/>
      <c r="QFI55" s="346"/>
      <c r="QFJ55" s="346"/>
      <c r="QFK55" s="346"/>
      <c r="QFL55" s="346"/>
      <c r="QFM55" s="346"/>
      <c r="QFN55" s="346"/>
      <c r="QFO55" s="346"/>
      <c r="QFP55" s="346"/>
      <c r="QFQ55" s="346"/>
      <c r="QFR55" s="346"/>
      <c r="QFS55" s="346"/>
      <c r="QFT55" s="346"/>
      <c r="QFU55" s="346"/>
      <c r="QFV55" s="346"/>
      <c r="QFW55" s="346"/>
      <c r="QFX55" s="346"/>
      <c r="QFY55" s="346"/>
      <c r="QFZ55" s="346"/>
      <c r="QGA55" s="346"/>
      <c r="QGB55" s="346"/>
      <c r="QGC55" s="346"/>
      <c r="QGD55" s="346"/>
      <c r="QGE55" s="346"/>
      <c r="QGF55" s="346"/>
      <c r="QGG55" s="346"/>
      <c r="QGH55" s="346"/>
      <c r="QGI55" s="346"/>
      <c r="QGJ55" s="346"/>
      <c r="QGK55" s="346"/>
      <c r="QGL55" s="346"/>
      <c r="QGM55" s="346"/>
      <c r="QGN55" s="346"/>
      <c r="QGO55" s="346"/>
      <c r="QGP55" s="346"/>
      <c r="QGQ55" s="346"/>
      <c r="QGR55" s="346"/>
      <c r="QGS55" s="346"/>
      <c r="QGT55" s="346"/>
      <c r="QGU55" s="346"/>
      <c r="QGV55" s="346"/>
      <c r="QGW55" s="346"/>
      <c r="QGX55" s="346"/>
      <c r="QGY55" s="346"/>
      <c r="QGZ55" s="346"/>
      <c r="QHA55" s="346"/>
      <c r="QHB55" s="346"/>
      <c r="QHC55" s="346"/>
      <c r="QHD55" s="346"/>
      <c r="QHE55" s="346"/>
      <c r="QHF55" s="346"/>
      <c r="QHG55" s="346"/>
      <c r="QHH55" s="346"/>
      <c r="QHI55" s="346"/>
      <c r="QHJ55" s="346"/>
      <c r="QHK55" s="346"/>
      <c r="QHL55" s="346"/>
      <c r="QHM55" s="346"/>
      <c r="QHN55" s="346"/>
      <c r="QHO55" s="346"/>
      <c r="QHP55" s="346"/>
      <c r="QHQ55" s="346"/>
      <c r="QHR55" s="346"/>
      <c r="QHS55" s="346"/>
      <c r="QHT55" s="346"/>
      <c r="QHU55" s="346"/>
      <c r="QHV55" s="346"/>
      <c r="QHW55" s="346"/>
      <c r="QHX55" s="346"/>
      <c r="QHY55" s="346"/>
      <c r="QHZ55" s="346"/>
      <c r="QIA55" s="346"/>
      <c r="QIB55" s="346"/>
      <c r="QIC55" s="346"/>
      <c r="QID55" s="346"/>
      <c r="QIE55" s="346"/>
      <c r="QIF55" s="346"/>
      <c r="QIG55" s="346"/>
      <c r="QIH55" s="346"/>
      <c r="QII55" s="346"/>
      <c r="QIJ55" s="346"/>
      <c r="QIK55" s="346"/>
      <c r="QIL55" s="346"/>
      <c r="QIM55" s="346"/>
      <c r="QIN55" s="346"/>
      <c r="QIO55" s="346"/>
      <c r="QIP55" s="346"/>
      <c r="QIQ55" s="346"/>
      <c r="QIR55" s="346"/>
      <c r="QIS55" s="346"/>
      <c r="QIT55" s="346"/>
      <c r="QIU55" s="346"/>
      <c r="QIV55" s="346"/>
      <c r="QIW55" s="346"/>
      <c r="QIX55" s="346"/>
      <c r="QIY55" s="346"/>
      <c r="QIZ55" s="346"/>
      <c r="QJA55" s="346"/>
      <c r="QJB55" s="346"/>
      <c r="QJC55" s="346"/>
      <c r="QJD55" s="346"/>
      <c r="QJE55" s="346"/>
      <c r="QJF55" s="346"/>
      <c r="QJG55" s="346"/>
      <c r="QJH55" s="346"/>
      <c r="QJI55" s="346"/>
      <c r="QJJ55" s="346"/>
      <c r="QJK55" s="346"/>
      <c r="QJL55" s="346"/>
      <c r="QJM55" s="346"/>
      <c r="QJN55" s="346"/>
      <c r="QJO55" s="346"/>
      <c r="QJP55" s="346"/>
      <c r="QJQ55" s="346"/>
      <c r="QJR55" s="346"/>
      <c r="QJS55" s="346"/>
      <c r="QJT55" s="346"/>
      <c r="QJU55" s="346"/>
      <c r="QJV55" s="346"/>
      <c r="QJW55" s="346"/>
      <c r="QJX55" s="346"/>
      <c r="QJY55" s="346"/>
      <c r="QJZ55" s="346"/>
      <c r="QKA55" s="346"/>
      <c r="QKB55" s="346"/>
      <c r="QKC55" s="346"/>
      <c r="QKD55" s="346"/>
      <c r="QKE55" s="346"/>
      <c r="QKF55" s="346"/>
      <c r="QKG55" s="346"/>
      <c r="QKH55" s="346"/>
      <c r="QKI55" s="346"/>
      <c r="QKJ55" s="346"/>
      <c r="QKK55" s="346"/>
      <c r="QKL55" s="346"/>
      <c r="QKM55" s="346"/>
      <c r="QKN55" s="346"/>
      <c r="QKO55" s="346"/>
      <c r="QKP55" s="346"/>
      <c r="QKQ55" s="346"/>
      <c r="QKR55" s="346"/>
      <c r="QKS55" s="346"/>
      <c r="QKT55" s="346"/>
      <c r="QKU55" s="346"/>
      <c r="QKV55" s="346"/>
      <c r="QKW55" s="346"/>
      <c r="QKX55" s="346"/>
      <c r="QKY55" s="346"/>
      <c r="QKZ55" s="346"/>
      <c r="QLA55" s="346"/>
      <c r="QLB55" s="346"/>
      <c r="QLC55" s="346"/>
      <c r="QLD55" s="346"/>
      <c r="QLE55" s="346"/>
      <c r="QLF55" s="346"/>
      <c r="QLG55" s="346"/>
      <c r="QLH55" s="346"/>
      <c r="QLI55" s="346"/>
      <c r="QLJ55" s="346"/>
      <c r="QLK55" s="346"/>
      <c r="QLL55" s="346"/>
      <c r="QLM55" s="346"/>
      <c r="QLN55" s="346"/>
      <c r="QLO55" s="346"/>
      <c r="QLP55" s="346"/>
      <c r="QLQ55" s="346"/>
      <c r="QLR55" s="346"/>
      <c r="QLS55" s="346"/>
      <c r="QLT55" s="346"/>
      <c r="QLU55" s="346"/>
      <c r="QLV55" s="346"/>
      <c r="QLW55" s="346"/>
      <c r="QLX55" s="346"/>
      <c r="QLY55" s="346"/>
      <c r="QLZ55" s="346"/>
      <c r="QMA55" s="346"/>
      <c r="QMB55" s="346"/>
      <c r="QMC55" s="346"/>
      <c r="QMD55" s="346"/>
      <c r="QME55" s="346"/>
      <c r="QMF55" s="346"/>
      <c r="QMG55" s="346"/>
      <c r="QMH55" s="346"/>
      <c r="QMI55" s="346"/>
      <c r="QMJ55" s="346"/>
      <c r="QMK55" s="346"/>
      <c r="QML55" s="346"/>
      <c r="QMM55" s="346"/>
      <c r="QMN55" s="346"/>
      <c r="QMO55" s="346"/>
      <c r="QMP55" s="346"/>
      <c r="QMQ55" s="346"/>
      <c r="QMR55" s="346"/>
      <c r="QMS55" s="346"/>
      <c r="QMT55" s="346"/>
      <c r="QMU55" s="346"/>
      <c r="QMV55" s="346"/>
      <c r="QMW55" s="346"/>
      <c r="QMX55" s="346"/>
      <c r="QMY55" s="346"/>
      <c r="QMZ55" s="346"/>
      <c r="QNA55" s="346"/>
      <c r="QNB55" s="346"/>
      <c r="QNC55" s="346"/>
      <c r="QND55" s="346"/>
      <c r="QNE55" s="346"/>
      <c r="QNF55" s="346"/>
      <c r="QNG55" s="346"/>
      <c r="QNH55" s="346"/>
      <c r="QNI55" s="346"/>
      <c r="QNJ55" s="346"/>
      <c r="QNK55" s="346"/>
      <c r="QNL55" s="346"/>
      <c r="QNM55" s="346"/>
      <c r="QNN55" s="346"/>
      <c r="QNO55" s="346"/>
      <c r="QNP55" s="346"/>
      <c r="QNQ55" s="346"/>
      <c r="QNR55" s="346"/>
      <c r="QNS55" s="346"/>
      <c r="QNT55" s="346"/>
      <c r="QNU55" s="346"/>
      <c r="QNV55" s="346"/>
      <c r="QNW55" s="346"/>
      <c r="QNX55" s="346"/>
      <c r="QNY55" s="346"/>
      <c r="QNZ55" s="346"/>
      <c r="QOA55" s="346"/>
      <c r="QOB55" s="346"/>
      <c r="QOC55" s="346"/>
      <c r="QOD55" s="346"/>
      <c r="QOE55" s="346"/>
      <c r="QOF55" s="346"/>
      <c r="QOG55" s="346"/>
      <c r="QOH55" s="346"/>
      <c r="QOI55" s="346"/>
      <c r="QOJ55" s="346"/>
      <c r="QOK55" s="346"/>
      <c r="QOL55" s="346"/>
      <c r="QOM55" s="346"/>
      <c r="QON55" s="346"/>
      <c r="QOO55" s="346"/>
      <c r="QOP55" s="346"/>
      <c r="QOQ55" s="346"/>
      <c r="QOR55" s="346"/>
      <c r="QOS55" s="346"/>
      <c r="QOT55" s="346"/>
      <c r="QOU55" s="346"/>
      <c r="QOV55" s="346"/>
      <c r="QOW55" s="346"/>
      <c r="QOX55" s="346"/>
      <c r="QOY55" s="346"/>
      <c r="QOZ55" s="346"/>
      <c r="QPA55" s="346"/>
      <c r="QPB55" s="346"/>
      <c r="QPC55" s="346"/>
      <c r="QPD55" s="346"/>
      <c r="QPE55" s="346"/>
      <c r="QPF55" s="346"/>
      <c r="QPG55" s="346"/>
      <c r="QPH55" s="346"/>
      <c r="QPI55" s="346"/>
      <c r="QPJ55" s="346"/>
      <c r="QPK55" s="346"/>
      <c r="QPL55" s="346"/>
      <c r="QPM55" s="346"/>
      <c r="QPN55" s="346"/>
      <c r="QPO55" s="346"/>
      <c r="QPP55" s="346"/>
      <c r="QPQ55" s="346"/>
      <c r="QPR55" s="346"/>
      <c r="QPS55" s="346"/>
      <c r="QPT55" s="346"/>
      <c r="QPU55" s="346"/>
      <c r="QPV55" s="346"/>
      <c r="QPW55" s="346"/>
      <c r="QPX55" s="346"/>
      <c r="QPY55" s="346"/>
      <c r="QPZ55" s="346"/>
      <c r="QQA55" s="346"/>
      <c r="QQB55" s="346"/>
      <c r="QQC55" s="346"/>
      <c r="QQD55" s="346"/>
      <c r="QQE55" s="346"/>
      <c r="QQF55" s="346"/>
      <c r="QQG55" s="346"/>
      <c r="QQH55" s="346"/>
      <c r="QQI55" s="346"/>
      <c r="QQJ55" s="346"/>
      <c r="QQK55" s="346"/>
      <c r="QQL55" s="346"/>
      <c r="QQM55" s="346"/>
      <c r="QQN55" s="346"/>
      <c r="QQO55" s="346"/>
      <c r="QQP55" s="346"/>
      <c r="QQQ55" s="346"/>
      <c r="QQR55" s="346"/>
      <c r="QQS55" s="346"/>
      <c r="QQT55" s="346"/>
      <c r="QQU55" s="346"/>
      <c r="QQV55" s="346"/>
      <c r="QQW55" s="346"/>
      <c r="QQX55" s="346"/>
      <c r="QQY55" s="346"/>
      <c r="QQZ55" s="346"/>
      <c r="QRA55" s="346"/>
      <c r="QRB55" s="346"/>
      <c r="QRC55" s="346"/>
      <c r="QRD55" s="346"/>
      <c r="QRE55" s="346"/>
      <c r="QRF55" s="346"/>
      <c r="QRG55" s="346"/>
      <c r="QRH55" s="346"/>
      <c r="QRI55" s="346"/>
      <c r="QRJ55" s="346"/>
      <c r="QRK55" s="346"/>
      <c r="QRL55" s="346"/>
      <c r="QRM55" s="346"/>
      <c r="QRN55" s="346"/>
      <c r="QRO55" s="346"/>
      <c r="QRP55" s="346"/>
      <c r="QRQ55" s="346"/>
      <c r="QRR55" s="346"/>
      <c r="QRS55" s="346"/>
      <c r="QRT55" s="346"/>
      <c r="QRU55" s="346"/>
      <c r="QRV55" s="346"/>
      <c r="QRW55" s="346"/>
      <c r="QRX55" s="346"/>
      <c r="QRY55" s="346"/>
      <c r="QRZ55" s="346"/>
      <c r="QSA55" s="346"/>
      <c r="QSB55" s="346"/>
      <c r="QSC55" s="346"/>
      <c r="QSD55" s="346"/>
      <c r="QSE55" s="346"/>
      <c r="QSF55" s="346"/>
      <c r="QSG55" s="346"/>
      <c r="QSH55" s="346"/>
      <c r="QSI55" s="346"/>
      <c r="QSJ55" s="346"/>
      <c r="QSK55" s="346"/>
      <c r="QSL55" s="346"/>
      <c r="QSM55" s="346"/>
      <c r="QSN55" s="346"/>
      <c r="QSO55" s="346"/>
      <c r="QSP55" s="346"/>
      <c r="QSQ55" s="346"/>
      <c r="QSR55" s="346"/>
      <c r="QSS55" s="346"/>
      <c r="QST55" s="346"/>
      <c r="QSU55" s="346"/>
      <c r="QSV55" s="346"/>
      <c r="QSW55" s="346"/>
      <c r="QSX55" s="346"/>
      <c r="QSY55" s="346"/>
      <c r="QSZ55" s="346"/>
      <c r="QTA55" s="346"/>
      <c r="QTB55" s="346"/>
      <c r="QTC55" s="346"/>
      <c r="QTD55" s="346"/>
      <c r="QTE55" s="346"/>
      <c r="QTF55" s="346"/>
      <c r="QTG55" s="346"/>
      <c r="QTH55" s="346"/>
      <c r="QTI55" s="346"/>
      <c r="QTJ55" s="346"/>
      <c r="QTK55" s="346"/>
      <c r="QTL55" s="346"/>
      <c r="QTM55" s="346"/>
      <c r="QTN55" s="346"/>
      <c r="QTO55" s="346"/>
      <c r="QTP55" s="346"/>
      <c r="QTQ55" s="346"/>
      <c r="QTR55" s="346"/>
      <c r="QTS55" s="346"/>
      <c r="QTT55" s="346"/>
      <c r="QTU55" s="346"/>
      <c r="QTV55" s="346"/>
      <c r="QTW55" s="346"/>
      <c r="QTX55" s="346"/>
      <c r="QTY55" s="346"/>
      <c r="QTZ55" s="346"/>
      <c r="QUA55" s="346"/>
      <c r="QUB55" s="346"/>
      <c r="QUC55" s="346"/>
      <c r="QUD55" s="346"/>
      <c r="QUE55" s="346"/>
      <c r="QUF55" s="346"/>
      <c r="QUG55" s="346"/>
      <c r="QUH55" s="346"/>
      <c r="QUI55" s="346"/>
      <c r="QUJ55" s="346"/>
      <c r="QUK55" s="346"/>
      <c r="QUL55" s="346"/>
      <c r="QUM55" s="346"/>
      <c r="QUN55" s="346"/>
      <c r="QUO55" s="346"/>
      <c r="QUP55" s="346"/>
      <c r="QUQ55" s="346"/>
      <c r="QUR55" s="346"/>
      <c r="QUS55" s="346"/>
      <c r="QUT55" s="346"/>
      <c r="QUU55" s="346"/>
      <c r="QUV55" s="346"/>
      <c r="QUW55" s="346"/>
      <c r="QUX55" s="346"/>
      <c r="QUY55" s="346"/>
      <c r="QUZ55" s="346"/>
      <c r="QVA55" s="346"/>
      <c r="QVB55" s="346"/>
      <c r="QVC55" s="346"/>
      <c r="QVD55" s="346"/>
      <c r="QVE55" s="346"/>
      <c r="QVF55" s="346"/>
      <c r="QVG55" s="346"/>
      <c r="QVH55" s="346"/>
      <c r="QVI55" s="346"/>
      <c r="QVJ55" s="346"/>
      <c r="QVK55" s="346"/>
      <c r="QVL55" s="346"/>
      <c r="QVM55" s="346"/>
      <c r="QVN55" s="346"/>
      <c r="QVO55" s="346"/>
      <c r="QVP55" s="346"/>
      <c r="QVQ55" s="346"/>
      <c r="QVR55" s="346"/>
      <c r="QVS55" s="346"/>
      <c r="QVT55" s="346"/>
      <c r="QVU55" s="346"/>
      <c r="QVV55" s="346"/>
      <c r="QVW55" s="346"/>
      <c r="QVX55" s="346"/>
      <c r="QVY55" s="346"/>
      <c r="QVZ55" s="346"/>
      <c r="QWA55" s="346"/>
      <c r="QWB55" s="346"/>
      <c r="QWC55" s="346"/>
      <c r="QWD55" s="346"/>
      <c r="QWE55" s="346"/>
      <c r="QWF55" s="346"/>
      <c r="QWG55" s="346"/>
      <c r="QWH55" s="346"/>
      <c r="QWI55" s="346"/>
      <c r="QWJ55" s="346"/>
      <c r="QWK55" s="346"/>
      <c r="QWL55" s="346"/>
      <c r="QWM55" s="346"/>
      <c r="QWN55" s="346"/>
      <c r="QWO55" s="346"/>
      <c r="QWP55" s="346"/>
      <c r="QWQ55" s="346"/>
      <c r="QWR55" s="346"/>
      <c r="QWS55" s="346"/>
      <c r="QWT55" s="346"/>
      <c r="QWU55" s="346"/>
      <c r="QWV55" s="346"/>
      <c r="QWW55" s="346"/>
      <c r="QWX55" s="346"/>
      <c r="QWY55" s="346"/>
      <c r="QWZ55" s="346"/>
      <c r="QXA55" s="346"/>
      <c r="QXB55" s="346"/>
      <c r="QXC55" s="346"/>
      <c r="QXD55" s="346"/>
      <c r="QXE55" s="346"/>
      <c r="QXF55" s="346"/>
      <c r="QXG55" s="346"/>
      <c r="QXH55" s="346"/>
      <c r="QXI55" s="346"/>
      <c r="QXJ55" s="346"/>
      <c r="QXK55" s="346"/>
      <c r="QXL55" s="346"/>
      <c r="QXM55" s="346"/>
      <c r="QXN55" s="346"/>
      <c r="QXO55" s="346"/>
      <c r="QXP55" s="346"/>
      <c r="QXQ55" s="346"/>
      <c r="QXR55" s="346"/>
      <c r="QXS55" s="346"/>
      <c r="QXT55" s="346"/>
      <c r="QXU55" s="346"/>
      <c r="QXV55" s="346"/>
      <c r="QXW55" s="346"/>
      <c r="QXX55" s="346"/>
      <c r="QXY55" s="346"/>
      <c r="QXZ55" s="346"/>
      <c r="QYA55" s="346"/>
      <c r="QYB55" s="346"/>
      <c r="QYC55" s="346"/>
      <c r="QYD55" s="346"/>
      <c r="QYE55" s="346"/>
      <c r="QYF55" s="346"/>
      <c r="QYG55" s="346"/>
      <c r="QYH55" s="346"/>
      <c r="QYI55" s="346"/>
      <c r="QYJ55" s="346"/>
      <c r="QYK55" s="346"/>
      <c r="QYL55" s="346"/>
      <c r="QYM55" s="346"/>
      <c r="QYN55" s="346"/>
      <c r="QYO55" s="346"/>
      <c r="QYP55" s="346"/>
      <c r="QYQ55" s="346"/>
      <c r="QYR55" s="346"/>
      <c r="QYS55" s="346"/>
      <c r="QYT55" s="346"/>
      <c r="QYU55" s="346"/>
      <c r="QYV55" s="346"/>
      <c r="QYW55" s="346"/>
      <c r="QYX55" s="346"/>
      <c r="QYY55" s="346"/>
      <c r="QYZ55" s="346"/>
      <c r="QZA55" s="346"/>
      <c r="QZB55" s="346"/>
      <c r="QZC55" s="346"/>
      <c r="QZD55" s="346"/>
      <c r="QZE55" s="346"/>
      <c r="QZF55" s="346"/>
      <c r="QZG55" s="346"/>
      <c r="QZH55" s="346"/>
      <c r="QZI55" s="346"/>
      <c r="QZJ55" s="346"/>
      <c r="QZK55" s="346"/>
      <c r="QZL55" s="346"/>
      <c r="QZM55" s="346"/>
      <c r="QZN55" s="346"/>
      <c r="QZO55" s="346"/>
      <c r="QZP55" s="346"/>
      <c r="QZQ55" s="346"/>
      <c r="QZR55" s="346"/>
      <c r="QZS55" s="346"/>
      <c r="QZT55" s="346"/>
      <c r="QZU55" s="346"/>
      <c r="QZV55" s="346"/>
      <c r="QZW55" s="346"/>
      <c r="QZX55" s="346"/>
      <c r="QZY55" s="346"/>
      <c r="QZZ55" s="346"/>
      <c r="RAA55" s="346"/>
      <c r="RAB55" s="346"/>
      <c r="RAC55" s="346"/>
      <c r="RAD55" s="346"/>
      <c r="RAE55" s="346"/>
      <c r="RAF55" s="346"/>
      <c r="RAG55" s="346"/>
      <c r="RAH55" s="346"/>
      <c r="RAI55" s="346"/>
      <c r="RAJ55" s="346"/>
      <c r="RAK55" s="346"/>
      <c r="RAL55" s="346"/>
      <c r="RAM55" s="346"/>
      <c r="RAN55" s="346"/>
      <c r="RAO55" s="346"/>
      <c r="RAP55" s="346"/>
      <c r="RAQ55" s="346"/>
      <c r="RAR55" s="346"/>
      <c r="RAS55" s="346"/>
      <c r="RAT55" s="346"/>
      <c r="RAU55" s="346"/>
      <c r="RAV55" s="346"/>
      <c r="RAW55" s="346"/>
      <c r="RAX55" s="346"/>
      <c r="RAY55" s="346"/>
      <c r="RAZ55" s="346"/>
      <c r="RBA55" s="346"/>
      <c r="RBB55" s="346"/>
      <c r="RBC55" s="346"/>
      <c r="RBD55" s="346"/>
      <c r="RBE55" s="346"/>
      <c r="RBF55" s="346"/>
      <c r="RBG55" s="346"/>
      <c r="RBH55" s="346"/>
      <c r="RBI55" s="346"/>
      <c r="RBJ55" s="346"/>
      <c r="RBK55" s="346"/>
      <c r="RBL55" s="346"/>
      <c r="RBM55" s="346"/>
      <c r="RBN55" s="346"/>
      <c r="RBO55" s="346"/>
      <c r="RBP55" s="346"/>
      <c r="RBQ55" s="346"/>
      <c r="RBR55" s="346"/>
      <c r="RBS55" s="346"/>
      <c r="RBT55" s="346"/>
      <c r="RBU55" s="346"/>
      <c r="RBV55" s="346"/>
      <c r="RBW55" s="346"/>
      <c r="RBX55" s="346"/>
      <c r="RBY55" s="346"/>
      <c r="RBZ55" s="346"/>
      <c r="RCA55" s="346"/>
      <c r="RCB55" s="346"/>
      <c r="RCC55" s="346"/>
      <c r="RCD55" s="346"/>
      <c r="RCE55" s="346"/>
      <c r="RCF55" s="346"/>
      <c r="RCG55" s="346"/>
      <c r="RCH55" s="346"/>
      <c r="RCI55" s="346"/>
      <c r="RCJ55" s="346"/>
      <c r="RCK55" s="346"/>
      <c r="RCL55" s="346"/>
      <c r="RCM55" s="346"/>
      <c r="RCN55" s="346"/>
      <c r="RCO55" s="346"/>
      <c r="RCP55" s="346"/>
      <c r="RCQ55" s="346"/>
      <c r="RCR55" s="346"/>
      <c r="RCS55" s="346"/>
      <c r="RCT55" s="346"/>
      <c r="RCU55" s="346"/>
      <c r="RCV55" s="346"/>
      <c r="RCW55" s="346"/>
      <c r="RCX55" s="346"/>
      <c r="RCY55" s="346"/>
      <c r="RCZ55" s="346"/>
      <c r="RDA55" s="346"/>
      <c r="RDB55" s="346"/>
      <c r="RDC55" s="346"/>
      <c r="RDD55" s="346"/>
      <c r="RDE55" s="346"/>
      <c r="RDF55" s="346"/>
      <c r="RDG55" s="346"/>
      <c r="RDH55" s="346"/>
      <c r="RDI55" s="346"/>
      <c r="RDJ55" s="346"/>
      <c r="RDK55" s="346"/>
      <c r="RDL55" s="346"/>
      <c r="RDM55" s="346"/>
      <c r="RDN55" s="346"/>
      <c r="RDO55" s="346"/>
      <c r="RDP55" s="346"/>
      <c r="RDQ55" s="346"/>
      <c r="RDR55" s="346"/>
      <c r="RDS55" s="346"/>
      <c r="RDT55" s="346"/>
      <c r="RDU55" s="346"/>
      <c r="RDV55" s="346"/>
      <c r="RDW55" s="346"/>
      <c r="RDX55" s="346"/>
      <c r="RDY55" s="346"/>
      <c r="RDZ55" s="346"/>
      <c r="REA55" s="346"/>
      <c r="REB55" s="346"/>
      <c r="REC55" s="346"/>
      <c r="RED55" s="346"/>
      <c r="REE55" s="346"/>
      <c r="REF55" s="346"/>
      <c r="REG55" s="346"/>
      <c r="REH55" s="346"/>
      <c r="REI55" s="346"/>
      <c r="REJ55" s="346"/>
      <c r="REK55" s="346"/>
      <c r="REL55" s="346"/>
      <c r="REM55" s="346"/>
      <c r="REN55" s="346"/>
      <c r="REO55" s="346"/>
      <c r="REP55" s="346"/>
      <c r="REQ55" s="346"/>
      <c r="RER55" s="346"/>
      <c r="RES55" s="346"/>
      <c r="RET55" s="346"/>
      <c r="REU55" s="346"/>
      <c r="REV55" s="346"/>
      <c r="REW55" s="346"/>
      <c r="REX55" s="346"/>
      <c r="REY55" s="346"/>
      <c r="REZ55" s="346"/>
      <c r="RFA55" s="346"/>
      <c r="RFB55" s="346"/>
      <c r="RFC55" s="346"/>
      <c r="RFD55" s="346"/>
      <c r="RFE55" s="346"/>
      <c r="RFF55" s="346"/>
      <c r="RFG55" s="346"/>
      <c r="RFH55" s="346"/>
      <c r="RFI55" s="346"/>
      <c r="RFJ55" s="346"/>
      <c r="RFK55" s="346"/>
      <c r="RFL55" s="346"/>
      <c r="RFM55" s="346"/>
      <c r="RFN55" s="346"/>
      <c r="RFO55" s="346"/>
      <c r="RFP55" s="346"/>
      <c r="RFQ55" s="346"/>
      <c r="RFR55" s="346"/>
      <c r="RFS55" s="346"/>
      <c r="RFT55" s="346"/>
      <c r="RFU55" s="346"/>
      <c r="RFV55" s="346"/>
      <c r="RFW55" s="346"/>
      <c r="RFX55" s="346"/>
      <c r="RFY55" s="346"/>
      <c r="RFZ55" s="346"/>
      <c r="RGA55" s="346"/>
      <c r="RGB55" s="346"/>
      <c r="RGC55" s="346"/>
      <c r="RGD55" s="346"/>
      <c r="RGE55" s="346"/>
      <c r="RGF55" s="346"/>
      <c r="RGG55" s="346"/>
      <c r="RGH55" s="346"/>
      <c r="RGI55" s="346"/>
      <c r="RGJ55" s="346"/>
      <c r="RGK55" s="346"/>
      <c r="RGL55" s="346"/>
      <c r="RGM55" s="346"/>
      <c r="RGN55" s="346"/>
      <c r="RGO55" s="346"/>
      <c r="RGP55" s="346"/>
      <c r="RGQ55" s="346"/>
      <c r="RGR55" s="346"/>
      <c r="RGS55" s="346"/>
      <c r="RGT55" s="346"/>
      <c r="RGU55" s="346"/>
      <c r="RGV55" s="346"/>
      <c r="RGW55" s="346"/>
      <c r="RGX55" s="346"/>
      <c r="RGY55" s="346"/>
      <c r="RGZ55" s="346"/>
      <c r="RHA55" s="346"/>
      <c r="RHB55" s="346"/>
      <c r="RHC55" s="346"/>
      <c r="RHD55" s="346"/>
      <c r="RHE55" s="346"/>
      <c r="RHF55" s="346"/>
      <c r="RHG55" s="346"/>
      <c r="RHH55" s="346"/>
      <c r="RHI55" s="346"/>
      <c r="RHJ55" s="346"/>
      <c r="RHK55" s="346"/>
      <c r="RHL55" s="346"/>
      <c r="RHM55" s="346"/>
      <c r="RHN55" s="346"/>
      <c r="RHO55" s="346"/>
      <c r="RHP55" s="346"/>
      <c r="RHQ55" s="346"/>
      <c r="RHR55" s="346"/>
      <c r="RHS55" s="346"/>
      <c r="RHT55" s="346"/>
      <c r="RHU55" s="346"/>
      <c r="RHV55" s="346"/>
      <c r="RHW55" s="346"/>
      <c r="RHX55" s="346"/>
      <c r="RHY55" s="346"/>
      <c r="RHZ55" s="346"/>
      <c r="RIA55" s="346"/>
      <c r="RIB55" s="346"/>
      <c r="RIC55" s="346"/>
      <c r="RID55" s="346"/>
      <c r="RIE55" s="346"/>
      <c r="RIF55" s="346"/>
      <c r="RIG55" s="346"/>
      <c r="RIH55" s="346"/>
      <c r="RII55" s="346"/>
      <c r="RIJ55" s="346"/>
      <c r="RIK55" s="346"/>
      <c r="RIL55" s="346"/>
      <c r="RIM55" s="346"/>
      <c r="RIN55" s="346"/>
      <c r="RIO55" s="346"/>
      <c r="RIP55" s="346"/>
      <c r="RIQ55" s="346"/>
      <c r="RIR55" s="346"/>
      <c r="RIS55" s="346"/>
      <c r="RIT55" s="346"/>
      <c r="RIU55" s="346"/>
      <c r="RIV55" s="346"/>
      <c r="RIW55" s="346"/>
      <c r="RIX55" s="346"/>
      <c r="RIY55" s="346"/>
      <c r="RIZ55" s="346"/>
      <c r="RJA55" s="346"/>
      <c r="RJB55" s="346"/>
      <c r="RJC55" s="346"/>
      <c r="RJD55" s="346"/>
      <c r="RJE55" s="346"/>
      <c r="RJF55" s="346"/>
      <c r="RJG55" s="346"/>
      <c r="RJH55" s="346"/>
      <c r="RJI55" s="346"/>
      <c r="RJJ55" s="346"/>
      <c r="RJK55" s="346"/>
      <c r="RJL55" s="346"/>
      <c r="RJM55" s="346"/>
      <c r="RJN55" s="346"/>
      <c r="RJO55" s="346"/>
      <c r="RJP55" s="346"/>
      <c r="RJQ55" s="346"/>
      <c r="RJR55" s="346"/>
      <c r="RJS55" s="346"/>
      <c r="RJT55" s="346"/>
      <c r="RJU55" s="346"/>
      <c r="RJV55" s="346"/>
      <c r="RJW55" s="346"/>
      <c r="RJX55" s="346"/>
      <c r="RJY55" s="346"/>
      <c r="RJZ55" s="346"/>
      <c r="RKA55" s="346"/>
      <c r="RKB55" s="346"/>
      <c r="RKC55" s="346"/>
      <c r="RKD55" s="346"/>
      <c r="RKE55" s="346"/>
      <c r="RKF55" s="346"/>
      <c r="RKG55" s="346"/>
      <c r="RKH55" s="346"/>
      <c r="RKI55" s="346"/>
      <c r="RKJ55" s="346"/>
      <c r="RKK55" s="346"/>
      <c r="RKL55" s="346"/>
      <c r="RKM55" s="346"/>
      <c r="RKN55" s="346"/>
      <c r="RKO55" s="346"/>
      <c r="RKP55" s="346"/>
      <c r="RKQ55" s="346"/>
      <c r="RKR55" s="346"/>
      <c r="RKS55" s="346"/>
      <c r="RKT55" s="346"/>
      <c r="RKU55" s="346"/>
      <c r="RKV55" s="346"/>
      <c r="RKW55" s="346"/>
      <c r="RKX55" s="346"/>
      <c r="RKY55" s="346"/>
      <c r="RKZ55" s="346"/>
      <c r="RLA55" s="346"/>
      <c r="RLB55" s="346"/>
      <c r="RLC55" s="346"/>
      <c r="RLD55" s="346"/>
      <c r="RLE55" s="346"/>
      <c r="RLF55" s="346"/>
      <c r="RLG55" s="346"/>
      <c r="RLH55" s="346"/>
      <c r="RLI55" s="346"/>
      <c r="RLJ55" s="346"/>
      <c r="RLK55" s="346"/>
      <c r="RLL55" s="346"/>
      <c r="RLM55" s="346"/>
      <c r="RLN55" s="346"/>
      <c r="RLO55" s="346"/>
      <c r="RLP55" s="346"/>
      <c r="RLQ55" s="346"/>
      <c r="RLR55" s="346"/>
      <c r="RLS55" s="346"/>
      <c r="RLT55" s="346"/>
      <c r="RLU55" s="346"/>
      <c r="RLV55" s="346"/>
      <c r="RLW55" s="346"/>
      <c r="RLX55" s="346"/>
      <c r="RLY55" s="346"/>
      <c r="RLZ55" s="346"/>
      <c r="RMA55" s="346"/>
      <c r="RMB55" s="346"/>
      <c r="RMC55" s="346"/>
      <c r="RMD55" s="346"/>
      <c r="RME55" s="346"/>
      <c r="RMF55" s="346"/>
      <c r="RMG55" s="346"/>
      <c r="RMH55" s="346"/>
      <c r="RMI55" s="346"/>
      <c r="RMJ55" s="346"/>
      <c r="RMK55" s="346"/>
      <c r="RML55" s="346"/>
      <c r="RMM55" s="346"/>
      <c r="RMN55" s="346"/>
      <c r="RMO55" s="346"/>
      <c r="RMP55" s="346"/>
      <c r="RMQ55" s="346"/>
      <c r="RMR55" s="346"/>
      <c r="RMS55" s="346"/>
      <c r="RMT55" s="346"/>
      <c r="RMU55" s="346"/>
      <c r="RMV55" s="346"/>
      <c r="RMW55" s="346"/>
      <c r="RMX55" s="346"/>
      <c r="RMY55" s="346"/>
      <c r="RMZ55" s="346"/>
      <c r="RNA55" s="346"/>
      <c r="RNB55" s="346"/>
      <c r="RNC55" s="346"/>
      <c r="RND55" s="346"/>
      <c r="RNE55" s="346"/>
      <c r="RNF55" s="346"/>
      <c r="RNG55" s="346"/>
      <c r="RNH55" s="346"/>
      <c r="RNI55" s="346"/>
      <c r="RNJ55" s="346"/>
      <c r="RNK55" s="346"/>
      <c r="RNL55" s="346"/>
      <c r="RNM55" s="346"/>
      <c r="RNN55" s="346"/>
      <c r="RNO55" s="346"/>
      <c r="RNP55" s="346"/>
      <c r="RNQ55" s="346"/>
      <c r="RNR55" s="346"/>
      <c r="RNS55" s="346"/>
      <c r="RNT55" s="346"/>
      <c r="RNU55" s="346"/>
      <c r="RNV55" s="346"/>
      <c r="RNW55" s="346"/>
      <c r="RNX55" s="346"/>
      <c r="RNY55" s="346"/>
      <c r="RNZ55" s="346"/>
      <c r="ROA55" s="346"/>
      <c r="ROB55" s="346"/>
      <c r="ROC55" s="346"/>
      <c r="ROD55" s="346"/>
      <c r="ROE55" s="346"/>
      <c r="ROF55" s="346"/>
      <c r="ROG55" s="346"/>
      <c r="ROH55" s="346"/>
      <c r="ROI55" s="346"/>
      <c r="ROJ55" s="346"/>
      <c r="ROK55" s="346"/>
      <c r="ROL55" s="346"/>
      <c r="ROM55" s="346"/>
      <c r="RON55" s="346"/>
      <c r="ROO55" s="346"/>
      <c r="ROP55" s="346"/>
      <c r="ROQ55" s="346"/>
      <c r="ROR55" s="346"/>
      <c r="ROS55" s="346"/>
      <c r="ROT55" s="346"/>
      <c r="ROU55" s="346"/>
      <c r="ROV55" s="346"/>
      <c r="ROW55" s="346"/>
      <c r="ROX55" s="346"/>
      <c r="ROY55" s="346"/>
      <c r="ROZ55" s="346"/>
      <c r="RPA55" s="346"/>
      <c r="RPB55" s="346"/>
      <c r="RPC55" s="346"/>
      <c r="RPD55" s="346"/>
      <c r="RPE55" s="346"/>
      <c r="RPF55" s="346"/>
      <c r="RPG55" s="346"/>
      <c r="RPH55" s="346"/>
      <c r="RPI55" s="346"/>
      <c r="RPJ55" s="346"/>
      <c r="RPK55" s="346"/>
      <c r="RPL55" s="346"/>
      <c r="RPM55" s="346"/>
      <c r="RPN55" s="346"/>
      <c r="RPO55" s="346"/>
      <c r="RPP55" s="346"/>
      <c r="RPQ55" s="346"/>
      <c r="RPR55" s="346"/>
      <c r="RPS55" s="346"/>
      <c r="RPT55" s="346"/>
      <c r="RPU55" s="346"/>
      <c r="RPV55" s="346"/>
      <c r="RPW55" s="346"/>
      <c r="RPX55" s="346"/>
      <c r="RPY55" s="346"/>
      <c r="RPZ55" s="346"/>
      <c r="RQA55" s="346"/>
      <c r="RQB55" s="346"/>
      <c r="RQC55" s="346"/>
      <c r="RQD55" s="346"/>
      <c r="RQE55" s="346"/>
      <c r="RQF55" s="346"/>
      <c r="RQG55" s="346"/>
      <c r="RQH55" s="346"/>
      <c r="RQI55" s="346"/>
      <c r="RQJ55" s="346"/>
      <c r="RQK55" s="346"/>
      <c r="RQL55" s="346"/>
      <c r="RQM55" s="346"/>
      <c r="RQN55" s="346"/>
      <c r="RQO55" s="346"/>
      <c r="RQP55" s="346"/>
      <c r="RQQ55" s="346"/>
      <c r="RQR55" s="346"/>
      <c r="RQS55" s="346"/>
      <c r="RQT55" s="346"/>
      <c r="RQU55" s="346"/>
      <c r="RQV55" s="346"/>
      <c r="RQW55" s="346"/>
      <c r="RQX55" s="346"/>
      <c r="RQY55" s="346"/>
      <c r="RQZ55" s="346"/>
      <c r="RRA55" s="346"/>
      <c r="RRB55" s="346"/>
      <c r="RRC55" s="346"/>
      <c r="RRD55" s="346"/>
      <c r="RRE55" s="346"/>
      <c r="RRF55" s="346"/>
      <c r="RRG55" s="346"/>
      <c r="RRH55" s="346"/>
      <c r="RRI55" s="346"/>
      <c r="RRJ55" s="346"/>
      <c r="RRK55" s="346"/>
      <c r="RRL55" s="346"/>
      <c r="RRM55" s="346"/>
      <c r="RRN55" s="346"/>
      <c r="RRO55" s="346"/>
      <c r="RRP55" s="346"/>
      <c r="RRQ55" s="346"/>
      <c r="RRR55" s="346"/>
      <c r="RRS55" s="346"/>
      <c r="RRT55" s="346"/>
      <c r="RRU55" s="346"/>
      <c r="RRV55" s="346"/>
      <c r="RRW55" s="346"/>
      <c r="RRX55" s="346"/>
      <c r="RRY55" s="346"/>
      <c r="RRZ55" s="346"/>
      <c r="RSA55" s="346"/>
      <c r="RSB55" s="346"/>
      <c r="RSC55" s="346"/>
      <c r="RSD55" s="346"/>
      <c r="RSE55" s="346"/>
      <c r="RSF55" s="346"/>
      <c r="RSG55" s="346"/>
      <c r="RSH55" s="346"/>
      <c r="RSI55" s="346"/>
      <c r="RSJ55" s="346"/>
      <c r="RSK55" s="346"/>
      <c r="RSL55" s="346"/>
      <c r="RSM55" s="346"/>
      <c r="RSN55" s="346"/>
      <c r="RSO55" s="346"/>
      <c r="RSP55" s="346"/>
      <c r="RSQ55" s="346"/>
      <c r="RSR55" s="346"/>
      <c r="RSS55" s="346"/>
      <c r="RST55" s="346"/>
      <c r="RSU55" s="346"/>
      <c r="RSV55" s="346"/>
      <c r="RSW55" s="346"/>
      <c r="RSX55" s="346"/>
      <c r="RSY55" s="346"/>
      <c r="RSZ55" s="346"/>
      <c r="RTA55" s="346"/>
      <c r="RTB55" s="346"/>
      <c r="RTC55" s="346"/>
      <c r="RTD55" s="346"/>
      <c r="RTE55" s="346"/>
      <c r="RTF55" s="346"/>
      <c r="RTG55" s="346"/>
      <c r="RTH55" s="346"/>
      <c r="RTI55" s="346"/>
      <c r="RTJ55" s="346"/>
      <c r="RTK55" s="346"/>
      <c r="RTL55" s="346"/>
      <c r="RTM55" s="346"/>
      <c r="RTN55" s="346"/>
      <c r="RTO55" s="346"/>
      <c r="RTP55" s="346"/>
      <c r="RTQ55" s="346"/>
      <c r="RTR55" s="346"/>
      <c r="RTS55" s="346"/>
      <c r="RTT55" s="346"/>
      <c r="RTU55" s="346"/>
      <c r="RTV55" s="346"/>
      <c r="RTW55" s="346"/>
      <c r="RTX55" s="346"/>
      <c r="RTY55" s="346"/>
      <c r="RTZ55" s="346"/>
      <c r="RUA55" s="346"/>
      <c r="RUB55" s="346"/>
      <c r="RUC55" s="346"/>
      <c r="RUD55" s="346"/>
      <c r="RUE55" s="346"/>
      <c r="RUF55" s="346"/>
      <c r="RUG55" s="346"/>
      <c r="RUH55" s="346"/>
      <c r="RUI55" s="346"/>
      <c r="RUJ55" s="346"/>
      <c r="RUK55" s="346"/>
      <c r="RUL55" s="346"/>
      <c r="RUM55" s="346"/>
      <c r="RUN55" s="346"/>
      <c r="RUO55" s="346"/>
      <c r="RUP55" s="346"/>
      <c r="RUQ55" s="346"/>
      <c r="RUR55" s="346"/>
      <c r="RUS55" s="346"/>
      <c r="RUT55" s="346"/>
      <c r="RUU55" s="346"/>
      <c r="RUV55" s="346"/>
      <c r="RUW55" s="346"/>
      <c r="RUX55" s="346"/>
      <c r="RUY55" s="346"/>
      <c r="RUZ55" s="346"/>
      <c r="RVA55" s="346"/>
      <c r="RVB55" s="346"/>
      <c r="RVC55" s="346"/>
      <c r="RVD55" s="346"/>
      <c r="RVE55" s="346"/>
      <c r="RVF55" s="346"/>
      <c r="RVG55" s="346"/>
      <c r="RVH55" s="346"/>
      <c r="RVI55" s="346"/>
      <c r="RVJ55" s="346"/>
      <c r="RVK55" s="346"/>
      <c r="RVL55" s="346"/>
      <c r="RVM55" s="346"/>
      <c r="RVN55" s="346"/>
      <c r="RVO55" s="346"/>
      <c r="RVP55" s="346"/>
      <c r="RVQ55" s="346"/>
      <c r="RVR55" s="346"/>
      <c r="RVS55" s="346"/>
      <c r="RVT55" s="346"/>
      <c r="RVU55" s="346"/>
      <c r="RVV55" s="346"/>
      <c r="RVW55" s="346"/>
      <c r="RVX55" s="346"/>
      <c r="RVY55" s="346"/>
      <c r="RVZ55" s="346"/>
      <c r="RWA55" s="346"/>
      <c r="RWB55" s="346"/>
      <c r="RWC55" s="346"/>
      <c r="RWD55" s="346"/>
      <c r="RWE55" s="346"/>
      <c r="RWF55" s="346"/>
      <c r="RWG55" s="346"/>
      <c r="RWH55" s="346"/>
      <c r="RWI55" s="346"/>
      <c r="RWJ55" s="346"/>
      <c r="RWK55" s="346"/>
      <c r="RWL55" s="346"/>
      <c r="RWM55" s="346"/>
      <c r="RWN55" s="346"/>
      <c r="RWO55" s="346"/>
      <c r="RWP55" s="346"/>
      <c r="RWQ55" s="346"/>
      <c r="RWR55" s="346"/>
      <c r="RWS55" s="346"/>
      <c r="RWT55" s="346"/>
      <c r="RWU55" s="346"/>
      <c r="RWV55" s="346"/>
      <c r="RWW55" s="346"/>
      <c r="RWX55" s="346"/>
      <c r="RWY55" s="346"/>
      <c r="RWZ55" s="346"/>
      <c r="RXA55" s="346"/>
      <c r="RXB55" s="346"/>
      <c r="RXC55" s="346"/>
      <c r="RXD55" s="346"/>
      <c r="RXE55" s="346"/>
      <c r="RXF55" s="346"/>
      <c r="RXG55" s="346"/>
      <c r="RXH55" s="346"/>
      <c r="RXI55" s="346"/>
      <c r="RXJ55" s="346"/>
      <c r="RXK55" s="346"/>
      <c r="RXL55" s="346"/>
      <c r="RXM55" s="346"/>
      <c r="RXN55" s="346"/>
      <c r="RXO55" s="346"/>
      <c r="RXP55" s="346"/>
      <c r="RXQ55" s="346"/>
      <c r="RXR55" s="346"/>
      <c r="RXS55" s="346"/>
      <c r="RXT55" s="346"/>
      <c r="RXU55" s="346"/>
      <c r="RXV55" s="346"/>
      <c r="RXW55" s="346"/>
      <c r="RXX55" s="346"/>
      <c r="RXY55" s="346"/>
      <c r="RXZ55" s="346"/>
      <c r="RYA55" s="346"/>
      <c r="RYB55" s="346"/>
      <c r="RYC55" s="346"/>
      <c r="RYD55" s="346"/>
      <c r="RYE55" s="346"/>
      <c r="RYF55" s="346"/>
      <c r="RYG55" s="346"/>
      <c r="RYH55" s="346"/>
      <c r="RYI55" s="346"/>
      <c r="RYJ55" s="346"/>
      <c r="RYK55" s="346"/>
      <c r="RYL55" s="346"/>
      <c r="RYM55" s="346"/>
      <c r="RYN55" s="346"/>
      <c r="RYO55" s="346"/>
      <c r="RYP55" s="346"/>
      <c r="RYQ55" s="346"/>
      <c r="RYR55" s="346"/>
      <c r="RYS55" s="346"/>
      <c r="RYT55" s="346"/>
      <c r="RYU55" s="346"/>
      <c r="RYV55" s="346"/>
      <c r="RYW55" s="346"/>
      <c r="RYX55" s="346"/>
      <c r="RYY55" s="346"/>
      <c r="RYZ55" s="346"/>
      <c r="RZA55" s="346"/>
      <c r="RZB55" s="346"/>
      <c r="RZC55" s="346"/>
      <c r="RZD55" s="346"/>
      <c r="RZE55" s="346"/>
      <c r="RZF55" s="346"/>
      <c r="RZG55" s="346"/>
      <c r="RZH55" s="346"/>
      <c r="RZI55" s="346"/>
      <c r="RZJ55" s="346"/>
      <c r="RZK55" s="346"/>
      <c r="RZL55" s="346"/>
      <c r="RZM55" s="346"/>
      <c r="RZN55" s="346"/>
      <c r="RZO55" s="346"/>
      <c r="RZP55" s="346"/>
      <c r="RZQ55" s="346"/>
      <c r="RZR55" s="346"/>
      <c r="RZS55" s="346"/>
      <c r="RZT55" s="346"/>
      <c r="RZU55" s="346"/>
      <c r="RZV55" s="346"/>
      <c r="RZW55" s="346"/>
      <c r="RZX55" s="346"/>
      <c r="RZY55" s="346"/>
      <c r="RZZ55" s="346"/>
      <c r="SAA55" s="346"/>
      <c r="SAB55" s="346"/>
      <c r="SAC55" s="346"/>
      <c r="SAD55" s="346"/>
      <c r="SAE55" s="346"/>
      <c r="SAF55" s="346"/>
      <c r="SAG55" s="346"/>
      <c r="SAH55" s="346"/>
      <c r="SAI55" s="346"/>
      <c r="SAJ55" s="346"/>
      <c r="SAK55" s="346"/>
      <c r="SAL55" s="346"/>
      <c r="SAM55" s="346"/>
      <c r="SAN55" s="346"/>
      <c r="SAO55" s="346"/>
      <c r="SAP55" s="346"/>
      <c r="SAQ55" s="346"/>
      <c r="SAR55" s="346"/>
      <c r="SAS55" s="346"/>
      <c r="SAT55" s="346"/>
      <c r="SAU55" s="346"/>
      <c r="SAV55" s="346"/>
      <c r="SAW55" s="346"/>
      <c r="SAX55" s="346"/>
      <c r="SAY55" s="346"/>
      <c r="SAZ55" s="346"/>
      <c r="SBA55" s="346"/>
      <c r="SBB55" s="346"/>
      <c r="SBC55" s="346"/>
      <c r="SBD55" s="346"/>
      <c r="SBE55" s="346"/>
      <c r="SBF55" s="346"/>
      <c r="SBG55" s="346"/>
      <c r="SBH55" s="346"/>
      <c r="SBI55" s="346"/>
      <c r="SBJ55" s="346"/>
      <c r="SBK55" s="346"/>
      <c r="SBL55" s="346"/>
      <c r="SBM55" s="346"/>
      <c r="SBN55" s="346"/>
      <c r="SBO55" s="346"/>
      <c r="SBP55" s="346"/>
      <c r="SBQ55" s="346"/>
      <c r="SBR55" s="346"/>
      <c r="SBS55" s="346"/>
      <c r="SBT55" s="346"/>
      <c r="SBU55" s="346"/>
      <c r="SBV55" s="346"/>
      <c r="SBW55" s="346"/>
      <c r="SBX55" s="346"/>
      <c r="SBY55" s="346"/>
      <c r="SBZ55" s="346"/>
      <c r="SCA55" s="346"/>
      <c r="SCB55" s="346"/>
      <c r="SCC55" s="346"/>
      <c r="SCD55" s="346"/>
      <c r="SCE55" s="346"/>
      <c r="SCF55" s="346"/>
      <c r="SCG55" s="346"/>
      <c r="SCH55" s="346"/>
      <c r="SCI55" s="346"/>
      <c r="SCJ55" s="346"/>
      <c r="SCK55" s="346"/>
      <c r="SCL55" s="346"/>
      <c r="SCM55" s="346"/>
      <c r="SCN55" s="346"/>
      <c r="SCO55" s="346"/>
      <c r="SCP55" s="346"/>
      <c r="SCQ55" s="346"/>
      <c r="SCR55" s="346"/>
      <c r="SCS55" s="346"/>
      <c r="SCT55" s="346"/>
      <c r="SCU55" s="346"/>
      <c r="SCV55" s="346"/>
      <c r="SCW55" s="346"/>
      <c r="SCX55" s="346"/>
      <c r="SCY55" s="346"/>
      <c r="SCZ55" s="346"/>
      <c r="SDA55" s="346"/>
      <c r="SDB55" s="346"/>
      <c r="SDC55" s="346"/>
      <c r="SDD55" s="346"/>
      <c r="SDE55" s="346"/>
      <c r="SDF55" s="346"/>
      <c r="SDG55" s="346"/>
      <c r="SDH55" s="346"/>
      <c r="SDI55" s="346"/>
      <c r="SDJ55" s="346"/>
      <c r="SDK55" s="346"/>
      <c r="SDL55" s="346"/>
      <c r="SDM55" s="346"/>
      <c r="SDN55" s="346"/>
      <c r="SDO55" s="346"/>
      <c r="SDP55" s="346"/>
      <c r="SDQ55" s="346"/>
      <c r="SDR55" s="346"/>
      <c r="SDS55" s="346"/>
      <c r="SDT55" s="346"/>
      <c r="SDU55" s="346"/>
      <c r="SDV55" s="346"/>
      <c r="SDW55" s="346"/>
      <c r="SDX55" s="346"/>
      <c r="SDY55" s="346"/>
      <c r="SDZ55" s="346"/>
      <c r="SEA55" s="346"/>
      <c r="SEB55" s="346"/>
      <c r="SEC55" s="346"/>
      <c r="SED55" s="346"/>
      <c r="SEE55" s="346"/>
      <c r="SEF55" s="346"/>
      <c r="SEG55" s="346"/>
      <c r="SEH55" s="346"/>
      <c r="SEI55" s="346"/>
      <c r="SEJ55" s="346"/>
      <c r="SEK55" s="346"/>
      <c r="SEL55" s="346"/>
      <c r="SEM55" s="346"/>
      <c r="SEN55" s="346"/>
      <c r="SEO55" s="346"/>
      <c r="SEP55" s="346"/>
      <c r="SEQ55" s="346"/>
      <c r="SER55" s="346"/>
      <c r="SES55" s="346"/>
      <c r="SET55" s="346"/>
      <c r="SEU55" s="346"/>
      <c r="SEV55" s="346"/>
      <c r="SEW55" s="346"/>
      <c r="SEX55" s="346"/>
      <c r="SEY55" s="346"/>
      <c r="SEZ55" s="346"/>
      <c r="SFA55" s="346"/>
      <c r="SFB55" s="346"/>
      <c r="SFC55" s="346"/>
      <c r="SFD55" s="346"/>
      <c r="SFE55" s="346"/>
      <c r="SFF55" s="346"/>
      <c r="SFG55" s="346"/>
      <c r="SFH55" s="346"/>
      <c r="SFI55" s="346"/>
      <c r="SFJ55" s="346"/>
      <c r="SFK55" s="346"/>
      <c r="SFL55" s="346"/>
      <c r="SFM55" s="346"/>
      <c r="SFN55" s="346"/>
      <c r="SFO55" s="346"/>
      <c r="SFP55" s="346"/>
      <c r="SFQ55" s="346"/>
      <c r="SFR55" s="346"/>
      <c r="SFS55" s="346"/>
      <c r="SFT55" s="346"/>
      <c r="SFU55" s="346"/>
      <c r="SFV55" s="346"/>
      <c r="SFW55" s="346"/>
      <c r="SFX55" s="346"/>
      <c r="SFY55" s="346"/>
      <c r="SFZ55" s="346"/>
      <c r="SGA55" s="346"/>
      <c r="SGB55" s="346"/>
      <c r="SGC55" s="346"/>
      <c r="SGD55" s="346"/>
      <c r="SGE55" s="346"/>
      <c r="SGF55" s="346"/>
      <c r="SGG55" s="346"/>
      <c r="SGH55" s="346"/>
      <c r="SGI55" s="346"/>
      <c r="SGJ55" s="346"/>
      <c r="SGK55" s="346"/>
      <c r="SGL55" s="346"/>
      <c r="SGM55" s="346"/>
      <c r="SGN55" s="346"/>
      <c r="SGO55" s="346"/>
      <c r="SGP55" s="346"/>
      <c r="SGQ55" s="346"/>
      <c r="SGR55" s="346"/>
      <c r="SGS55" s="346"/>
      <c r="SGT55" s="346"/>
      <c r="SGU55" s="346"/>
      <c r="SGV55" s="346"/>
      <c r="SGW55" s="346"/>
      <c r="SGX55" s="346"/>
      <c r="SGY55" s="346"/>
      <c r="SGZ55" s="346"/>
      <c r="SHA55" s="346"/>
      <c r="SHB55" s="346"/>
      <c r="SHC55" s="346"/>
      <c r="SHD55" s="346"/>
      <c r="SHE55" s="346"/>
      <c r="SHF55" s="346"/>
      <c r="SHG55" s="346"/>
      <c r="SHH55" s="346"/>
      <c r="SHI55" s="346"/>
      <c r="SHJ55" s="346"/>
      <c r="SHK55" s="346"/>
      <c r="SHL55" s="346"/>
      <c r="SHM55" s="346"/>
      <c r="SHN55" s="346"/>
      <c r="SHO55" s="346"/>
      <c r="SHP55" s="346"/>
      <c r="SHQ55" s="346"/>
      <c r="SHR55" s="346"/>
      <c r="SHS55" s="346"/>
      <c r="SHT55" s="346"/>
      <c r="SHU55" s="346"/>
      <c r="SHV55" s="346"/>
      <c r="SHW55" s="346"/>
      <c r="SHX55" s="346"/>
      <c r="SHY55" s="346"/>
      <c r="SHZ55" s="346"/>
      <c r="SIA55" s="346"/>
      <c r="SIB55" s="346"/>
      <c r="SIC55" s="346"/>
      <c r="SID55" s="346"/>
      <c r="SIE55" s="346"/>
      <c r="SIF55" s="346"/>
      <c r="SIG55" s="346"/>
      <c r="SIH55" s="346"/>
      <c r="SII55" s="346"/>
      <c r="SIJ55" s="346"/>
      <c r="SIK55" s="346"/>
      <c r="SIL55" s="346"/>
      <c r="SIM55" s="346"/>
      <c r="SIN55" s="346"/>
      <c r="SIO55" s="346"/>
      <c r="SIP55" s="346"/>
      <c r="SIQ55" s="346"/>
      <c r="SIR55" s="346"/>
      <c r="SIS55" s="346"/>
      <c r="SIT55" s="346"/>
      <c r="SIU55" s="346"/>
      <c r="SIV55" s="346"/>
      <c r="SIW55" s="346"/>
      <c r="SIX55" s="346"/>
      <c r="SIY55" s="346"/>
      <c r="SIZ55" s="346"/>
      <c r="SJA55" s="346"/>
      <c r="SJB55" s="346"/>
      <c r="SJC55" s="346"/>
      <c r="SJD55" s="346"/>
      <c r="SJE55" s="346"/>
      <c r="SJF55" s="346"/>
      <c r="SJG55" s="346"/>
      <c r="SJH55" s="346"/>
      <c r="SJI55" s="346"/>
      <c r="SJJ55" s="346"/>
      <c r="SJK55" s="346"/>
      <c r="SJL55" s="346"/>
      <c r="SJM55" s="346"/>
      <c r="SJN55" s="346"/>
      <c r="SJO55" s="346"/>
      <c r="SJP55" s="346"/>
      <c r="SJQ55" s="346"/>
      <c r="SJR55" s="346"/>
      <c r="SJS55" s="346"/>
      <c r="SJT55" s="346"/>
      <c r="SJU55" s="346"/>
      <c r="SJV55" s="346"/>
      <c r="SJW55" s="346"/>
      <c r="SJX55" s="346"/>
      <c r="SJY55" s="346"/>
      <c r="SJZ55" s="346"/>
      <c r="SKA55" s="346"/>
      <c r="SKB55" s="346"/>
      <c r="SKC55" s="346"/>
      <c r="SKD55" s="346"/>
      <c r="SKE55" s="346"/>
      <c r="SKF55" s="346"/>
      <c r="SKG55" s="346"/>
      <c r="SKH55" s="346"/>
      <c r="SKI55" s="346"/>
      <c r="SKJ55" s="346"/>
      <c r="SKK55" s="346"/>
      <c r="SKL55" s="346"/>
      <c r="SKM55" s="346"/>
      <c r="SKN55" s="346"/>
      <c r="SKO55" s="346"/>
      <c r="SKP55" s="346"/>
      <c r="SKQ55" s="346"/>
      <c r="SKR55" s="346"/>
      <c r="SKS55" s="346"/>
      <c r="SKT55" s="346"/>
      <c r="SKU55" s="346"/>
      <c r="SKV55" s="346"/>
      <c r="SKW55" s="346"/>
      <c r="SKX55" s="346"/>
      <c r="SKY55" s="346"/>
      <c r="SKZ55" s="346"/>
      <c r="SLA55" s="346"/>
      <c r="SLB55" s="346"/>
      <c r="SLC55" s="346"/>
      <c r="SLD55" s="346"/>
      <c r="SLE55" s="346"/>
      <c r="SLF55" s="346"/>
      <c r="SLG55" s="346"/>
      <c r="SLH55" s="346"/>
      <c r="SLI55" s="346"/>
      <c r="SLJ55" s="346"/>
      <c r="SLK55" s="346"/>
      <c r="SLL55" s="346"/>
      <c r="SLM55" s="346"/>
      <c r="SLN55" s="346"/>
      <c r="SLO55" s="346"/>
      <c r="SLP55" s="346"/>
      <c r="SLQ55" s="346"/>
      <c r="SLR55" s="346"/>
      <c r="SLS55" s="346"/>
      <c r="SLT55" s="346"/>
      <c r="SLU55" s="346"/>
      <c r="SLV55" s="346"/>
      <c r="SLW55" s="346"/>
      <c r="SLX55" s="346"/>
      <c r="SLY55" s="346"/>
      <c r="SLZ55" s="346"/>
      <c r="SMA55" s="346"/>
      <c r="SMB55" s="346"/>
      <c r="SMC55" s="346"/>
      <c r="SMD55" s="346"/>
      <c r="SME55" s="346"/>
      <c r="SMF55" s="346"/>
      <c r="SMG55" s="346"/>
      <c r="SMH55" s="346"/>
      <c r="SMI55" s="346"/>
      <c r="SMJ55" s="346"/>
      <c r="SMK55" s="346"/>
      <c r="SML55" s="346"/>
      <c r="SMM55" s="346"/>
      <c r="SMN55" s="346"/>
      <c r="SMO55" s="346"/>
      <c r="SMP55" s="346"/>
      <c r="SMQ55" s="346"/>
      <c r="SMR55" s="346"/>
      <c r="SMS55" s="346"/>
      <c r="SMT55" s="346"/>
      <c r="SMU55" s="346"/>
      <c r="SMV55" s="346"/>
      <c r="SMW55" s="346"/>
      <c r="SMX55" s="346"/>
      <c r="SMY55" s="346"/>
      <c r="SMZ55" s="346"/>
      <c r="SNA55" s="346"/>
      <c r="SNB55" s="346"/>
      <c r="SNC55" s="346"/>
      <c r="SND55" s="346"/>
      <c r="SNE55" s="346"/>
      <c r="SNF55" s="346"/>
      <c r="SNG55" s="346"/>
      <c r="SNH55" s="346"/>
      <c r="SNI55" s="346"/>
      <c r="SNJ55" s="346"/>
      <c r="SNK55" s="346"/>
      <c r="SNL55" s="346"/>
      <c r="SNM55" s="346"/>
      <c r="SNN55" s="346"/>
      <c r="SNO55" s="346"/>
      <c r="SNP55" s="346"/>
      <c r="SNQ55" s="346"/>
      <c r="SNR55" s="346"/>
      <c r="SNS55" s="346"/>
      <c r="SNT55" s="346"/>
      <c r="SNU55" s="346"/>
      <c r="SNV55" s="346"/>
      <c r="SNW55" s="346"/>
      <c r="SNX55" s="346"/>
      <c r="SNY55" s="346"/>
      <c r="SNZ55" s="346"/>
      <c r="SOA55" s="346"/>
      <c r="SOB55" s="346"/>
      <c r="SOC55" s="346"/>
      <c r="SOD55" s="346"/>
      <c r="SOE55" s="346"/>
      <c r="SOF55" s="346"/>
      <c r="SOG55" s="346"/>
      <c r="SOH55" s="346"/>
      <c r="SOI55" s="346"/>
      <c r="SOJ55" s="346"/>
      <c r="SOK55" s="346"/>
      <c r="SOL55" s="346"/>
      <c r="SOM55" s="346"/>
      <c r="SON55" s="346"/>
      <c r="SOO55" s="346"/>
      <c r="SOP55" s="346"/>
      <c r="SOQ55" s="346"/>
      <c r="SOR55" s="346"/>
      <c r="SOS55" s="346"/>
      <c r="SOT55" s="346"/>
      <c r="SOU55" s="346"/>
      <c r="SOV55" s="346"/>
      <c r="SOW55" s="346"/>
      <c r="SOX55" s="346"/>
      <c r="SOY55" s="346"/>
      <c r="SOZ55" s="346"/>
      <c r="SPA55" s="346"/>
      <c r="SPB55" s="346"/>
      <c r="SPC55" s="346"/>
      <c r="SPD55" s="346"/>
      <c r="SPE55" s="346"/>
      <c r="SPF55" s="346"/>
      <c r="SPG55" s="346"/>
      <c r="SPH55" s="346"/>
      <c r="SPI55" s="346"/>
      <c r="SPJ55" s="346"/>
      <c r="SPK55" s="346"/>
      <c r="SPL55" s="346"/>
      <c r="SPM55" s="346"/>
      <c r="SPN55" s="346"/>
      <c r="SPO55" s="346"/>
      <c r="SPP55" s="346"/>
      <c r="SPQ55" s="346"/>
      <c r="SPR55" s="346"/>
      <c r="SPS55" s="346"/>
      <c r="SPT55" s="346"/>
      <c r="SPU55" s="346"/>
      <c r="SPV55" s="346"/>
      <c r="SPW55" s="346"/>
      <c r="SPX55" s="346"/>
      <c r="SPY55" s="346"/>
      <c r="SPZ55" s="346"/>
      <c r="SQA55" s="346"/>
      <c r="SQB55" s="346"/>
      <c r="SQC55" s="346"/>
      <c r="SQD55" s="346"/>
      <c r="SQE55" s="346"/>
      <c r="SQF55" s="346"/>
      <c r="SQG55" s="346"/>
      <c r="SQH55" s="346"/>
      <c r="SQI55" s="346"/>
      <c r="SQJ55" s="346"/>
      <c r="SQK55" s="346"/>
      <c r="SQL55" s="346"/>
      <c r="SQM55" s="346"/>
      <c r="SQN55" s="346"/>
      <c r="SQO55" s="346"/>
      <c r="SQP55" s="346"/>
      <c r="SQQ55" s="346"/>
      <c r="SQR55" s="346"/>
      <c r="SQS55" s="346"/>
      <c r="SQT55" s="346"/>
      <c r="SQU55" s="346"/>
      <c r="SQV55" s="346"/>
      <c r="SQW55" s="346"/>
      <c r="SQX55" s="346"/>
      <c r="SQY55" s="346"/>
      <c r="SQZ55" s="346"/>
      <c r="SRA55" s="346"/>
      <c r="SRB55" s="346"/>
      <c r="SRC55" s="346"/>
      <c r="SRD55" s="346"/>
      <c r="SRE55" s="346"/>
      <c r="SRF55" s="346"/>
      <c r="SRG55" s="346"/>
      <c r="SRH55" s="346"/>
      <c r="SRI55" s="346"/>
      <c r="SRJ55" s="346"/>
      <c r="SRK55" s="346"/>
      <c r="SRL55" s="346"/>
      <c r="SRM55" s="346"/>
      <c r="SRN55" s="346"/>
      <c r="SRO55" s="346"/>
      <c r="SRP55" s="346"/>
      <c r="SRQ55" s="346"/>
      <c r="SRR55" s="346"/>
      <c r="SRS55" s="346"/>
      <c r="SRT55" s="346"/>
      <c r="SRU55" s="346"/>
      <c r="SRV55" s="346"/>
      <c r="SRW55" s="346"/>
      <c r="SRX55" s="346"/>
      <c r="SRY55" s="346"/>
      <c r="SRZ55" s="346"/>
      <c r="SSA55" s="346"/>
      <c r="SSB55" s="346"/>
      <c r="SSC55" s="346"/>
      <c r="SSD55" s="346"/>
      <c r="SSE55" s="346"/>
      <c r="SSF55" s="346"/>
      <c r="SSG55" s="346"/>
      <c r="SSH55" s="346"/>
      <c r="SSI55" s="346"/>
      <c r="SSJ55" s="346"/>
      <c r="SSK55" s="346"/>
      <c r="SSL55" s="346"/>
      <c r="SSM55" s="346"/>
      <c r="SSN55" s="346"/>
      <c r="SSO55" s="346"/>
      <c r="SSP55" s="346"/>
      <c r="SSQ55" s="346"/>
      <c r="SSR55" s="346"/>
      <c r="SSS55" s="346"/>
      <c r="SST55" s="346"/>
      <c r="SSU55" s="346"/>
      <c r="SSV55" s="346"/>
      <c r="SSW55" s="346"/>
      <c r="SSX55" s="346"/>
      <c r="SSY55" s="346"/>
      <c r="SSZ55" s="346"/>
      <c r="STA55" s="346"/>
      <c r="STB55" s="346"/>
      <c r="STC55" s="346"/>
      <c r="STD55" s="346"/>
      <c r="STE55" s="346"/>
      <c r="STF55" s="346"/>
      <c r="STG55" s="346"/>
      <c r="STH55" s="346"/>
      <c r="STI55" s="346"/>
      <c r="STJ55" s="346"/>
      <c r="STK55" s="346"/>
      <c r="STL55" s="346"/>
      <c r="STM55" s="346"/>
      <c r="STN55" s="346"/>
      <c r="STO55" s="346"/>
      <c r="STP55" s="346"/>
      <c r="STQ55" s="346"/>
      <c r="STR55" s="346"/>
      <c r="STS55" s="346"/>
      <c r="STT55" s="346"/>
      <c r="STU55" s="346"/>
      <c r="STV55" s="346"/>
      <c r="STW55" s="346"/>
      <c r="STX55" s="346"/>
      <c r="STY55" s="346"/>
      <c r="STZ55" s="346"/>
      <c r="SUA55" s="346"/>
      <c r="SUB55" s="346"/>
      <c r="SUC55" s="346"/>
      <c r="SUD55" s="346"/>
      <c r="SUE55" s="346"/>
      <c r="SUF55" s="346"/>
      <c r="SUG55" s="346"/>
      <c r="SUH55" s="346"/>
      <c r="SUI55" s="346"/>
      <c r="SUJ55" s="346"/>
      <c r="SUK55" s="346"/>
      <c r="SUL55" s="346"/>
      <c r="SUM55" s="346"/>
      <c r="SUN55" s="346"/>
      <c r="SUO55" s="346"/>
      <c r="SUP55" s="346"/>
      <c r="SUQ55" s="346"/>
      <c r="SUR55" s="346"/>
      <c r="SUS55" s="346"/>
      <c r="SUT55" s="346"/>
      <c r="SUU55" s="346"/>
      <c r="SUV55" s="346"/>
      <c r="SUW55" s="346"/>
      <c r="SUX55" s="346"/>
      <c r="SUY55" s="346"/>
      <c r="SUZ55" s="346"/>
      <c r="SVA55" s="346"/>
      <c r="SVB55" s="346"/>
      <c r="SVC55" s="346"/>
      <c r="SVD55" s="346"/>
      <c r="SVE55" s="346"/>
      <c r="SVF55" s="346"/>
      <c r="SVG55" s="346"/>
      <c r="SVH55" s="346"/>
      <c r="SVI55" s="346"/>
      <c r="SVJ55" s="346"/>
      <c r="SVK55" s="346"/>
      <c r="SVL55" s="346"/>
      <c r="SVM55" s="346"/>
      <c r="SVN55" s="346"/>
      <c r="SVO55" s="346"/>
      <c r="SVP55" s="346"/>
      <c r="SVQ55" s="346"/>
      <c r="SVR55" s="346"/>
      <c r="SVS55" s="346"/>
      <c r="SVT55" s="346"/>
      <c r="SVU55" s="346"/>
      <c r="SVV55" s="346"/>
      <c r="SVW55" s="346"/>
      <c r="SVX55" s="346"/>
      <c r="SVY55" s="346"/>
      <c r="SVZ55" s="346"/>
      <c r="SWA55" s="346"/>
      <c r="SWB55" s="346"/>
      <c r="SWC55" s="346"/>
      <c r="SWD55" s="346"/>
      <c r="SWE55" s="346"/>
      <c r="SWF55" s="346"/>
      <c r="SWG55" s="346"/>
      <c r="SWH55" s="346"/>
      <c r="SWI55" s="346"/>
      <c r="SWJ55" s="346"/>
      <c r="SWK55" s="346"/>
      <c r="SWL55" s="346"/>
      <c r="SWM55" s="346"/>
      <c r="SWN55" s="346"/>
      <c r="SWO55" s="346"/>
      <c r="SWP55" s="346"/>
      <c r="SWQ55" s="346"/>
      <c r="SWR55" s="346"/>
      <c r="SWS55" s="346"/>
      <c r="SWT55" s="346"/>
      <c r="SWU55" s="346"/>
      <c r="SWV55" s="346"/>
      <c r="SWW55" s="346"/>
      <c r="SWX55" s="346"/>
      <c r="SWY55" s="346"/>
      <c r="SWZ55" s="346"/>
      <c r="SXA55" s="346"/>
      <c r="SXB55" s="346"/>
      <c r="SXC55" s="346"/>
      <c r="SXD55" s="346"/>
      <c r="SXE55" s="346"/>
      <c r="SXF55" s="346"/>
      <c r="SXG55" s="346"/>
      <c r="SXH55" s="346"/>
      <c r="SXI55" s="346"/>
      <c r="SXJ55" s="346"/>
      <c r="SXK55" s="346"/>
      <c r="SXL55" s="346"/>
      <c r="SXM55" s="346"/>
      <c r="SXN55" s="346"/>
      <c r="SXO55" s="346"/>
      <c r="SXP55" s="346"/>
      <c r="SXQ55" s="346"/>
      <c r="SXR55" s="346"/>
      <c r="SXS55" s="346"/>
      <c r="SXT55" s="346"/>
      <c r="SXU55" s="346"/>
      <c r="SXV55" s="346"/>
      <c r="SXW55" s="346"/>
      <c r="SXX55" s="346"/>
      <c r="SXY55" s="346"/>
      <c r="SXZ55" s="346"/>
      <c r="SYA55" s="346"/>
      <c r="SYB55" s="346"/>
      <c r="SYC55" s="346"/>
      <c r="SYD55" s="346"/>
      <c r="SYE55" s="346"/>
      <c r="SYF55" s="346"/>
      <c r="SYG55" s="346"/>
      <c r="SYH55" s="346"/>
      <c r="SYI55" s="346"/>
      <c r="SYJ55" s="346"/>
      <c r="SYK55" s="346"/>
      <c r="SYL55" s="346"/>
      <c r="SYM55" s="346"/>
      <c r="SYN55" s="346"/>
      <c r="SYO55" s="346"/>
      <c r="SYP55" s="346"/>
      <c r="SYQ55" s="346"/>
      <c r="SYR55" s="346"/>
      <c r="SYS55" s="346"/>
      <c r="SYT55" s="346"/>
      <c r="SYU55" s="346"/>
      <c r="SYV55" s="346"/>
      <c r="SYW55" s="346"/>
      <c r="SYX55" s="346"/>
      <c r="SYY55" s="346"/>
      <c r="SYZ55" s="346"/>
      <c r="SZA55" s="346"/>
      <c r="SZB55" s="346"/>
      <c r="SZC55" s="346"/>
      <c r="SZD55" s="346"/>
      <c r="SZE55" s="346"/>
      <c r="SZF55" s="346"/>
      <c r="SZG55" s="346"/>
      <c r="SZH55" s="346"/>
      <c r="SZI55" s="346"/>
      <c r="SZJ55" s="346"/>
      <c r="SZK55" s="346"/>
      <c r="SZL55" s="346"/>
      <c r="SZM55" s="346"/>
      <c r="SZN55" s="346"/>
      <c r="SZO55" s="346"/>
      <c r="SZP55" s="346"/>
      <c r="SZQ55" s="346"/>
      <c r="SZR55" s="346"/>
      <c r="SZS55" s="346"/>
      <c r="SZT55" s="346"/>
      <c r="SZU55" s="346"/>
      <c r="SZV55" s="346"/>
      <c r="SZW55" s="346"/>
      <c r="SZX55" s="346"/>
      <c r="SZY55" s="346"/>
      <c r="SZZ55" s="346"/>
      <c r="TAA55" s="346"/>
      <c r="TAB55" s="346"/>
      <c r="TAC55" s="346"/>
      <c r="TAD55" s="346"/>
      <c r="TAE55" s="346"/>
      <c r="TAF55" s="346"/>
      <c r="TAG55" s="346"/>
      <c r="TAH55" s="346"/>
      <c r="TAI55" s="346"/>
      <c r="TAJ55" s="346"/>
      <c r="TAK55" s="346"/>
      <c r="TAL55" s="346"/>
      <c r="TAM55" s="346"/>
      <c r="TAN55" s="346"/>
      <c r="TAO55" s="346"/>
      <c r="TAP55" s="346"/>
      <c r="TAQ55" s="346"/>
      <c r="TAR55" s="346"/>
      <c r="TAS55" s="346"/>
      <c r="TAT55" s="346"/>
      <c r="TAU55" s="346"/>
      <c r="TAV55" s="346"/>
      <c r="TAW55" s="346"/>
      <c r="TAX55" s="346"/>
      <c r="TAY55" s="346"/>
      <c r="TAZ55" s="346"/>
      <c r="TBA55" s="346"/>
      <c r="TBB55" s="346"/>
      <c r="TBC55" s="346"/>
      <c r="TBD55" s="346"/>
      <c r="TBE55" s="346"/>
      <c r="TBF55" s="346"/>
      <c r="TBG55" s="346"/>
      <c r="TBH55" s="346"/>
      <c r="TBI55" s="346"/>
      <c r="TBJ55" s="346"/>
      <c r="TBK55" s="346"/>
      <c r="TBL55" s="346"/>
      <c r="TBM55" s="346"/>
      <c r="TBN55" s="346"/>
      <c r="TBO55" s="346"/>
      <c r="TBP55" s="346"/>
      <c r="TBQ55" s="346"/>
      <c r="TBR55" s="346"/>
      <c r="TBS55" s="346"/>
      <c r="TBT55" s="346"/>
      <c r="TBU55" s="346"/>
      <c r="TBV55" s="346"/>
      <c r="TBW55" s="346"/>
      <c r="TBX55" s="346"/>
      <c r="TBY55" s="346"/>
      <c r="TBZ55" s="346"/>
      <c r="TCA55" s="346"/>
      <c r="TCB55" s="346"/>
      <c r="TCC55" s="346"/>
      <c r="TCD55" s="346"/>
      <c r="TCE55" s="346"/>
      <c r="TCF55" s="346"/>
      <c r="TCG55" s="346"/>
      <c r="TCH55" s="346"/>
      <c r="TCI55" s="346"/>
      <c r="TCJ55" s="346"/>
      <c r="TCK55" s="346"/>
      <c r="TCL55" s="346"/>
      <c r="TCM55" s="346"/>
      <c r="TCN55" s="346"/>
      <c r="TCO55" s="346"/>
      <c r="TCP55" s="346"/>
      <c r="TCQ55" s="346"/>
      <c r="TCR55" s="346"/>
      <c r="TCS55" s="346"/>
      <c r="TCT55" s="346"/>
      <c r="TCU55" s="346"/>
      <c r="TCV55" s="346"/>
      <c r="TCW55" s="346"/>
      <c r="TCX55" s="346"/>
      <c r="TCY55" s="346"/>
      <c r="TCZ55" s="346"/>
      <c r="TDA55" s="346"/>
      <c r="TDB55" s="346"/>
      <c r="TDC55" s="346"/>
      <c r="TDD55" s="346"/>
      <c r="TDE55" s="346"/>
      <c r="TDF55" s="346"/>
      <c r="TDG55" s="346"/>
      <c r="TDH55" s="346"/>
      <c r="TDI55" s="346"/>
      <c r="TDJ55" s="346"/>
      <c r="TDK55" s="346"/>
      <c r="TDL55" s="346"/>
      <c r="TDM55" s="346"/>
      <c r="TDN55" s="346"/>
      <c r="TDO55" s="346"/>
      <c r="TDP55" s="346"/>
      <c r="TDQ55" s="346"/>
      <c r="TDR55" s="346"/>
      <c r="TDS55" s="346"/>
      <c r="TDT55" s="346"/>
      <c r="TDU55" s="346"/>
      <c r="TDV55" s="346"/>
      <c r="TDW55" s="346"/>
      <c r="TDX55" s="346"/>
      <c r="TDY55" s="346"/>
      <c r="TDZ55" s="346"/>
      <c r="TEA55" s="346"/>
      <c r="TEB55" s="346"/>
      <c r="TEC55" s="346"/>
      <c r="TED55" s="346"/>
      <c r="TEE55" s="346"/>
      <c r="TEF55" s="346"/>
      <c r="TEG55" s="346"/>
      <c r="TEH55" s="346"/>
      <c r="TEI55" s="346"/>
      <c r="TEJ55" s="346"/>
      <c r="TEK55" s="346"/>
      <c r="TEL55" s="346"/>
      <c r="TEM55" s="346"/>
      <c r="TEN55" s="346"/>
      <c r="TEO55" s="346"/>
      <c r="TEP55" s="346"/>
      <c r="TEQ55" s="346"/>
      <c r="TER55" s="346"/>
      <c r="TES55" s="346"/>
      <c r="TET55" s="346"/>
      <c r="TEU55" s="346"/>
      <c r="TEV55" s="346"/>
      <c r="TEW55" s="346"/>
      <c r="TEX55" s="346"/>
      <c r="TEY55" s="346"/>
      <c r="TEZ55" s="346"/>
      <c r="TFA55" s="346"/>
      <c r="TFB55" s="346"/>
      <c r="TFC55" s="346"/>
      <c r="TFD55" s="346"/>
      <c r="TFE55" s="346"/>
      <c r="TFF55" s="346"/>
      <c r="TFG55" s="346"/>
      <c r="TFH55" s="346"/>
      <c r="TFI55" s="346"/>
      <c r="TFJ55" s="346"/>
      <c r="TFK55" s="346"/>
      <c r="TFL55" s="346"/>
      <c r="TFM55" s="346"/>
      <c r="TFN55" s="346"/>
      <c r="TFO55" s="346"/>
      <c r="TFP55" s="346"/>
      <c r="TFQ55" s="346"/>
      <c r="TFR55" s="346"/>
      <c r="TFS55" s="346"/>
      <c r="TFT55" s="346"/>
      <c r="TFU55" s="346"/>
      <c r="TFV55" s="346"/>
      <c r="TFW55" s="346"/>
      <c r="TFX55" s="346"/>
      <c r="TFY55" s="346"/>
      <c r="TFZ55" s="346"/>
      <c r="TGA55" s="346"/>
      <c r="TGB55" s="346"/>
      <c r="TGC55" s="346"/>
      <c r="TGD55" s="346"/>
      <c r="TGE55" s="346"/>
      <c r="TGF55" s="346"/>
      <c r="TGG55" s="346"/>
      <c r="TGH55" s="346"/>
      <c r="TGI55" s="346"/>
      <c r="TGJ55" s="346"/>
      <c r="TGK55" s="346"/>
      <c r="TGL55" s="346"/>
      <c r="TGM55" s="346"/>
      <c r="TGN55" s="346"/>
      <c r="TGO55" s="346"/>
      <c r="TGP55" s="346"/>
      <c r="TGQ55" s="346"/>
      <c r="TGR55" s="346"/>
      <c r="TGS55" s="346"/>
      <c r="TGT55" s="346"/>
      <c r="TGU55" s="346"/>
      <c r="TGV55" s="346"/>
      <c r="TGW55" s="346"/>
      <c r="TGX55" s="346"/>
      <c r="TGY55" s="346"/>
      <c r="TGZ55" s="346"/>
      <c r="THA55" s="346"/>
      <c r="THB55" s="346"/>
      <c r="THC55" s="346"/>
      <c r="THD55" s="346"/>
      <c r="THE55" s="346"/>
      <c r="THF55" s="346"/>
      <c r="THG55" s="346"/>
      <c r="THH55" s="346"/>
      <c r="THI55" s="346"/>
      <c r="THJ55" s="346"/>
      <c r="THK55" s="346"/>
      <c r="THL55" s="346"/>
      <c r="THM55" s="346"/>
      <c r="THN55" s="346"/>
      <c r="THO55" s="346"/>
      <c r="THP55" s="346"/>
      <c r="THQ55" s="346"/>
      <c r="THR55" s="346"/>
      <c r="THS55" s="346"/>
      <c r="THT55" s="346"/>
      <c r="THU55" s="346"/>
      <c r="THV55" s="346"/>
      <c r="THW55" s="346"/>
      <c r="THX55" s="346"/>
      <c r="THY55" s="346"/>
      <c r="THZ55" s="346"/>
      <c r="TIA55" s="346"/>
      <c r="TIB55" s="346"/>
      <c r="TIC55" s="346"/>
      <c r="TID55" s="346"/>
      <c r="TIE55" s="346"/>
      <c r="TIF55" s="346"/>
      <c r="TIG55" s="346"/>
      <c r="TIH55" s="346"/>
      <c r="TII55" s="346"/>
      <c r="TIJ55" s="346"/>
      <c r="TIK55" s="346"/>
      <c r="TIL55" s="346"/>
      <c r="TIM55" s="346"/>
      <c r="TIN55" s="346"/>
      <c r="TIO55" s="346"/>
      <c r="TIP55" s="346"/>
      <c r="TIQ55" s="346"/>
      <c r="TIR55" s="346"/>
      <c r="TIS55" s="346"/>
      <c r="TIT55" s="346"/>
      <c r="TIU55" s="346"/>
      <c r="TIV55" s="346"/>
      <c r="TIW55" s="346"/>
      <c r="TIX55" s="346"/>
      <c r="TIY55" s="346"/>
      <c r="TIZ55" s="346"/>
      <c r="TJA55" s="346"/>
      <c r="TJB55" s="346"/>
      <c r="TJC55" s="346"/>
      <c r="TJD55" s="346"/>
      <c r="TJE55" s="346"/>
      <c r="TJF55" s="346"/>
      <c r="TJG55" s="346"/>
      <c r="TJH55" s="346"/>
      <c r="TJI55" s="346"/>
      <c r="TJJ55" s="346"/>
      <c r="TJK55" s="346"/>
      <c r="TJL55" s="346"/>
      <c r="TJM55" s="346"/>
      <c r="TJN55" s="346"/>
      <c r="TJO55" s="346"/>
      <c r="TJP55" s="346"/>
      <c r="TJQ55" s="346"/>
      <c r="TJR55" s="346"/>
      <c r="TJS55" s="346"/>
      <c r="TJT55" s="346"/>
      <c r="TJU55" s="346"/>
      <c r="TJV55" s="346"/>
      <c r="TJW55" s="346"/>
      <c r="TJX55" s="346"/>
      <c r="TJY55" s="346"/>
      <c r="TJZ55" s="346"/>
      <c r="TKA55" s="346"/>
      <c r="TKB55" s="346"/>
      <c r="TKC55" s="346"/>
      <c r="TKD55" s="346"/>
      <c r="TKE55" s="346"/>
      <c r="TKF55" s="346"/>
      <c r="TKG55" s="346"/>
      <c r="TKH55" s="346"/>
      <c r="TKI55" s="346"/>
      <c r="TKJ55" s="346"/>
      <c r="TKK55" s="346"/>
      <c r="TKL55" s="346"/>
      <c r="TKM55" s="346"/>
      <c r="TKN55" s="346"/>
      <c r="TKO55" s="346"/>
      <c r="TKP55" s="346"/>
      <c r="TKQ55" s="346"/>
      <c r="TKR55" s="346"/>
      <c r="TKS55" s="346"/>
      <c r="TKT55" s="346"/>
      <c r="TKU55" s="346"/>
      <c r="TKV55" s="346"/>
      <c r="TKW55" s="346"/>
      <c r="TKX55" s="346"/>
      <c r="TKY55" s="346"/>
      <c r="TKZ55" s="346"/>
      <c r="TLA55" s="346"/>
      <c r="TLB55" s="346"/>
      <c r="TLC55" s="346"/>
      <c r="TLD55" s="346"/>
      <c r="TLE55" s="346"/>
      <c r="TLF55" s="346"/>
      <c r="TLG55" s="346"/>
      <c r="TLH55" s="346"/>
      <c r="TLI55" s="346"/>
      <c r="TLJ55" s="346"/>
      <c r="TLK55" s="346"/>
      <c r="TLL55" s="346"/>
      <c r="TLM55" s="346"/>
      <c r="TLN55" s="346"/>
      <c r="TLO55" s="346"/>
      <c r="TLP55" s="346"/>
      <c r="TLQ55" s="346"/>
      <c r="TLR55" s="346"/>
      <c r="TLS55" s="346"/>
      <c r="TLT55" s="346"/>
      <c r="TLU55" s="346"/>
      <c r="TLV55" s="346"/>
      <c r="TLW55" s="346"/>
      <c r="TLX55" s="346"/>
      <c r="TLY55" s="346"/>
      <c r="TLZ55" s="346"/>
      <c r="TMA55" s="346"/>
      <c r="TMB55" s="346"/>
      <c r="TMC55" s="346"/>
      <c r="TMD55" s="346"/>
      <c r="TME55" s="346"/>
      <c r="TMF55" s="346"/>
      <c r="TMG55" s="346"/>
      <c r="TMH55" s="346"/>
      <c r="TMI55" s="346"/>
      <c r="TMJ55" s="346"/>
      <c r="TMK55" s="346"/>
      <c r="TML55" s="346"/>
      <c r="TMM55" s="346"/>
      <c r="TMN55" s="346"/>
      <c r="TMO55" s="346"/>
      <c r="TMP55" s="346"/>
      <c r="TMQ55" s="346"/>
      <c r="TMR55" s="346"/>
      <c r="TMS55" s="346"/>
      <c r="TMT55" s="346"/>
      <c r="TMU55" s="346"/>
      <c r="TMV55" s="346"/>
      <c r="TMW55" s="346"/>
      <c r="TMX55" s="346"/>
      <c r="TMY55" s="346"/>
      <c r="TMZ55" s="346"/>
      <c r="TNA55" s="346"/>
      <c r="TNB55" s="346"/>
      <c r="TNC55" s="346"/>
      <c r="TND55" s="346"/>
      <c r="TNE55" s="346"/>
      <c r="TNF55" s="346"/>
      <c r="TNG55" s="346"/>
      <c r="TNH55" s="346"/>
      <c r="TNI55" s="346"/>
      <c r="TNJ55" s="346"/>
      <c r="TNK55" s="346"/>
      <c r="TNL55" s="346"/>
      <c r="TNM55" s="346"/>
      <c r="TNN55" s="346"/>
      <c r="TNO55" s="346"/>
      <c r="TNP55" s="346"/>
      <c r="TNQ55" s="346"/>
      <c r="TNR55" s="346"/>
      <c r="TNS55" s="346"/>
      <c r="TNT55" s="346"/>
      <c r="TNU55" s="346"/>
      <c r="TNV55" s="346"/>
      <c r="TNW55" s="346"/>
      <c r="TNX55" s="346"/>
      <c r="TNY55" s="346"/>
      <c r="TNZ55" s="346"/>
      <c r="TOA55" s="346"/>
      <c r="TOB55" s="346"/>
      <c r="TOC55" s="346"/>
      <c r="TOD55" s="346"/>
      <c r="TOE55" s="346"/>
      <c r="TOF55" s="346"/>
      <c r="TOG55" s="346"/>
      <c r="TOH55" s="346"/>
      <c r="TOI55" s="346"/>
      <c r="TOJ55" s="346"/>
      <c r="TOK55" s="346"/>
      <c r="TOL55" s="346"/>
      <c r="TOM55" s="346"/>
      <c r="TON55" s="346"/>
      <c r="TOO55" s="346"/>
      <c r="TOP55" s="346"/>
      <c r="TOQ55" s="346"/>
      <c r="TOR55" s="346"/>
      <c r="TOS55" s="346"/>
      <c r="TOT55" s="346"/>
      <c r="TOU55" s="346"/>
      <c r="TOV55" s="346"/>
      <c r="TOW55" s="346"/>
      <c r="TOX55" s="346"/>
      <c r="TOY55" s="346"/>
      <c r="TOZ55" s="346"/>
      <c r="TPA55" s="346"/>
      <c r="TPB55" s="346"/>
      <c r="TPC55" s="346"/>
      <c r="TPD55" s="346"/>
      <c r="TPE55" s="346"/>
      <c r="TPF55" s="346"/>
      <c r="TPG55" s="346"/>
      <c r="TPH55" s="346"/>
      <c r="TPI55" s="346"/>
      <c r="TPJ55" s="346"/>
      <c r="TPK55" s="346"/>
      <c r="TPL55" s="346"/>
      <c r="TPM55" s="346"/>
      <c r="TPN55" s="346"/>
      <c r="TPO55" s="346"/>
      <c r="TPP55" s="346"/>
      <c r="TPQ55" s="346"/>
      <c r="TPR55" s="346"/>
      <c r="TPS55" s="346"/>
      <c r="TPT55" s="346"/>
      <c r="TPU55" s="346"/>
      <c r="TPV55" s="346"/>
      <c r="TPW55" s="346"/>
      <c r="TPX55" s="346"/>
      <c r="TPY55" s="346"/>
      <c r="TPZ55" s="346"/>
      <c r="TQA55" s="346"/>
      <c r="TQB55" s="346"/>
      <c r="TQC55" s="346"/>
      <c r="TQD55" s="346"/>
      <c r="TQE55" s="346"/>
      <c r="TQF55" s="346"/>
      <c r="TQG55" s="346"/>
      <c r="TQH55" s="346"/>
      <c r="TQI55" s="346"/>
      <c r="TQJ55" s="346"/>
      <c r="TQK55" s="346"/>
      <c r="TQL55" s="346"/>
      <c r="TQM55" s="346"/>
      <c r="TQN55" s="346"/>
      <c r="TQO55" s="346"/>
      <c r="TQP55" s="346"/>
      <c r="TQQ55" s="346"/>
      <c r="TQR55" s="346"/>
      <c r="TQS55" s="346"/>
      <c r="TQT55" s="346"/>
      <c r="TQU55" s="346"/>
      <c r="TQV55" s="346"/>
      <c r="TQW55" s="346"/>
      <c r="TQX55" s="346"/>
      <c r="TQY55" s="346"/>
      <c r="TQZ55" s="346"/>
      <c r="TRA55" s="346"/>
      <c r="TRB55" s="346"/>
      <c r="TRC55" s="346"/>
      <c r="TRD55" s="346"/>
      <c r="TRE55" s="346"/>
      <c r="TRF55" s="346"/>
      <c r="TRG55" s="346"/>
      <c r="TRH55" s="346"/>
      <c r="TRI55" s="346"/>
      <c r="TRJ55" s="346"/>
      <c r="TRK55" s="346"/>
      <c r="TRL55" s="346"/>
      <c r="TRM55" s="346"/>
      <c r="TRN55" s="346"/>
      <c r="TRO55" s="346"/>
      <c r="TRP55" s="346"/>
      <c r="TRQ55" s="346"/>
      <c r="TRR55" s="346"/>
      <c r="TRS55" s="346"/>
      <c r="TRT55" s="346"/>
      <c r="TRU55" s="346"/>
      <c r="TRV55" s="346"/>
      <c r="TRW55" s="346"/>
      <c r="TRX55" s="346"/>
      <c r="TRY55" s="346"/>
      <c r="TRZ55" s="346"/>
      <c r="TSA55" s="346"/>
      <c r="TSB55" s="346"/>
      <c r="TSC55" s="346"/>
      <c r="TSD55" s="346"/>
      <c r="TSE55" s="346"/>
      <c r="TSF55" s="346"/>
      <c r="TSG55" s="346"/>
      <c r="TSH55" s="346"/>
      <c r="TSI55" s="346"/>
      <c r="TSJ55" s="346"/>
      <c r="TSK55" s="346"/>
      <c r="TSL55" s="346"/>
      <c r="TSM55" s="346"/>
      <c r="TSN55" s="346"/>
      <c r="TSO55" s="346"/>
      <c r="TSP55" s="346"/>
      <c r="TSQ55" s="346"/>
      <c r="TSR55" s="346"/>
      <c r="TSS55" s="346"/>
      <c r="TST55" s="346"/>
      <c r="TSU55" s="346"/>
      <c r="TSV55" s="346"/>
      <c r="TSW55" s="346"/>
      <c r="TSX55" s="346"/>
      <c r="TSY55" s="346"/>
      <c r="TSZ55" s="346"/>
      <c r="TTA55" s="346"/>
      <c r="TTB55" s="346"/>
      <c r="TTC55" s="346"/>
      <c r="TTD55" s="346"/>
      <c r="TTE55" s="346"/>
      <c r="TTF55" s="346"/>
      <c r="TTG55" s="346"/>
      <c r="TTH55" s="346"/>
      <c r="TTI55" s="346"/>
      <c r="TTJ55" s="346"/>
      <c r="TTK55" s="346"/>
      <c r="TTL55" s="346"/>
      <c r="TTM55" s="346"/>
      <c r="TTN55" s="346"/>
      <c r="TTO55" s="346"/>
      <c r="TTP55" s="346"/>
      <c r="TTQ55" s="346"/>
      <c r="TTR55" s="346"/>
      <c r="TTS55" s="346"/>
      <c r="TTT55" s="346"/>
      <c r="TTU55" s="346"/>
      <c r="TTV55" s="346"/>
      <c r="TTW55" s="346"/>
      <c r="TTX55" s="346"/>
      <c r="TTY55" s="346"/>
      <c r="TTZ55" s="346"/>
      <c r="TUA55" s="346"/>
      <c r="TUB55" s="346"/>
      <c r="TUC55" s="346"/>
      <c r="TUD55" s="346"/>
      <c r="TUE55" s="346"/>
      <c r="TUF55" s="346"/>
      <c r="TUG55" s="346"/>
      <c r="TUH55" s="346"/>
      <c r="TUI55" s="346"/>
      <c r="TUJ55" s="346"/>
      <c r="TUK55" s="346"/>
      <c r="TUL55" s="346"/>
      <c r="TUM55" s="346"/>
      <c r="TUN55" s="346"/>
      <c r="TUO55" s="346"/>
      <c r="TUP55" s="346"/>
      <c r="TUQ55" s="346"/>
      <c r="TUR55" s="346"/>
      <c r="TUS55" s="346"/>
      <c r="TUT55" s="346"/>
      <c r="TUU55" s="346"/>
      <c r="TUV55" s="346"/>
      <c r="TUW55" s="346"/>
      <c r="TUX55" s="346"/>
      <c r="TUY55" s="346"/>
      <c r="TUZ55" s="346"/>
      <c r="TVA55" s="346"/>
      <c r="TVB55" s="346"/>
      <c r="TVC55" s="346"/>
      <c r="TVD55" s="346"/>
      <c r="TVE55" s="346"/>
      <c r="TVF55" s="346"/>
      <c r="TVG55" s="346"/>
      <c r="TVH55" s="346"/>
      <c r="TVI55" s="346"/>
      <c r="TVJ55" s="346"/>
      <c r="TVK55" s="346"/>
      <c r="TVL55" s="346"/>
      <c r="TVM55" s="346"/>
      <c r="TVN55" s="346"/>
      <c r="TVO55" s="346"/>
      <c r="TVP55" s="346"/>
      <c r="TVQ55" s="346"/>
      <c r="TVR55" s="346"/>
      <c r="TVS55" s="346"/>
      <c r="TVT55" s="346"/>
      <c r="TVU55" s="346"/>
      <c r="TVV55" s="346"/>
      <c r="TVW55" s="346"/>
      <c r="TVX55" s="346"/>
      <c r="TVY55" s="346"/>
      <c r="TVZ55" s="346"/>
      <c r="TWA55" s="346"/>
      <c r="TWB55" s="346"/>
      <c r="TWC55" s="346"/>
      <c r="TWD55" s="346"/>
      <c r="TWE55" s="346"/>
      <c r="TWF55" s="346"/>
      <c r="TWG55" s="346"/>
      <c r="TWH55" s="346"/>
      <c r="TWI55" s="346"/>
      <c r="TWJ55" s="346"/>
      <c r="TWK55" s="346"/>
      <c r="TWL55" s="346"/>
      <c r="TWM55" s="346"/>
      <c r="TWN55" s="346"/>
      <c r="TWO55" s="346"/>
      <c r="TWP55" s="346"/>
      <c r="TWQ55" s="346"/>
      <c r="TWR55" s="346"/>
      <c r="TWS55" s="346"/>
      <c r="TWT55" s="346"/>
      <c r="TWU55" s="346"/>
      <c r="TWV55" s="346"/>
      <c r="TWW55" s="346"/>
      <c r="TWX55" s="346"/>
      <c r="TWY55" s="346"/>
      <c r="TWZ55" s="346"/>
      <c r="TXA55" s="346"/>
      <c r="TXB55" s="346"/>
      <c r="TXC55" s="346"/>
      <c r="TXD55" s="346"/>
      <c r="TXE55" s="346"/>
      <c r="TXF55" s="346"/>
      <c r="TXG55" s="346"/>
      <c r="TXH55" s="346"/>
      <c r="TXI55" s="346"/>
      <c r="TXJ55" s="346"/>
      <c r="TXK55" s="346"/>
      <c r="TXL55" s="346"/>
      <c r="TXM55" s="346"/>
      <c r="TXN55" s="346"/>
      <c r="TXO55" s="346"/>
      <c r="TXP55" s="346"/>
      <c r="TXQ55" s="346"/>
      <c r="TXR55" s="346"/>
      <c r="TXS55" s="346"/>
      <c r="TXT55" s="346"/>
      <c r="TXU55" s="346"/>
      <c r="TXV55" s="346"/>
      <c r="TXW55" s="346"/>
      <c r="TXX55" s="346"/>
      <c r="TXY55" s="346"/>
      <c r="TXZ55" s="346"/>
      <c r="TYA55" s="346"/>
      <c r="TYB55" s="346"/>
      <c r="TYC55" s="346"/>
      <c r="TYD55" s="346"/>
      <c r="TYE55" s="346"/>
      <c r="TYF55" s="346"/>
      <c r="TYG55" s="346"/>
      <c r="TYH55" s="346"/>
      <c r="TYI55" s="346"/>
      <c r="TYJ55" s="346"/>
      <c r="TYK55" s="346"/>
      <c r="TYL55" s="346"/>
      <c r="TYM55" s="346"/>
      <c r="TYN55" s="346"/>
      <c r="TYO55" s="346"/>
      <c r="TYP55" s="346"/>
      <c r="TYQ55" s="346"/>
      <c r="TYR55" s="346"/>
      <c r="TYS55" s="346"/>
      <c r="TYT55" s="346"/>
      <c r="TYU55" s="346"/>
      <c r="TYV55" s="346"/>
      <c r="TYW55" s="346"/>
      <c r="TYX55" s="346"/>
      <c r="TYY55" s="346"/>
      <c r="TYZ55" s="346"/>
      <c r="TZA55" s="346"/>
      <c r="TZB55" s="346"/>
      <c r="TZC55" s="346"/>
      <c r="TZD55" s="346"/>
      <c r="TZE55" s="346"/>
      <c r="TZF55" s="346"/>
      <c r="TZG55" s="346"/>
      <c r="TZH55" s="346"/>
      <c r="TZI55" s="346"/>
      <c r="TZJ55" s="346"/>
      <c r="TZK55" s="346"/>
      <c r="TZL55" s="346"/>
      <c r="TZM55" s="346"/>
      <c r="TZN55" s="346"/>
      <c r="TZO55" s="346"/>
      <c r="TZP55" s="346"/>
      <c r="TZQ55" s="346"/>
      <c r="TZR55" s="346"/>
      <c r="TZS55" s="346"/>
      <c r="TZT55" s="346"/>
      <c r="TZU55" s="346"/>
      <c r="TZV55" s="346"/>
      <c r="TZW55" s="346"/>
      <c r="TZX55" s="346"/>
      <c r="TZY55" s="346"/>
      <c r="TZZ55" s="346"/>
      <c r="UAA55" s="346"/>
      <c r="UAB55" s="346"/>
      <c r="UAC55" s="346"/>
      <c r="UAD55" s="346"/>
      <c r="UAE55" s="346"/>
      <c r="UAF55" s="346"/>
      <c r="UAG55" s="346"/>
      <c r="UAH55" s="346"/>
      <c r="UAI55" s="346"/>
      <c r="UAJ55" s="346"/>
      <c r="UAK55" s="346"/>
      <c r="UAL55" s="346"/>
      <c r="UAM55" s="346"/>
      <c r="UAN55" s="346"/>
      <c r="UAO55" s="346"/>
      <c r="UAP55" s="346"/>
      <c r="UAQ55" s="346"/>
      <c r="UAR55" s="346"/>
      <c r="UAS55" s="346"/>
      <c r="UAT55" s="346"/>
      <c r="UAU55" s="346"/>
      <c r="UAV55" s="346"/>
      <c r="UAW55" s="346"/>
      <c r="UAX55" s="346"/>
      <c r="UAY55" s="346"/>
      <c r="UAZ55" s="346"/>
      <c r="UBA55" s="346"/>
      <c r="UBB55" s="346"/>
      <c r="UBC55" s="346"/>
      <c r="UBD55" s="346"/>
      <c r="UBE55" s="346"/>
      <c r="UBF55" s="346"/>
      <c r="UBG55" s="346"/>
      <c r="UBH55" s="346"/>
      <c r="UBI55" s="346"/>
      <c r="UBJ55" s="346"/>
      <c r="UBK55" s="346"/>
      <c r="UBL55" s="346"/>
      <c r="UBM55" s="346"/>
      <c r="UBN55" s="346"/>
      <c r="UBO55" s="346"/>
      <c r="UBP55" s="346"/>
      <c r="UBQ55" s="346"/>
      <c r="UBR55" s="346"/>
      <c r="UBS55" s="346"/>
      <c r="UBT55" s="346"/>
      <c r="UBU55" s="346"/>
      <c r="UBV55" s="346"/>
      <c r="UBW55" s="346"/>
      <c r="UBX55" s="346"/>
      <c r="UBY55" s="346"/>
      <c r="UBZ55" s="346"/>
      <c r="UCA55" s="346"/>
      <c r="UCB55" s="346"/>
      <c r="UCC55" s="346"/>
      <c r="UCD55" s="346"/>
      <c r="UCE55" s="346"/>
      <c r="UCF55" s="346"/>
      <c r="UCG55" s="346"/>
      <c r="UCH55" s="346"/>
      <c r="UCI55" s="346"/>
      <c r="UCJ55" s="346"/>
      <c r="UCK55" s="346"/>
      <c r="UCL55" s="346"/>
      <c r="UCM55" s="346"/>
      <c r="UCN55" s="346"/>
      <c r="UCO55" s="346"/>
      <c r="UCP55" s="346"/>
      <c r="UCQ55" s="346"/>
      <c r="UCR55" s="346"/>
      <c r="UCS55" s="346"/>
      <c r="UCT55" s="346"/>
      <c r="UCU55" s="346"/>
      <c r="UCV55" s="346"/>
      <c r="UCW55" s="346"/>
      <c r="UCX55" s="346"/>
      <c r="UCY55" s="346"/>
      <c r="UCZ55" s="346"/>
      <c r="UDA55" s="346"/>
      <c r="UDB55" s="346"/>
      <c r="UDC55" s="346"/>
      <c r="UDD55" s="346"/>
      <c r="UDE55" s="346"/>
      <c r="UDF55" s="346"/>
      <c r="UDG55" s="346"/>
      <c r="UDH55" s="346"/>
      <c r="UDI55" s="346"/>
      <c r="UDJ55" s="346"/>
      <c r="UDK55" s="346"/>
      <c r="UDL55" s="346"/>
      <c r="UDM55" s="346"/>
      <c r="UDN55" s="346"/>
      <c r="UDO55" s="346"/>
      <c r="UDP55" s="346"/>
      <c r="UDQ55" s="346"/>
      <c r="UDR55" s="346"/>
      <c r="UDS55" s="346"/>
      <c r="UDT55" s="346"/>
      <c r="UDU55" s="346"/>
      <c r="UDV55" s="346"/>
      <c r="UDW55" s="346"/>
      <c r="UDX55" s="346"/>
      <c r="UDY55" s="346"/>
      <c r="UDZ55" s="346"/>
      <c r="UEA55" s="346"/>
      <c r="UEB55" s="346"/>
      <c r="UEC55" s="346"/>
      <c r="UED55" s="346"/>
      <c r="UEE55" s="346"/>
      <c r="UEF55" s="346"/>
      <c r="UEG55" s="346"/>
      <c r="UEH55" s="346"/>
      <c r="UEI55" s="346"/>
      <c r="UEJ55" s="346"/>
      <c r="UEK55" s="346"/>
      <c r="UEL55" s="346"/>
      <c r="UEM55" s="346"/>
      <c r="UEN55" s="346"/>
      <c r="UEO55" s="346"/>
      <c r="UEP55" s="346"/>
      <c r="UEQ55" s="346"/>
      <c r="UER55" s="346"/>
      <c r="UES55" s="346"/>
      <c r="UET55" s="346"/>
      <c r="UEU55" s="346"/>
      <c r="UEV55" s="346"/>
      <c r="UEW55" s="346"/>
      <c r="UEX55" s="346"/>
      <c r="UEY55" s="346"/>
      <c r="UEZ55" s="346"/>
      <c r="UFA55" s="346"/>
      <c r="UFB55" s="346"/>
      <c r="UFC55" s="346"/>
      <c r="UFD55" s="346"/>
      <c r="UFE55" s="346"/>
      <c r="UFF55" s="346"/>
      <c r="UFG55" s="346"/>
      <c r="UFH55" s="346"/>
      <c r="UFI55" s="346"/>
      <c r="UFJ55" s="346"/>
      <c r="UFK55" s="346"/>
      <c r="UFL55" s="346"/>
      <c r="UFM55" s="346"/>
      <c r="UFN55" s="346"/>
      <c r="UFO55" s="346"/>
      <c r="UFP55" s="346"/>
      <c r="UFQ55" s="346"/>
      <c r="UFR55" s="346"/>
      <c r="UFS55" s="346"/>
      <c r="UFT55" s="346"/>
      <c r="UFU55" s="346"/>
      <c r="UFV55" s="346"/>
      <c r="UFW55" s="346"/>
      <c r="UFX55" s="346"/>
      <c r="UFY55" s="346"/>
      <c r="UFZ55" s="346"/>
      <c r="UGA55" s="346"/>
      <c r="UGB55" s="346"/>
      <c r="UGC55" s="346"/>
      <c r="UGD55" s="346"/>
      <c r="UGE55" s="346"/>
      <c r="UGF55" s="346"/>
      <c r="UGG55" s="346"/>
      <c r="UGH55" s="346"/>
      <c r="UGI55" s="346"/>
      <c r="UGJ55" s="346"/>
      <c r="UGK55" s="346"/>
      <c r="UGL55" s="346"/>
      <c r="UGM55" s="346"/>
      <c r="UGN55" s="346"/>
      <c r="UGO55" s="346"/>
      <c r="UGP55" s="346"/>
      <c r="UGQ55" s="346"/>
      <c r="UGR55" s="346"/>
      <c r="UGS55" s="346"/>
      <c r="UGT55" s="346"/>
      <c r="UGU55" s="346"/>
      <c r="UGV55" s="346"/>
      <c r="UGW55" s="346"/>
      <c r="UGX55" s="346"/>
      <c r="UGY55" s="346"/>
      <c r="UGZ55" s="346"/>
      <c r="UHA55" s="346"/>
      <c r="UHB55" s="346"/>
      <c r="UHC55" s="346"/>
      <c r="UHD55" s="346"/>
      <c r="UHE55" s="346"/>
      <c r="UHF55" s="346"/>
      <c r="UHG55" s="346"/>
      <c r="UHH55" s="346"/>
      <c r="UHI55" s="346"/>
      <c r="UHJ55" s="346"/>
      <c r="UHK55" s="346"/>
      <c r="UHL55" s="346"/>
      <c r="UHM55" s="346"/>
      <c r="UHN55" s="346"/>
      <c r="UHO55" s="346"/>
      <c r="UHP55" s="346"/>
      <c r="UHQ55" s="346"/>
      <c r="UHR55" s="346"/>
      <c r="UHS55" s="346"/>
      <c r="UHT55" s="346"/>
      <c r="UHU55" s="346"/>
      <c r="UHV55" s="346"/>
      <c r="UHW55" s="346"/>
      <c r="UHX55" s="346"/>
      <c r="UHY55" s="346"/>
      <c r="UHZ55" s="346"/>
      <c r="UIA55" s="346"/>
      <c r="UIB55" s="346"/>
      <c r="UIC55" s="346"/>
      <c r="UID55" s="346"/>
      <c r="UIE55" s="346"/>
      <c r="UIF55" s="346"/>
      <c r="UIG55" s="346"/>
      <c r="UIH55" s="346"/>
      <c r="UII55" s="346"/>
      <c r="UIJ55" s="346"/>
      <c r="UIK55" s="346"/>
      <c r="UIL55" s="346"/>
      <c r="UIM55" s="346"/>
      <c r="UIN55" s="346"/>
      <c r="UIO55" s="346"/>
      <c r="UIP55" s="346"/>
      <c r="UIQ55" s="346"/>
      <c r="UIR55" s="346"/>
      <c r="UIS55" s="346"/>
      <c r="UIT55" s="346"/>
      <c r="UIU55" s="346"/>
      <c r="UIV55" s="346"/>
      <c r="UIW55" s="346"/>
      <c r="UIX55" s="346"/>
      <c r="UIY55" s="346"/>
      <c r="UIZ55" s="346"/>
      <c r="UJA55" s="346"/>
      <c r="UJB55" s="346"/>
      <c r="UJC55" s="346"/>
      <c r="UJD55" s="346"/>
      <c r="UJE55" s="346"/>
      <c r="UJF55" s="346"/>
      <c r="UJG55" s="346"/>
      <c r="UJH55" s="346"/>
      <c r="UJI55" s="346"/>
      <c r="UJJ55" s="346"/>
      <c r="UJK55" s="346"/>
      <c r="UJL55" s="346"/>
      <c r="UJM55" s="346"/>
      <c r="UJN55" s="346"/>
      <c r="UJO55" s="346"/>
      <c r="UJP55" s="346"/>
      <c r="UJQ55" s="346"/>
      <c r="UJR55" s="346"/>
      <c r="UJS55" s="346"/>
      <c r="UJT55" s="346"/>
      <c r="UJU55" s="346"/>
      <c r="UJV55" s="346"/>
      <c r="UJW55" s="346"/>
      <c r="UJX55" s="346"/>
      <c r="UJY55" s="346"/>
      <c r="UJZ55" s="346"/>
      <c r="UKA55" s="346"/>
      <c r="UKB55" s="346"/>
      <c r="UKC55" s="346"/>
      <c r="UKD55" s="346"/>
      <c r="UKE55" s="346"/>
      <c r="UKF55" s="346"/>
      <c r="UKG55" s="346"/>
      <c r="UKH55" s="346"/>
      <c r="UKI55" s="346"/>
      <c r="UKJ55" s="346"/>
      <c r="UKK55" s="346"/>
      <c r="UKL55" s="346"/>
      <c r="UKM55" s="346"/>
      <c r="UKN55" s="346"/>
      <c r="UKO55" s="346"/>
      <c r="UKP55" s="346"/>
      <c r="UKQ55" s="346"/>
      <c r="UKR55" s="346"/>
      <c r="UKS55" s="346"/>
      <c r="UKT55" s="346"/>
      <c r="UKU55" s="346"/>
      <c r="UKV55" s="346"/>
      <c r="UKW55" s="346"/>
      <c r="UKX55" s="346"/>
      <c r="UKY55" s="346"/>
      <c r="UKZ55" s="346"/>
      <c r="ULA55" s="346"/>
      <c r="ULB55" s="346"/>
      <c r="ULC55" s="346"/>
      <c r="ULD55" s="346"/>
      <c r="ULE55" s="346"/>
      <c r="ULF55" s="346"/>
      <c r="ULG55" s="346"/>
      <c r="ULH55" s="346"/>
      <c r="ULI55" s="346"/>
      <c r="ULJ55" s="346"/>
      <c r="ULK55" s="346"/>
      <c r="ULL55" s="346"/>
      <c r="ULM55" s="346"/>
      <c r="ULN55" s="346"/>
      <c r="ULO55" s="346"/>
      <c r="ULP55" s="346"/>
      <c r="ULQ55" s="346"/>
      <c r="ULR55" s="346"/>
      <c r="ULS55" s="346"/>
      <c r="ULT55" s="346"/>
      <c r="ULU55" s="346"/>
      <c r="ULV55" s="346"/>
      <c r="ULW55" s="346"/>
      <c r="ULX55" s="346"/>
      <c r="ULY55" s="346"/>
      <c r="ULZ55" s="346"/>
      <c r="UMA55" s="346"/>
      <c r="UMB55" s="346"/>
      <c r="UMC55" s="346"/>
      <c r="UMD55" s="346"/>
      <c r="UME55" s="346"/>
      <c r="UMF55" s="346"/>
      <c r="UMG55" s="346"/>
      <c r="UMH55" s="346"/>
      <c r="UMI55" s="346"/>
      <c r="UMJ55" s="346"/>
      <c r="UMK55" s="346"/>
      <c r="UML55" s="346"/>
      <c r="UMM55" s="346"/>
      <c r="UMN55" s="346"/>
      <c r="UMO55" s="346"/>
      <c r="UMP55" s="346"/>
      <c r="UMQ55" s="346"/>
      <c r="UMR55" s="346"/>
      <c r="UMS55" s="346"/>
      <c r="UMT55" s="346"/>
      <c r="UMU55" s="346"/>
      <c r="UMV55" s="346"/>
      <c r="UMW55" s="346"/>
      <c r="UMX55" s="346"/>
      <c r="UMY55" s="346"/>
      <c r="UMZ55" s="346"/>
      <c r="UNA55" s="346"/>
      <c r="UNB55" s="346"/>
      <c r="UNC55" s="346"/>
      <c r="UND55" s="346"/>
      <c r="UNE55" s="346"/>
      <c r="UNF55" s="346"/>
      <c r="UNG55" s="346"/>
      <c r="UNH55" s="346"/>
      <c r="UNI55" s="346"/>
      <c r="UNJ55" s="346"/>
      <c r="UNK55" s="346"/>
      <c r="UNL55" s="346"/>
      <c r="UNM55" s="346"/>
      <c r="UNN55" s="346"/>
      <c r="UNO55" s="346"/>
      <c r="UNP55" s="346"/>
      <c r="UNQ55" s="346"/>
      <c r="UNR55" s="346"/>
      <c r="UNS55" s="346"/>
      <c r="UNT55" s="346"/>
      <c r="UNU55" s="346"/>
      <c r="UNV55" s="346"/>
      <c r="UNW55" s="346"/>
      <c r="UNX55" s="346"/>
      <c r="UNY55" s="346"/>
      <c r="UNZ55" s="346"/>
      <c r="UOA55" s="346"/>
      <c r="UOB55" s="346"/>
      <c r="UOC55" s="346"/>
      <c r="UOD55" s="346"/>
      <c r="UOE55" s="346"/>
      <c r="UOF55" s="346"/>
      <c r="UOG55" s="346"/>
      <c r="UOH55" s="346"/>
      <c r="UOI55" s="346"/>
      <c r="UOJ55" s="346"/>
      <c r="UOK55" s="346"/>
      <c r="UOL55" s="346"/>
      <c r="UOM55" s="346"/>
      <c r="UON55" s="346"/>
      <c r="UOO55" s="346"/>
      <c r="UOP55" s="346"/>
      <c r="UOQ55" s="346"/>
      <c r="UOR55" s="346"/>
      <c r="UOS55" s="346"/>
      <c r="UOT55" s="346"/>
      <c r="UOU55" s="346"/>
      <c r="UOV55" s="346"/>
      <c r="UOW55" s="346"/>
      <c r="UOX55" s="346"/>
      <c r="UOY55" s="346"/>
      <c r="UOZ55" s="346"/>
      <c r="UPA55" s="346"/>
      <c r="UPB55" s="346"/>
      <c r="UPC55" s="346"/>
      <c r="UPD55" s="346"/>
      <c r="UPE55" s="346"/>
      <c r="UPF55" s="346"/>
      <c r="UPG55" s="346"/>
      <c r="UPH55" s="346"/>
      <c r="UPI55" s="346"/>
      <c r="UPJ55" s="346"/>
      <c r="UPK55" s="346"/>
      <c r="UPL55" s="346"/>
      <c r="UPM55" s="346"/>
      <c r="UPN55" s="346"/>
      <c r="UPO55" s="346"/>
      <c r="UPP55" s="346"/>
      <c r="UPQ55" s="346"/>
      <c r="UPR55" s="346"/>
      <c r="UPS55" s="346"/>
      <c r="UPT55" s="346"/>
      <c r="UPU55" s="346"/>
      <c r="UPV55" s="346"/>
      <c r="UPW55" s="346"/>
      <c r="UPX55" s="346"/>
      <c r="UPY55" s="346"/>
      <c r="UPZ55" s="346"/>
      <c r="UQA55" s="346"/>
      <c r="UQB55" s="346"/>
      <c r="UQC55" s="346"/>
      <c r="UQD55" s="346"/>
      <c r="UQE55" s="346"/>
      <c r="UQF55" s="346"/>
      <c r="UQG55" s="346"/>
      <c r="UQH55" s="346"/>
      <c r="UQI55" s="346"/>
      <c r="UQJ55" s="346"/>
      <c r="UQK55" s="346"/>
      <c r="UQL55" s="346"/>
      <c r="UQM55" s="346"/>
      <c r="UQN55" s="346"/>
      <c r="UQO55" s="346"/>
      <c r="UQP55" s="346"/>
      <c r="UQQ55" s="346"/>
      <c r="UQR55" s="346"/>
      <c r="UQS55" s="346"/>
      <c r="UQT55" s="346"/>
      <c r="UQU55" s="346"/>
      <c r="UQV55" s="346"/>
      <c r="UQW55" s="346"/>
      <c r="UQX55" s="346"/>
      <c r="UQY55" s="346"/>
      <c r="UQZ55" s="346"/>
      <c r="URA55" s="346"/>
      <c r="URB55" s="346"/>
      <c r="URC55" s="346"/>
      <c r="URD55" s="346"/>
      <c r="URE55" s="346"/>
      <c r="URF55" s="346"/>
      <c r="URG55" s="346"/>
      <c r="URH55" s="346"/>
      <c r="URI55" s="346"/>
      <c r="URJ55" s="346"/>
      <c r="URK55" s="346"/>
      <c r="URL55" s="346"/>
      <c r="URM55" s="346"/>
      <c r="URN55" s="346"/>
      <c r="URO55" s="346"/>
      <c r="URP55" s="346"/>
      <c r="URQ55" s="346"/>
      <c r="URR55" s="346"/>
      <c r="URS55" s="346"/>
      <c r="URT55" s="346"/>
      <c r="URU55" s="346"/>
      <c r="URV55" s="346"/>
      <c r="URW55" s="346"/>
      <c r="URX55" s="346"/>
      <c r="URY55" s="346"/>
      <c r="URZ55" s="346"/>
      <c r="USA55" s="346"/>
      <c r="USB55" s="346"/>
      <c r="USC55" s="346"/>
      <c r="USD55" s="346"/>
      <c r="USE55" s="346"/>
      <c r="USF55" s="346"/>
      <c r="USG55" s="346"/>
      <c r="USH55" s="346"/>
      <c r="USI55" s="346"/>
      <c r="USJ55" s="346"/>
      <c r="USK55" s="346"/>
      <c r="USL55" s="346"/>
      <c r="USM55" s="346"/>
      <c r="USN55" s="346"/>
      <c r="USO55" s="346"/>
      <c r="USP55" s="346"/>
      <c r="USQ55" s="346"/>
      <c r="USR55" s="346"/>
      <c r="USS55" s="346"/>
      <c r="UST55" s="346"/>
      <c r="USU55" s="346"/>
      <c r="USV55" s="346"/>
      <c r="USW55" s="346"/>
      <c r="USX55" s="346"/>
      <c r="USY55" s="346"/>
      <c r="USZ55" s="346"/>
      <c r="UTA55" s="346"/>
      <c r="UTB55" s="346"/>
      <c r="UTC55" s="346"/>
      <c r="UTD55" s="346"/>
      <c r="UTE55" s="346"/>
      <c r="UTF55" s="346"/>
      <c r="UTG55" s="346"/>
      <c r="UTH55" s="346"/>
      <c r="UTI55" s="346"/>
      <c r="UTJ55" s="346"/>
      <c r="UTK55" s="346"/>
      <c r="UTL55" s="346"/>
      <c r="UTM55" s="346"/>
      <c r="UTN55" s="346"/>
      <c r="UTO55" s="346"/>
      <c r="UTP55" s="346"/>
      <c r="UTQ55" s="346"/>
      <c r="UTR55" s="346"/>
      <c r="UTS55" s="346"/>
      <c r="UTT55" s="346"/>
      <c r="UTU55" s="346"/>
      <c r="UTV55" s="346"/>
      <c r="UTW55" s="346"/>
      <c r="UTX55" s="346"/>
      <c r="UTY55" s="346"/>
      <c r="UTZ55" s="346"/>
      <c r="UUA55" s="346"/>
      <c r="UUB55" s="346"/>
      <c r="UUC55" s="346"/>
      <c r="UUD55" s="346"/>
      <c r="UUE55" s="346"/>
      <c r="UUF55" s="346"/>
      <c r="UUG55" s="346"/>
      <c r="UUH55" s="346"/>
      <c r="UUI55" s="346"/>
      <c r="UUJ55" s="346"/>
      <c r="UUK55" s="346"/>
      <c r="UUL55" s="346"/>
      <c r="UUM55" s="346"/>
      <c r="UUN55" s="346"/>
      <c r="UUO55" s="346"/>
      <c r="UUP55" s="346"/>
      <c r="UUQ55" s="346"/>
      <c r="UUR55" s="346"/>
      <c r="UUS55" s="346"/>
      <c r="UUT55" s="346"/>
      <c r="UUU55" s="346"/>
      <c r="UUV55" s="346"/>
      <c r="UUW55" s="346"/>
      <c r="UUX55" s="346"/>
      <c r="UUY55" s="346"/>
      <c r="UUZ55" s="346"/>
      <c r="UVA55" s="346"/>
      <c r="UVB55" s="346"/>
      <c r="UVC55" s="346"/>
      <c r="UVD55" s="346"/>
      <c r="UVE55" s="346"/>
      <c r="UVF55" s="346"/>
      <c r="UVG55" s="346"/>
      <c r="UVH55" s="346"/>
      <c r="UVI55" s="346"/>
      <c r="UVJ55" s="346"/>
      <c r="UVK55" s="346"/>
      <c r="UVL55" s="346"/>
      <c r="UVM55" s="346"/>
      <c r="UVN55" s="346"/>
      <c r="UVO55" s="346"/>
      <c r="UVP55" s="346"/>
      <c r="UVQ55" s="346"/>
      <c r="UVR55" s="346"/>
      <c r="UVS55" s="346"/>
      <c r="UVT55" s="346"/>
      <c r="UVU55" s="346"/>
      <c r="UVV55" s="346"/>
      <c r="UVW55" s="346"/>
      <c r="UVX55" s="346"/>
      <c r="UVY55" s="346"/>
      <c r="UVZ55" s="346"/>
      <c r="UWA55" s="346"/>
      <c r="UWB55" s="346"/>
      <c r="UWC55" s="346"/>
      <c r="UWD55" s="346"/>
      <c r="UWE55" s="346"/>
      <c r="UWF55" s="346"/>
      <c r="UWG55" s="346"/>
      <c r="UWH55" s="346"/>
      <c r="UWI55" s="346"/>
      <c r="UWJ55" s="346"/>
      <c r="UWK55" s="346"/>
      <c r="UWL55" s="346"/>
      <c r="UWM55" s="346"/>
      <c r="UWN55" s="346"/>
      <c r="UWO55" s="346"/>
      <c r="UWP55" s="346"/>
      <c r="UWQ55" s="346"/>
      <c r="UWR55" s="346"/>
      <c r="UWS55" s="346"/>
      <c r="UWT55" s="346"/>
      <c r="UWU55" s="346"/>
      <c r="UWV55" s="346"/>
      <c r="UWW55" s="346"/>
      <c r="UWX55" s="346"/>
      <c r="UWY55" s="346"/>
      <c r="UWZ55" s="346"/>
      <c r="UXA55" s="346"/>
      <c r="UXB55" s="346"/>
      <c r="UXC55" s="346"/>
      <c r="UXD55" s="346"/>
      <c r="UXE55" s="346"/>
      <c r="UXF55" s="346"/>
      <c r="UXG55" s="346"/>
      <c r="UXH55" s="346"/>
      <c r="UXI55" s="346"/>
      <c r="UXJ55" s="346"/>
      <c r="UXK55" s="346"/>
      <c r="UXL55" s="346"/>
      <c r="UXM55" s="346"/>
      <c r="UXN55" s="346"/>
      <c r="UXO55" s="346"/>
      <c r="UXP55" s="346"/>
      <c r="UXQ55" s="346"/>
      <c r="UXR55" s="346"/>
      <c r="UXS55" s="346"/>
      <c r="UXT55" s="346"/>
      <c r="UXU55" s="346"/>
      <c r="UXV55" s="346"/>
      <c r="UXW55" s="346"/>
      <c r="UXX55" s="346"/>
      <c r="UXY55" s="346"/>
      <c r="UXZ55" s="346"/>
      <c r="UYA55" s="346"/>
      <c r="UYB55" s="346"/>
      <c r="UYC55" s="346"/>
      <c r="UYD55" s="346"/>
      <c r="UYE55" s="346"/>
      <c r="UYF55" s="346"/>
      <c r="UYG55" s="346"/>
      <c r="UYH55" s="346"/>
      <c r="UYI55" s="346"/>
      <c r="UYJ55" s="346"/>
      <c r="UYK55" s="346"/>
      <c r="UYL55" s="346"/>
      <c r="UYM55" s="346"/>
      <c r="UYN55" s="346"/>
      <c r="UYO55" s="346"/>
      <c r="UYP55" s="346"/>
      <c r="UYQ55" s="346"/>
      <c r="UYR55" s="346"/>
      <c r="UYS55" s="346"/>
      <c r="UYT55" s="346"/>
      <c r="UYU55" s="346"/>
      <c r="UYV55" s="346"/>
      <c r="UYW55" s="346"/>
      <c r="UYX55" s="346"/>
      <c r="UYY55" s="346"/>
      <c r="UYZ55" s="346"/>
      <c r="UZA55" s="346"/>
      <c r="UZB55" s="346"/>
      <c r="UZC55" s="346"/>
      <c r="UZD55" s="346"/>
      <c r="UZE55" s="346"/>
      <c r="UZF55" s="346"/>
      <c r="UZG55" s="346"/>
      <c r="UZH55" s="346"/>
      <c r="UZI55" s="346"/>
      <c r="UZJ55" s="346"/>
      <c r="UZK55" s="346"/>
      <c r="UZL55" s="346"/>
      <c r="UZM55" s="346"/>
      <c r="UZN55" s="346"/>
      <c r="UZO55" s="346"/>
      <c r="UZP55" s="346"/>
      <c r="UZQ55" s="346"/>
      <c r="UZR55" s="346"/>
      <c r="UZS55" s="346"/>
      <c r="UZT55" s="346"/>
      <c r="UZU55" s="346"/>
      <c r="UZV55" s="346"/>
      <c r="UZW55" s="346"/>
      <c r="UZX55" s="346"/>
      <c r="UZY55" s="346"/>
      <c r="UZZ55" s="346"/>
      <c r="VAA55" s="346"/>
      <c r="VAB55" s="346"/>
      <c r="VAC55" s="346"/>
      <c r="VAD55" s="346"/>
      <c r="VAE55" s="346"/>
      <c r="VAF55" s="346"/>
      <c r="VAG55" s="346"/>
      <c r="VAH55" s="346"/>
      <c r="VAI55" s="346"/>
      <c r="VAJ55" s="346"/>
      <c r="VAK55" s="346"/>
      <c r="VAL55" s="346"/>
      <c r="VAM55" s="346"/>
      <c r="VAN55" s="346"/>
      <c r="VAO55" s="346"/>
      <c r="VAP55" s="346"/>
      <c r="VAQ55" s="346"/>
      <c r="VAR55" s="346"/>
      <c r="VAS55" s="346"/>
      <c r="VAT55" s="346"/>
      <c r="VAU55" s="346"/>
      <c r="VAV55" s="346"/>
      <c r="VAW55" s="346"/>
      <c r="VAX55" s="346"/>
      <c r="VAY55" s="346"/>
      <c r="VAZ55" s="346"/>
      <c r="VBA55" s="346"/>
      <c r="VBB55" s="346"/>
      <c r="VBC55" s="346"/>
      <c r="VBD55" s="346"/>
      <c r="VBE55" s="346"/>
      <c r="VBF55" s="346"/>
      <c r="VBG55" s="346"/>
      <c r="VBH55" s="346"/>
      <c r="VBI55" s="346"/>
      <c r="VBJ55" s="346"/>
      <c r="VBK55" s="346"/>
      <c r="VBL55" s="346"/>
      <c r="VBM55" s="346"/>
      <c r="VBN55" s="346"/>
      <c r="VBO55" s="346"/>
      <c r="VBP55" s="346"/>
      <c r="VBQ55" s="346"/>
      <c r="VBR55" s="346"/>
      <c r="VBS55" s="346"/>
      <c r="VBT55" s="346"/>
      <c r="VBU55" s="346"/>
      <c r="VBV55" s="346"/>
      <c r="VBW55" s="346"/>
      <c r="VBX55" s="346"/>
      <c r="VBY55" s="346"/>
      <c r="VBZ55" s="346"/>
      <c r="VCA55" s="346"/>
      <c r="VCB55" s="346"/>
      <c r="VCC55" s="346"/>
      <c r="VCD55" s="346"/>
      <c r="VCE55" s="346"/>
      <c r="VCF55" s="346"/>
      <c r="VCG55" s="346"/>
      <c r="VCH55" s="346"/>
      <c r="VCI55" s="346"/>
      <c r="VCJ55" s="346"/>
      <c r="VCK55" s="346"/>
      <c r="VCL55" s="346"/>
      <c r="VCM55" s="346"/>
      <c r="VCN55" s="346"/>
      <c r="VCO55" s="346"/>
      <c r="VCP55" s="346"/>
      <c r="VCQ55" s="346"/>
      <c r="VCR55" s="346"/>
      <c r="VCS55" s="346"/>
      <c r="VCT55" s="346"/>
      <c r="VCU55" s="346"/>
      <c r="VCV55" s="346"/>
      <c r="VCW55" s="346"/>
      <c r="VCX55" s="346"/>
      <c r="VCY55" s="346"/>
      <c r="VCZ55" s="346"/>
      <c r="VDA55" s="346"/>
      <c r="VDB55" s="346"/>
      <c r="VDC55" s="346"/>
      <c r="VDD55" s="346"/>
      <c r="VDE55" s="346"/>
      <c r="VDF55" s="346"/>
      <c r="VDG55" s="346"/>
      <c r="VDH55" s="346"/>
      <c r="VDI55" s="346"/>
      <c r="VDJ55" s="346"/>
      <c r="VDK55" s="346"/>
      <c r="VDL55" s="346"/>
      <c r="VDM55" s="346"/>
      <c r="VDN55" s="346"/>
      <c r="VDO55" s="346"/>
      <c r="VDP55" s="346"/>
      <c r="VDQ55" s="346"/>
      <c r="VDR55" s="346"/>
      <c r="VDS55" s="346"/>
      <c r="VDT55" s="346"/>
      <c r="VDU55" s="346"/>
      <c r="VDV55" s="346"/>
      <c r="VDW55" s="346"/>
      <c r="VDX55" s="346"/>
      <c r="VDY55" s="346"/>
      <c r="VDZ55" s="346"/>
      <c r="VEA55" s="346"/>
      <c r="VEB55" s="346"/>
      <c r="VEC55" s="346"/>
      <c r="VED55" s="346"/>
      <c r="VEE55" s="346"/>
      <c r="VEF55" s="346"/>
      <c r="VEG55" s="346"/>
      <c r="VEH55" s="346"/>
      <c r="VEI55" s="346"/>
      <c r="VEJ55" s="346"/>
      <c r="VEK55" s="346"/>
      <c r="VEL55" s="346"/>
      <c r="VEM55" s="346"/>
      <c r="VEN55" s="346"/>
      <c r="VEO55" s="346"/>
      <c r="VEP55" s="346"/>
      <c r="VEQ55" s="346"/>
      <c r="VER55" s="346"/>
      <c r="VES55" s="346"/>
      <c r="VET55" s="346"/>
      <c r="VEU55" s="346"/>
      <c r="VEV55" s="346"/>
      <c r="VEW55" s="346"/>
      <c r="VEX55" s="346"/>
      <c r="VEY55" s="346"/>
      <c r="VEZ55" s="346"/>
      <c r="VFA55" s="346"/>
      <c r="VFB55" s="346"/>
      <c r="VFC55" s="346"/>
      <c r="VFD55" s="346"/>
      <c r="VFE55" s="346"/>
      <c r="VFF55" s="346"/>
      <c r="VFG55" s="346"/>
      <c r="VFH55" s="346"/>
      <c r="VFI55" s="346"/>
      <c r="VFJ55" s="346"/>
      <c r="VFK55" s="346"/>
      <c r="VFL55" s="346"/>
      <c r="VFM55" s="346"/>
      <c r="VFN55" s="346"/>
      <c r="VFO55" s="346"/>
      <c r="VFP55" s="346"/>
      <c r="VFQ55" s="346"/>
      <c r="VFR55" s="346"/>
      <c r="VFS55" s="346"/>
      <c r="VFT55" s="346"/>
      <c r="VFU55" s="346"/>
      <c r="VFV55" s="346"/>
      <c r="VFW55" s="346"/>
      <c r="VFX55" s="346"/>
      <c r="VFY55" s="346"/>
      <c r="VFZ55" s="346"/>
      <c r="VGA55" s="346"/>
      <c r="VGB55" s="346"/>
      <c r="VGC55" s="346"/>
      <c r="VGD55" s="346"/>
      <c r="VGE55" s="346"/>
      <c r="VGF55" s="346"/>
      <c r="VGG55" s="346"/>
      <c r="VGH55" s="346"/>
      <c r="VGI55" s="346"/>
      <c r="VGJ55" s="346"/>
      <c r="VGK55" s="346"/>
      <c r="VGL55" s="346"/>
      <c r="VGM55" s="346"/>
      <c r="VGN55" s="346"/>
      <c r="VGO55" s="346"/>
      <c r="VGP55" s="346"/>
      <c r="VGQ55" s="346"/>
      <c r="VGR55" s="346"/>
      <c r="VGS55" s="346"/>
      <c r="VGT55" s="346"/>
      <c r="VGU55" s="346"/>
      <c r="VGV55" s="346"/>
      <c r="VGW55" s="346"/>
      <c r="VGX55" s="346"/>
      <c r="VGY55" s="346"/>
      <c r="VGZ55" s="346"/>
      <c r="VHA55" s="346"/>
      <c r="VHB55" s="346"/>
      <c r="VHC55" s="346"/>
      <c r="VHD55" s="346"/>
      <c r="VHE55" s="346"/>
      <c r="VHF55" s="346"/>
      <c r="VHG55" s="346"/>
      <c r="VHH55" s="346"/>
      <c r="VHI55" s="346"/>
      <c r="VHJ55" s="346"/>
      <c r="VHK55" s="346"/>
      <c r="VHL55" s="346"/>
      <c r="VHM55" s="346"/>
      <c r="VHN55" s="346"/>
      <c r="VHO55" s="346"/>
      <c r="VHP55" s="346"/>
      <c r="VHQ55" s="346"/>
      <c r="VHR55" s="346"/>
      <c r="VHS55" s="346"/>
      <c r="VHT55" s="346"/>
      <c r="VHU55" s="346"/>
      <c r="VHV55" s="346"/>
      <c r="VHW55" s="346"/>
      <c r="VHX55" s="346"/>
      <c r="VHY55" s="346"/>
      <c r="VHZ55" s="346"/>
      <c r="VIA55" s="346"/>
      <c r="VIB55" s="346"/>
      <c r="VIC55" s="346"/>
      <c r="VID55" s="346"/>
      <c r="VIE55" s="346"/>
      <c r="VIF55" s="346"/>
      <c r="VIG55" s="346"/>
      <c r="VIH55" s="346"/>
      <c r="VII55" s="346"/>
      <c r="VIJ55" s="346"/>
      <c r="VIK55" s="346"/>
      <c r="VIL55" s="346"/>
      <c r="VIM55" s="346"/>
      <c r="VIN55" s="346"/>
      <c r="VIO55" s="346"/>
      <c r="VIP55" s="346"/>
      <c r="VIQ55" s="346"/>
      <c r="VIR55" s="346"/>
      <c r="VIS55" s="346"/>
      <c r="VIT55" s="346"/>
      <c r="VIU55" s="346"/>
      <c r="VIV55" s="346"/>
      <c r="VIW55" s="346"/>
      <c r="VIX55" s="346"/>
      <c r="VIY55" s="346"/>
      <c r="VIZ55" s="346"/>
      <c r="VJA55" s="346"/>
      <c r="VJB55" s="346"/>
      <c r="VJC55" s="346"/>
      <c r="VJD55" s="346"/>
      <c r="VJE55" s="346"/>
      <c r="VJF55" s="346"/>
      <c r="VJG55" s="346"/>
      <c r="VJH55" s="346"/>
      <c r="VJI55" s="346"/>
      <c r="VJJ55" s="346"/>
      <c r="VJK55" s="346"/>
      <c r="VJL55" s="346"/>
      <c r="VJM55" s="346"/>
      <c r="VJN55" s="346"/>
      <c r="VJO55" s="346"/>
      <c r="VJP55" s="346"/>
      <c r="VJQ55" s="346"/>
      <c r="VJR55" s="346"/>
      <c r="VJS55" s="346"/>
      <c r="VJT55" s="346"/>
      <c r="VJU55" s="346"/>
      <c r="VJV55" s="346"/>
      <c r="VJW55" s="346"/>
      <c r="VJX55" s="346"/>
      <c r="VJY55" s="346"/>
      <c r="VJZ55" s="346"/>
      <c r="VKA55" s="346"/>
      <c r="VKB55" s="346"/>
      <c r="VKC55" s="346"/>
      <c r="VKD55" s="346"/>
      <c r="VKE55" s="346"/>
      <c r="VKF55" s="346"/>
      <c r="VKG55" s="346"/>
      <c r="VKH55" s="346"/>
      <c r="VKI55" s="346"/>
      <c r="VKJ55" s="346"/>
      <c r="VKK55" s="346"/>
      <c r="VKL55" s="346"/>
      <c r="VKM55" s="346"/>
      <c r="VKN55" s="346"/>
      <c r="VKO55" s="346"/>
      <c r="VKP55" s="346"/>
      <c r="VKQ55" s="346"/>
      <c r="VKR55" s="346"/>
      <c r="VKS55" s="346"/>
      <c r="VKT55" s="346"/>
      <c r="VKU55" s="346"/>
      <c r="VKV55" s="346"/>
      <c r="VKW55" s="346"/>
      <c r="VKX55" s="346"/>
      <c r="VKY55" s="346"/>
      <c r="VKZ55" s="346"/>
      <c r="VLA55" s="346"/>
      <c r="VLB55" s="346"/>
      <c r="VLC55" s="346"/>
      <c r="VLD55" s="346"/>
      <c r="VLE55" s="346"/>
      <c r="VLF55" s="346"/>
      <c r="VLG55" s="346"/>
      <c r="VLH55" s="346"/>
      <c r="VLI55" s="346"/>
      <c r="VLJ55" s="346"/>
      <c r="VLK55" s="346"/>
      <c r="VLL55" s="346"/>
      <c r="VLM55" s="346"/>
      <c r="VLN55" s="346"/>
      <c r="VLO55" s="346"/>
      <c r="VLP55" s="346"/>
      <c r="VLQ55" s="346"/>
      <c r="VLR55" s="346"/>
      <c r="VLS55" s="346"/>
      <c r="VLT55" s="346"/>
      <c r="VLU55" s="346"/>
      <c r="VLV55" s="346"/>
      <c r="VLW55" s="346"/>
      <c r="VLX55" s="346"/>
      <c r="VLY55" s="346"/>
      <c r="VLZ55" s="346"/>
      <c r="VMA55" s="346"/>
      <c r="VMB55" s="346"/>
      <c r="VMC55" s="346"/>
      <c r="VMD55" s="346"/>
      <c r="VME55" s="346"/>
      <c r="VMF55" s="346"/>
      <c r="VMG55" s="346"/>
      <c r="VMH55" s="346"/>
      <c r="VMI55" s="346"/>
      <c r="VMJ55" s="346"/>
      <c r="VMK55" s="346"/>
      <c r="VML55" s="346"/>
      <c r="VMM55" s="346"/>
      <c r="VMN55" s="346"/>
      <c r="VMO55" s="346"/>
      <c r="VMP55" s="346"/>
      <c r="VMQ55" s="346"/>
      <c r="VMR55" s="346"/>
      <c r="VMS55" s="346"/>
      <c r="VMT55" s="346"/>
      <c r="VMU55" s="346"/>
      <c r="VMV55" s="346"/>
      <c r="VMW55" s="346"/>
      <c r="VMX55" s="346"/>
      <c r="VMY55" s="346"/>
      <c r="VMZ55" s="346"/>
      <c r="VNA55" s="346"/>
      <c r="VNB55" s="346"/>
      <c r="VNC55" s="346"/>
      <c r="VND55" s="346"/>
      <c r="VNE55" s="346"/>
      <c r="VNF55" s="346"/>
      <c r="VNG55" s="346"/>
      <c r="VNH55" s="346"/>
      <c r="VNI55" s="346"/>
      <c r="VNJ55" s="346"/>
      <c r="VNK55" s="346"/>
      <c r="VNL55" s="346"/>
      <c r="VNM55" s="346"/>
      <c r="VNN55" s="346"/>
      <c r="VNO55" s="346"/>
      <c r="VNP55" s="346"/>
      <c r="VNQ55" s="346"/>
      <c r="VNR55" s="346"/>
      <c r="VNS55" s="346"/>
      <c r="VNT55" s="346"/>
      <c r="VNU55" s="346"/>
      <c r="VNV55" s="346"/>
      <c r="VNW55" s="346"/>
      <c r="VNX55" s="346"/>
      <c r="VNY55" s="346"/>
      <c r="VNZ55" s="346"/>
      <c r="VOA55" s="346"/>
      <c r="VOB55" s="346"/>
      <c r="VOC55" s="346"/>
      <c r="VOD55" s="346"/>
      <c r="VOE55" s="346"/>
      <c r="VOF55" s="346"/>
      <c r="VOG55" s="346"/>
      <c r="VOH55" s="346"/>
      <c r="VOI55" s="346"/>
      <c r="VOJ55" s="346"/>
      <c r="VOK55" s="346"/>
      <c r="VOL55" s="346"/>
      <c r="VOM55" s="346"/>
      <c r="VON55" s="346"/>
      <c r="VOO55" s="346"/>
      <c r="VOP55" s="346"/>
      <c r="VOQ55" s="346"/>
      <c r="VOR55" s="346"/>
      <c r="VOS55" s="346"/>
      <c r="VOT55" s="346"/>
      <c r="VOU55" s="346"/>
      <c r="VOV55" s="346"/>
      <c r="VOW55" s="346"/>
      <c r="VOX55" s="346"/>
      <c r="VOY55" s="346"/>
      <c r="VOZ55" s="346"/>
      <c r="VPA55" s="346"/>
      <c r="VPB55" s="346"/>
      <c r="VPC55" s="346"/>
      <c r="VPD55" s="346"/>
      <c r="VPE55" s="346"/>
      <c r="VPF55" s="346"/>
      <c r="VPG55" s="346"/>
      <c r="VPH55" s="346"/>
      <c r="VPI55" s="346"/>
      <c r="VPJ55" s="346"/>
      <c r="VPK55" s="346"/>
      <c r="VPL55" s="346"/>
      <c r="VPM55" s="346"/>
      <c r="VPN55" s="346"/>
      <c r="VPO55" s="346"/>
      <c r="VPP55" s="346"/>
      <c r="VPQ55" s="346"/>
      <c r="VPR55" s="346"/>
      <c r="VPS55" s="346"/>
      <c r="VPT55" s="346"/>
      <c r="VPU55" s="346"/>
      <c r="VPV55" s="346"/>
      <c r="VPW55" s="346"/>
      <c r="VPX55" s="346"/>
      <c r="VPY55" s="346"/>
      <c r="VPZ55" s="346"/>
      <c r="VQA55" s="346"/>
      <c r="VQB55" s="346"/>
      <c r="VQC55" s="346"/>
      <c r="VQD55" s="346"/>
      <c r="VQE55" s="346"/>
      <c r="VQF55" s="346"/>
      <c r="VQG55" s="346"/>
      <c r="VQH55" s="346"/>
      <c r="VQI55" s="346"/>
      <c r="VQJ55" s="346"/>
      <c r="VQK55" s="346"/>
      <c r="VQL55" s="346"/>
      <c r="VQM55" s="346"/>
      <c r="VQN55" s="346"/>
      <c r="VQO55" s="346"/>
      <c r="VQP55" s="346"/>
      <c r="VQQ55" s="346"/>
      <c r="VQR55" s="346"/>
      <c r="VQS55" s="346"/>
      <c r="VQT55" s="346"/>
      <c r="VQU55" s="346"/>
      <c r="VQV55" s="346"/>
      <c r="VQW55" s="346"/>
      <c r="VQX55" s="346"/>
      <c r="VQY55" s="346"/>
      <c r="VQZ55" s="346"/>
      <c r="VRA55" s="346"/>
      <c r="VRB55" s="346"/>
      <c r="VRC55" s="346"/>
      <c r="VRD55" s="346"/>
      <c r="VRE55" s="346"/>
      <c r="VRF55" s="346"/>
      <c r="VRG55" s="346"/>
      <c r="VRH55" s="346"/>
      <c r="VRI55" s="346"/>
      <c r="VRJ55" s="346"/>
      <c r="VRK55" s="346"/>
      <c r="VRL55" s="346"/>
      <c r="VRM55" s="346"/>
      <c r="VRN55" s="346"/>
      <c r="VRO55" s="346"/>
      <c r="VRP55" s="346"/>
      <c r="VRQ55" s="346"/>
      <c r="VRR55" s="346"/>
      <c r="VRS55" s="346"/>
      <c r="VRT55" s="346"/>
      <c r="VRU55" s="346"/>
      <c r="VRV55" s="346"/>
      <c r="VRW55" s="346"/>
      <c r="VRX55" s="346"/>
      <c r="VRY55" s="346"/>
      <c r="VRZ55" s="346"/>
      <c r="VSA55" s="346"/>
      <c r="VSB55" s="346"/>
      <c r="VSC55" s="346"/>
      <c r="VSD55" s="346"/>
      <c r="VSE55" s="346"/>
      <c r="VSF55" s="346"/>
      <c r="VSG55" s="346"/>
      <c r="VSH55" s="346"/>
      <c r="VSI55" s="346"/>
      <c r="VSJ55" s="346"/>
      <c r="VSK55" s="346"/>
      <c r="VSL55" s="346"/>
      <c r="VSM55" s="346"/>
      <c r="VSN55" s="346"/>
      <c r="VSO55" s="346"/>
      <c r="VSP55" s="346"/>
      <c r="VSQ55" s="346"/>
      <c r="VSR55" s="346"/>
      <c r="VSS55" s="346"/>
      <c r="VST55" s="346"/>
      <c r="VSU55" s="346"/>
      <c r="VSV55" s="346"/>
      <c r="VSW55" s="346"/>
      <c r="VSX55" s="346"/>
      <c r="VSY55" s="346"/>
      <c r="VSZ55" s="346"/>
      <c r="VTA55" s="346"/>
      <c r="VTB55" s="346"/>
      <c r="VTC55" s="346"/>
      <c r="VTD55" s="346"/>
      <c r="VTE55" s="346"/>
      <c r="VTF55" s="346"/>
      <c r="VTG55" s="346"/>
      <c r="VTH55" s="346"/>
      <c r="VTI55" s="346"/>
      <c r="VTJ55" s="346"/>
      <c r="VTK55" s="346"/>
      <c r="VTL55" s="346"/>
      <c r="VTM55" s="346"/>
      <c r="VTN55" s="346"/>
      <c r="VTO55" s="346"/>
      <c r="VTP55" s="346"/>
      <c r="VTQ55" s="346"/>
      <c r="VTR55" s="346"/>
      <c r="VTS55" s="346"/>
      <c r="VTT55" s="346"/>
      <c r="VTU55" s="346"/>
      <c r="VTV55" s="346"/>
      <c r="VTW55" s="346"/>
      <c r="VTX55" s="346"/>
      <c r="VTY55" s="346"/>
      <c r="VTZ55" s="346"/>
      <c r="VUA55" s="346"/>
      <c r="VUB55" s="346"/>
      <c r="VUC55" s="346"/>
      <c r="VUD55" s="346"/>
      <c r="VUE55" s="346"/>
      <c r="VUF55" s="346"/>
      <c r="VUG55" s="346"/>
      <c r="VUH55" s="346"/>
      <c r="VUI55" s="346"/>
      <c r="VUJ55" s="346"/>
      <c r="VUK55" s="346"/>
      <c r="VUL55" s="346"/>
      <c r="VUM55" s="346"/>
      <c r="VUN55" s="346"/>
      <c r="VUO55" s="346"/>
      <c r="VUP55" s="346"/>
      <c r="VUQ55" s="346"/>
      <c r="VUR55" s="346"/>
      <c r="VUS55" s="346"/>
      <c r="VUT55" s="346"/>
      <c r="VUU55" s="346"/>
      <c r="VUV55" s="346"/>
      <c r="VUW55" s="346"/>
      <c r="VUX55" s="346"/>
      <c r="VUY55" s="346"/>
      <c r="VUZ55" s="346"/>
      <c r="VVA55" s="346"/>
      <c r="VVB55" s="346"/>
      <c r="VVC55" s="346"/>
      <c r="VVD55" s="346"/>
      <c r="VVE55" s="346"/>
      <c r="VVF55" s="346"/>
      <c r="VVG55" s="346"/>
      <c r="VVH55" s="346"/>
      <c r="VVI55" s="346"/>
      <c r="VVJ55" s="346"/>
      <c r="VVK55" s="346"/>
      <c r="VVL55" s="346"/>
      <c r="VVM55" s="346"/>
      <c r="VVN55" s="346"/>
      <c r="VVO55" s="346"/>
      <c r="VVP55" s="346"/>
      <c r="VVQ55" s="346"/>
      <c r="VVR55" s="346"/>
      <c r="VVS55" s="346"/>
      <c r="VVT55" s="346"/>
      <c r="VVU55" s="346"/>
      <c r="VVV55" s="346"/>
      <c r="VVW55" s="346"/>
      <c r="VVX55" s="346"/>
      <c r="VVY55" s="346"/>
      <c r="VVZ55" s="346"/>
      <c r="VWA55" s="346"/>
      <c r="VWB55" s="346"/>
      <c r="VWC55" s="346"/>
      <c r="VWD55" s="346"/>
      <c r="VWE55" s="346"/>
      <c r="VWF55" s="346"/>
      <c r="VWG55" s="346"/>
      <c r="VWH55" s="346"/>
      <c r="VWI55" s="346"/>
      <c r="VWJ55" s="346"/>
      <c r="VWK55" s="346"/>
      <c r="VWL55" s="346"/>
      <c r="VWM55" s="346"/>
      <c r="VWN55" s="346"/>
      <c r="VWO55" s="346"/>
      <c r="VWP55" s="346"/>
      <c r="VWQ55" s="346"/>
      <c r="VWR55" s="346"/>
      <c r="VWS55" s="346"/>
      <c r="VWT55" s="346"/>
      <c r="VWU55" s="346"/>
      <c r="VWV55" s="346"/>
      <c r="VWW55" s="346"/>
      <c r="VWX55" s="346"/>
      <c r="VWY55" s="346"/>
      <c r="VWZ55" s="346"/>
      <c r="VXA55" s="346"/>
      <c r="VXB55" s="346"/>
      <c r="VXC55" s="346"/>
      <c r="VXD55" s="346"/>
      <c r="VXE55" s="346"/>
      <c r="VXF55" s="346"/>
      <c r="VXG55" s="346"/>
      <c r="VXH55" s="346"/>
      <c r="VXI55" s="346"/>
      <c r="VXJ55" s="346"/>
      <c r="VXK55" s="346"/>
      <c r="VXL55" s="346"/>
      <c r="VXM55" s="346"/>
      <c r="VXN55" s="346"/>
      <c r="VXO55" s="346"/>
      <c r="VXP55" s="346"/>
      <c r="VXQ55" s="346"/>
      <c r="VXR55" s="346"/>
      <c r="VXS55" s="346"/>
      <c r="VXT55" s="346"/>
      <c r="VXU55" s="346"/>
      <c r="VXV55" s="346"/>
      <c r="VXW55" s="346"/>
      <c r="VXX55" s="346"/>
      <c r="VXY55" s="346"/>
      <c r="VXZ55" s="346"/>
      <c r="VYA55" s="346"/>
      <c r="VYB55" s="346"/>
      <c r="VYC55" s="346"/>
      <c r="VYD55" s="346"/>
      <c r="VYE55" s="346"/>
      <c r="VYF55" s="346"/>
      <c r="VYG55" s="346"/>
      <c r="VYH55" s="346"/>
      <c r="VYI55" s="346"/>
      <c r="VYJ55" s="346"/>
      <c r="VYK55" s="346"/>
      <c r="VYL55" s="346"/>
      <c r="VYM55" s="346"/>
      <c r="VYN55" s="346"/>
      <c r="VYO55" s="346"/>
      <c r="VYP55" s="346"/>
      <c r="VYQ55" s="346"/>
      <c r="VYR55" s="346"/>
      <c r="VYS55" s="346"/>
      <c r="VYT55" s="346"/>
      <c r="VYU55" s="346"/>
      <c r="VYV55" s="346"/>
      <c r="VYW55" s="346"/>
      <c r="VYX55" s="346"/>
      <c r="VYY55" s="346"/>
      <c r="VYZ55" s="346"/>
      <c r="VZA55" s="346"/>
      <c r="VZB55" s="346"/>
      <c r="VZC55" s="346"/>
      <c r="VZD55" s="346"/>
      <c r="VZE55" s="346"/>
      <c r="VZF55" s="346"/>
      <c r="VZG55" s="346"/>
      <c r="VZH55" s="346"/>
      <c r="VZI55" s="346"/>
      <c r="VZJ55" s="346"/>
      <c r="VZK55" s="346"/>
      <c r="VZL55" s="346"/>
      <c r="VZM55" s="346"/>
      <c r="VZN55" s="346"/>
      <c r="VZO55" s="346"/>
      <c r="VZP55" s="346"/>
      <c r="VZQ55" s="346"/>
      <c r="VZR55" s="346"/>
      <c r="VZS55" s="346"/>
      <c r="VZT55" s="346"/>
      <c r="VZU55" s="346"/>
      <c r="VZV55" s="346"/>
      <c r="VZW55" s="346"/>
      <c r="VZX55" s="346"/>
      <c r="VZY55" s="346"/>
      <c r="VZZ55" s="346"/>
      <c r="WAA55" s="346"/>
      <c r="WAB55" s="346"/>
      <c r="WAC55" s="346"/>
      <c r="WAD55" s="346"/>
      <c r="WAE55" s="346"/>
      <c r="WAF55" s="346"/>
      <c r="WAG55" s="346"/>
      <c r="WAH55" s="346"/>
      <c r="WAI55" s="346"/>
      <c r="WAJ55" s="346"/>
      <c r="WAK55" s="346"/>
      <c r="WAL55" s="346"/>
      <c r="WAM55" s="346"/>
      <c r="WAN55" s="346"/>
      <c r="WAO55" s="346"/>
      <c r="WAP55" s="346"/>
      <c r="WAQ55" s="346"/>
      <c r="WAR55" s="346"/>
      <c r="WAS55" s="346"/>
      <c r="WAT55" s="346"/>
      <c r="WAU55" s="346"/>
      <c r="WAV55" s="346"/>
      <c r="WAW55" s="346"/>
      <c r="WAX55" s="346"/>
      <c r="WAY55" s="346"/>
      <c r="WAZ55" s="346"/>
      <c r="WBA55" s="346"/>
      <c r="WBB55" s="346"/>
      <c r="WBC55" s="346"/>
      <c r="WBD55" s="346"/>
      <c r="WBE55" s="346"/>
      <c r="WBF55" s="346"/>
      <c r="WBG55" s="346"/>
      <c r="WBH55" s="346"/>
      <c r="WBI55" s="346"/>
      <c r="WBJ55" s="346"/>
      <c r="WBK55" s="346"/>
      <c r="WBL55" s="346"/>
      <c r="WBM55" s="346"/>
      <c r="WBN55" s="346"/>
      <c r="WBO55" s="346"/>
      <c r="WBP55" s="346"/>
      <c r="WBQ55" s="346"/>
      <c r="WBR55" s="346"/>
      <c r="WBS55" s="346"/>
      <c r="WBT55" s="346"/>
      <c r="WBU55" s="346"/>
      <c r="WBV55" s="346"/>
      <c r="WBW55" s="346"/>
      <c r="WBX55" s="346"/>
      <c r="WBY55" s="346"/>
      <c r="WBZ55" s="346"/>
      <c r="WCA55" s="346"/>
      <c r="WCB55" s="346"/>
      <c r="WCC55" s="346"/>
      <c r="WCD55" s="346"/>
      <c r="WCE55" s="346"/>
      <c r="WCF55" s="346"/>
      <c r="WCG55" s="346"/>
      <c r="WCH55" s="346"/>
      <c r="WCI55" s="346"/>
      <c r="WCJ55" s="346"/>
      <c r="WCK55" s="346"/>
      <c r="WCL55" s="346"/>
      <c r="WCM55" s="346"/>
      <c r="WCN55" s="346"/>
      <c r="WCO55" s="346"/>
      <c r="WCP55" s="346"/>
      <c r="WCQ55" s="346"/>
      <c r="WCR55" s="346"/>
      <c r="WCS55" s="346"/>
      <c r="WCT55" s="346"/>
      <c r="WCU55" s="346"/>
      <c r="WCV55" s="346"/>
      <c r="WCW55" s="346"/>
      <c r="WCX55" s="346"/>
      <c r="WCY55" s="346"/>
      <c r="WCZ55" s="346"/>
      <c r="WDA55" s="346"/>
      <c r="WDB55" s="346"/>
      <c r="WDC55" s="346"/>
      <c r="WDD55" s="346"/>
      <c r="WDE55" s="346"/>
      <c r="WDF55" s="346"/>
      <c r="WDG55" s="346"/>
      <c r="WDH55" s="346"/>
      <c r="WDI55" s="346"/>
      <c r="WDJ55" s="346"/>
      <c r="WDK55" s="346"/>
      <c r="WDL55" s="346"/>
      <c r="WDM55" s="346"/>
      <c r="WDN55" s="346"/>
      <c r="WDO55" s="346"/>
      <c r="WDP55" s="346"/>
      <c r="WDQ55" s="346"/>
      <c r="WDR55" s="346"/>
      <c r="WDS55" s="346"/>
      <c r="WDT55" s="346"/>
      <c r="WDU55" s="346"/>
      <c r="WDV55" s="346"/>
      <c r="WDW55" s="346"/>
      <c r="WDX55" s="346"/>
      <c r="WDY55" s="346"/>
      <c r="WDZ55" s="346"/>
      <c r="WEA55" s="346"/>
      <c r="WEB55" s="346"/>
      <c r="WEC55" s="346"/>
      <c r="WED55" s="346"/>
      <c r="WEE55" s="346"/>
      <c r="WEF55" s="346"/>
      <c r="WEG55" s="346"/>
      <c r="WEH55" s="346"/>
      <c r="WEI55" s="346"/>
      <c r="WEJ55" s="346"/>
      <c r="WEK55" s="346"/>
      <c r="WEL55" s="346"/>
      <c r="WEM55" s="346"/>
      <c r="WEN55" s="346"/>
      <c r="WEO55" s="346"/>
      <c r="WEP55" s="346"/>
      <c r="WEQ55" s="346"/>
      <c r="WER55" s="346"/>
      <c r="WES55" s="346"/>
      <c r="WET55" s="346"/>
      <c r="WEU55" s="346"/>
      <c r="WEV55" s="346"/>
      <c r="WEW55" s="346"/>
      <c r="WEX55" s="346"/>
      <c r="WEY55" s="346"/>
      <c r="WEZ55" s="346"/>
      <c r="WFA55" s="346"/>
      <c r="WFB55" s="346"/>
      <c r="WFC55" s="346"/>
      <c r="WFD55" s="346"/>
      <c r="WFE55" s="346"/>
      <c r="WFF55" s="346"/>
      <c r="WFG55" s="346"/>
      <c r="WFH55" s="346"/>
      <c r="WFI55" s="346"/>
      <c r="WFJ55" s="346"/>
      <c r="WFK55" s="346"/>
      <c r="WFL55" s="346"/>
      <c r="WFM55" s="346"/>
      <c r="WFN55" s="346"/>
      <c r="WFO55" s="346"/>
      <c r="WFP55" s="346"/>
      <c r="WFQ55" s="346"/>
      <c r="WFR55" s="346"/>
      <c r="WFS55" s="346"/>
      <c r="WFT55" s="346"/>
      <c r="WFU55" s="346"/>
      <c r="WFV55" s="346"/>
      <c r="WFW55" s="346"/>
      <c r="WFX55" s="346"/>
      <c r="WFY55" s="346"/>
      <c r="WFZ55" s="346"/>
      <c r="WGA55" s="346"/>
      <c r="WGB55" s="346"/>
      <c r="WGC55" s="346"/>
      <c r="WGD55" s="346"/>
      <c r="WGE55" s="346"/>
      <c r="WGF55" s="346"/>
      <c r="WGG55" s="346"/>
      <c r="WGH55" s="346"/>
      <c r="WGI55" s="346"/>
      <c r="WGJ55" s="346"/>
      <c r="WGK55" s="346"/>
      <c r="WGL55" s="346"/>
      <c r="WGM55" s="346"/>
      <c r="WGN55" s="346"/>
      <c r="WGO55" s="346"/>
      <c r="WGP55" s="346"/>
      <c r="WGQ55" s="346"/>
      <c r="WGR55" s="346"/>
      <c r="WGS55" s="346"/>
      <c r="WGT55" s="346"/>
      <c r="WGU55" s="346"/>
      <c r="WGV55" s="346"/>
      <c r="WGW55" s="346"/>
      <c r="WGX55" s="346"/>
      <c r="WGY55" s="346"/>
      <c r="WGZ55" s="346"/>
      <c r="WHA55" s="346"/>
      <c r="WHB55" s="346"/>
      <c r="WHC55" s="346"/>
      <c r="WHD55" s="346"/>
      <c r="WHE55" s="346"/>
      <c r="WHF55" s="346"/>
      <c r="WHG55" s="346"/>
      <c r="WHH55" s="346"/>
      <c r="WHI55" s="346"/>
      <c r="WHJ55" s="346"/>
      <c r="WHK55" s="346"/>
      <c r="WHL55" s="346"/>
      <c r="WHM55" s="346"/>
      <c r="WHN55" s="346"/>
      <c r="WHO55" s="346"/>
      <c r="WHP55" s="346"/>
      <c r="WHQ55" s="346"/>
      <c r="WHR55" s="346"/>
      <c r="WHS55" s="346"/>
      <c r="WHT55" s="346"/>
      <c r="WHU55" s="346"/>
      <c r="WHV55" s="346"/>
      <c r="WHW55" s="346"/>
      <c r="WHX55" s="346"/>
      <c r="WHY55" s="346"/>
      <c r="WHZ55" s="346"/>
      <c r="WIA55" s="346"/>
      <c r="WIB55" s="346"/>
      <c r="WIC55" s="346"/>
      <c r="WID55" s="346"/>
      <c r="WIE55" s="346"/>
      <c r="WIF55" s="346"/>
      <c r="WIG55" s="346"/>
      <c r="WIH55" s="346"/>
      <c r="WII55" s="346"/>
      <c r="WIJ55" s="346"/>
      <c r="WIK55" s="346"/>
      <c r="WIL55" s="346"/>
      <c r="WIM55" s="346"/>
      <c r="WIN55" s="346"/>
      <c r="WIO55" s="346"/>
      <c r="WIP55" s="346"/>
      <c r="WIQ55" s="346"/>
      <c r="WIR55" s="346"/>
      <c r="WIS55" s="346"/>
      <c r="WIT55" s="346"/>
      <c r="WIU55" s="346"/>
      <c r="WIV55" s="346"/>
      <c r="WIW55" s="346"/>
      <c r="WIX55" s="346"/>
      <c r="WIY55" s="346"/>
      <c r="WIZ55" s="346"/>
      <c r="WJA55" s="346"/>
      <c r="WJB55" s="346"/>
      <c r="WJC55" s="346"/>
      <c r="WJD55" s="346"/>
      <c r="WJE55" s="346"/>
      <c r="WJF55" s="346"/>
      <c r="WJG55" s="346"/>
      <c r="WJH55" s="346"/>
      <c r="WJI55" s="346"/>
      <c r="WJJ55" s="346"/>
      <c r="WJK55" s="346"/>
      <c r="WJL55" s="346"/>
      <c r="WJM55" s="346"/>
      <c r="WJN55" s="346"/>
      <c r="WJO55" s="346"/>
      <c r="WJP55" s="346"/>
      <c r="WJQ55" s="346"/>
      <c r="WJR55" s="346"/>
      <c r="WJS55" s="346"/>
      <c r="WJT55" s="346"/>
      <c r="WJU55" s="346"/>
      <c r="WJV55" s="346"/>
      <c r="WJW55" s="346"/>
      <c r="WJX55" s="346"/>
      <c r="WJY55" s="346"/>
      <c r="WJZ55" s="346"/>
      <c r="WKA55" s="346"/>
      <c r="WKB55" s="346"/>
      <c r="WKC55" s="346"/>
      <c r="WKD55" s="346"/>
      <c r="WKE55" s="346"/>
      <c r="WKF55" s="346"/>
      <c r="WKG55" s="346"/>
      <c r="WKH55" s="346"/>
      <c r="WKI55" s="346"/>
      <c r="WKJ55" s="346"/>
      <c r="WKK55" s="346"/>
      <c r="WKL55" s="346"/>
      <c r="WKM55" s="346"/>
      <c r="WKN55" s="346"/>
      <c r="WKO55" s="346"/>
      <c r="WKP55" s="346"/>
      <c r="WKQ55" s="346"/>
      <c r="WKR55" s="346"/>
      <c r="WKS55" s="346"/>
      <c r="WKT55" s="346"/>
      <c r="WKU55" s="346"/>
      <c r="WKV55" s="346"/>
      <c r="WKW55" s="346"/>
      <c r="WKX55" s="346"/>
      <c r="WKY55" s="346"/>
      <c r="WKZ55" s="346"/>
      <c r="WLA55" s="346"/>
      <c r="WLB55" s="346"/>
      <c r="WLC55" s="346"/>
      <c r="WLD55" s="346"/>
      <c r="WLE55" s="346"/>
      <c r="WLF55" s="346"/>
      <c r="WLG55" s="346"/>
      <c r="WLH55" s="346"/>
      <c r="WLI55" s="346"/>
      <c r="WLJ55" s="346"/>
      <c r="WLK55" s="346"/>
      <c r="WLL55" s="346"/>
      <c r="WLM55" s="346"/>
      <c r="WLN55" s="346"/>
      <c r="WLO55" s="346"/>
      <c r="WLP55" s="346"/>
      <c r="WLQ55" s="346"/>
      <c r="WLR55" s="346"/>
      <c r="WLS55" s="346"/>
      <c r="WLT55" s="346"/>
      <c r="WLU55" s="346"/>
      <c r="WLV55" s="346"/>
      <c r="WLW55" s="346"/>
      <c r="WLX55" s="346"/>
      <c r="WLY55" s="346"/>
      <c r="WLZ55" s="346"/>
      <c r="WMA55" s="346"/>
      <c r="WMB55" s="346"/>
      <c r="WMC55" s="346"/>
      <c r="WMD55" s="346"/>
      <c r="WME55" s="346"/>
      <c r="WMF55" s="346"/>
      <c r="WMG55" s="346"/>
      <c r="WMH55" s="346"/>
      <c r="WMI55" s="346"/>
      <c r="WMJ55" s="346"/>
      <c r="WMK55" s="346"/>
      <c r="WML55" s="346"/>
      <c r="WMM55" s="346"/>
      <c r="WMN55" s="346"/>
      <c r="WMO55" s="346"/>
      <c r="WMP55" s="346"/>
      <c r="WMQ55" s="346"/>
      <c r="WMR55" s="346"/>
      <c r="WMS55" s="346"/>
      <c r="WMT55" s="346"/>
      <c r="WMU55" s="346"/>
      <c r="WMV55" s="346"/>
      <c r="WMW55" s="346"/>
      <c r="WMX55" s="346"/>
      <c r="WMY55" s="346"/>
      <c r="WMZ55" s="346"/>
      <c r="WNA55" s="346"/>
      <c r="WNB55" s="346"/>
      <c r="WNC55" s="346"/>
      <c r="WND55" s="346"/>
      <c r="WNE55" s="346"/>
      <c r="WNF55" s="346"/>
      <c r="WNG55" s="346"/>
      <c r="WNH55" s="346"/>
      <c r="WNI55" s="346"/>
      <c r="WNJ55" s="346"/>
      <c r="WNK55" s="346"/>
      <c r="WNL55" s="346"/>
      <c r="WNM55" s="346"/>
      <c r="WNN55" s="346"/>
      <c r="WNO55" s="346"/>
      <c r="WNP55" s="346"/>
      <c r="WNQ55" s="346"/>
      <c r="WNR55" s="346"/>
      <c r="WNS55" s="346"/>
      <c r="WNT55" s="346"/>
      <c r="WNU55" s="346"/>
      <c r="WNV55" s="346"/>
      <c r="WNW55" s="346"/>
      <c r="WNX55" s="346"/>
      <c r="WNY55" s="346"/>
      <c r="WNZ55" s="346"/>
      <c r="WOA55" s="346"/>
      <c r="WOB55" s="346"/>
      <c r="WOC55" s="346"/>
      <c r="WOD55" s="346"/>
      <c r="WOE55" s="346"/>
      <c r="WOF55" s="346"/>
      <c r="WOG55" s="346"/>
      <c r="WOH55" s="346"/>
      <c r="WOI55" s="346"/>
      <c r="WOJ55" s="346"/>
      <c r="WOK55" s="346"/>
      <c r="WOL55" s="346"/>
      <c r="WOM55" s="346"/>
      <c r="WON55" s="346"/>
      <c r="WOO55" s="346"/>
      <c r="WOP55" s="346"/>
      <c r="WOQ55" s="346"/>
      <c r="WOR55" s="346"/>
      <c r="WOS55" s="346"/>
      <c r="WOT55" s="346"/>
      <c r="WOU55" s="346"/>
      <c r="WOV55" s="346"/>
      <c r="WOW55" s="346"/>
      <c r="WOX55" s="346"/>
      <c r="WOY55" s="346"/>
      <c r="WOZ55" s="346"/>
      <c r="WPA55" s="346"/>
      <c r="WPB55" s="346"/>
      <c r="WPC55" s="346"/>
      <c r="WPD55" s="346"/>
      <c r="WPE55" s="346"/>
      <c r="WPF55" s="346"/>
      <c r="WPG55" s="346"/>
      <c r="WPH55" s="346"/>
      <c r="WPI55" s="346"/>
      <c r="WPJ55" s="346"/>
      <c r="WPK55" s="346"/>
      <c r="WPL55" s="346"/>
      <c r="WPM55" s="346"/>
      <c r="WPN55" s="346"/>
      <c r="WPO55" s="346"/>
      <c r="WPP55" s="346"/>
      <c r="WPQ55" s="346"/>
      <c r="WPR55" s="346"/>
      <c r="WPS55" s="346"/>
      <c r="WPT55" s="346"/>
      <c r="WPU55" s="346"/>
      <c r="WPV55" s="346"/>
      <c r="WPW55" s="346"/>
      <c r="WPX55" s="346"/>
      <c r="WPY55" s="346"/>
      <c r="WPZ55" s="346"/>
      <c r="WQA55" s="346"/>
      <c r="WQB55" s="346"/>
      <c r="WQC55" s="346"/>
      <c r="WQD55" s="346"/>
      <c r="WQE55" s="346"/>
      <c r="WQF55" s="346"/>
      <c r="WQG55" s="346"/>
      <c r="WQH55" s="346"/>
      <c r="WQI55" s="346"/>
      <c r="WQJ55" s="346"/>
      <c r="WQK55" s="346"/>
      <c r="WQL55" s="346"/>
      <c r="WQM55" s="346"/>
      <c r="WQN55" s="346"/>
      <c r="WQO55" s="346"/>
      <c r="WQP55" s="346"/>
      <c r="WQQ55" s="346"/>
      <c r="WQR55" s="346"/>
      <c r="WQS55" s="346"/>
      <c r="WQT55" s="346"/>
      <c r="WQU55" s="346"/>
      <c r="WQV55" s="346"/>
      <c r="WQW55" s="346"/>
      <c r="WQX55" s="346"/>
      <c r="WQY55" s="346"/>
      <c r="WQZ55" s="346"/>
      <c r="WRA55" s="346"/>
      <c r="WRB55" s="346"/>
      <c r="WRC55" s="346"/>
      <c r="WRD55" s="346"/>
      <c r="WRE55" s="346"/>
      <c r="WRF55" s="346"/>
      <c r="WRG55" s="346"/>
      <c r="WRH55" s="346"/>
      <c r="WRI55" s="346"/>
      <c r="WRJ55" s="346"/>
      <c r="WRK55" s="346"/>
      <c r="WRL55" s="346"/>
      <c r="WRM55" s="346"/>
      <c r="WRN55" s="346"/>
      <c r="WRO55" s="346"/>
      <c r="WRP55" s="346"/>
      <c r="WRQ55" s="346"/>
      <c r="WRR55" s="346"/>
      <c r="WRS55" s="346"/>
      <c r="WRT55" s="346"/>
      <c r="WRU55" s="346"/>
      <c r="WRV55" s="346"/>
      <c r="WRW55" s="346"/>
      <c r="WRX55" s="346"/>
      <c r="WRY55" s="346"/>
      <c r="WRZ55" s="346"/>
      <c r="WSA55" s="346"/>
      <c r="WSB55" s="346"/>
      <c r="WSC55" s="346"/>
      <c r="WSD55" s="346"/>
      <c r="WSE55" s="346"/>
      <c r="WSF55" s="346"/>
      <c r="WSG55" s="346"/>
      <c r="WSH55" s="346"/>
      <c r="WSI55" s="346"/>
      <c r="WSJ55" s="346"/>
      <c r="WSK55" s="346"/>
      <c r="WSL55" s="346"/>
      <c r="WSM55" s="346"/>
      <c r="WSN55" s="346"/>
      <c r="WSO55" s="346"/>
      <c r="WSP55" s="346"/>
      <c r="WSQ55" s="346"/>
      <c r="WSR55" s="346"/>
      <c r="WSS55" s="346"/>
      <c r="WST55" s="346"/>
      <c r="WSU55" s="346"/>
      <c r="WSV55" s="346"/>
      <c r="WSW55" s="346"/>
      <c r="WSX55" s="346"/>
      <c r="WSY55" s="346"/>
      <c r="WSZ55" s="346"/>
      <c r="WTA55" s="346"/>
      <c r="WTB55" s="346"/>
      <c r="WTC55" s="346"/>
      <c r="WTD55" s="346"/>
      <c r="WTE55" s="346"/>
      <c r="WTF55" s="346"/>
      <c r="WTG55" s="346"/>
      <c r="WTH55" s="346"/>
      <c r="WTI55" s="346"/>
      <c r="WTJ55" s="346"/>
      <c r="WTK55" s="346"/>
      <c r="WTL55" s="346"/>
      <c r="WTM55" s="346"/>
      <c r="WTN55" s="346"/>
      <c r="WTO55" s="346"/>
      <c r="WTP55" s="346"/>
      <c r="WTQ55" s="346"/>
      <c r="WTR55" s="346"/>
      <c r="WTS55" s="346"/>
      <c r="WTT55" s="346"/>
      <c r="WTU55" s="346"/>
      <c r="WTV55" s="346"/>
      <c r="WTW55" s="346"/>
      <c r="WTX55" s="346"/>
      <c r="WTY55" s="346"/>
      <c r="WTZ55" s="346"/>
      <c r="WUA55" s="346"/>
      <c r="WUB55" s="346"/>
      <c r="WUC55" s="346"/>
      <c r="WUD55" s="346"/>
      <c r="WUE55" s="346"/>
      <c r="WUF55" s="346"/>
      <c r="WUG55" s="346"/>
      <c r="WUH55" s="346"/>
      <c r="WUI55" s="346"/>
      <c r="WUJ55" s="346"/>
      <c r="WUK55" s="346"/>
      <c r="WUL55" s="346"/>
      <c r="WUM55" s="346"/>
      <c r="WUN55" s="346"/>
      <c r="WUO55" s="346"/>
      <c r="WUP55" s="346"/>
      <c r="WUQ55" s="346"/>
      <c r="WUR55" s="346"/>
      <c r="WUS55" s="346"/>
      <c r="WUT55" s="346"/>
      <c r="WUU55" s="346"/>
      <c r="WUV55" s="346"/>
      <c r="WUW55" s="346"/>
      <c r="WUX55" s="346"/>
      <c r="WUY55" s="346"/>
      <c r="WUZ55" s="346"/>
      <c r="WVA55" s="346"/>
      <c r="WVB55" s="346"/>
      <c r="WVC55" s="346"/>
      <c r="WVD55" s="346"/>
      <c r="WVE55" s="346"/>
      <c r="WVF55" s="346"/>
      <c r="WVG55" s="346"/>
      <c r="WVH55" s="346"/>
      <c r="WVI55" s="346"/>
      <c r="WVJ55" s="346"/>
      <c r="WVK55" s="346"/>
      <c r="WVL55" s="346"/>
      <c r="WVM55" s="346"/>
      <c r="WVN55" s="346"/>
      <c r="WVO55" s="346"/>
      <c r="WVP55" s="346"/>
      <c r="WVQ55" s="346"/>
      <c r="WVR55" s="346"/>
      <c r="WVS55" s="346"/>
      <c r="WVT55" s="346"/>
      <c r="WVU55" s="346"/>
      <c r="WVV55" s="346"/>
      <c r="WVW55" s="346"/>
      <c r="WVX55" s="346"/>
      <c r="WVY55" s="346"/>
      <c r="WVZ55" s="346"/>
      <c r="WWA55" s="346"/>
      <c r="WWB55" s="346"/>
      <c r="WWC55" s="346"/>
      <c r="WWD55" s="346"/>
      <c r="WWE55" s="346"/>
      <c r="WWF55" s="346"/>
      <c r="WWG55" s="346"/>
      <c r="WWH55" s="346"/>
      <c r="WWI55" s="346"/>
      <c r="WWJ55" s="346"/>
      <c r="WWK55" s="346"/>
      <c r="WWL55" s="346"/>
      <c r="WWM55" s="346"/>
      <c r="WWN55" s="346"/>
      <c r="WWO55" s="346"/>
      <c r="WWP55" s="346"/>
      <c r="WWQ55" s="346"/>
      <c r="WWR55" s="346"/>
      <c r="WWS55" s="346"/>
      <c r="WWT55" s="346"/>
      <c r="WWU55" s="346"/>
      <c r="WWV55" s="346"/>
      <c r="WWW55" s="346"/>
      <c r="WWX55" s="346"/>
      <c r="WWY55" s="346"/>
      <c r="WWZ55" s="346"/>
      <c r="WXA55" s="346"/>
      <c r="WXB55" s="346"/>
      <c r="WXC55" s="346"/>
      <c r="WXD55" s="346"/>
      <c r="WXE55" s="346"/>
      <c r="WXF55" s="346"/>
      <c r="WXG55" s="346"/>
      <c r="WXH55" s="346"/>
      <c r="WXI55" s="346"/>
      <c r="WXJ55" s="346"/>
      <c r="WXK55" s="346"/>
      <c r="WXL55" s="346"/>
      <c r="WXM55" s="346"/>
      <c r="WXN55" s="346"/>
      <c r="WXO55" s="346"/>
      <c r="WXP55" s="346"/>
      <c r="WXQ55" s="346"/>
      <c r="WXR55" s="346"/>
      <c r="WXS55" s="346"/>
      <c r="WXT55" s="346"/>
      <c r="WXU55" s="346"/>
      <c r="WXV55" s="346"/>
      <c r="WXW55" s="346"/>
      <c r="WXX55" s="346"/>
      <c r="WXY55" s="346"/>
      <c r="WXZ55" s="346"/>
      <c r="WYA55" s="346"/>
      <c r="WYB55" s="346"/>
      <c r="WYC55" s="346"/>
      <c r="WYD55" s="346"/>
      <c r="WYE55" s="346"/>
      <c r="WYF55" s="346"/>
      <c r="WYG55" s="346"/>
      <c r="WYH55" s="346"/>
      <c r="WYI55" s="346"/>
      <c r="WYJ55" s="346"/>
      <c r="WYK55" s="346"/>
      <c r="WYL55" s="346"/>
      <c r="WYM55" s="346"/>
      <c r="WYN55" s="346"/>
      <c r="WYO55" s="346"/>
      <c r="WYP55" s="346"/>
      <c r="WYQ55" s="346"/>
      <c r="WYR55" s="346"/>
      <c r="WYS55" s="346"/>
      <c r="WYT55" s="346"/>
      <c r="WYU55" s="346"/>
      <c r="WYV55" s="346"/>
      <c r="WYW55" s="346"/>
      <c r="WYX55" s="346"/>
      <c r="WYY55" s="346"/>
      <c r="WYZ55" s="346"/>
      <c r="WZA55" s="346"/>
      <c r="WZB55" s="346"/>
      <c r="WZC55" s="346"/>
      <c r="WZD55" s="346"/>
      <c r="WZE55" s="346"/>
      <c r="WZF55" s="346"/>
      <c r="WZG55" s="346"/>
      <c r="WZH55" s="346"/>
      <c r="WZI55" s="346"/>
      <c r="WZJ55" s="346"/>
      <c r="WZK55" s="346"/>
      <c r="WZL55" s="346"/>
      <c r="WZM55" s="346"/>
      <c r="WZN55" s="346"/>
      <c r="WZO55" s="346"/>
      <c r="WZP55" s="346"/>
      <c r="WZQ55" s="346"/>
      <c r="WZR55" s="346"/>
      <c r="WZS55" s="346"/>
      <c r="WZT55" s="346"/>
      <c r="WZU55" s="346"/>
      <c r="WZV55" s="346"/>
      <c r="WZW55" s="346"/>
      <c r="WZX55" s="346"/>
      <c r="WZY55" s="346"/>
      <c r="WZZ55" s="346"/>
      <c r="XAA55" s="346"/>
      <c r="XAB55" s="346"/>
      <c r="XAC55" s="346"/>
      <c r="XAD55" s="346"/>
      <c r="XAE55" s="346"/>
      <c r="XAF55" s="346"/>
      <c r="XAG55" s="346"/>
      <c r="XAH55" s="346"/>
      <c r="XAI55" s="346"/>
      <c r="XAJ55" s="346"/>
      <c r="XAK55" s="346"/>
      <c r="XAL55" s="346"/>
      <c r="XAM55" s="346"/>
      <c r="XAN55" s="346"/>
      <c r="XAO55" s="346"/>
      <c r="XAP55" s="346"/>
      <c r="XAQ55" s="346"/>
      <c r="XAR55" s="346"/>
      <c r="XAS55" s="346"/>
      <c r="XAT55" s="346"/>
      <c r="XAU55" s="346"/>
      <c r="XAV55" s="346"/>
      <c r="XAW55" s="346"/>
      <c r="XAX55" s="346"/>
      <c r="XAY55" s="346"/>
      <c r="XAZ55" s="346"/>
      <c r="XBA55" s="346"/>
      <c r="XBB55" s="346"/>
      <c r="XBC55" s="346"/>
      <c r="XBD55" s="346"/>
      <c r="XBE55" s="346"/>
      <c r="XBF55" s="346"/>
      <c r="XBG55" s="346"/>
      <c r="XBH55" s="346"/>
      <c r="XBI55" s="346"/>
      <c r="XBJ55" s="346"/>
      <c r="XBK55" s="346"/>
      <c r="XBL55" s="346"/>
      <c r="XBM55" s="346"/>
      <c r="XBN55" s="346"/>
      <c r="XBO55" s="346"/>
      <c r="XBP55" s="346"/>
      <c r="XBQ55" s="346"/>
      <c r="XBR55" s="346"/>
      <c r="XBS55" s="346"/>
      <c r="XBT55" s="346"/>
      <c r="XBU55" s="346"/>
      <c r="XBV55" s="346"/>
      <c r="XBW55" s="346"/>
      <c r="XBX55" s="346"/>
      <c r="XBY55" s="346"/>
      <c r="XBZ55" s="346"/>
      <c r="XCA55" s="346"/>
      <c r="XCB55" s="346"/>
      <c r="XCC55" s="346"/>
      <c r="XCD55" s="346"/>
      <c r="XCE55" s="346"/>
      <c r="XCF55" s="346"/>
      <c r="XCG55" s="346"/>
      <c r="XCH55" s="346"/>
      <c r="XCI55" s="346"/>
      <c r="XCJ55" s="346"/>
      <c r="XCK55" s="346"/>
      <c r="XCL55" s="346"/>
      <c r="XCM55" s="346"/>
      <c r="XCN55" s="346"/>
      <c r="XCO55" s="346"/>
      <c r="XCP55" s="346"/>
      <c r="XCQ55" s="346"/>
      <c r="XCR55" s="346"/>
      <c r="XCS55" s="346"/>
      <c r="XCT55" s="346"/>
      <c r="XCU55" s="346"/>
      <c r="XCV55" s="346"/>
      <c r="XCW55" s="346"/>
      <c r="XCX55" s="346"/>
      <c r="XCY55" s="346"/>
      <c r="XCZ55" s="346"/>
      <c r="XDA55" s="346"/>
      <c r="XDB55" s="346"/>
      <c r="XDC55" s="346"/>
      <c r="XDD55" s="346"/>
      <c r="XDE55" s="346"/>
      <c r="XDF55" s="346"/>
      <c r="XDG55" s="346"/>
      <c r="XDH55" s="346"/>
      <c r="XDI55" s="346"/>
      <c r="XDJ55" s="346"/>
      <c r="XDK55" s="346"/>
      <c r="XDL55" s="346"/>
      <c r="XDM55" s="346"/>
      <c r="XDN55" s="346"/>
      <c r="XDO55" s="346"/>
      <c r="XDP55" s="346"/>
      <c r="XDQ55" s="346"/>
      <c r="XDR55" s="346"/>
      <c r="XDS55" s="346"/>
      <c r="XDT55" s="346"/>
      <c r="XDU55" s="346"/>
      <c r="XDV55" s="346"/>
      <c r="XDW55" s="346"/>
      <c r="XDX55" s="346"/>
      <c r="XDY55" s="346"/>
      <c r="XDZ55" s="346"/>
      <c r="XEA55" s="346"/>
      <c r="XEB55" s="346"/>
      <c r="XEC55" s="346"/>
      <c r="XED55" s="346"/>
      <c r="XEE55" s="346"/>
      <c r="XEF55" s="346"/>
      <c r="XEG55" s="346"/>
      <c r="XEH55" s="346"/>
      <c r="XEI55" s="346"/>
      <c r="XEJ55" s="346"/>
      <c r="XEK55" s="346"/>
      <c r="XEL55" s="346"/>
      <c r="XEM55" s="346"/>
      <c r="XEN55" s="346"/>
      <c r="XEO55" s="346"/>
      <c r="XEP55" s="346"/>
      <c r="XEQ55" s="346"/>
      <c r="XER55" s="346"/>
      <c r="XES55" s="346"/>
      <c r="XET55" s="346"/>
      <c r="XEU55" s="346"/>
      <c r="XEV55" s="346"/>
      <c r="XEW55" s="346"/>
      <c r="XEX55" s="346"/>
      <c r="XEY55" s="346"/>
      <c r="XEZ55" s="346"/>
      <c r="XFA55" s="346"/>
      <c r="XFB55" s="346"/>
      <c r="XFC55" s="346"/>
      <c r="XFD55" s="346"/>
    </row>
    <row r="56" spans="1:16384" s="316" customFormat="1" ht="14.25">
      <c r="A56" s="314"/>
      <c r="B56" s="315" t="s">
        <v>904</v>
      </c>
      <c r="C56" s="315"/>
      <c r="D56" s="314" t="s">
        <v>183</v>
      </c>
      <c r="F56" s="343"/>
      <c r="G56" s="373">
        <f>'Data dubieuze debiteuren'!G149</f>
        <v>0</v>
      </c>
      <c r="H56" s="373">
        <f>'Data dubieuze debiteuren'!H149</f>
        <v>0</v>
      </c>
      <c r="I56" s="373">
        <f>'Data dubieuze debiteuren'!I149</f>
        <v>93179875.565403104</v>
      </c>
      <c r="J56" s="373">
        <f>'Data dubieuze debiteuren'!J149</f>
        <v>1114712049.4485216</v>
      </c>
      <c r="K56" s="373">
        <f>'Data dubieuze debiteuren'!K149</f>
        <v>1062585671.0900681</v>
      </c>
      <c r="L56" s="373">
        <f>'Data dubieuze debiteuren'!L149</f>
        <v>0</v>
      </c>
      <c r="M56" s="373">
        <f>'Data dubieuze debiteuren'!M149</f>
        <v>0</v>
      </c>
      <c r="N56" s="373">
        <f>'Data dubieuze debiteuren'!N149</f>
        <v>51138500.858057149</v>
      </c>
    </row>
    <row r="57" spans="1:16384" s="316" customFormat="1" ht="14.25">
      <c r="A57" s="314"/>
      <c r="B57" s="315" t="s">
        <v>905</v>
      </c>
      <c r="C57" s="315"/>
      <c r="D57" s="314" t="s">
        <v>184</v>
      </c>
      <c r="E57" s="350"/>
      <c r="F57" s="357"/>
      <c r="G57" s="373">
        <f>'Data dubieuze debiteuren'!G150</f>
        <v>0</v>
      </c>
      <c r="H57" s="373">
        <f>'Data dubieuze debiteuren'!H150</f>
        <v>0</v>
      </c>
      <c r="I57" s="373">
        <f>'Data dubieuze debiteuren'!I150</f>
        <v>95767363.939788759</v>
      </c>
      <c r="J57" s="373">
        <f>'Data dubieuze debiteuren'!J150</f>
        <v>1193203416.3117929</v>
      </c>
      <c r="K57" s="373">
        <f>'Data dubieuze debiteuren'!K150</f>
        <v>0</v>
      </c>
      <c r="L57" s="373">
        <f>'Data dubieuze debiteuren'!L150</f>
        <v>0</v>
      </c>
      <c r="M57" s="373">
        <f>'Data dubieuze debiteuren'!M150</f>
        <v>0</v>
      </c>
      <c r="N57" s="373">
        <f>'Data dubieuze debiteuren'!N150</f>
        <v>55337719.616803363</v>
      </c>
      <c r="P57" s="350"/>
    </row>
    <row r="58" spans="1:16384" s="316" customFormat="1" ht="14.25">
      <c r="A58" s="314"/>
      <c r="B58" s="315" t="s">
        <v>906</v>
      </c>
      <c r="C58" s="315"/>
      <c r="D58" s="314" t="s">
        <v>185</v>
      </c>
      <c r="E58" s="350"/>
      <c r="F58" s="357"/>
      <c r="G58" s="373">
        <f>'Data dubieuze debiteuren'!G151</f>
        <v>0</v>
      </c>
      <c r="H58" s="373">
        <f>'Data dubieuze debiteuren'!H151</f>
        <v>0</v>
      </c>
      <c r="I58" s="373">
        <f>'Data dubieuze debiteuren'!I151</f>
        <v>102054343.55670802</v>
      </c>
      <c r="J58" s="373">
        <f>'Data dubieuze debiteuren'!J151</f>
        <v>1225507105.6520903</v>
      </c>
      <c r="K58" s="373">
        <f>'Data dubieuze debiteuren'!K151</f>
        <v>0</v>
      </c>
      <c r="L58" s="373">
        <f>'Data dubieuze debiteuren'!L151</f>
        <v>0</v>
      </c>
      <c r="M58" s="373">
        <f>'Data dubieuze debiteuren'!M151</f>
        <v>0</v>
      </c>
      <c r="N58" s="373">
        <f>'Data dubieuze debiteuren'!N151</f>
        <v>62997395.719044387</v>
      </c>
      <c r="P58" s="350"/>
    </row>
    <row r="60" spans="1:16384" s="328" customFormat="1">
      <c r="B60" s="329" t="s">
        <v>929</v>
      </c>
      <c r="F60" s="361"/>
      <c r="G60" s="362"/>
      <c r="H60" s="362"/>
      <c r="I60" s="362"/>
      <c r="J60" s="362"/>
      <c r="K60" s="362"/>
      <c r="L60" s="362"/>
      <c r="M60" s="362"/>
      <c r="N60" s="362"/>
      <c r="O60" s="362"/>
      <c r="P60" s="362"/>
    </row>
    <row r="61" spans="1:16384">
      <c r="B61" s="346" t="s">
        <v>930</v>
      </c>
      <c r="C61" s="367"/>
      <c r="D61" s="367"/>
    </row>
    <row r="62" spans="1:16384">
      <c r="B62" s="376" t="s">
        <v>931</v>
      </c>
      <c r="C62" s="367"/>
      <c r="D62" s="367"/>
    </row>
    <row r="63" spans="1:16384">
      <c r="B63" s="354" t="s">
        <v>932</v>
      </c>
      <c r="C63" s="367"/>
      <c r="D63" s="367"/>
    </row>
    <row r="64" spans="1:16384">
      <c r="B64" s="314"/>
      <c r="C64" s="367"/>
      <c r="D64" s="367"/>
      <c r="F64" s="369"/>
      <c r="N64" s="369"/>
    </row>
    <row r="65" spans="2:16">
      <c r="B65" s="314" t="s">
        <v>933</v>
      </c>
      <c r="C65" s="367"/>
      <c r="D65" s="314" t="s">
        <v>183</v>
      </c>
      <c r="F65" s="369"/>
      <c r="G65" s="98"/>
      <c r="H65" s="98"/>
      <c r="I65" s="98">
        <f t="shared" ref="I65:K67" si="0">(I9+I14)*(I42/I56)</f>
        <v>130681.04661508219</v>
      </c>
      <c r="J65" s="98">
        <f t="shared" si="0"/>
        <v>0</v>
      </c>
      <c r="K65" s="98">
        <f t="shared" si="0"/>
        <v>47602.378038927083</v>
      </c>
      <c r="L65" s="98"/>
      <c r="M65" s="98"/>
      <c r="N65" s="98">
        <f>(N9+N14)*(N42/N56)</f>
        <v>0</v>
      </c>
    </row>
    <row r="66" spans="2:16">
      <c r="B66" s="314" t="s">
        <v>934</v>
      </c>
      <c r="C66" s="367"/>
      <c r="D66" s="314" t="s">
        <v>184</v>
      </c>
      <c r="F66" s="369"/>
      <c r="G66" s="98"/>
      <c r="H66" s="98"/>
      <c r="I66" s="98">
        <f t="shared" si="0"/>
        <v>146458.59077682366</v>
      </c>
      <c r="J66" s="98">
        <f t="shared" si="0"/>
        <v>778591.92990003177</v>
      </c>
      <c r="K66" s="98"/>
      <c r="L66" s="98"/>
      <c r="M66" s="98"/>
      <c r="N66" s="98">
        <f>(N10+N15)*(N43/N57)</f>
        <v>0</v>
      </c>
      <c r="P66" s="377"/>
    </row>
    <row r="67" spans="2:16">
      <c r="B67" s="314" t="s">
        <v>935</v>
      </c>
      <c r="C67" s="367"/>
      <c r="D67" s="314" t="s">
        <v>185</v>
      </c>
      <c r="F67" s="369"/>
      <c r="G67" s="98"/>
      <c r="H67" s="98"/>
      <c r="I67" s="98">
        <f t="shared" si="0"/>
        <v>163121.95004177393</v>
      </c>
      <c r="J67" s="98">
        <f t="shared" si="0"/>
        <v>2508338.4880316001</v>
      </c>
      <c r="K67" s="98"/>
      <c r="L67" s="98"/>
      <c r="M67" s="98"/>
      <c r="N67" s="98">
        <f>(N11+N16)*(N44/N58)</f>
        <v>0</v>
      </c>
    </row>
    <row r="68" spans="2:16">
      <c r="B68" s="314"/>
      <c r="C68" s="367"/>
      <c r="D68" s="314"/>
      <c r="F68" s="369"/>
      <c r="G68" s="369"/>
      <c r="H68" s="369"/>
      <c r="I68" s="369"/>
      <c r="J68" s="369"/>
      <c r="K68" s="369"/>
      <c r="L68" s="369"/>
      <c r="M68" s="369"/>
      <c r="N68" s="369"/>
    </row>
    <row r="69" spans="2:16">
      <c r="B69" s="314" t="s">
        <v>936</v>
      </c>
      <c r="C69" s="367"/>
      <c r="D69" s="314" t="s">
        <v>183</v>
      </c>
      <c r="F69" s="369"/>
      <c r="G69" s="98"/>
      <c r="H69" s="98"/>
      <c r="I69" s="98">
        <f t="shared" ref="I69:K71" si="1">(I9+I14)*(I46/I56)</f>
        <v>245972.21058625169</v>
      </c>
      <c r="J69" s="98">
        <f t="shared" si="1"/>
        <v>0</v>
      </c>
      <c r="K69" s="98">
        <f t="shared" si="1"/>
        <v>18397.621961072906</v>
      </c>
      <c r="L69" s="98"/>
      <c r="M69" s="98"/>
      <c r="N69" s="98">
        <f>(N9+N14)*(N46/N56)</f>
        <v>0</v>
      </c>
    </row>
    <row r="70" spans="2:16">
      <c r="B70" s="314" t="s">
        <v>937</v>
      </c>
      <c r="C70" s="367"/>
      <c r="D70" s="314" t="s">
        <v>184</v>
      </c>
      <c r="F70" s="369"/>
      <c r="G70" s="98"/>
      <c r="H70" s="98"/>
      <c r="I70" s="98">
        <f t="shared" si="1"/>
        <v>262875.06765063881</v>
      </c>
      <c r="J70" s="98">
        <f t="shared" si="1"/>
        <v>264469.92536360439</v>
      </c>
      <c r="K70" s="98"/>
      <c r="L70" s="98"/>
      <c r="M70" s="98"/>
      <c r="N70" s="98">
        <f>(N10+N15)*(N47/N57)</f>
        <v>0</v>
      </c>
      <c r="P70" s="377"/>
    </row>
    <row r="71" spans="2:16">
      <c r="B71" s="314" t="s">
        <v>938</v>
      </c>
      <c r="C71" s="367"/>
      <c r="D71" s="314" t="s">
        <v>185</v>
      </c>
      <c r="F71" s="369"/>
      <c r="G71" s="98"/>
      <c r="H71" s="98"/>
      <c r="I71" s="98">
        <f t="shared" si="1"/>
        <v>279128.49749486631</v>
      </c>
      <c r="J71" s="98">
        <f t="shared" si="1"/>
        <v>834318.88587106334</v>
      </c>
      <c r="K71" s="98"/>
      <c r="L71" s="98"/>
      <c r="M71" s="98"/>
      <c r="N71" s="98">
        <f>(N11+N16)*(N48/N58)</f>
        <v>0</v>
      </c>
    </row>
    <row r="72" spans="2:16">
      <c r="B72" s="334"/>
      <c r="C72" s="367"/>
      <c r="D72" s="367"/>
      <c r="F72" s="369"/>
      <c r="G72" s="369"/>
      <c r="H72" s="369"/>
      <c r="I72" s="369"/>
      <c r="J72" s="369"/>
      <c r="K72" s="369"/>
      <c r="L72" s="369"/>
      <c r="M72" s="369"/>
      <c r="N72" s="369"/>
    </row>
    <row r="73" spans="2:16" s="328" customFormat="1">
      <c r="B73" s="329" t="s">
        <v>939</v>
      </c>
      <c r="F73" s="361"/>
      <c r="G73" s="362"/>
      <c r="H73" s="362"/>
      <c r="I73" s="362"/>
      <c r="J73" s="362"/>
      <c r="K73" s="362"/>
      <c r="L73" s="362"/>
      <c r="M73" s="362"/>
      <c r="N73" s="362"/>
      <c r="O73" s="362"/>
      <c r="P73" s="362"/>
    </row>
    <row r="74" spans="2:16">
      <c r="B74" s="346" t="s">
        <v>930</v>
      </c>
      <c r="C74" s="367"/>
      <c r="D74" s="367"/>
    </row>
    <row r="75" spans="2:16">
      <c r="B75" s="354" t="s">
        <v>932</v>
      </c>
      <c r="C75" s="367"/>
      <c r="D75" s="367"/>
    </row>
    <row r="76" spans="2:16">
      <c r="B76" s="315"/>
      <c r="C76" s="367"/>
      <c r="D76" s="314"/>
      <c r="F76" s="369"/>
      <c r="N76" s="369"/>
    </row>
    <row r="77" spans="2:16">
      <c r="B77" s="315" t="s">
        <v>933</v>
      </c>
      <c r="C77" s="367"/>
      <c r="D77" s="314" t="s">
        <v>183</v>
      </c>
      <c r="F77" s="369"/>
      <c r="G77" s="98"/>
      <c r="H77" s="98"/>
      <c r="I77" s="98">
        <f t="shared" ref="I77:J79" si="2">I19*(I42/(I46+I42))</f>
        <v>0</v>
      </c>
      <c r="J77" s="98">
        <f t="shared" si="2"/>
        <v>0</v>
      </c>
      <c r="K77" s="98"/>
      <c r="L77" s="98"/>
      <c r="M77" s="98"/>
      <c r="N77" s="98">
        <f>N19*(N42/(N46+N42))</f>
        <v>0</v>
      </c>
    </row>
    <row r="78" spans="2:16">
      <c r="B78" s="315" t="s">
        <v>934</v>
      </c>
      <c r="C78" s="367"/>
      <c r="D78" s="314" t="s">
        <v>184</v>
      </c>
      <c r="F78" s="369"/>
      <c r="G78" s="98"/>
      <c r="H78" s="98"/>
      <c r="I78" s="98">
        <f t="shared" si="2"/>
        <v>0</v>
      </c>
      <c r="J78" s="98">
        <f t="shared" si="2"/>
        <v>0</v>
      </c>
      <c r="K78" s="98"/>
      <c r="L78" s="98"/>
      <c r="M78" s="98"/>
      <c r="N78" s="98">
        <f>N20*(N43/(N47+N43))</f>
        <v>74882.484242333376</v>
      </c>
      <c r="P78" s="377"/>
    </row>
    <row r="79" spans="2:16">
      <c r="B79" s="315" t="s">
        <v>935</v>
      </c>
      <c r="C79" s="367"/>
      <c r="D79" s="314" t="s">
        <v>185</v>
      </c>
      <c r="F79" s="369"/>
      <c r="G79" s="98"/>
      <c r="H79" s="98"/>
      <c r="I79" s="98">
        <f t="shared" si="2"/>
        <v>0</v>
      </c>
      <c r="J79" s="98">
        <f t="shared" si="2"/>
        <v>0</v>
      </c>
      <c r="K79" s="98"/>
      <c r="L79" s="98"/>
      <c r="M79" s="98"/>
      <c r="N79" s="98">
        <f>N21*(N44/(N48+N44))</f>
        <v>0</v>
      </c>
    </row>
    <row r="80" spans="2:16">
      <c r="B80" s="334"/>
      <c r="C80" s="367"/>
      <c r="D80" s="314"/>
      <c r="F80" s="369"/>
      <c r="G80" s="29"/>
      <c r="H80" s="29"/>
      <c r="I80" s="29"/>
      <c r="J80" s="29"/>
      <c r="K80" s="29"/>
      <c r="L80" s="29"/>
      <c r="M80" s="29"/>
      <c r="N80" s="29"/>
    </row>
    <row r="81" spans="2:16">
      <c r="B81" s="315" t="s">
        <v>936</v>
      </c>
      <c r="C81" s="367"/>
      <c r="D81" s="314" t="s">
        <v>183</v>
      </c>
      <c r="F81" s="369"/>
      <c r="G81" s="98"/>
      <c r="H81" s="98"/>
      <c r="I81" s="98">
        <f t="shared" ref="I81:J83" si="3">I19*(I46/(I46+I42))</f>
        <v>0</v>
      </c>
      <c r="J81" s="98">
        <f t="shared" si="3"/>
        <v>0</v>
      </c>
      <c r="K81" s="98"/>
      <c r="L81" s="98"/>
      <c r="M81" s="98"/>
      <c r="N81" s="98">
        <f>N19*(N46/(N46+N42))</f>
        <v>0</v>
      </c>
    </row>
    <row r="82" spans="2:16">
      <c r="B82" s="315" t="s">
        <v>937</v>
      </c>
      <c r="C82" s="367"/>
      <c r="D82" s="314" t="s">
        <v>184</v>
      </c>
      <c r="F82" s="369"/>
      <c r="G82" s="98"/>
      <c r="H82" s="98"/>
      <c r="I82" s="98">
        <f t="shared" si="3"/>
        <v>0</v>
      </c>
      <c r="J82" s="98">
        <f t="shared" si="3"/>
        <v>0</v>
      </c>
      <c r="K82" s="378"/>
      <c r="L82" s="98"/>
      <c r="M82" s="98"/>
      <c r="N82" s="98">
        <f>N20*(N47/(N47+N43))</f>
        <v>28117.515757666621</v>
      </c>
      <c r="P82" s="377"/>
    </row>
    <row r="83" spans="2:16">
      <c r="B83" s="315" t="s">
        <v>938</v>
      </c>
      <c r="C83" s="367"/>
      <c r="D83" s="314" t="s">
        <v>185</v>
      </c>
      <c r="F83" s="369"/>
      <c r="G83" s="98"/>
      <c r="H83" s="98"/>
      <c r="I83" s="98">
        <f t="shared" si="3"/>
        <v>0</v>
      </c>
      <c r="J83" s="98">
        <f t="shared" si="3"/>
        <v>0</v>
      </c>
      <c r="K83" s="98"/>
      <c r="L83" s="98"/>
      <c r="M83" s="98"/>
      <c r="N83" s="98">
        <f>N21*(N48/(N48+N44))</f>
        <v>0</v>
      </c>
    </row>
    <row r="84" spans="2:16">
      <c r="B84" s="334"/>
      <c r="C84" s="367"/>
      <c r="D84" s="367"/>
      <c r="F84" s="369"/>
      <c r="G84" s="369"/>
      <c r="H84" s="369"/>
      <c r="I84" s="369"/>
      <c r="J84" s="369"/>
      <c r="K84" s="369"/>
      <c r="L84" s="369"/>
      <c r="M84" s="369"/>
      <c r="N84" s="369"/>
    </row>
    <row r="85" spans="2:16" s="328" customFormat="1">
      <c r="B85" s="379" t="s">
        <v>940</v>
      </c>
      <c r="F85" s="361"/>
      <c r="G85" s="362"/>
      <c r="H85" s="362"/>
      <c r="I85" s="362"/>
      <c r="J85" s="362"/>
      <c r="K85" s="362"/>
      <c r="L85" s="362"/>
      <c r="M85" s="362"/>
      <c r="N85" s="362"/>
      <c r="O85" s="362"/>
      <c r="P85" s="362"/>
    </row>
    <row r="86" spans="2:16">
      <c r="B86" s="380" t="s">
        <v>930</v>
      </c>
      <c r="C86" s="367"/>
      <c r="D86" s="367"/>
    </row>
    <row r="87" spans="2:16">
      <c r="B87" s="381" t="s">
        <v>941</v>
      </c>
      <c r="C87" s="367"/>
      <c r="D87" s="367"/>
    </row>
    <row r="88" spans="2:16">
      <c r="B88" s="381" t="s">
        <v>942</v>
      </c>
      <c r="C88" s="367"/>
      <c r="D88" s="367"/>
    </row>
    <row r="89" spans="2:16">
      <c r="B89" s="381"/>
      <c r="C89" s="367"/>
      <c r="D89" s="367"/>
    </row>
    <row r="90" spans="2:16">
      <c r="B90" s="382" t="s">
        <v>943</v>
      </c>
      <c r="C90" s="367"/>
      <c r="D90" s="367"/>
      <c r="F90" s="331"/>
      <c r="G90" s="383"/>
      <c r="H90" s="383"/>
      <c r="I90" s="383"/>
      <c r="J90" s="383"/>
      <c r="K90" s="383"/>
      <c r="L90" s="383"/>
      <c r="M90" s="383"/>
      <c r="N90" s="383"/>
    </row>
    <row r="91" spans="2:16">
      <c r="B91" s="315" t="s">
        <v>933</v>
      </c>
      <c r="C91" s="367"/>
      <c r="D91" s="314" t="s">
        <v>183</v>
      </c>
      <c r="F91" s="369"/>
      <c r="G91" s="370">
        <f>G24+G65+G77</f>
        <v>119000</v>
      </c>
      <c r="H91" s="370">
        <f t="shared" ref="H91:N91" si="4">H24+H65+H77</f>
        <v>130000</v>
      </c>
      <c r="I91" s="370">
        <f t="shared" si="4"/>
        <v>130681.04661508219</v>
      </c>
      <c r="J91" s="370">
        <f t="shared" si="4"/>
        <v>2006000</v>
      </c>
      <c r="K91" s="370">
        <f t="shared" si="4"/>
        <v>4142602.378038927</v>
      </c>
      <c r="L91" s="370">
        <f t="shared" si="4"/>
        <v>44046</v>
      </c>
      <c r="M91" s="370">
        <f t="shared" si="4"/>
        <v>6592000</v>
      </c>
      <c r="N91" s="370">
        <f t="shared" si="4"/>
        <v>0</v>
      </c>
    </row>
    <row r="92" spans="2:16">
      <c r="B92" s="315" t="s">
        <v>934</v>
      </c>
      <c r="C92" s="367"/>
      <c r="D92" s="314" t="s">
        <v>184</v>
      </c>
      <c r="F92" s="369"/>
      <c r="G92" s="370">
        <f t="shared" ref="G92:N93" si="5">G25+G66+G78</f>
        <v>116392</v>
      </c>
      <c r="H92" s="370">
        <f t="shared" si="5"/>
        <v>307300</v>
      </c>
      <c r="I92" s="370">
        <f t="shared" si="5"/>
        <v>146458.59077682366</v>
      </c>
      <c r="J92" s="370">
        <f t="shared" si="5"/>
        <v>778591.92990003177</v>
      </c>
      <c r="K92" s="370">
        <f t="shared" si="5"/>
        <v>3506307.5553520401</v>
      </c>
      <c r="L92" s="370">
        <f t="shared" si="5"/>
        <v>35346</v>
      </c>
      <c r="M92" s="370">
        <f t="shared" si="5"/>
        <v>5217000</v>
      </c>
      <c r="N92" s="370">
        <f t="shared" si="5"/>
        <v>74882.484242333376</v>
      </c>
      <c r="P92" s="377"/>
    </row>
    <row r="93" spans="2:16">
      <c r="B93" s="315" t="s">
        <v>935</v>
      </c>
      <c r="C93" s="367"/>
      <c r="D93" s="314" t="s">
        <v>185</v>
      </c>
      <c r="F93" s="369"/>
      <c r="G93" s="370">
        <f t="shared" si="5"/>
        <v>-9612</v>
      </c>
      <c r="H93" s="370">
        <f t="shared" si="5"/>
        <v>0</v>
      </c>
      <c r="I93" s="370">
        <f>I26+I67+I79</f>
        <v>163121.95004177393</v>
      </c>
      <c r="J93" s="384"/>
      <c r="K93" s="370">
        <f t="shared" si="5"/>
        <v>0</v>
      </c>
      <c r="L93" s="370">
        <f t="shared" si="5"/>
        <v>28104</v>
      </c>
      <c r="M93" s="370">
        <f>M26+M67+M79</f>
        <v>0</v>
      </c>
      <c r="N93" s="370">
        <f t="shared" si="5"/>
        <v>105500</v>
      </c>
    </row>
    <row r="94" spans="2:16">
      <c r="B94" s="334"/>
      <c r="C94" s="367"/>
      <c r="D94" s="314"/>
      <c r="F94" s="369"/>
      <c r="G94" s="383"/>
      <c r="H94" s="383"/>
      <c r="I94" s="383"/>
      <c r="J94" s="383"/>
      <c r="K94" s="383"/>
      <c r="L94" s="383"/>
      <c r="M94" s="383"/>
      <c r="N94" s="383"/>
    </row>
    <row r="95" spans="2:16">
      <c r="B95" s="315" t="s">
        <v>936</v>
      </c>
      <c r="C95" s="367"/>
      <c r="D95" s="314" t="s">
        <v>183</v>
      </c>
      <c r="F95" s="369"/>
      <c r="G95" s="370">
        <f>G28+G69+G81</f>
        <v>160000</v>
      </c>
      <c r="H95" s="370">
        <f t="shared" ref="H95:N95" si="6">H28+H69+H81</f>
        <v>62000</v>
      </c>
      <c r="I95" s="370">
        <f t="shared" si="6"/>
        <v>245972.21058625169</v>
      </c>
      <c r="J95" s="370">
        <f>J28+J69+J81</f>
        <v>837000</v>
      </c>
      <c r="K95" s="370">
        <f t="shared" si="6"/>
        <v>1517397.621961073</v>
      </c>
      <c r="L95" s="370">
        <f t="shared" si="6"/>
        <v>51086.58</v>
      </c>
      <c r="M95" s="370">
        <f t="shared" si="6"/>
        <v>2721000</v>
      </c>
      <c r="N95" s="370">
        <f t="shared" si="6"/>
        <v>0</v>
      </c>
    </row>
    <row r="96" spans="2:16">
      <c r="B96" s="315" t="s">
        <v>937</v>
      </c>
      <c r="C96" s="367"/>
      <c r="D96" s="314" t="s">
        <v>184</v>
      </c>
      <c r="F96" s="369"/>
      <c r="G96" s="370">
        <f t="shared" ref="G96:N97" si="7">G29+G70+G82</f>
        <v>143353</v>
      </c>
      <c r="H96" s="370">
        <f t="shared" si="7"/>
        <v>131700</v>
      </c>
      <c r="I96" s="370">
        <f t="shared" si="7"/>
        <v>262875.06765063881</v>
      </c>
      <c r="J96" s="370">
        <f t="shared" si="7"/>
        <v>442469.92536360439</v>
      </c>
      <c r="K96" s="370">
        <f t="shared" si="7"/>
        <v>1213830</v>
      </c>
      <c r="L96" s="370">
        <f t="shared" si="7"/>
        <v>59420</v>
      </c>
      <c r="M96" s="370">
        <f t="shared" si="7"/>
        <v>2123000</v>
      </c>
      <c r="N96" s="370">
        <f t="shared" si="7"/>
        <v>28117.515757666621</v>
      </c>
      <c r="P96" s="377"/>
    </row>
    <row r="97" spans="2:16">
      <c r="B97" s="315" t="s">
        <v>938</v>
      </c>
      <c r="C97" s="367"/>
      <c r="D97" s="314" t="s">
        <v>185</v>
      </c>
      <c r="F97" s="369"/>
      <c r="G97" s="370">
        <f t="shared" si="7"/>
        <v>62365</v>
      </c>
      <c r="H97" s="370">
        <f t="shared" si="7"/>
        <v>0</v>
      </c>
      <c r="I97" s="370">
        <f t="shared" si="7"/>
        <v>279128.49749486631</v>
      </c>
      <c r="J97" s="384"/>
      <c r="K97" s="370">
        <f t="shared" si="7"/>
        <v>1011023</v>
      </c>
      <c r="L97" s="370">
        <f t="shared" si="7"/>
        <v>38631</v>
      </c>
      <c r="M97" s="370">
        <f t="shared" si="7"/>
        <v>2388348</v>
      </c>
      <c r="N97" s="370">
        <f>N30+N71+N83</f>
        <v>63300</v>
      </c>
    </row>
    <row r="98" spans="2:16">
      <c r="B98" s="315"/>
      <c r="C98" s="367"/>
      <c r="D98" s="314"/>
      <c r="F98" s="369"/>
      <c r="G98" s="385"/>
      <c r="H98" s="385"/>
      <c r="I98" s="385"/>
      <c r="J98" s="385"/>
      <c r="K98" s="385"/>
      <c r="L98" s="385"/>
      <c r="M98" s="385"/>
      <c r="N98" s="385"/>
    </row>
    <row r="99" spans="2:16">
      <c r="B99" s="386" t="s">
        <v>947</v>
      </c>
      <c r="C99" s="367"/>
      <c r="D99" s="314"/>
      <c r="F99" s="331"/>
      <c r="G99" s="387"/>
      <c r="H99" s="383"/>
      <c r="I99" s="383"/>
      <c r="J99" s="383"/>
      <c r="K99" s="383"/>
      <c r="L99" s="383"/>
      <c r="M99" s="383"/>
      <c r="N99" s="383"/>
    </row>
    <row r="100" spans="2:16">
      <c r="B100" s="388" t="s">
        <v>948</v>
      </c>
      <c r="C100" s="367"/>
      <c r="D100" s="314" t="s">
        <v>186</v>
      </c>
      <c r="F100" s="331"/>
      <c r="G100" s="415">
        <f>'BeginInkomsten (obv RV&amp;Tar2013)'!G300</f>
        <v>19414050.913219981</v>
      </c>
      <c r="H100" s="415">
        <f>'BeginInkomsten (obv RV&amp;Tar2013)'!H300</f>
        <v>24479762.285694737</v>
      </c>
      <c r="I100" s="415">
        <f>'BeginInkomsten (obv RV&amp;Tar2013)'!I300</f>
        <v>52374907.380499996</v>
      </c>
      <c r="J100" s="415">
        <f>'BeginInkomsten (obv RV&amp;Tar2013)'!J300</f>
        <v>266056036.88706261</v>
      </c>
      <c r="K100" s="415">
        <f>'BeginInkomsten (obv RV&amp;Tar2013)'!K300</f>
        <v>291518402.17380804</v>
      </c>
      <c r="L100" s="415">
        <f>'BeginInkomsten (obv RV&amp;Tar2013)'!L300</f>
        <v>16052698.866973344</v>
      </c>
      <c r="M100" s="415">
        <f>'BeginInkomsten (obv RV&amp;Tar2013)'!M300</f>
        <v>242302362.0818316</v>
      </c>
      <c r="N100" s="415">
        <f>'BeginInkomsten (obv RV&amp;Tar2013)'!N300</f>
        <v>5318714.5467842435</v>
      </c>
    </row>
    <row r="101" spans="2:16">
      <c r="B101" s="388" t="s">
        <v>949</v>
      </c>
      <c r="C101" s="367"/>
      <c r="D101" s="314" t="s">
        <v>186</v>
      </c>
      <c r="F101" s="331"/>
      <c r="G101" s="415">
        <f>'BeginInkomsten (obv RV&amp;Tar2013)'!G301</f>
        <v>1929006.7744856626</v>
      </c>
      <c r="H101" s="415">
        <f>'BeginInkomsten (obv RV&amp;Tar2013)'!H301</f>
        <v>4758059.6465758374</v>
      </c>
      <c r="I101" s="415">
        <f>'BeginInkomsten (obv RV&amp;Tar2013)'!I301</f>
        <v>7667279.1590643357</v>
      </c>
      <c r="J101" s="415">
        <f>'BeginInkomsten (obv RV&amp;Tar2013)'!J301</f>
        <v>42511241.19655396</v>
      </c>
      <c r="K101" s="415">
        <f>'BeginInkomsten (obv RV&amp;Tar2013)'!K301</f>
        <v>38528854.14057827</v>
      </c>
      <c r="L101" s="415">
        <f>'BeginInkomsten (obv RV&amp;Tar2013)'!L301</f>
        <v>1832976.7749933545</v>
      </c>
      <c r="M101" s="415">
        <f>'BeginInkomsten (obv RV&amp;Tar2013)'!M301</f>
        <v>43006644.926867105</v>
      </c>
      <c r="N101" s="415">
        <f>'BeginInkomsten (obv RV&amp;Tar2013)'!N301</f>
        <v>12311824.147209475</v>
      </c>
    </row>
    <row r="102" spans="2:16">
      <c r="B102" s="388"/>
      <c r="C102" s="367"/>
      <c r="D102" s="314"/>
      <c r="F102" s="331"/>
      <c r="G102" s="383"/>
      <c r="H102" s="383"/>
      <c r="I102" s="383"/>
      <c r="J102" s="383"/>
      <c r="K102" s="383"/>
      <c r="L102" s="383"/>
      <c r="M102" s="383"/>
      <c r="N102" s="383"/>
    </row>
    <row r="103" spans="2:16">
      <c r="B103" s="380" t="s">
        <v>942</v>
      </c>
      <c r="C103" s="367"/>
      <c r="D103" s="314"/>
      <c r="F103" s="331"/>
      <c r="G103" s="385"/>
      <c r="H103" s="385"/>
      <c r="I103" s="385"/>
      <c r="J103" s="385"/>
      <c r="K103" s="385"/>
      <c r="L103" s="385"/>
      <c r="M103" s="385"/>
      <c r="N103" s="383"/>
    </row>
    <row r="104" spans="2:16">
      <c r="B104" s="315" t="s">
        <v>950</v>
      </c>
      <c r="C104" s="367"/>
      <c r="D104" s="314" t="s">
        <v>183</v>
      </c>
      <c r="F104" s="331"/>
      <c r="G104" s="370">
        <f>G95*(G$100/(G$100+G$101))</f>
        <v>145539.04091748325</v>
      </c>
      <c r="H104" s="370">
        <f>H95*(H$100/(H$100+H$101))</f>
        <v>51910.339464715638</v>
      </c>
      <c r="I104" s="370">
        <f t="shared" ref="I104" si="8">I95*(I$100/(I$100+I$101))</f>
        <v>214562.00198743213</v>
      </c>
      <c r="J104" s="370">
        <f t="shared" ref="J104:N104" si="9">J95*(J$100/(J$100+J$101))</f>
        <v>721686.70721503545</v>
      </c>
      <c r="K104" s="370">
        <f t="shared" si="9"/>
        <v>1340260.589214135</v>
      </c>
      <c r="L104" s="370">
        <f t="shared" si="9"/>
        <v>45851.076654846896</v>
      </c>
      <c r="M104" s="370">
        <f t="shared" si="9"/>
        <v>2310844.4214120531</v>
      </c>
      <c r="N104" s="370">
        <f t="shared" si="9"/>
        <v>0</v>
      </c>
    </row>
    <row r="105" spans="2:16">
      <c r="B105" s="315" t="s">
        <v>951</v>
      </c>
      <c r="C105" s="367"/>
      <c r="D105" s="314" t="s">
        <v>184</v>
      </c>
      <c r="F105" s="331"/>
      <c r="G105" s="370">
        <f>G96*(G$100/(G$100+G$101))</f>
        <v>130396.61332902484</v>
      </c>
      <c r="H105" s="370">
        <f t="shared" ref="H105:I105" si="10">H96*(H$100/(H$100+H$101))</f>
        <v>110267.60818553306</v>
      </c>
      <c r="I105" s="370">
        <f t="shared" si="10"/>
        <v>229306.39462592729</v>
      </c>
      <c r="J105" s="370">
        <f t="shared" ref="J105:N106" si="11">J96*(J$100/(J$100+J$101))</f>
        <v>381510.94800160348</v>
      </c>
      <c r="K105" s="370">
        <f t="shared" si="11"/>
        <v>1072130.6580823995</v>
      </c>
      <c r="L105" s="370">
        <f t="shared" si="11"/>
        <v>53330.463202488841</v>
      </c>
      <c r="M105" s="370">
        <f>M96*(M$100/(M$100+M$101))</f>
        <v>1802985.1917154682</v>
      </c>
      <c r="N105" s="370">
        <f t="shared" si="11"/>
        <v>8482.3863113544157</v>
      </c>
    </row>
    <row r="106" spans="2:16">
      <c r="B106" s="315" t="s">
        <v>952</v>
      </c>
      <c r="C106" s="367"/>
      <c r="D106" s="314" t="s">
        <v>185</v>
      </c>
      <c r="F106" s="331"/>
      <c r="G106" s="370">
        <f>G97*(G$100/(G$100+G$101))</f>
        <v>56728.389292617765</v>
      </c>
      <c r="H106" s="370">
        <f>H97*(H$100/(H$100+H$101))</f>
        <v>0</v>
      </c>
      <c r="I106" s="370">
        <f t="shared" ref="I106" si="12">I97*(I$100/(I$100+I$101))</f>
        <v>243484.29073145855</v>
      </c>
      <c r="J106" s="384">
        <f>J71</f>
        <v>834318.88587106334</v>
      </c>
      <c r="K106" s="370">
        <f t="shared" si="11"/>
        <v>892998.81723671511</v>
      </c>
      <c r="L106" s="370">
        <f t="shared" si="11"/>
        <v>34671.981218030065</v>
      </c>
      <c r="M106" s="370">
        <f t="shared" si="11"/>
        <v>2028335.4105809021</v>
      </c>
      <c r="N106" s="370">
        <f>N97*(N$100/(N$100+N$101))</f>
        <v>19096.105720589199</v>
      </c>
    </row>
    <row r="107" spans="2:16">
      <c r="B107" s="334"/>
      <c r="C107" s="367"/>
      <c r="D107" s="367"/>
      <c r="F107" s="331"/>
      <c r="G107" s="383"/>
      <c r="H107" s="383"/>
      <c r="I107" s="383"/>
      <c r="J107" s="383"/>
      <c r="K107" s="383"/>
      <c r="L107" s="383"/>
      <c r="M107" s="383"/>
      <c r="N107" s="383"/>
    </row>
    <row r="108" spans="2:16" s="328" customFormat="1">
      <c r="B108" s="379" t="s">
        <v>953</v>
      </c>
      <c r="F108" s="361"/>
      <c r="G108" s="362"/>
      <c r="H108" s="362"/>
      <c r="I108" s="362"/>
      <c r="J108" s="362"/>
      <c r="K108" s="362"/>
      <c r="L108" s="362"/>
      <c r="M108" s="362"/>
      <c r="N108" s="362"/>
      <c r="O108" s="362"/>
      <c r="P108" s="362"/>
    </row>
    <row r="109" spans="2:16">
      <c r="B109" s="380" t="s">
        <v>930</v>
      </c>
      <c r="C109" s="367"/>
      <c r="D109" s="367"/>
    </row>
    <row r="110" spans="2:16">
      <c r="B110" s="381" t="s">
        <v>954</v>
      </c>
      <c r="C110" s="367"/>
      <c r="D110" s="367"/>
    </row>
    <row r="111" spans="2:16">
      <c r="B111" s="381"/>
      <c r="C111" s="367"/>
      <c r="D111" s="367"/>
    </row>
    <row r="112" spans="2:16">
      <c r="B112" s="315" t="s">
        <v>950</v>
      </c>
      <c r="C112" s="367"/>
      <c r="D112" s="314" t="s">
        <v>183</v>
      </c>
      <c r="F112" s="338">
        <f>SUM(G112:N112)</f>
        <v>4903487.9967617635</v>
      </c>
      <c r="G112" s="426">
        <f t="shared" ref="G112:N113" si="13">G104+G37</f>
        <v>145539.04091748325</v>
      </c>
      <c r="H112" s="426">
        <f t="shared" si="13"/>
        <v>51910.339464715638</v>
      </c>
      <c r="I112" s="426">
        <f t="shared" si="13"/>
        <v>214562.00198743213</v>
      </c>
      <c r="J112" s="426">
        <f t="shared" si="13"/>
        <v>721686.70721503545</v>
      </c>
      <c r="K112" s="426">
        <f t="shared" si="13"/>
        <v>1340260.589214135</v>
      </c>
      <c r="L112" s="426">
        <f t="shared" si="13"/>
        <v>45851.076654846896</v>
      </c>
      <c r="M112" s="426">
        <f t="shared" si="13"/>
        <v>2310844.4214120531</v>
      </c>
      <c r="N112" s="426">
        <f t="shared" si="13"/>
        <v>72833.819896062705</v>
      </c>
    </row>
    <row r="113" spans="2:16">
      <c r="B113" s="315" t="s">
        <v>951</v>
      </c>
      <c r="C113" s="367"/>
      <c r="D113" s="314" t="s">
        <v>184</v>
      </c>
      <c r="F113" s="338">
        <f>SUM(G113:N113)</f>
        <v>3788410.2634537998</v>
      </c>
      <c r="G113" s="426">
        <f>G105+G38</f>
        <v>130396.61332902484</v>
      </c>
      <c r="H113" s="426">
        <f t="shared" si="13"/>
        <v>110267.60818553306</v>
      </c>
      <c r="I113" s="426">
        <f t="shared" si="13"/>
        <v>229306.39462592729</v>
      </c>
      <c r="J113" s="426">
        <f t="shared" si="13"/>
        <v>381510.94800160348</v>
      </c>
      <c r="K113" s="426">
        <f t="shared" si="13"/>
        <v>1072130.6580823995</v>
      </c>
      <c r="L113" s="426">
        <f t="shared" si="13"/>
        <v>53330.463202488841</v>
      </c>
      <c r="M113" s="426">
        <f t="shared" si="13"/>
        <v>1802985.1917154682</v>
      </c>
      <c r="N113" s="426">
        <f t="shared" si="13"/>
        <v>8482.3863113544157</v>
      </c>
    </row>
    <row r="114" spans="2:16">
      <c r="B114" s="315" t="s">
        <v>952</v>
      </c>
      <c r="C114" s="367"/>
      <c r="D114" s="314" t="s">
        <v>185</v>
      </c>
      <c r="F114" s="338">
        <f>SUM(G114:N114)</f>
        <v>4109633.8806513762</v>
      </c>
      <c r="G114" s="426">
        <f>G106+G39</f>
        <v>56728.389292617765</v>
      </c>
      <c r="H114" s="426">
        <f t="shared" ref="H114:N114" si="14">H106+H39</f>
        <v>0</v>
      </c>
      <c r="I114" s="426">
        <f t="shared" si="14"/>
        <v>243484.29073145855</v>
      </c>
      <c r="J114" s="426">
        <f t="shared" si="14"/>
        <v>834318.88587106334</v>
      </c>
      <c r="K114" s="426">
        <f t="shared" si="14"/>
        <v>892998.81723671511</v>
      </c>
      <c r="L114" s="426">
        <f t="shared" si="14"/>
        <v>34671.981218030065</v>
      </c>
      <c r="M114" s="426">
        <f t="shared" si="14"/>
        <v>2028335.4105809021</v>
      </c>
      <c r="N114" s="426">
        <f t="shared" si="14"/>
        <v>19096.105720589199</v>
      </c>
    </row>
    <row r="115" spans="2:16">
      <c r="B115" s="334"/>
      <c r="C115" s="367"/>
      <c r="D115" s="367"/>
      <c r="F115" s="389"/>
      <c r="G115" s="331"/>
      <c r="H115" s="331"/>
      <c r="I115" s="331"/>
      <c r="J115" s="331"/>
      <c r="K115" s="331"/>
      <c r="L115" s="331"/>
      <c r="M115" s="331"/>
      <c r="N115" s="331"/>
    </row>
    <row r="116" spans="2:16" s="328" customFormat="1">
      <c r="B116" s="379" t="s">
        <v>944</v>
      </c>
      <c r="F116" s="361"/>
      <c r="G116" s="362"/>
      <c r="H116" s="362"/>
      <c r="I116" s="362"/>
      <c r="J116" s="362"/>
      <c r="K116" s="362"/>
      <c r="L116" s="362"/>
      <c r="M116" s="362"/>
      <c r="N116" s="362"/>
      <c r="O116" s="362"/>
      <c r="P116" s="362"/>
    </row>
    <row r="117" spans="2:16">
      <c r="B117" s="314"/>
      <c r="C117" s="367"/>
      <c r="D117" s="367"/>
      <c r="G117" s="383"/>
      <c r="H117" s="383"/>
      <c r="I117" s="383"/>
      <c r="J117" s="383"/>
      <c r="K117" s="383"/>
      <c r="L117" s="383"/>
      <c r="M117" s="383"/>
      <c r="N117" s="383"/>
    </row>
    <row r="118" spans="2:16">
      <c r="B118" s="386" t="s">
        <v>857</v>
      </c>
      <c r="C118" s="367"/>
      <c r="D118" s="367"/>
      <c r="G118" s="383"/>
      <c r="H118" s="383"/>
      <c r="I118" s="383"/>
      <c r="J118" s="383"/>
      <c r="K118" s="383"/>
      <c r="L118" s="383"/>
      <c r="M118" s="383"/>
      <c r="N118" s="383"/>
    </row>
    <row r="119" spans="2:16">
      <c r="B119" s="390" t="s">
        <v>697</v>
      </c>
      <c r="C119" s="367"/>
      <c r="D119" s="314" t="s">
        <v>183</v>
      </c>
      <c r="F119" s="391">
        <f>F112</f>
        <v>4903487.9967617635</v>
      </c>
      <c r="G119" s="383"/>
      <c r="H119" s="383"/>
      <c r="I119" s="383"/>
      <c r="J119" s="383"/>
      <c r="K119" s="383"/>
      <c r="L119" s="383"/>
      <c r="M119" s="383"/>
      <c r="N119" s="383"/>
    </row>
    <row r="120" spans="2:16">
      <c r="B120" s="390" t="s">
        <v>698</v>
      </c>
      <c r="C120" s="367"/>
      <c r="D120" s="314" t="s">
        <v>184</v>
      </c>
      <c r="F120" s="391">
        <f>F113</f>
        <v>3788410.2634537998</v>
      </c>
      <c r="K120" s="392"/>
    </row>
    <row r="121" spans="2:16">
      <c r="B121" s="390" t="s">
        <v>699</v>
      </c>
      <c r="C121" s="367"/>
      <c r="D121" s="314" t="s">
        <v>185</v>
      </c>
      <c r="F121" s="391">
        <f>F114</f>
        <v>4109633.8806513762</v>
      </c>
      <c r="K121" s="392"/>
    </row>
    <row r="122" spans="2:16">
      <c r="B122" s="334"/>
      <c r="C122" s="367"/>
      <c r="D122" s="314"/>
      <c r="F122" s="393"/>
      <c r="K122" s="392"/>
    </row>
    <row r="123" spans="2:16">
      <c r="D123" s="314"/>
    </row>
    <row r="124" spans="2:16">
      <c r="D124" s="314"/>
    </row>
    <row r="125" spans="2:16">
      <c r="D125" s="314"/>
    </row>
    <row r="126" spans="2:16">
      <c r="D126" s="314"/>
    </row>
  </sheetData>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99"/>
  </sheetPr>
  <dimension ref="B1:Q263"/>
  <sheetViews>
    <sheetView showGridLines="0" zoomScale="85" zoomScaleNormal="85" workbookViewId="0"/>
  </sheetViews>
  <sheetFormatPr defaultRowHeight="12.75"/>
  <cols>
    <col min="1" max="1" width="2.5703125" customWidth="1"/>
    <col min="2" max="2" width="71.42578125" customWidth="1"/>
    <col min="3" max="3" width="2.5703125" customWidth="1"/>
    <col min="4" max="4" width="14.5703125" customWidth="1"/>
    <col min="5" max="5" width="2.5703125" customWidth="1"/>
    <col min="6" max="6" width="21.42578125" customWidth="1"/>
    <col min="7" max="15" width="14.85546875" customWidth="1"/>
    <col min="16" max="16" width="5.7109375" customWidth="1"/>
    <col min="17" max="17" width="27.42578125" customWidth="1"/>
  </cols>
  <sheetData>
    <row r="1" spans="2:17" ht="12" customHeight="1"/>
    <row r="2" spans="2:17" s="1" customFormat="1" ht="36">
      <c r="B2" s="268" t="s">
        <v>766</v>
      </c>
      <c r="F2" s="5" t="s">
        <v>105</v>
      </c>
      <c r="G2" s="5" t="s">
        <v>96</v>
      </c>
      <c r="H2" s="5" t="s">
        <v>97</v>
      </c>
      <c r="I2" s="5" t="s">
        <v>98</v>
      </c>
      <c r="J2" s="5" t="s">
        <v>99</v>
      </c>
      <c r="K2" s="5" t="s">
        <v>100</v>
      </c>
      <c r="L2" s="5" t="s">
        <v>101</v>
      </c>
      <c r="M2" s="5" t="s">
        <v>102</v>
      </c>
      <c r="N2" s="5" t="s">
        <v>103</v>
      </c>
      <c r="O2" s="5" t="s">
        <v>197</v>
      </c>
      <c r="P2" s="5"/>
      <c r="Q2" s="5" t="s">
        <v>567</v>
      </c>
    </row>
    <row r="3" spans="2:17">
      <c r="B3" s="258"/>
    </row>
    <row r="4" spans="2:17">
      <c r="B4" s="51" t="s">
        <v>553</v>
      </c>
    </row>
    <row r="5" spans="2:17">
      <c r="B5" s="51" t="s">
        <v>767</v>
      </c>
    </row>
    <row r="6" spans="2:17">
      <c r="B6" s="51" t="s">
        <v>993</v>
      </c>
    </row>
    <row r="8" spans="2:17">
      <c r="B8" s="13"/>
      <c r="F8" s="53"/>
    </row>
    <row r="9" spans="2:17">
      <c r="F9" s="47"/>
    </row>
    <row r="10" spans="2:17" s="2" customFormat="1">
      <c r="B10" s="2" t="s">
        <v>54</v>
      </c>
      <c r="F10" s="49"/>
    </row>
    <row r="11" spans="2:17">
      <c r="F11" s="47"/>
    </row>
    <row r="12" spans="2:17">
      <c r="B12" s="3" t="s">
        <v>51</v>
      </c>
      <c r="F12" s="47"/>
    </row>
    <row r="13" spans="2:17">
      <c r="F13" s="47"/>
    </row>
    <row r="14" spans="2:17">
      <c r="B14" s="3" t="s">
        <v>433</v>
      </c>
      <c r="F14" s="47"/>
    </row>
    <row r="15" spans="2:17">
      <c r="B15" s="51" t="s">
        <v>432</v>
      </c>
      <c r="D15" t="s">
        <v>108</v>
      </c>
      <c r="F15" s="83">
        <f>SUM(G15:O15)</f>
        <v>292031772.71546465</v>
      </c>
      <c r="G15" s="39">
        <f>'Berekening OPEX TD'!G180</f>
        <v>9121406.1100523118</v>
      </c>
      <c r="H15" s="39">
        <f>'Berekening OPEX TD'!H180</f>
        <v>9293540.5008315332</v>
      </c>
      <c r="I15" s="39">
        <f>'Berekening OPEX TD'!I180</f>
        <v>10449195.226763491</v>
      </c>
      <c r="J15" s="39">
        <f>'Berekening OPEX TD'!J180</f>
        <v>80772132.666140541</v>
      </c>
      <c r="K15" s="39">
        <f>'Berekening OPEX TD'!K180</f>
        <v>85995206.262663603</v>
      </c>
      <c r="L15" s="39">
        <f>'Berekening OPEX TD'!L180</f>
        <v>2673891.61</v>
      </c>
      <c r="M15" s="39">
        <f>'Berekening OPEX TD'!M180</f>
        <v>87669173.168201193</v>
      </c>
      <c r="N15" s="39">
        <f>'Berekening OPEX TD'!N180</f>
        <v>6057227.1708119223</v>
      </c>
      <c r="O15" s="39">
        <f>'Berekening OPEX TD'!O180</f>
        <v>0</v>
      </c>
    </row>
    <row r="16" spans="2:17">
      <c r="B16" s="51" t="s">
        <v>436</v>
      </c>
      <c r="D16" t="s">
        <v>108</v>
      </c>
      <c r="F16" s="83">
        <f>SUM(G16:O16)</f>
        <v>21226316.034617551</v>
      </c>
      <c r="G16" s="39">
        <f>'Berekening OPEX TD'!G172</f>
        <v>0</v>
      </c>
      <c r="H16" s="39">
        <f>'Berekening OPEX TD'!H172</f>
        <v>271771.83</v>
      </c>
      <c r="I16" s="39">
        <f>'Berekening OPEX TD'!I172</f>
        <v>0</v>
      </c>
      <c r="J16" s="39">
        <f>'Berekening OPEX TD'!J172</f>
        <v>608000</v>
      </c>
      <c r="K16" s="39">
        <f>'Berekening OPEX TD'!K172</f>
        <v>7686459.2046175497</v>
      </c>
      <c r="L16" s="39">
        <f>'Berekening OPEX TD'!L172</f>
        <v>88642</v>
      </c>
      <c r="M16" s="39">
        <f>'Berekening OPEX TD'!M172</f>
        <v>12568949</v>
      </c>
      <c r="N16" s="39">
        <f>'Berekening OPEX TD'!N172</f>
        <v>2494</v>
      </c>
      <c r="O16" s="39">
        <f>'Berekening OPEX TD'!O172</f>
        <v>0</v>
      </c>
    </row>
    <row r="17" spans="2:15">
      <c r="B17" s="51" t="s">
        <v>437</v>
      </c>
      <c r="D17" t="s">
        <v>108</v>
      </c>
      <c r="F17" s="83">
        <f>SUM(G17:O17)</f>
        <v>4000</v>
      </c>
      <c r="G17" s="39">
        <f>'Berekening OPEX TD'!G173</f>
        <v>4000</v>
      </c>
      <c r="H17" s="39">
        <f>'Berekening OPEX TD'!H173</f>
        <v>0</v>
      </c>
      <c r="I17" s="39">
        <f>'Berekening OPEX TD'!I173</f>
        <v>0</v>
      </c>
      <c r="J17" s="39">
        <f>'Berekening OPEX TD'!J173</f>
        <v>0</v>
      </c>
      <c r="K17" s="39">
        <f>'Berekening OPEX TD'!K173</f>
        <v>0</v>
      </c>
      <c r="L17" s="39">
        <f>'Berekening OPEX TD'!L173</f>
        <v>0</v>
      </c>
      <c r="M17" s="39">
        <f>'Berekening OPEX TD'!M173</f>
        <v>0</v>
      </c>
      <c r="N17" s="39">
        <f>'Berekening OPEX TD'!N173</f>
        <v>0</v>
      </c>
      <c r="O17" s="39">
        <f>'Berekening OPEX TD'!O173</f>
        <v>0</v>
      </c>
    </row>
    <row r="18" spans="2:15">
      <c r="B18" s="51" t="s">
        <v>613</v>
      </c>
      <c r="D18" t="s">
        <v>108</v>
      </c>
      <c r="F18" s="83">
        <f>SUM(G18:O18)</f>
        <v>3274053.4386383905</v>
      </c>
      <c r="G18" s="39">
        <f>'Berekening OPEX TD'!G176</f>
        <v>72000</v>
      </c>
      <c r="H18" s="39">
        <f>'Berekening OPEX TD'!H176</f>
        <v>93092.709000000003</v>
      </c>
      <c r="I18" s="39">
        <f>'Berekening OPEX TD'!I176</f>
        <v>181330.25258374997</v>
      </c>
      <c r="J18" s="39">
        <f>'Berekening OPEX TD'!J176</f>
        <v>923582.58078521874</v>
      </c>
      <c r="K18" s="39">
        <f>'Berekening OPEX TD'!K176</f>
        <v>1066413.7768667419</v>
      </c>
      <c r="L18" s="39">
        <f>'Berekening OPEX TD'!L176</f>
        <v>57643.82</v>
      </c>
      <c r="M18" s="39">
        <f>'Berekening OPEX TD'!M176</f>
        <v>873329.56455926411</v>
      </c>
      <c r="N18" s="39">
        <f>'Berekening OPEX TD'!N176</f>
        <v>6660.734843416185</v>
      </c>
      <c r="O18" s="39">
        <f>'Berekening OPEX TD'!O176</f>
        <v>0</v>
      </c>
    </row>
    <row r="19" spans="2:15">
      <c r="F19" s="47"/>
    </row>
    <row r="20" spans="2:15">
      <c r="B20" s="51" t="s">
        <v>434</v>
      </c>
      <c r="D20" t="s">
        <v>108</v>
      </c>
      <c r="F20" s="83">
        <f>SUM(G20:O20)</f>
        <v>71566466.102591738</v>
      </c>
      <c r="G20" s="39">
        <f>'Berekening OPEX AD'!G178</f>
        <v>1443716.93</v>
      </c>
      <c r="H20" s="39">
        <f>'Berekening OPEX AD'!H178</f>
        <v>1487842.7466014007</v>
      </c>
      <c r="I20" s="39">
        <f>'Berekening OPEX AD'!I178</f>
        <v>5329560.6261104252</v>
      </c>
      <c r="J20" s="39">
        <f>'Berekening OPEX AD'!J178</f>
        <v>11427069.323275993</v>
      </c>
      <c r="K20" s="39">
        <f>'Berekening OPEX AD'!K178</f>
        <v>35559152.130268611</v>
      </c>
      <c r="L20" s="39">
        <f>'Berekening OPEX AD'!L178</f>
        <v>816815.36</v>
      </c>
      <c r="M20" s="39">
        <f>'Berekening OPEX AD'!M178</f>
        <v>15242101.484940976</v>
      </c>
      <c r="N20" s="39">
        <f>'Berekening OPEX AD'!N178</f>
        <v>260207.50139433556</v>
      </c>
      <c r="O20" s="39">
        <f>'Berekening OPEX AD'!O178</f>
        <v>0</v>
      </c>
    </row>
    <row r="21" spans="2:15">
      <c r="B21" s="51" t="s">
        <v>436</v>
      </c>
      <c r="D21" t="s">
        <v>108</v>
      </c>
      <c r="F21" s="83">
        <f>SUM(G21:O21)</f>
        <v>0</v>
      </c>
      <c r="G21" s="39">
        <f>'Berekening OPEX AD'!G170</f>
        <v>0</v>
      </c>
      <c r="H21" s="39">
        <f>'Berekening OPEX AD'!H170</f>
        <v>0</v>
      </c>
      <c r="I21" s="39">
        <f>'Berekening OPEX AD'!I170</f>
        <v>0</v>
      </c>
      <c r="J21" s="39">
        <f>'Berekening OPEX AD'!J170</f>
        <v>0</v>
      </c>
      <c r="K21" s="39">
        <f>'Berekening OPEX AD'!K170</f>
        <v>0</v>
      </c>
      <c r="L21" s="39">
        <f>'Berekening OPEX AD'!L170</f>
        <v>0</v>
      </c>
      <c r="M21" s="39">
        <f>'Berekening OPEX AD'!M170</f>
        <v>0</v>
      </c>
      <c r="N21" s="39">
        <f>'Berekening OPEX AD'!N170</f>
        <v>0</v>
      </c>
      <c r="O21" s="39">
        <f>'Berekening OPEX AD'!O170</f>
        <v>0</v>
      </c>
    </row>
    <row r="22" spans="2:15">
      <c r="B22" s="51" t="s">
        <v>437</v>
      </c>
      <c r="D22" t="s">
        <v>108</v>
      </c>
      <c r="F22" s="83">
        <f>SUM(G22:O22)</f>
        <v>1000</v>
      </c>
      <c r="G22" s="39">
        <f>'Berekening OPEX AD'!G171</f>
        <v>1000</v>
      </c>
      <c r="H22" s="39">
        <f>'Berekening OPEX AD'!H171</f>
        <v>0</v>
      </c>
      <c r="I22" s="39">
        <f>'Berekening OPEX AD'!I171</f>
        <v>0</v>
      </c>
      <c r="J22" s="39">
        <f>'Berekening OPEX AD'!J171</f>
        <v>0</v>
      </c>
      <c r="K22" s="39">
        <f>'Berekening OPEX AD'!K171</f>
        <v>0</v>
      </c>
      <c r="L22" s="39">
        <f>'Berekening OPEX AD'!L171</f>
        <v>0</v>
      </c>
      <c r="M22" s="39">
        <f>'Berekening OPEX AD'!M171</f>
        <v>0</v>
      </c>
      <c r="N22" s="39">
        <f>'Berekening OPEX AD'!N171</f>
        <v>0</v>
      </c>
      <c r="O22" s="39">
        <f>'Berekening OPEX AD'!O171</f>
        <v>0</v>
      </c>
    </row>
    <row r="23" spans="2:15">
      <c r="B23" s="51" t="s">
        <v>613</v>
      </c>
      <c r="D23" t="s">
        <v>108</v>
      </c>
      <c r="F23" s="83">
        <f>SUM(G23:O23)</f>
        <v>815406.80330350378</v>
      </c>
      <c r="G23" s="39">
        <f>'Berekening OPEX AD'!G174</f>
        <v>17000</v>
      </c>
      <c r="H23" s="39">
        <f>'Berekening OPEX AD'!H174</f>
        <v>22655.414549999998</v>
      </c>
      <c r="I23" s="39">
        <f>'Berekening OPEX AD'!I174</f>
        <v>53190.981643655774</v>
      </c>
      <c r="J23" s="39">
        <f>'Berekening OPEX AD'!J174</f>
        <v>221030.34628937035</v>
      </c>
      <c r="K23" s="39">
        <f>'Berekening OPEX AD'!K174</f>
        <v>251804.95935440497</v>
      </c>
      <c r="L23" s="39">
        <f>'Berekening OPEX AD'!L174</f>
        <v>15371.73</v>
      </c>
      <c r="M23" s="39">
        <f>'Berekening OPEX AD'!M174</f>
        <v>233424.81861147922</v>
      </c>
      <c r="N23" s="39">
        <f>'Berekening OPEX AD'!N174</f>
        <v>928.55285459348249</v>
      </c>
      <c r="O23" s="39">
        <f>'Berekening OPEX AD'!O174</f>
        <v>0</v>
      </c>
    </row>
    <row r="24" spans="2:15">
      <c r="F24" s="47"/>
    </row>
    <row r="25" spans="2:15">
      <c r="B25" s="51" t="s">
        <v>438</v>
      </c>
      <c r="D25" t="s">
        <v>108</v>
      </c>
      <c r="F25" s="83">
        <f>SUM(G25:O25)</f>
        <v>43971781.414062135</v>
      </c>
      <c r="G25" s="39">
        <f>'Berekening vergoedingen EAV'!G24</f>
        <v>996367.27999999991</v>
      </c>
      <c r="H25" s="39">
        <f>'Berekening vergoedingen EAV'!H24</f>
        <v>1071771.3500000006</v>
      </c>
      <c r="I25" s="39">
        <f>'Berekening vergoedingen EAV'!I24</f>
        <v>2033068.8700000003</v>
      </c>
      <c r="J25" s="39">
        <f>'Berekening vergoedingen EAV'!J24</f>
        <v>11998416.414238615</v>
      </c>
      <c r="K25" s="39">
        <f>'Berekening vergoedingen EAV'!K24</f>
        <v>13188857.08</v>
      </c>
      <c r="L25" s="39">
        <f>'Berekening vergoedingen EAV'!L24</f>
        <v>577179.75</v>
      </c>
      <c r="M25" s="39">
        <f>'Berekening vergoedingen EAV'!M24</f>
        <v>13558151.06982352</v>
      </c>
      <c r="N25" s="39">
        <f>'Berekening vergoedingen EAV'!N24</f>
        <v>547969.60000000009</v>
      </c>
      <c r="O25" s="39">
        <f>'Berekening vergoedingen EAV'!O24</f>
        <v>0</v>
      </c>
    </row>
    <row r="26" spans="2:15">
      <c r="F26" s="47"/>
    </row>
    <row r="27" spans="2:15">
      <c r="B27" s="3" t="s">
        <v>435</v>
      </c>
      <c r="F27" s="47"/>
    </row>
    <row r="28" spans="2:15">
      <c r="B28" s="51" t="s">
        <v>768</v>
      </c>
      <c r="D28" t="s">
        <v>108</v>
      </c>
      <c r="F28" s="83">
        <f>SUM(G28:O28)</f>
        <v>403291221.96962124</v>
      </c>
      <c r="G28" s="39">
        <f>'Berekening kapitaalkosten TD'!G237</f>
        <v>6684297.3730495069</v>
      </c>
      <c r="H28" s="39">
        <f>'Berekening kapitaalkosten TD'!H237</f>
        <v>8439325.8499188144</v>
      </c>
      <c r="I28" s="39">
        <f>'Berekening kapitaalkosten TD'!I237</f>
        <v>25547953.016530886</v>
      </c>
      <c r="J28" s="39">
        <f>'Berekening kapitaalkosten TD'!J237</f>
        <v>101215151.52106193</v>
      </c>
      <c r="K28" s="39">
        <f>'Berekening kapitaalkosten TD'!K237</f>
        <v>126992942.33889504</v>
      </c>
      <c r="L28" s="39">
        <f>'Berekening kapitaalkosten TD'!L237</f>
        <v>12435470.089252006</v>
      </c>
      <c r="M28" s="39">
        <f>'Berekening kapitaalkosten TD'!M237</f>
        <v>111629528.2228601</v>
      </c>
      <c r="N28" s="39">
        <f>'Berekening kapitaalkosten TD'!N237</f>
        <v>10346553.558052961</v>
      </c>
      <c r="O28" s="39">
        <f>'Berekening kapitaalkosten TD'!O237</f>
        <v>0</v>
      </c>
    </row>
    <row r="29" spans="2:15">
      <c r="B29" s="51" t="s">
        <v>769</v>
      </c>
      <c r="D29" t="s">
        <v>108</v>
      </c>
      <c r="F29" s="83">
        <f>SUM(G29:O29)</f>
        <v>3957480.5213432852</v>
      </c>
      <c r="G29" s="39">
        <f>'Berekening kapitaalkosten TD'!G224</f>
        <v>773514.38979668741</v>
      </c>
      <c r="H29" s="39">
        <f>'Berekening kapitaalkosten TD'!H224</f>
        <v>0</v>
      </c>
      <c r="I29" s="39">
        <f>'Berekening kapitaalkosten TD'!I224</f>
        <v>0</v>
      </c>
      <c r="J29" s="39">
        <f>'Berekening kapitaalkosten TD'!J224</f>
        <v>1143711.9073223823</v>
      </c>
      <c r="K29" s="39">
        <f>'Berekening kapitaalkosten TD'!K224</f>
        <v>0</v>
      </c>
      <c r="L29" s="39">
        <f>'Berekening kapitaalkosten TD'!L224</f>
        <v>2040254.2242242156</v>
      </c>
      <c r="M29" s="39">
        <f>'Berekening kapitaalkosten TD'!M224</f>
        <v>0</v>
      </c>
      <c r="N29" s="39">
        <f>'Berekening kapitaalkosten TD'!N224</f>
        <v>0</v>
      </c>
      <c r="O29" s="39">
        <f>'Berekening kapitaalkosten TD'!O224</f>
        <v>0</v>
      </c>
    </row>
    <row r="30" spans="2:15">
      <c r="B30" s="51" t="s">
        <v>770</v>
      </c>
      <c r="D30" t="s">
        <v>108</v>
      </c>
      <c r="F30" s="83">
        <f>SUM(G30:O30)</f>
        <v>47616439.192258082</v>
      </c>
      <c r="G30" s="39">
        <f>'Berekening kapitaalkosten AD'!G172</f>
        <v>918796.89392090286</v>
      </c>
      <c r="H30" s="39">
        <f>'Berekening kapitaalkosten AD'!H172</f>
        <v>1217387.4066033934</v>
      </c>
      <c r="I30" s="39">
        <f>'Berekening kapitaalkosten AD'!I172</f>
        <v>1438147.3426785748</v>
      </c>
      <c r="J30" s="39">
        <f>'Berekening kapitaalkosten AD'!J172</f>
        <v>12352941.295906942</v>
      </c>
      <c r="K30" s="39">
        <f>'Berekening kapitaalkosten AD'!K172</f>
        <v>9059220.2067419197</v>
      </c>
      <c r="L30" s="39">
        <f>'Berekening kapitaalkosten AD'!L172</f>
        <v>858030.16020108014</v>
      </c>
      <c r="M30" s="39">
        <f>'Berekening kapitaalkosten AD'!M172</f>
        <v>21596124.409397088</v>
      </c>
      <c r="N30" s="39">
        <f>'Berekening kapitaalkosten AD'!N172</f>
        <v>175791.47680818231</v>
      </c>
      <c r="O30" s="39">
        <f>'Berekening kapitaalkosten AD'!O172</f>
        <v>0</v>
      </c>
    </row>
    <row r="31" spans="2:15">
      <c r="F31" s="47"/>
    </row>
    <row r="32" spans="2:15">
      <c r="B32" s="3" t="s">
        <v>439</v>
      </c>
      <c r="F32" s="47"/>
    </row>
    <row r="33" spans="2:17">
      <c r="B33" s="51" t="s">
        <v>441</v>
      </c>
      <c r="D33" t="s">
        <v>108</v>
      </c>
      <c r="F33" s="83">
        <f>SUM(G33:O33)</f>
        <v>2071779.9715665458</v>
      </c>
      <c r="H33" s="97">
        <f>'Berekening OPEX TD'!H403</f>
        <v>768779.97156654589</v>
      </c>
      <c r="J33" s="97">
        <f>'Berekening OPEX TD'!J403</f>
        <v>105000</v>
      </c>
      <c r="O33" s="97">
        <f>'Berekening OPEX TD'!O403</f>
        <v>1198000</v>
      </c>
    </row>
    <row r="34" spans="2:17">
      <c r="B34" s="51" t="s">
        <v>440</v>
      </c>
      <c r="D34" t="s">
        <v>108</v>
      </c>
      <c r="F34" s="83">
        <f>SUM(G34:O34)</f>
        <v>40283.274510725554</v>
      </c>
      <c r="H34" s="97">
        <f>'Berekening OPEX AD'!H395</f>
        <v>40283.274510725554</v>
      </c>
      <c r="J34" s="97">
        <f>'Berekening OPEX AD'!J395</f>
        <v>0</v>
      </c>
      <c r="O34" s="97">
        <f>'Berekening OPEX AD'!O395</f>
        <v>0</v>
      </c>
    </row>
    <row r="35" spans="2:17">
      <c r="B35" s="51" t="s">
        <v>442</v>
      </c>
      <c r="D35" t="s">
        <v>108</v>
      </c>
      <c r="F35" s="83">
        <f>SUM(G35:O35)</f>
        <v>0</v>
      </c>
      <c r="H35" s="97">
        <f>'Berekening vergoedingen EAV'!G25</f>
        <v>0</v>
      </c>
      <c r="J35" s="97">
        <f>'Berekening vergoedingen EAV'!I25</f>
        <v>0</v>
      </c>
      <c r="O35" s="97">
        <f>'Berekening vergoedingen EAV'!N25</f>
        <v>0</v>
      </c>
    </row>
    <row r="36" spans="2:17">
      <c r="F36" s="47"/>
    </row>
    <row r="37" spans="2:17">
      <c r="B37" s="3" t="s">
        <v>425</v>
      </c>
      <c r="F37" s="47"/>
    </row>
    <row r="38" spans="2:17">
      <c r="B38" s="51" t="s">
        <v>771</v>
      </c>
      <c r="D38" t="s">
        <v>108</v>
      </c>
      <c r="F38" s="83">
        <f>SUM(G38:O38)</f>
        <v>3368467.9215473635</v>
      </c>
      <c r="H38" s="97">
        <f>'Berekening kapitaalkosten TD'!H293</f>
        <v>644351.70921328699</v>
      </c>
      <c r="J38" s="97">
        <f>'Berekening kapitaalkosten TD'!J293</f>
        <v>19138.36266301899</v>
      </c>
      <c r="O38" s="97">
        <f>'Berekening kapitaalkosten TD'!O293</f>
        <v>2704977.8496710574</v>
      </c>
    </row>
    <row r="39" spans="2:17">
      <c r="B39" s="51" t="s">
        <v>772</v>
      </c>
      <c r="D39" t="s">
        <v>108</v>
      </c>
      <c r="F39" s="83">
        <f>SUM(G39:O39)</f>
        <v>0</v>
      </c>
      <c r="H39" s="97">
        <f>'Berekening kapitaalkosten AD'!H214</f>
        <v>0</v>
      </c>
      <c r="J39" s="97">
        <f>'Berekening kapitaalkosten AD'!J214</f>
        <v>0</v>
      </c>
      <c r="O39" s="97">
        <f>'Berekening kapitaalkosten AD'!O214</f>
        <v>0</v>
      </c>
    </row>
    <row r="40" spans="2:17">
      <c r="B40" s="51"/>
      <c r="F40" s="47"/>
    </row>
    <row r="41" spans="2:17">
      <c r="B41" s="51"/>
      <c r="F41" s="47"/>
    </row>
    <row r="42" spans="2:17">
      <c r="B42" s="3" t="s">
        <v>53</v>
      </c>
      <c r="F42" s="47"/>
    </row>
    <row r="43" spans="2:17">
      <c r="F43" s="47"/>
    </row>
    <row r="44" spans="2:17">
      <c r="B44" s="51" t="s">
        <v>773</v>
      </c>
      <c r="D44" t="s">
        <v>108</v>
      </c>
      <c r="F44" s="83">
        <f>SUM(G44:O44)</f>
        <v>867915693.08296549</v>
      </c>
      <c r="G44" s="21">
        <f>SUM(G15,G20,G25,G28:G30,G33:G35,G38:G39)</f>
        <v>19938098.976819407</v>
      </c>
      <c r="H44" s="21">
        <f t="shared" ref="H44:O44" si="0">SUM(H15,H20,H25,H28:H30,H33:H35,H38:H39)</f>
        <v>22963282.809245698</v>
      </c>
      <c r="I44" s="21">
        <f t="shared" si="0"/>
        <v>44797925.082083374</v>
      </c>
      <c r="J44" s="21">
        <f t="shared" si="0"/>
        <v>219033561.49060941</v>
      </c>
      <c r="K44" s="21">
        <f t="shared" si="0"/>
        <v>270795378.01856917</v>
      </c>
      <c r="L44" s="21">
        <f t="shared" si="0"/>
        <v>19401641.193677302</v>
      </c>
      <c r="M44" s="21">
        <f t="shared" si="0"/>
        <v>249695078.35522288</v>
      </c>
      <c r="N44" s="21">
        <f t="shared" si="0"/>
        <v>17387749.307067402</v>
      </c>
      <c r="O44" s="21">
        <f t="shared" si="0"/>
        <v>3902977.8496710574</v>
      </c>
      <c r="Q44" s="51" t="s">
        <v>574</v>
      </c>
    </row>
    <row r="45" spans="2:17">
      <c r="B45" s="13" t="s">
        <v>52</v>
      </c>
      <c r="F45" s="47"/>
    </row>
    <row r="46" spans="2:17">
      <c r="B46" s="51" t="s">
        <v>774</v>
      </c>
      <c r="D46" t="s">
        <v>108</v>
      </c>
      <c r="F46" s="83">
        <f>SUM(G46:O46)</f>
        <v>25188796.555960834</v>
      </c>
      <c r="G46" s="21">
        <f>SUM(G16:G17,G21:G22,G29)</f>
        <v>778514.38979668741</v>
      </c>
      <c r="H46" s="21">
        <f t="shared" ref="H46:O46" si="1">SUM(H16:H17,H21:H22,H29)</f>
        <v>271771.83</v>
      </c>
      <c r="I46" s="21">
        <f t="shared" si="1"/>
        <v>0</v>
      </c>
      <c r="J46" s="21">
        <f t="shared" si="1"/>
        <v>1751711.9073223823</v>
      </c>
      <c r="K46" s="21">
        <f t="shared" si="1"/>
        <v>7686459.2046175497</v>
      </c>
      <c r="L46" s="21">
        <f t="shared" si="1"/>
        <v>2128896.2242242154</v>
      </c>
      <c r="M46" s="21">
        <f t="shared" si="1"/>
        <v>12568949</v>
      </c>
      <c r="N46" s="21">
        <f t="shared" si="1"/>
        <v>2494</v>
      </c>
      <c r="O46" s="21">
        <f t="shared" si="1"/>
        <v>0</v>
      </c>
    </row>
    <row r="47" spans="2:17">
      <c r="B47" s="51" t="s">
        <v>180</v>
      </c>
      <c r="D47" t="s">
        <v>108</v>
      </c>
      <c r="F47" s="83">
        <f>SUM(G47:O47)</f>
        <v>4089460.2419418949</v>
      </c>
      <c r="G47" s="21">
        <f>G18+G23</f>
        <v>89000</v>
      </c>
      <c r="H47" s="21">
        <f t="shared" ref="H47:O47" si="2">H18+H23</f>
        <v>115748.12355</v>
      </c>
      <c r="I47" s="21">
        <f t="shared" si="2"/>
        <v>234521.23422740574</v>
      </c>
      <c r="J47" s="21">
        <f t="shared" si="2"/>
        <v>1144612.9270745891</v>
      </c>
      <c r="K47" s="21">
        <f t="shared" si="2"/>
        <v>1318218.736221147</v>
      </c>
      <c r="L47" s="21">
        <f t="shared" si="2"/>
        <v>73015.55</v>
      </c>
      <c r="M47" s="21">
        <f t="shared" si="2"/>
        <v>1106754.3831707432</v>
      </c>
      <c r="N47" s="21">
        <f t="shared" si="2"/>
        <v>7589.2876980096671</v>
      </c>
      <c r="O47" s="21">
        <f t="shared" si="2"/>
        <v>0</v>
      </c>
    </row>
    <row r="48" spans="2:17">
      <c r="B48" s="78" t="s">
        <v>775</v>
      </c>
      <c r="D48" t="s">
        <v>108</v>
      </c>
      <c r="F48" s="83">
        <f>SUM(G48:O48)</f>
        <v>5480531.1676246347</v>
      </c>
      <c r="G48" s="54"/>
      <c r="H48" s="21">
        <f>SUM(H33:H35,H38:H39)</f>
        <v>1453414.9552905583</v>
      </c>
      <c r="I48" s="54"/>
      <c r="J48" s="21">
        <f>SUM(J33:J35,J38:J39)</f>
        <v>124138.36266301898</v>
      </c>
      <c r="K48" s="54"/>
      <c r="L48" s="54"/>
      <c r="M48" s="54"/>
      <c r="N48" s="54"/>
      <c r="O48" s="21">
        <f>SUM(O33:O35,O38:O39)</f>
        <v>3902977.8496710574</v>
      </c>
    </row>
    <row r="49" spans="2:15">
      <c r="F49" s="47"/>
    </row>
    <row r="50" spans="2:15">
      <c r="B50" s="3" t="s">
        <v>629</v>
      </c>
      <c r="F50" s="47"/>
    </row>
    <row r="51" spans="2:15">
      <c r="B51" s="51" t="s">
        <v>630</v>
      </c>
      <c r="D51" t="s">
        <v>108</v>
      </c>
      <c r="F51" s="83">
        <f>SUM(G51:O51)</f>
        <v>704720723.09954298</v>
      </c>
      <c r="G51" s="107">
        <f>G15+G28+G29+G33+G38</f>
        <v>16579217.872898506</v>
      </c>
      <c r="H51" s="107">
        <f t="shared" ref="H51:O51" si="3">H15+H28+H29+H33+H38</f>
        <v>19145998.031530183</v>
      </c>
      <c r="I51" s="107">
        <f t="shared" si="3"/>
        <v>35997148.243294373</v>
      </c>
      <c r="J51" s="107">
        <f t="shared" si="3"/>
        <v>183255134.45718786</v>
      </c>
      <c r="K51" s="107">
        <f t="shared" si="3"/>
        <v>212988148.60155863</v>
      </c>
      <c r="L51" s="107">
        <f t="shared" si="3"/>
        <v>17149615.923476223</v>
      </c>
      <c r="M51" s="107">
        <f t="shared" si="3"/>
        <v>199298701.39106131</v>
      </c>
      <c r="N51" s="107">
        <f t="shared" si="3"/>
        <v>16403780.728864882</v>
      </c>
      <c r="O51" s="107">
        <f t="shared" si="3"/>
        <v>3902977.8496710574</v>
      </c>
    </row>
    <row r="52" spans="2:15">
      <c r="B52" s="51" t="s">
        <v>631</v>
      </c>
      <c r="D52" t="s">
        <v>108</v>
      </c>
      <c r="F52" s="83">
        <f>SUM(G52:O52)</f>
        <v>163194969.9834227</v>
      </c>
      <c r="G52" s="107">
        <f>G20+G25+G30+G34+G35+G39</f>
        <v>3358881.1039209031</v>
      </c>
      <c r="H52" s="107">
        <f t="shared" ref="H52:O52" si="4">H20+H25+H30+H34+H35+H39</f>
        <v>3817284.77771552</v>
      </c>
      <c r="I52" s="107">
        <f t="shared" si="4"/>
        <v>8800776.8387890011</v>
      </c>
      <c r="J52" s="107">
        <f t="shared" si="4"/>
        <v>35778427.033421546</v>
      </c>
      <c r="K52" s="107">
        <f t="shared" si="4"/>
        <v>57807229.417010531</v>
      </c>
      <c r="L52" s="107">
        <f t="shared" si="4"/>
        <v>2252025.27020108</v>
      </c>
      <c r="M52" s="107">
        <f t="shared" si="4"/>
        <v>50396376.964161582</v>
      </c>
      <c r="N52" s="107">
        <f t="shared" si="4"/>
        <v>983968.57820251794</v>
      </c>
      <c r="O52" s="107">
        <f t="shared" si="4"/>
        <v>0</v>
      </c>
    </row>
    <row r="53" spans="2:15">
      <c r="F53" s="47"/>
    </row>
    <row r="54" spans="2:15">
      <c r="F54" s="47"/>
    </row>
    <row r="55" spans="2:15" s="2" customFormat="1">
      <c r="B55" s="2" t="s">
        <v>55</v>
      </c>
      <c r="F55" s="49"/>
    </row>
    <row r="56" spans="2:15">
      <c r="F56" s="47"/>
    </row>
    <row r="57" spans="2:15">
      <c r="B57" s="3" t="s">
        <v>51</v>
      </c>
      <c r="F57" s="47"/>
    </row>
    <row r="58" spans="2:15">
      <c r="F58" s="47"/>
    </row>
    <row r="59" spans="2:15">
      <c r="B59" s="3" t="s">
        <v>433</v>
      </c>
      <c r="F59" s="47"/>
    </row>
    <row r="60" spans="2:15">
      <c r="B60" s="51" t="s">
        <v>432</v>
      </c>
      <c r="D60" t="s">
        <v>109</v>
      </c>
      <c r="F60" s="83">
        <f>SUM(G60:O60)</f>
        <v>298949315.42283952</v>
      </c>
      <c r="G60" s="39">
        <f>'Berekening OPEX TD'!G268</f>
        <v>8227529.6600000001</v>
      </c>
      <c r="H60" s="39">
        <f>'Berekening OPEX TD'!H268</f>
        <v>8459424.1015830692</v>
      </c>
      <c r="I60" s="39">
        <f>'Berekening OPEX TD'!I268</f>
        <v>11464118.506041598</v>
      </c>
      <c r="J60" s="39">
        <f>'Berekening OPEX TD'!J268</f>
        <v>78532548.726345167</v>
      </c>
      <c r="K60" s="39">
        <f>'Berekening OPEX TD'!K268</f>
        <v>103140696.13959838</v>
      </c>
      <c r="L60" s="39">
        <f>'Berekening OPEX TD'!L268</f>
        <v>2997661.03</v>
      </c>
      <c r="M60" s="39">
        <f>'Berekening OPEX TD'!M268</f>
        <v>80134765.634264827</v>
      </c>
      <c r="N60" s="39">
        <f>'Berekening OPEX TD'!N268</f>
        <v>5992571.6250064345</v>
      </c>
      <c r="O60" s="39">
        <f>'Berekening OPEX TD'!O268</f>
        <v>0</v>
      </c>
    </row>
    <row r="61" spans="2:15">
      <c r="B61" s="51" t="s">
        <v>436</v>
      </c>
      <c r="D61" t="s">
        <v>109</v>
      </c>
      <c r="F61" s="83">
        <f>SUM(G61:O61)</f>
        <v>25252604.713036753</v>
      </c>
      <c r="G61" s="39">
        <f>'Berekening OPEX TD'!G260</f>
        <v>0</v>
      </c>
      <c r="H61" s="39">
        <f>'Berekening OPEX TD'!H260</f>
        <v>368104</v>
      </c>
      <c r="I61" s="39">
        <f>'Berekening OPEX TD'!I260</f>
        <v>0</v>
      </c>
      <c r="J61" s="39">
        <f>'Berekening OPEX TD'!J260</f>
        <v>680680</v>
      </c>
      <c r="K61" s="39">
        <f>'Berekening OPEX TD'!K260</f>
        <v>11315354.953036755</v>
      </c>
      <c r="L61" s="39">
        <f>'Berekening OPEX TD'!L260</f>
        <v>88309.759999999995</v>
      </c>
      <c r="M61" s="39">
        <f>'Berekening OPEX TD'!M260</f>
        <v>12785218</v>
      </c>
      <c r="N61" s="39">
        <f>'Berekening OPEX TD'!N260</f>
        <v>14938</v>
      </c>
      <c r="O61" s="39">
        <f>'Berekening OPEX TD'!O260</f>
        <v>0</v>
      </c>
    </row>
    <row r="62" spans="2:15">
      <c r="B62" s="51" t="s">
        <v>437</v>
      </c>
      <c r="D62" t="s">
        <v>109</v>
      </c>
      <c r="F62" s="83">
        <f>SUM(G62:O62)</f>
        <v>1946</v>
      </c>
      <c r="G62" s="39">
        <f>'Berekening OPEX TD'!G261</f>
        <v>1946</v>
      </c>
      <c r="H62" s="39">
        <f>'Berekening OPEX TD'!H261</f>
        <v>0</v>
      </c>
      <c r="I62" s="39">
        <f>'Berekening OPEX TD'!I261</f>
        <v>0</v>
      </c>
      <c r="J62" s="39">
        <f>'Berekening OPEX TD'!J261</f>
        <v>0</v>
      </c>
      <c r="K62" s="39">
        <f>'Berekening OPEX TD'!K261</f>
        <v>0</v>
      </c>
      <c r="L62" s="39">
        <f>'Berekening OPEX TD'!L261</f>
        <v>0</v>
      </c>
      <c r="M62" s="39">
        <f>'Berekening OPEX TD'!M261</f>
        <v>0</v>
      </c>
      <c r="N62" s="39">
        <f>'Berekening OPEX TD'!N261</f>
        <v>0</v>
      </c>
      <c r="O62" s="39">
        <f>'Berekening OPEX TD'!O261</f>
        <v>0</v>
      </c>
    </row>
    <row r="63" spans="2:15">
      <c r="B63" s="51" t="s">
        <v>613</v>
      </c>
      <c r="D63" t="s">
        <v>107</v>
      </c>
      <c r="F63" s="83">
        <f>SUM(G63:O63)</f>
        <v>3458677.2896710252</v>
      </c>
      <c r="G63" s="39">
        <f>'Berekening OPEX TD'!G264</f>
        <v>73859.390000000014</v>
      </c>
      <c r="H63" s="39">
        <f>'Berekening OPEX TD'!H264</f>
        <v>94582.840125000002</v>
      </c>
      <c r="I63" s="39">
        <f>'Berekening OPEX TD'!I264</f>
        <v>195419.9373577454</v>
      </c>
      <c r="J63" s="39">
        <f>'Berekening OPEX TD'!J264</f>
        <v>998180.57910558535</v>
      </c>
      <c r="K63" s="39">
        <f>'Berekening OPEX TD'!K264</f>
        <v>1116027.7957934665</v>
      </c>
      <c r="L63" s="39">
        <f>'Berekening OPEX TD'!L264</f>
        <v>65456.33</v>
      </c>
      <c r="M63" s="39">
        <f>'Berekening OPEX TD'!M264</f>
        <v>910924.47627129604</v>
      </c>
      <c r="N63" s="39">
        <f>'Berekening OPEX TD'!N264</f>
        <v>4225.9410179324877</v>
      </c>
      <c r="O63" s="39">
        <f>'Berekening OPEX TD'!O264</f>
        <v>0</v>
      </c>
    </row>
    <row r="64" spans="2:15">
      <c r="F64" s="47"/>
    </row>
    <row r="65" spans="2:15">
      <c r="B65" s="51" t="s">
        <v>434</v>
      </c>
      <c r="D65" t="s">
        <v>109</v>
      </c>
      <c r="F65" s="83">
        <f>SUM(G65:O65)</f>
        <v>74487485.417808607</v>
      </c>
      <c r="G65" s="39">
        <f>'Berekening OPEX AD'!G264</f>
        <v>1215192.0140500001</v>
      </c>
      <c r="H65" s="39">
        <f>'Berekening OPEX AD'!H264</f>
        <v>1561819.950417853</v>
      </c>
      <c r="I65" s="39">
        <f>'Berekening OPEX AD'!I264</f>
        <v>6094960.8164802361</v>
      </c>
      <c r="J65" s="39">
        <f>'Berekening OPEX AD'!J264</f>
        <v>9188434.5301266983</v>
      </c>
      <c r="K65" s="39">
        <f>'Berekening OPEX AD'!K264</f>
        <v>37929779.720790572</v>
      </c>
      <c r="L65" s="39">
        <f>'Berekening OPEX AD'!L264</f>
        <v>1221880.23</v>
      </c>
      <c r="M65" s="39">
        <f>'Berekening OPEX AD'!M264</f>
        <v>17015804.12169867</v>
      </c>
      <c r="N65" s="39">
        <f>'Berekening OPEX AD'!N264</f>
        <v>259614.03424457906</v>
      </c>
      <c r="O65" s="39">
        <f>'Berekening OPEX AD'!O264</f>
        <v>0</v>
      </c>
    </row>
    <row r="66" spans="2:15">
      <c r="B66" s="51" t="s">
        <v>436</v>
      </c>
      <c r="D66" t="s">
        <v>109</v>
      </c>
      <c r="F66" s="83">
        <f>SUM(G66:O66)</f>
        <v>0</v>
      </c>
      <c r="G66" s="39">
        <f>'Berekening OPEX AD'!G256</f>
        <v>0</v>
      </c>
      <c r="H66" s="39">
        <f>'Berekening OPEX AD'!H256</f>
        <v>0</v>
      </c>
      <c r="I66" s="39">
        <f>'Berekening OPEX AD'!I256</f>
        <v>0</v>
      </c>
      <c r="J66" s="39">
        <f>'Berekening OPEX AD'!J256</f>
        <v>0</v>
      </c>
      <c r="K66" s="39">
        <f>'Berekening OPEX AD'!K256</f>
        <v>0</v>
      </c>
      <c r="L66" s="39">
        <f>'Berekening OPEX AD'!L256</f>
        <v>0</v>
      </c>
      <c r="M66" s="39">
        <f>'Berekening OPEX AD'!M256</f>
        <v>0</v>
      </c>
      <c r="N66" s="39">
        <f>'Berekening OPEX AD'!N256</f>
        <v>0</v>
      </c>
      <c r="O66" s="39">
        <f>'Berekening OPEX AD'!O256</f>
        <v>0</v>
      </c>
    </row>
    <row r="67" spans="2:15">
      <c r="B67" s="51" t="s">
        <v>437</v>
      </c>
      <c r="D67" t="s">
        <v>109</v>
      </c>
      <c r="F67" s="83">
        <f>SUM(G67:O67)</f>
        <v>0</v>
      </c>
      <c r="G67" s="39">
        <f>'Berekening OPEX AD'!G257</f>
        <v>0</v>
      </c>
      <c r="H67" s="39">
        <f>'Berekening OPEX AD'!H257</f>
        <v>0</v>
      </c>
      <c r="I67" s="39">
        <f>'Berekening OPEX AD'!I257</f>
        <v>0</v>
      </c>
      <c r="J67" s="39">
        <f>'Berekening OPEX AD'!J257</f>
        <v>0</v>
      </c>
      <c r="K67" s="39">
        <f>'Berekening OPEX AD'!K257</f>
        <v>0</v>
      </c>
      <c r="L67" s="39">
        <f>'Berekening OPEX AD'!L257</f>
        <v>0</v>
      </c>
      <c r="M67" s="39">
        <f>'Berekening OPEX AD'!M257</f>
        <v>0</v>
      </c>
      <c r="N67" s="39">
        <f>'Berekening OPEX AD'!N257</f>
        <v>0</v>
      </c>
      <c r="O67" s="39">
        <f>'Berekening OPEX AD'!O257</f>
        <v>0</v>
      </c>
    </row>
    <row r="68" spans="2:15">
      <c r="B68" s="51" t="s">
        <v>613</v>
      </c>
      <c r="D68" t="s">
        <v>107</v>
      </c>
      <c r="F68" s="83">
        <f>SUM(G68:O68)</f>
        <v>829807.50395847682</v>
      </c>
      <c r="G68" s="39">
        <f>'Berekening OPEX AD'!G260</f>
        <v>15855.894050000001</v>
      </c>
      <c r="H68" s="39">
        <f>'Berekening OPEX AD'!H260</f>
        <v>20925.481250000001</v>
      </c>
      <c r="I68" s="39">
        <f>'Berekening OPEX AD'!I260</f>
        <v>45454.015332335395</v>
      </c>
      <c r="J68" s="39">
        <f>'Berekening OPEX AD'!J260</f>
        <v>218913.94590930088</v>
      </c>
      <c r="K68" s="39">
        <f>'Berekening OPEX AD'!K260</f>
        <v>225760.82178911319</v>
      </c>
      <c r="L68" s="39">
        <f>'Berekening OPEX AD'!L260</f>
        <v>13654.11</v>
      </c>
      <c r="M68" s="39">
        <f>'Berekening OPEX AD'!M260</f>
        <v>288546.02055414068</v>
      </c>
      <c r="N68" s="39">
        <f>'Berekening OPEX AD'!N260</f>
        <v>697.21507358662541</v>
      </c>
      <c r="O68" s="39">
        <f>'Berekening OPEX AD'!O260</f>
        <v>0</v>
      </c>
    </row>
    <row r="69" spans="2:15">
      <c r="F69" s="47"/>
    </row>
    <row r="70" spans="2:15">
      <c r="B70" s="51" t="s">
        <v>438</v>
      </c>
      <c r="D70" t="s">
        <v>109</v>
      </c>
      <c r="F70" s="83">
        <f>SUM(G70:O70)</f>
        <v>39254666.385659099</v>
      </c>
      <c r="G70" s="39">
        <f>'Berekening vergoedingen EAV'!G45</f>
        <v>1020246.32</v>
      </c>
      <c r="H70" s="39">
        <f>'Berekening vergoedingen EAV'!H45</f>
        <v>1141114.3001011559</v>
      </c>
      <c r="I70" s="39">
        <f>'Berekening vergoedingen EAV'!I45</f>
        <v>2629047.7900000038</v>
      </c>
      <c r="J70" s="39">
        <f>'Berekening vergoedingen EAV'!J45</f>
        <v>11354412.534358075</v>
      </c>
      <c r="K70" s="39">
        <f>'Berekening vergoedingen EAV'!K45</f>
        <v>13855996.800000001</v>
      </c>
      <c r="L70" s="39">
        <f>'Berekening vergoedingen EAV'!L45</f>
        <v>623910.45000000007</v>
      </c>
      <c r="M70" s="39">
        <f>'Berekening vergoedingen EAV'!M45</f>
        <v>8140420.5129588982</v>
      </c>
      <c r="N70" s="39">
        <f>'Berekening vergoedingen EAV'!N45</f>
        <v>489517.67824096978</v>
      </c>
      <c r="O70" s="39">
        <f>'Berekening vergoedingen EAV'!O45</f>
        <v>0</v>
      </c>
    </row>
    <row r="71" spans="2:15">
      <c r="F71" s="47"/>
    </row>
    <row r="72" spans="2:15">
      <c r="B72" s="261" t="s">
        <v>435</v>
      </c>
      <c r="F72" s="47"/>
    </row>
    <row r="73" spans="2:15">
      <c r="B73" s="51" t="s">
        <v>768</v>
      </c>
      <c r="D73" t="s">
        <v>109</v>
      </c>
      <c r="F73" s="83">
        <f>SUM(G73:O73)</f>
        <v>414972477.7986086</v>
      </c>
      <c r="G73" s="39">
        <f>'Berekening kapitaalkosten TD'!G381</f>
        <v>6799410.4625389781</v>
      </c>
      <c r="H73" s="39">
        <f>'Berekening kapitaalkosten TD'!H381</f>
        <v>8737719.2896419317</v>
      </c>
      <c r="I73" s="39">
        <f>'Berekening kapitaalkosten TD'!I381</f>
        <v>25526350.983562976</v>
      </c>
      <c r="J73" s="39">
        <f>'Berekening kapitaalkosten TD'!J381</f>
        <v>106398698.96041976</v>
      </c>
      <c r="K73" s="39">
        <f>'Berekening kapitaalkosten TD'!K381</f>
        <v>130015116.29441851</v>
      </c>
      <c r="L73" s="39">
        <f>'Berekening kapitaalkosten TD'!L381</f>
        <v>12425172.22563179</v>
      </c>
      <c r="M73" s="39">
        <f>'Berekening kapitaalkosten TD'!M381</f>
        <v>114466556.1014131</v>
      </c>
      <c r="N73" s="39">
        <f>'Berekening kapitaalkosten TD'!N381</f>
        <v>10603453.480981514</v>
      </c>
      <c r="O73" s="39">
        <f>'Berekening kapitaalkosten TD'!O381</f>
        <v>0</v>
      </c>
    </row>
    <row r="74" spans="2:15">
      <c r="B74" s="51" t="s">
        <v>769</v>
      </c>
      <c r="D74" t="s">
        <v>109</v>
      </c>
      <c r="F74" s="83">
        <f>SUM(G74:O74)</f>
        <v>3144660.6762529011</v>
      </c>
      <c r="G74" s="39">
        <f>'Berekening kapitaalkosten TD'!G368</f>
        <v>6.9544870035466724E-10</v>
      </c>
      <c r="H74" s="39">
        <f>'Berekening kapitaalkosten TD'!H368</f>
        <v>0</v>
      </c>
      <c r="I74" s="39">
        <f>'Berekening kapitaalkosten TD'!I368</f>
        <v>0</v>
      </c>
      <c r="J74" s="39">
        <f>'Berekening kapitaalkosten TD'!J368</f>
        <v>1131683.7639395087</v>
      </c>
      <c r="K74" s="39">
        <f>'Berekening kapitaalkosten TD'!K368</f>
        <v>0</v>
      </c>
      <c r="L74" s="39">
        <f>'Berekening kapitaalkosten TD'!L368</f>
        <v>2012976.9123133917</v>
      </c>
      <c r="M74" s="39">
        <f>'Berekening kapitaalkosten TD'!M368</f>
        <v>0</v>
      </c>
      <c r="N74" s="39">
        <f>'Berekening kapitaalkosten TD'!N368</f>
        <v>0</v>
      </c>
      <c r="O74" s="39">
        <f>'Berekening kapitaalkosten TD'!O368</f>
        <v>0</v>
      </c>
    </row>
    <row r="75" spans="2:15">
      <c r="B75" s="51" t="s">
        <v>770</v>
      </c>
      <c r="D75" t="s">
        <v>109</v>
      </c>
      <c r="F75" s="83">
        <f>SUM(G75:O75)</f>
        <v>55106888.556537017</v>
      </c>
      <c r="G75" s="39">
        <f>'Berekening kapitaalkosten AD'!G276</f>
        <v>1025796.9389482334</v>
      </c>
      <c r="H75" s="39">
        <f>'Berekening kapitaalkosten AD'!H276</f>
        <v>1331727.4351227805</v>
      </c>
      <c r="I75" s="39">
        <f>'Berekening kapitaalkosten AD'!I276</f>
        <v>1485118.8860961986</v>
      </c>
      <c r="J75" s="39">
        <f>'Berekening kapitaalkosten AD'!J276</f>
        <v>14305041.482434455</v>
      </c>
      <c r="K75" s="39">
        <f>'Berekening kapitaalkosten AD'!K276</f>
        <v>11572338.013814259</v>
      </c>
      <c r="L75" s="39">
        <f>'Berekening kapitaalkosten AD'!L276</f>
        <v>915042.04357774067</v>
      </c>
      <c r="M75" s="39">
        <f>'Berekening kapitaalkosten AD'!M276</f>
        <v>24319677.683658175</v>
      </c>
      <c r="N75" s="39">
        <f>'Berekening kapitaalkosten AD'!N276</f>
        <v>152146.07288516988</v>
      </c>
      <c r="O75" s="39">
        <f>'Berekening kapitaalkosten AD'!O276</f>
        <v>0</v>
      </c>
    </row>
    <row r="76" spans="2:15">
      <c r="B76" s="258"/>
      <c r="F76" s="47"/>
    </row>
    <row r="77" spans="2:15">
      <c r="B77" s="261" t="s">
        <v>439</v>
      </c>
      <c r="F77" s="47"/>
    </row>
    <row r="78" spans="2:15">
      <c r="B78" s="51" t="s">
        <v>441</v>
      </c>
      <c r="D78" t="s">
        <v>109</v>
      </c>
      <c r="F78" s="83">
        <f>SUM(G78:O78)</f>
        <v>2643528.54190807</v>
      </c>
      <c r="H78" s="97">
        <f>'Berekening OPEX TD'!H425</f>
        <v>743481.32190806989</v>
      </c>
      <c r="J78" s="97">
        <f>'Berekening OPEX TD'!J425</f>
        <v>90701.22</v>
      </c>
      <c r="O78" s="97">
        <f>'Berekening OPEX TD'!O425</f>
        <v>1809346</v>
      </c>
    </row>
    <row r="79" spans="2:15">
      <c r="B79" s="51" t="s">
        <v>440</v>
      </c>
      <c r="D79" t="s">
        <v>109</v>
      </c>
      <c r="F79" s="83">
        <f>SUM(G79:O79)</f>
        <v>35515.842111744787</v>
      </c>
      <c r="H79" s="97">
        <f>'Berekening OPEX AD'!H417</f>
        <v>35500.842111744787</v>
      </c>
      <c r="J79" s="97">
        <f>'Berekening OPEX AD'!J417</f>
        <v>15</v>
      </c>
      <c r="O79" s="97">
        <f>'Berekening OPEX AD'!O417</f>
        <v>0</v>
      </c>
    </row>
    <row r="80" spans="2:15">
      <c r="B80" s="51" t="s">
        <v>442</v>
      </c>
      <c r="D80" t="s">
        <v>109</v>
      </c>
      <c r="F80" s="83">
        <f>SUM(G80:O80)</f>
        <v>0</v>
      </c>
      <c r="H80" s="97">
        <f>'Berekening vergoedingen EAV'!G46</f>
        <v>0</v>
      </c>
      <c r="J80" s="97">
        <f>'Berekening vergoedingen EAV'!I46</f>
        <v>0</v>
      </c>
      <c r="O80" s="97">
        <f>'Berekening vergoedingen EAV'!N46</f>
        <v>0</v>
      </c>
    </row>
    <row r="81" spans="2:17">
      <c r="B81" s="258"/>
      <c r="F81" s="47"/>
    </row>
    <row r="82" spans="2:17">
      <c r="B82" s="261" t="s">
        <v>425</v>
      </c>
      <c r="F82" s="47"/>
    </row>
    <row r="83" spans="2:17">
      <c r="B83" s="51" t="s">
        <v>771</v>
      </c>
      <c r="D83" t="s">
        <v>109</v>
      </c>
      <c r="F83" s="83">
        <f>SUM(G83:O83)</f>
        <v>3378373.5041866768</v>
      </c>
      <c r="H83" s="97">
        <f>'Berekening kapitaalkosten TD'!H437</f>
        <v>644547.80353838112</v>
      </c>
      <c r="J83" s="97">
        <f>'Berekening kapitaalkosten TD'!J437</f>
        <v>19150.087098398402</v>
      </c>
      <c r="O83" s="97">
        <f>'Berekening kapitaalkosten TD'!O437</f>
        <v>2714675.6135498974</v>
      </c>
    </row>
    <row r="84" spans="2:17">
      <c r="B84" s="51" t="s">
        <v>772</v>
      </c>
      <c r="D84" t="s">
        <v>109</v>
      </c>
      <c r="F84" s="83">
        <f>SUM(G84:O84)</f>
        <v>0</v>
      </c>
      <c r="H84" s="97">
        <f>'Berekening kapitaalkosten AD'!H318</f>
        <v>0</v>
      </c>
      <c r="J84" s="97">
        <f>'Berekening kapitaalkosten AD'!J318</f>
        <v>0</v>
      </c>
      <c r="O84" s="97">
        <f>'Berekening kapitaalkosten AD'!O318</f>
        <v>0</v>
      </c>
    </row>
    <row r="85" spans="2:17">
      <c r="B85" s="51"/>
      <c r="F85" s="47"/>
    </row>
    <row r="86" spans="2:17">
      <c r="B86" s="51"/>
      <c r="F86" s="47"/>
    </row>
    <row r="87" spans="2:17">
      <c r="B87" s="3" t="s">
        <v>53</v>
      </c>
      <c r="F87" s="47"/>
    </row>
    <row r="88" spans="2:17">
      <c r="F88" s="47"/>
    </row>
    <row r="89" spans="2:17">
      <c r="B89" s="51" t="s">
        <v>773</v>
      </c>
      <c r="D89" t="s">
        <v>109</v>
      </c>
      <c r="F89" s="83">
        <f>SUM(G89:O89)</f>
        <v>891972912.14591217</v>
      </c>
      <c r="G89" s="21">
        <f>SUM(G60,G65,G70,G73:G75,G78:G80,G83:G84)</f>
        <v>18288175.395537209</v>
      </c>
      <c r="H89" s="21">
        <f t="shared" ref="H89:O89" si="5">SUM(H60,H65,H70,H73:H75,H78:H80,H83:H84)</f>
        <v>22655335.044424988</v>
      </c>
      <c r="I89" s="21">
        <f t="shared" si="5"/>
        <v>47199596.98218102</v>
      </c>
      <c r="J89" s="21">
        <f t="shared" si="5"/>
        <v>221020686.30472204</v>
      </c>
      <c r="K89" s="21">
        <f t="shared" si="5"/>
        <v>296513926.96862179</v>
      </c>
      <c r="L89" s="21">
        <f t="shared" si="5"/>
        <v>20196642.891522922</v>
      </c>
      <c r="M89" s="21">
        <f t="shared" si="5"/>
        <v>244077224.0539937</v>
      </c>
      <c r="N89" s="21">
        <f t="shared" si="5"/>
        <v>17497302.891358666</v>
      </c>
      <c r="O89" s="21">
        <f t="shared" si="5"/>
        <v>4524021.6135498974</v>
      </c>
      <c r="Q89" s="51" t="s">
        <v>574</v>
      </c>
    </row>
    <row r="90" spans="2:17">
      <c r="B90" s="13" t="s">
        <v>52</v>
      </c>
      <c r="F90" s="47"/>
    </row>
    <row r="91" spans="2:17">
      <c r="B91" s="51" t="s">
        <v>774</v>
      </c>
      <c r="D91" t="s">
        <v>109</v>
      </c>
      <c r="F91" s="83">
        <f>SUM(G91:O91)</f>
        <v>28399211.389289655</v>
      </c>
      <c r="G91" s="21">
        <f>SUM(G61:G62,G66:G67,G74)</f>
        <v>1946.0000000006955</v>
      </c>
      <c r="H91" s="21">
        <f t="shared" ref="H91:O91" si="6">SUM(H61:H62,H66:H67,H74)</f>
        <v>368104</v>
      </c>
      <c r="I91" s="21">
        <f t="shared" si="6"/>
        <v>0</v>
      </c>
      <c r="J91" s="21">
        <f t="shared" si="6"/>
        <v>1812363.7639395087</v>
      </c>
      <c r="K91" s="21">
        <f t="shared" si="6"/>
        <v>11315354.953036755</v>
      </c>
      <c r="L91" s="21">
        <f t="shared" si="6"/>
        <v>2101286.6723133917</v>
      </c>
      <c r="M91" s="21">
        <f t="shared" si="6"/>
        <v>12785218</v>
      </c>
      <c r="N91" s="21">
        <f t="shared" si="6"/>
        <v>14938</v>
      </c>
      <c r="O91" s="21">
        <f t="shared" si="6"/>
        <v>0</v>
      </c>
    </row>
    <row r="92" spans="2:17">
      <c r="B92" s="51" t="s">
        <v>180</v>
      </c>
      <c r="D92" t="s">
        <v>108</v>
      </c>
      <c r="F92" s="83">
        <f>SUM(G92:O92)</f>
        <v>4288484.7936295019</v>
      </c>
      <c r="G92" s="21">
        <f>G63+G68</f>
        <v>89715.284050000017</v>
      </c>
      <c r="H92" s="21">
        <f t="shared" ref="H92:O92" si="7">H63+H68</f>
        <v>115508.321375</v>
      </c>
      <c r="I92" s="21">
        <f t="shared" si="7"/>
        <v>240873.9526900808</v>
      </c>
      <c r="J92" s="21">
        <f t="shared" si="7"/>
        <v>1217094.5250148862</v>
      </c>
      <c r="K92" s="21">
        <f t="shared" si="7"/>
        <v>1341788.6175825796</v>
      </c>
      <c r="L92" s="21">
        <f t="shared" si="7"/>
        <v>79110.44</v>
      </c>
      <c r="M92" s="21">
        <f t="shared" si="7"/>
        <v>1199470.4968254366</v>
      </c>
      <c r="N92" s="21">
        <f t="shared" si="7"/>
        <v>4923.156091519113</v>
      </c>
      <c r="O92" s="21">
        <f t="shared" si="7"/>
        <v>0</v>
      </c>
    </row>
    <row r="93" spans="2:17">
      <c r="B93" s="78" t="s">
        <v>775</v>
      </c>
      <c r="D93" t="s">
        <v>109</v>
      </c>
      <c r="F93" s="83">
        <f>SUM(G93:O93)</f>
        <v>6057417.8882064912</v>
      </c>
      <c r="G93" s="54"/>
      <c r="H93" s="21">
        <f>SUM(H78:H80,H83:H84)</f>
        <v>1423529.9675581958</v>
      </c>
      <c r="I93" s="54"/>
      <c r="J93" s="21">
        <f>SUM(J78:J80,J83:J84)</f>
        <v>109866.30709839841</v>
      </c>
      <c r="K93" s="54"/>
      <c r="L93" s="54"/>
      <c r="M93" s="54"/>
      <c r="N93" s="54"/>
      <c r="O93" s="21">
        <f>SUM(O78:O80,O83:O84)</f>
        <v>4524021.6135498974</v>
      </c>
    </row>
    <row r="94" spans="2:17">
      <c r="F94" s="47"/>
    </row>
    <row r="95" spans="2:17">
      <c r="B95" s="3" t="s">
        <v>629</v>
      </c>
      <c r="F95" s="47"/>
    </row>
    <row r="96" spans="2:17">
      <c r="B96" s="51" t="s">
        <v>630</v>
      </c>
      <c r="D96" s="51" t="s">
        <v>109</v>
      </c>
      <c r="F96" s="83">
        <f>SUM(G96:O96)</f>
        <v>723088355.94379568</v>
      </c>
      <c r="G96" s="107">
        <f>G60+G73+G74+G78+G83</f>
        <v>15026940.122538978</v>
      </c>
      <c r="H96" s="107">
        <f t="shared" ref="H96:O96" si="8">H60+H73+H74+H78+H83</f>
        <v>18585172.516671456</v>
      </c>
      <c r="I96" s="107">
        <f t="shared" si="8"/>
        <v>36990469.489604577</v>
      </c>
      <c r="J96" s="107">
        <f t="shared" si="8"/>
        <v>186172782.75780281</v>
      </c>
      <c r="K96" s="107">
        <f t="shared" si="8"/>
        <v>233155812.43401688</v>
      </c>
      <c r="L96" s="107">
        <f t="shared" si="8"/>
        <v>17435810.16794518</v>
      </c>
      <c r="M96" s="107">
        <f t="shared" si="8"/>
        <v>194601321.73567793</v>
      </c>
      <c r="N96" s="107">
        <f t="shared" si="8"/>
        <v>16596025.105987947</v>
      </c>
      <c r="O96" s="107">
        <f t="shared" si="8"/>
        <v>4524021.6135498974</v>
      </c>
    </row>
    <row r="97" spans="2:15">
      <c r="B97" s="51" t="s">
        <v>631</v>
      </c>
      <c r="D97" s="51" t="s">
        <v>109</v>
      </c>
      <c r="F97" s="83">
        <f>SUM(G97:O97)</f>
        <v>168884556.20211646</v>
      </c>
      <c r="G97" s="107">
        <f>G65+G70+G75+G79+G80+G84</f>
        <v>3261235.2729982333</v>
      </c>
      <c r="H97" s="107">
        <f t="shared" ref="H97:O97" si="9">H65+H70+H75+H79+H80+H84</f>
        <v>4070162.5277535343</v>
      </c>
      <c r="I97" s="107">
        <f t="shared" si="9"/>
        <v>10209127.492576439</v>
      </c>
      <c r="J97" s="107">
        <f t="shared" si="9"/>
        <v>34847903.546919227</v>
      </c>
      <c r="K97" s="107">
        <f t="shared" si="9"/>
        <v>63358114.534604833</v>
      </c>
      <c r="L97" s="107">
        <f t="shared" si="9"/>
        <v>2760832.7235777406</v>
      </c>
      <c r="M97" s="107">
        <f t="shared" si="9"/>
        <v>49475902.318315744</v>
      </c>
      <c r="N97" s="107">
        <f t="shared" si="9"/>
        <v>901277.78537071869</v>
      </c>
      <c r="O97" s="107">
        <f t="shared" si="9"/>
        <v>0</v>
      </c>
    </row>
    <row r="98" spans="2:15">
      <c r="F98" s="47"/>
    </row>
    <row r="99" spans="2:15">
      <c r="F99" s="47"/>
    </row>
    <row r="100" spans="2:15" s="2" customFormat="1">
      <c r="B100" s="2" t="s">
        <v>56</v>
      </c>
      <c r="F100" s="49"/>
    </row>
    <row r="101" spans="2:15">
      <c r="F101" s="47"/>
    </row>
    <row r="102" spans="2:15">
      <c r="B102" s="3" t="s">
        <v>51</v>
      </c>
      <c r="F102" s="47"/>
    </row>
    <row r="103" spans="2:15">
      <c r="F103" s="47"/>
    </row>
    <row r="104" spans="2:15">
      <c r="B104" s="3" t="s">
        <v>433</v>
      </c>
      <c r="F104" s="47"/>
    </row>
    <row r="105" spans="2:15">
      <c r="B105" s="51" t="s">
        <v>432</v>
      </c>
      <c r="D105" t="s">
        <v>110</v>
      </c>
      <c r="F105" s="83">
        <f>SUM(G105:O105)</f>
        <v>300698078.03123844</v>
      </c>
      <c r="G105" s="39">
        <f>'Berekening OPEX TD'!G356</f>
        <v>7260939.75</v>
      </c>
      <c r="H105" s="39">
        <f>'Berekening OPEX TD'!H356</f>
        <v>10131248.092385797</v>
      </c>
      <c r="I105" s="39">
        <f>'Berekening OPEX TD'!I356</f>
        <v>11811039.771571724</v>
      </c>
      <c r="J105" s="39">
        <f>'Berekening OPEX TD'!J356</f>
        <v>78003280.906731442</v>
      </c>
      <c r="K105" s="39">
        <f>'Berekening OPEX TD'!K356</f>
        <v>102330718.97385114</v>
      </c>
      <c r="L105" s="39">
        <f>'Berekening OPEX TD'!L356</f>
        <v>3174353.88</v>
      </c>
      <c r="M105" s="39">
        <f>'Berekening OPEX TD'!M356</f>
        <v>81568686.201574683</v>
      </c>
      <c r="N105" s="39">
        <f>'Berekening OPEX TD'!N356</f>
        <v>6417810.4551236387</v>
      </c>
      <c r="O105" s="39">
        <f>'Berekening OPEX TD'!O356</f>
        <v>0</v>
      </c>
    </row>
    <row r="106" spans="2:15">
      <c r="B106" s="51" t="s">
        <v>436</v>
      </c>
      <c r="D106" t="s">
        <v>110</v>
      </c>
      <c r="F106" s="83">
        <f>SUM(G106:O106)</f>
        <v>27853361.315894756</v>
      </c>
      <c r="G106" s="39">
        <f>'Berekening OPEX TD'!G348</f>
        <v>84</v>
      </c>
      <c r="H106" s="39">
        <f>'Berekening OPEX TD'!H348</f>
        <v>391176.4</v>
      </c>
      <c r="I106" s="39">
        <f>'Berekening OPEX TD'!I348</f>
        <v>0</v>
      </c>
      <c r="J106" s="39">
        <f>'Berekening OPEX TD'!J348</f>
        <v>767902.47589475755</v>
      </c>
      <c r="K106" s="39">
        <f>'Berekening OPEX TD'!K348</f>
        <v>13691948</v>
      </c>
      <c r="L106" s="39">
        <f>'Berekening OPEX TD'!L348</f>
        <v>96427.44</v>
      </c>
      <c r="M106" s="39">
        <f>'Berekening OPEX TD'!M348</f>
        <v>12898160</v>
      </c>
      <c r="N106" s="39">
        <f>'Berekening OPEX TD'!N348</f>
        <v>7663</v>
      </c>
      <c r="O106" s="39">
        <f>'Berekening OPEX TD'!O348</f>
        <v>0</v>
      </c>
    </row>
    <row r="107" spans="2:15">
      <c r="B107" s="51" t="s">
        <v>437</v>
      </c>
      <c r="D107" t="s">
        <v>110</v>
      </c>
      <c r="F107" s="83">
        <f>SUM(G107:O107)</f>
        <v>1124</v>
      </c>
      <c r="G107" s="39">
        <f>'Berekening OPEX TD'!G349</f>
        <v>1124</v>
      </c>
      <c r="H107" s="39">
        <f>'Berekening OPEX TD'!H349</f>
        <v>0</v>
      </c>
      <c r="I107" s="39">
        <f>'Berekening OPEX TD'!I349</f>
        <v>0</v>
      </c>
      <c r="J107" s="39">
        <f>'Berekening OPEX TD'!J349</f>
        <v>0</v>
      </c>
      <c r="K107" s="39">
        <f>'Berekening OPEX TD'!K349</f>
        <v>0</v>
      </c>
      <c r="L107" s="39">
        <f>'Berekening OPEX TD'!L349</f>
        <v>0</v>
      </c>
      <c r="M107" s="39">
        <f>'Berekening OPEX TD'!M349</f>
        <v>0</v>
      </c>
      <c r="N107" s="39">
        <f>'Berekening OPEX TD'!N349</f>
        <v>0</v>
      </c>
      <c r="O107" s="39">
        <f>'Berekening OPEX TD'!O349</f>
        <v>0</v>
      </c>
    </row>
    <row r="108" spans="2:15">
      <c r="B108" s="51" t="s">
        <v>613</v>
      </c>
      <c r="D108" t="s">
        <v>110</v>
      </c>
      <c r="F108" s="83">
        <f>SUM(G108:O108)</f>
        <v>3645373.5903245066</v>
      </c>
      <c r="G108" s="39">
        <f>'Berekening OPEX TD'!G352</f>
        <v>81919</v>
      </c>
      <c r="H108" s="39">
        <f>'Berekening OPEX TD'!H352</f>
        <v>101889.36795000001</v>
      </c>
      <c r="I108" s="39">
        <f>'Berekening OPEX TD'!I352</f>
        <v>212907.46572199996</v>
      </c>
      <c r="J108" s="39">
        <f>'Berekening OPEX TD'!J352</f>
        <v>1025841.4026185945</v>
      </c>
      <c r="K108" s="39">
        <f>'Berekening OPEX TD'!K352</f>
        <v>1198276.094126892</v>
      </c>
      <c r="L108" s="39">
        <f>'Berekening OPEX TD'!L352</f>
        <v>64038.92</v>
      </c>
      <c r="M108" s="39">
        <f>'Berekening OPEX TD'!M352</f>
        <v>945128.78118938475</v>
      </c>
      <c r="N108" s="39">
        <f>'Berekening OPEX TD'!N352</f>
        <v>15372.558717635126</v>
      </c>
      <c r="O108" s="39">
        <f>'Berekening OPEX TD'!O352</f>
        <v>0</v>
      </c>
    </row>
    <row r="109" spans="2:15">
      <c r="F109" s="47"/>
    </row>
    <row r="110" spans="2:15">
      <c r="B110" s="51" t="s">
        <v>434</v>
      </c>
      <c r="D110" t="s">
        <v>110</v>
      </c>
      <c r="F110" s="83">
        <f>SUM(G110:O110)</f>
        <v>99607530.814304531</v>
      </c>
      <c r="G110" s="39">
        <f>'Berekening OPEX AD'!G350</f>
        <v>1654493.890290404</v>
      </c>
      <c r="H110" s="39">
        <f>'Berekening OPEX AD'!H350</f>
        <v>1612909.4497254579</v>
      </c>
      <c r="I110" s="39">
        <f>'Berekening OPEX AD'!I350</f>
        <v>9365793.8591379505</v>
      </c>
      <c r="J110" s="39">
        <f>'Berekening OPEX AD'!J350</f>
        <v>11050722.708972173</v>
      </c>
      <c r="K110" s="39">
        <f>'Berekening OPEX AD'!K350</f>
        <v>49217561.413295798</v>
      </c>
      <c r="L110" s="39">
        <f>'Berekening OPEX AD'!L350</f>
        <v>1376076.62</v>
      </c>
      <c r="M110" s="39">
        <f>'Berekening OPEX AD'!M350</f>
        <v>25048139.174434032</v>
      </c>
      <c r="N110" s="39">
        <f>'Berekening OPEX AD'!N350</f>
        <v>281833.69844870071</v>
      </c>
      <c r="O110" s="39">
        <f>'Berekening OPEX AD'!O350</f>
        <v>0</v>
      </c>
    </row>
    <row r="111" spans="2:15">
      <c r="B111" s="51" t="s">
        <v>436</v>
      </c>
      <c r="D111" t="s">
        <v>110</v>
      </c>
      <c r="F111" s="83">
        <f>SUM(G111:O111)</f>
        <v>0</v>
      </c>
      <c r="G111" s="39">
        <f>'Berekening OPEX AD'!G342</f>
        <v>0</v>
      </c>
      <c r="H111" s="39">
        <f>'Berekening OPEX AD'!H342</f>
        <v>0</v>
      </c>
      <c r="I111" s="39">
        <f>'Berekening OPEX AD'!I342</f>
        <v>0</v>
      </c>
      <c r="J111" s="39">
        <f>'Berekening OPEX AD'!J342</f>
        <v>0</v>
      </c>
      <c r="K111" s="39">
        <f>'Berekening OPEX AD'!K342</f>
        <v>0</v>
      </c>
      <c r="L111" s="39">
        <f>'Berekening OPEX AD'!L342</f>
        <v>0</v>
      </c>
      <c r="M111" s="39">
        <f>'Berekening OPEX AD'!M342</f>
        <v>0</v>
      </c>
      <c r="N111" s="39">
        <f>'Berekening OPEX AD'!N342</f>
        <v>0</v>
      </c>
      <c r="O111" s="39">
        <f>'Berekening OPEX AD'!O342</f>
        <v>0</v>
      </c>
    </row>
    <row r="112" spans="2:15">
      <c r="B112" s="51" t="s">
        <v>437</v>
      </c>
      <c r="D112" t="s">
        <v>110</v>
      </c>
      <c r="F112" s="83">
        <f>SUM(G112:O112)</f>
        <v>194</v>
      </c>
      <c r="G112" s="39">
        <f>'Berekening OPEX AD'!G343</f>
        <v>194</v>
      </c>
      <c r="H112" s="39">
        <f>'Berekening OPEX AD'!H343</f>
        <v>0</v>
      </c>
      <c r="I112" s="39">
        <f>'Berekening OPEX AD'!I343</f>
        <v>0</v>
      </c>
      <c r="J112" s="39">
        <f>'Berekening OPEX AD'!J343</f>
        <v>0</v>
      </c>
      <c r="K112" s="39">
        <f>'Berekening OPEX AD'!K343</f>
        <v>0</v>
      </c>
      <c r="L112" s="39">
        <f>'Berekening OPEX AD'!L343</f>
        <v>0</v>
      </c>
      <c r="M112" s="39">
        <f>'Berekening OPEX AD'!M343</f>
        <v>0</v>
      </c>
      <c r="N112" s="39">
        <f>'Berekening OPEX AD'!N343</f>
        <v>0</v>
      </c>
      <c r="O112" s="39">
        <f>'Berekening OPEX AD'!O343</f>
        <v>0</v>
      </c>
    </row>
    <row r="113" spans="2:15">
      <c r="B113" s="51" t="s">
        <v>613</v>
      </c>
      <c r="D113" t="s">
        <v>110</v>
      </c>
      <c r="F113" s="83">
        <f>SUM(G113:O113)</f>
        <v>796143.63836750435</v>
      </c>
      <c r="G113" s="39">
        <f>'Berekening OPEX AD'!G346</f>
        <v>16730</v>
      </c>
      <c r="H113" s="39">
        <f>'Berekening OPEX AD'!H346</f>
        <v>18813.352150000002</v>
      </c>
      <c r="I113" s="39">
        <f>'Berekening OPEX AD'!I346</f>
        <v>40204.765246183924</v>
      </c>
      <c r="J113" s="39">
        <f>'Berekening OPEX AD'!J346</f>
        <v>191761.3083905112</v>
      </c>
      <c r="K113" s="39">
        <f>'Berekening OPEX AD'!K346</f>
        <v>215124.01285221669</v>
      </c>
      <c r="L113" s="39">
        <f>'Berekening OPEX AD'!L346</f>
        <v>12070.43</v>
      </c>
      <c r="M113" s="39">
        <f>'Berekening OPEX AD'!M346</f>
        <v>299408.01087277732</v>
      </c>
      <c r="N113" s="39">
        <f>'Berekening OPEX AD'!N346</f>
        <v>2031.7588558152511</v>
      </c>
      <c r="O113" s="39">
        <f>'Berekening OPEX AD'!O346</f>
        <v>0</v>
      </c>
    </row>
    <row r="114" spans="2:15">
      <c r="F114" s="47"/>
    </row>
    <row r="115" spans="2:15">
      <c r="B115" s="51" t="s">
        <v>438</v>
      </c>
      <c r="D115" t="s">
        <v>110</v>
      </c>
      <c r="F115" s="83">
        <f>SUM(G115:O115)</f>
        <v>36581882.744967729</v>
      </c>
      <c r="G115" s="39">
        <f>'Berekening vergoedingen EAV'!G66</f>
        <v>632251.94000000006</v>
      </c>
      <c r="H115" s="39">
        <f>'Berekening vergoedingen EAV'!H66</f>
        <v>1503033.1499999997</v>
      </c>
      <c r="I115" s="39">
        <f>'Berekening vergoedingen EAV'!I66</f>
        <v>2966746.4</v>
      </c>
      <c r="J115" s="39">
        <f>'Berekening vergoedingen EAV'!J66</f>
        <v>9155022.6999999993</v>
      </c>
      <c r="K115" s="39">
        <f>'Berekening vergoedingen EAV'!K66</f>
        <v>12332217.5</v>
      </c>
      <c r="L115" s="39">
        <f>'Berekening vergoedingen EAV'!L66</f>
        <v>408053.50000000006</v>
      </c>
      <c r="M115" s="39">
        <f>'Berekening vergoedingen EAV'!M66</f>
        <v>8913922.8649677336</v>
      </c>
      <c r="N115" s="39">
        <f>'Berekening vergoedingen EAV'!N66</f>
        <v>670634.68999999983</v>
      </c>
      <c r="O115" s="39">
        <f>'Berekening vergoedingen EAV'!O66</f>
        <v>0</v>
      </c>
    </row>
    <row r="116" spans="2:15">
      <c r="F116" s="47"/>
    </row>
    <row r="117" spans="2:15">
      <c r="B117" s="261" t="s">
        <v>435</v>
      </c>
      <c r="F117" s="47"/>
    </row>
    <row r="118" spans="2:15">
      <c r="B118" s="51" t="s">
        <v>768</v>
      </c>
      <c r="D118" t="s">
        <v>110</v>
      </c>
      <c r="F118" s="83">
        <f>SUM(G118:O118)</f>
        <v>433524677.32499284</v>
      </c>
      <c r="G118" s="39">
        <f>'Berekening kapitaalkosten TD'!G525</f>
        <v>7035700.2593995975</v>
      </c>
      <c r="H118" s="39">
        <f>'Berekening kapitaalkosten TD'!H525</f>
        <v>8992937.2682127319</v>
      </c>
      <c r="I118" s="39">
        <f>'Berekening kapitaalkosten TD'!I525</f>
        <v>26108229.228301808</v>
      </c>
      <c r="J118" s="39">
        <f>'Berekening kapitaalkosten TD'!J525</f>
        <v>113605199.83542955</v>
      </c>
      <c r="K118" s="39">
        <f>'Berekening kapitaalkosten TD'!K525</f>
        <v>135507412.19355163</v>
      </c>
      <c r="L118" s="39">
        <f>'Berekening kapitaalkosten TD'!L525</f>
        <v>12520774.30309304</v>
      </c>
      <c r="M118" s="39">
        <f>'Berekening kapitaalkosten TD'!M525</f>
        <v>118795014.00095594</v>
      </c>
      <c r="N118" s="39">
        <f>'Berekening kapitaalkosten TD'!N525</f>
        <v>10959410.236048564</v>
      </c>
      <c r="O118" s="39">
        <f>'Berekening kapitaalkosten TD'!O525</f>
        <v>0</v>
      </c>
    </row>
    <row r="119" spans="2:15">
      <c r="B119" s="51" t="s">
        <v>769</v>
      </c>
      <c r="D119" t="s">
        <v>110</v>
      </c>
      <c r="F119" s="83">
        <f>SUM(G119:O119)</f>
        <v>3137093.2179396404</v>
      </c>
      <c r="G119" s="39">
        <f>'Berekening kapitaalkosten TD'!G512</f>
        <v>-1.9241294306364126E-12</v>
      </c>
      <c r="H119" s="39">
        <f>'Berekening kapitaalkosten TD'!H512</f>
        <v>0</v>
      </c>
      <c r="I119" s="39">
        <f>'Berekening kapitaalkosten TD'!I512</f>
        <v>0</v>
      </c>
      <c r="J119" s="39">
        <f>'Berekening kapitaalkosten TD'!J512</f>
        <v>1131164.9404374161</v>
      </c>
      <c r="K119" s="39">
        <f>'Berekening kapitaalkosten TD'!K512</f>
        <v>0</v>
      </c>
      <c r="L119" s="39">
        <f>'Berekening kapitaalkosten TD'!L512</f>
        <v>2005928.2775022243</v>
      </c>
      <c r="M119" s="39">
        <f>'Berekening kapitaalkosten TD'!M512</f>
        <v>0</v>
      </c>
      <c r="N119" s="39">
        <f>'Berekening kapitaalkosten TD'!N512</f>
        <v>0</v>
      </c>
      <c r="O119" s="39">
        <f>'Berekening kapitaalkosten TD'!O512</f>
        <v>0</v>
      </c>
    </row>
    <row r="120" spans="2:15">
      <c r="B120" s="51" t="s">
        <v>770</v>
      </c>
      <c r="D120" t="s">
        <v>110</v>
      </c>
      <c r="F120" s="83">
        <f>SUM(G120:O120)</f>
        <v>64497118.482718289</v>
      </c>
      <c r="G120" s="39">
        <f>'Berekening kapitaalkosten AD'!G380</f>
        <v>1165879.864386857</v>
      </c>
      <c r="H120" s="39">
        <f>'Berekening kapitaalkosten AD'!H380</f>
        <v>1401042.2060496737</v>
      </c>
      <c r="I120" s="39">
        <f>'Berekening kapitaalkosten AD'!I380</f>
        <v>1559749.7953700561</v>
      </c>
      <c r="J120" s="39">
        <f>'Berekening kapitaalkosten AD'!J380</f>
        <v>16324867.463722549</v>
      </c>
      <c r="K120" s="39">
        <f>'Berekening kapitaalkosten AD'!K380</f>
        <v>15433851.915028926</v>
      </c>
      <c r="L120" s="39">
        <f>'Berekening kapitaalkosten AD'!L380</f>
        <v>972094.1104779006</v>
      </c>
      <c r="M120" s="39">
        <f>'Berekening kapitaalkosten AD'!M380</f>
        <v>27498010.829066206</v>
      </c>
      <c r="N120" s="39">
        <f>'Berekening kapitaalkosten AD'!N380</f>
        <v>141622.29861611017</v>
      </c>
      <c r="O120" s="39">
        <f>'Berekening kapitaalkosten AD'!O380</f>
        <v>0</v>
      </c>
    </row>
    <row r="121" spans="2:15">
      <c r="B121" s="258"/>
      <c r="F121" s="47"/>
    </row>
    <row r="122" spans="2:15">
      <c r="B122" s="261" t="s">
        <v>439</v>
      </c>
      <c r="F122" s="47"/>
    </row>
    <row r="123" spans="2:15">
      <c r="B123" s="51" t="s">
        <v>441</v>
      </c>
      <c r="D123" t="s">
        <v>110</v>
      </c>
      <c r="F123" s="83">
        <f>SUM(G123:O123)</f>
        <v>2287545.3977800636</v>
      </c>
      <c r="H123" s="97">
        <f>'Berekening OPEX TD'!H447</f>
        <v>701943.31778006372</v>
      </c>
      <c r="J123" s="97">
        <f>'Berekening OPEX TD'!J447</f>
        <v>143662.07999999999</v>
      </c>
      <c r="O123" s="97">
        <f>'Berekening OPEX TD'!O447</f>
        <v>1441940</v>
      </c>
    </row>
    <row r="124" spans="2:15">
      <c r="B124" s="51" t="s">
        <v>440</v>
      </c>
      <c r="D124" t="s">
        <v>110</v>
      </c>
      <c r="F124" s="83">
        <f>SUM(G124:O124)</f>
        <v>6071.3728793679484</v>
      </c>
      <c r="H124" s="97">
        <f>'Berekening OPEX AD'!H439</f>
        <v>6056.8228793679482</v>
      </c>
      <c r="J124" s="97">
        <f>'Berekening OPEX AD'!J439</f>
        <v>14.55</v>
      </c>
      <c r="O124" s="97">
        <f>'Berekening OPEX AD'!O439</f>
        <v>0</v>
      </c>
    </row>
    <row r="125" spans="2:15">
      <c r="B125" s="51" t="s">
        <v>442</v>
      </c>
      <c r="D125" t="s">
        <v>110</v>
      </c>
      <c r="F125" s="83">
        <f>SUM(G125:O125)</f>
        <v>0</v>
      </c>
      <c r="H125" s="97">
        <f>'Berekening vergoedingen EAV'!G67</f>
        <v>0</v>
      </c>
      <c r="J125" s="97">
        <f>'Berekening vergoedingen EAV'!I67</f>
        <v>0</v>
      </c>
      <c r="O125" s="97">
        <f>'Berekening vergoedingen EAV'!N67</f>
        <v>0</v>
      </c>
    </row>
    <row r="126" spans="2:15">
      <c r="B126" s="258"/>
      <c r="F126" s="47"/>
    </row>
    <row r="127" spans="2:15">
      <c r="B127" s="261" t="s">
        <v>425</v>
      </c>
      <c r="F127" s="47"/>
    </row>
    <row r="128" spans="2:15">
      <c r="B128" s="51" t="s">
        <v>771</v>
      </c>
      <c r="D128" t="s">
        <v>110</v>
      </c>
      <c r="F128" s="83">
        <f>SUM(G128:O128)</f>
        <v>3420146.2291980013</v>
      </c>
      <c r="H128" s="97">
        <f>'Berekening kapitaalkosten TD'!H580</f>
        <v>651590.66640313319</v>
      </c>
      <c r="J128" s="97">
        <f>'Berekening kapitaalkosten TD'!J580</f>
        <v>19365.479232272177</v>
      </c>
      <c r="O128" s="97">
        <f>'Berekening kapitaalkosten TD'!O580</f>
        <v>2749190.0835625958</v>
      </c>
    </row>
    <row r="129" spans="2:17">
      <c r="B129" s="51" t="s">
        <v>772</v>
      </c>
      <c r="D129" t="s">
        <v>110</v>
      </c>
      <c r="F129" s="83">
        <f>SUM(G129:O129)</f>
        <v>0</v>
      </c>
      <c r="H129" s="97">
        <f>'Berekening kapitaalkosten AD'!H422</f>
        <v>0</v>
      </c>
      <c r="J129" s="97">
        <f>'Berekening kapitaalkosten AD'!J422</f>
        <v>0</v>
      </c>
      <c r="O129" s="97">
        <f>'Berekening kapitaalkosten AD'!O422</f>
        <v>0</v>
      </c>
    </row>
    <row r="130" spans="2:17">
      <c r="B130" s="51"/>
      <c r="F130" s="47"/>
    </row>
    <row r="131" spans="2:17">
      <c r="B131" s="51"/>
      <c r="F131" s="47"/>
    </row>
    <row r="132" spans="2:17">
      <c r="B132" s="3" t="s">
        <v>53</v>
      </c>
      <c r="F132" s="47"/>
    </row>
    <row r="133" spans="2:17">
      <c r="F133" s="47"/>
    </row>
    <row r="134" spans="2:17">
      <c r="B134" s="51" t="s">
        <v>773</v>
      </c>
      <c r="D134" t="s">
        <v>110</v>
      </c>
      <c r="F134" s="83">
        <f>SUM(G134:O134)</f>
        <v>943760143.61601901</v>
      </c>
      <c r="G134" s="21">
        <f>SUM(G105,G110,G115,G118:G120,G123:G125,G128:G129)</f>
        <v>17749265.704076856</v>
      </c>
      <c r="H134" s="21">
        <f t="shared" ref="H134:O134" si="10">SUM(H105,H110,H115,H118:H120,H123:H125,H128:H129)</f>
        <v>25000760.973436225</v>
      </c>
      <c r="I134" s="21">
        <f t="shared" si="10"/>
        <v>51811559.054381534</v>
      </c>
      <c r="J134" s="21">
        <f t="shared" si="10"/>
        <v>229433300.66452545</v>
      </c>
      <c r="K134" s="21">
        <f t="shared" si="10"/>
        <v>314821761.99572754</v>
      </c>
      <c r="L134" s="21">
        <f t="shared" si="10"/>
        <v>20457280.691073164</v>
      </c>
      <c r="M134" s="21">
        <f t="shared" si="10"/>
        <v>261823773.07099861</v>
      </c>
      <c r="N134" s="21">
        <f t="shared" si="10"/>
        <v>18471311.378237016</v>
      </c>
      <c r="O134" s="21">
        <f t="shared" si="10"/>
        <v>4191130.0835625958</v>
      </c>
      <c r="Q134" s="51" t="s">
        <v>574</v>
      </c>
    </row>
    <row r="135" spans="2:17">
      <c r="B135" s="13" t="s">
        <v>52</v>
      </c>
      <c r="F135" s="47"/>
    </row>
    <row r="136" spans="2:17">
      <c r="B136" s="51" t="s">
        <v>774</v>
      </c>
      <c r="D136" t="s">
        <v>110</v>
      </c>
      <c r="F136" s="83">
        <f>SUM(G136:O136)</f>
        <v>30991772.533834398</v>
      </c>
      <c r="G136" s="21">
        <f>SUM(G106:G107,G111:G112,G119)</f>
        <v>1401.9999999999982</v>
      </c>
      <c r="H136" s="21">
        <f t="shared" ref="H136:O136" si="11">SUM(H106:H107,H111:H112,H119)</f>
        <v>391176.4</v>
      </c>
      <c r="I136" s="21">
        <f t="shared" si="11"/>
        <v>0</v>
      </c>
      <c r="J136" s="21">
        <f t="shared" si="11"/>
        <v>1899067.4163321736</v>
      </c>
      <c r="K136" s="21">
        <f t="shared" si="11"/>
        <v>13691948</v>
      </c>
      <c r="L136" s="21">
        <f t="shared" si="11"/>
        <v>2102355.7175022243</v>
      </c>
      <c r="M136" s="21">
        <f t="shared" si="11"/>
        <v>12898160</v>
      </c>
      <c r="N136" s="21">
        <f t="shared" si="11"/>
        <v>7663</v>
      </c>
      <c r="O136" s="21">
        <f t="shared" si="11"/>
        <v>0</v>
      </c>
    </row>
    <row r="137" spans="2:17">
      <c r="B137" s="51" t="s">
        <v>180</v>
      </c>
      <c r="D137" t="s">
        <v>108</v>
      </c>
      <c r="F137" s="83">
        <f>SUM(G137:O137)</f>
        <v>4441517.228692011</v>
      </c>
      <c r="G137" s="21">
        <f>G108+G113</f>
        <v>98649</v>
      </c>
      <c r="H137" s="21">
        <f t="shared" ref="H137:O137" si="12">H108+H113</f>
        <v>120702.72010000002</v>
      </c>
      <c r="I137" s="21">
        <f t="shared" si="12"/>
        <v>253112.2309681839</v>
      </c>
      <c r="J137" s="21">
        <f t="shared" si="12"/>
        <v>1217602.7110091057</v>
      </c>
      <c r="K137" s="21">
        <f t="shared" si="12"/>
        <v>1413400.1069791086</v>
      </c>
      <c r="L137" s="21">
        <f t="shared" si="12"/>
        <v>76109.350000000006</v>
      </c>
      <c r="M137" s="21">
        <f t="shared" si="12"/>
        <v>1244536.792062162</v>
      </c>
      <c r="N137" s="21">
        <f t="shared" si="12"/>
        <v>17404.317573450375</v>
      </c>
      <c r="O137" s="21">
        <f t="shared" si="12"/>
        <v>0</v>
      </c>
    </row>
    <row r="138" spans="2:17">
      <c r="B138" s="78" t="s">
        <v>775</v>
      </c>
      <c r="D138" t="s">
        <v>110</v>
      </c>
      <c r="F138" s="83">
        <f>SUM(G138:O138)</f>
        <v>5713762.9998574331</v>
      </c>
      <c r="G138" s="54"/>
      <c r="H138" s="21">
        <f>SUM(H123:H125,H128:H129)</f>
        <v>1359590.8070625649</v>
      </c>
      <c r="I138" s="54"/>
      <c r="J138" s="21">
        <f>SUM(J123:J125,J128:J129)</f>
        <v>163042.10923227214</v>
      </c>
      <c r="K138" s="54"/>
      <c r="L138" s="54"/>
      <c r="M138" s="54"/>
      <c r="N138" s="54"/>
      <c r="O138" s="21">
        <f>SUM(O123:O125,O128:O129)</f>
        <v>4191130.0835625958</v>
      </c>
    </row>
    <row r="139" spans="2:17">
      <c r="F139" s="47"/>
    </row>
    <row r="140" spans="2:17">
      <c r="B140" s="3" t="s">
        <v>629</v>
      </c>
      <c r="F140" s="47"/>
    </row>
    <row r="141" spans="2:17">
      <c r="B141" s="51" t="s">
        <v>630</v>
      </c>
      <c r="D141" s="51" t="s">
        <v>110</v>
      </c>
      <c r="F141" s="83">
        <f>SUM(G141:O141)</f>
        <v>743067540.20114899</v>
      </c>
      <c r="G141" s="107">
        <f>G105+G118+G119+G123+G128</f>
        <v>14296640.009399597</v>
      </c>
      <c r="H141" s="107">
        <f t="shared" ref="H141:O141" si="13">H105+H118+H119+H123+H128</f>
        <v>20477719.344781723</v>
      </c>
      <c r="I141" s="107">
        <f t="shared" si="13"/>
        <v>37919268.999873534</v>
      </c>
      <c r="J141" s="107">
        <f t="shared" si="13"/>
        <v>192902673.24183068</v>
      </c>
      <c r="K141" s="107">
        <f t="shared" si="13"/>
        <v>237838131.16740277</v>
      </c>
      <c r="L141" s="107">
        <f t="shared" si="13"/>
        <v>17701056.460595265</v>
      </c>
      <c r="M141" s="107">
        <f t="shared" si="13"/>
        <v>200363700.20253062</v>
      </c>
      <c r="N141" s="107">
        <f t="shared" si="13"/>
        <v>17377220.691172205</v>
      </c>
      <c r="O141" s="107">
        <f t="shared" si="13"/>
        <v>4191130.0835625958</v>
      </c>
    </row>
    <row r="142" spans="2:17">
      <c r="B142" s="51" t="s">
        <v>631</v>
      </c>
      <c r="D142" s="51" t="s">
        <v>110</v>
      </c>
      <c r="F142" s="83">
        <f>SUM(G142:O142)</f>
        <v>200692603.41486987</v>
      </c>
      <c r="G142" s="107">
        <f>G110+G115+G120+G124+G125+G129</f>
        <v>3452625.6946772612</v>
      </c>
      <c r="H142" s="107">
        <f t="shared" ref="H142:O142" si="14">H110+H115+H120+H124+H125+H129</f>
        <v>4523041.6286544995</v>
      </c>
      <c r="I142" s="107">
        <f t="shared" si="14"/>
        <v>13892290.054508006</v>
      </c>
      <c r="J142" s="107">
        <f t="shared" si="14"/>
        <v>36530627.42269472</v>
      </c>
      <c r="K142" s="107">
        <f t="shared" si="14"/>
        <v>76983630.82832472</v>
      </c>
      <c r="L142" s="107">
        <f t="shared" si="14"/>
        <v>2756224.2304779007</v>
      </c>
      <c r="M142" s="107">
        <f t="shared" si="14"/>
        <v>61460072.868467972</v>
      </c>
      <c r="N142" s="107">
        <f t="shared" si="14"/>
        <v>1094090.6870648107</v>
      </c>
      <c r="O142" s="107">
        <f t="shared" si="14"/>
        <v>0</v>
      </c>
    </row>
    <row r="143" spans="2:17">
      <c r="F143" s="47"/>
    </row>
    <row r="144" spans="2:17">
      <c r="F144" s="47"/>
    </row>
    <row r="145" spans="2:8" s="2" customFormat="1">
      <c r="B145" s="2" t="s">
        <v>554</v>
      </c>
      <c r="F145" s="49"/>
    </row>
    <row r="146" spans="2:8">
      <c r="F146" s="47"/>
    </row>
    <row r="147" spans="2:8">
      <c r="F147" s="4"/>
    </row>
    <row r="148" spans="2:8">
      <c r="B148" s="3" t="s">
        <v>51</v>
      </c>
      <c r="F148" s="4"/>
    </row>
    <row r="149" spans="2:8">
      <c r="F149" s="4"/>
    </row>
    <row r="150" spans="2:8">
      <c r="B150" s="3" t="s">
        <v>43</v>
      </c>
    </row>
    <row r="151" spans="2:8">
      <c r="B151" s="51" t="s">
        <v>728</v>
      </c>
      <c r="D151" t="s">
        <v>183</v>
      </c>
      <c r="F151" s="39">
        <f>'Data marktmodel'!I20</f>
        <v>1160000</v>
      </c>
      <c r="G151" s="51"/>
      <c r="H151" s="259"/>
    </row>
    <row r="152" spans="2:8">
      <c r="B152" s="51" t="s">
        <v>729</v>
      </c>
      <c r="D152" t="s">
        <v>184</v>
      </c>
      <c r="F152" s="39">
        <f>'Data marktmodel'!J20</f>
        <v>1603000</v>
      </c>
      <c r="H152" s="78"/>
    </row>
    <row r="153" spans="2:8">
      <c r="B153" s="51" t="s">
        <v>730</v>
      </c>
      <c r="D153" t="s">
        <v>185</v>
      </c>
      <c r="F153" s="39">
        <f>'Data marktmodel'!K20</f>
        <v>1785000</v>
      </c>
    </row>
    <row r="155" spans="2:8">
      <c r="B155" s="3" t="s">
        <v>453</v>
      </c>
    </row>
    <row r="156" spans="2:8">
      <c r="B156" s="51" t="s">
        <v>444</v>
      </c>
      <c r="D156" t="s">
        <v>183</v>
      </c>
      <c r="F156" s="97">
        <f>'Berekeningen netverliezen'!F76</f>
        <v>0</v>
      </c>
    </row>
    <row r="157" spans="2:8">
      <c r="B157" s="51" t="s">
        <v>445</v>
      </c>
      <c r="D157" t="s">
        <v>184</v>
      </c>
      <c r="F157" s="97">
        <f>'Berekeningen netverliezen'!F77</f>
        <v>0</v>
      </c>
    </row>
    <row r="158" spans="2:8">
      <c r="B158" s="51" t="s">
        <v>446</v>
      </c>
      <c r="D158" t="s">
        <v>185</v>
      </c>
      <c r="F158" s="97">
        <f>'Berekeningen netverliezen'!F78</f>
        <v>0</v>
      </c>
    </row>
    <row r="161" spans="2:17">
      <c r="B161" s="3" t="s">
        <v>191</v>
      </c>
      <c r="F161" s="4"/>
    </row>
    <row r="162" spans="2:17">
      <c r="B162" s="27" t="s">
        <v>789</v>
      </c>
      <c r="F162" s="4"/>
    </row>
    <row r="163" spans="2:17" s="258" customFormat="1">
      <c r="B163" s="27" t="s">
        <v>788</v>
      </c>
      <c r="F163" s="4"/>
    </row>
    <row r="164" spans="2:17">
      <c r="F164" s="4"/>
    </row>
    <row r="165" spans="2:17">
      <c r="B165" s="51" t="s">
        <v>763</v>
      </c>
      <c r="D165" t="s">
        <v>183</v>
      </c>
      <c r="F165" s="150">
        <f>F44-F46-F47+F151+F156</f>
        <v>839797436.28506279</v>
      </c>
      <c r="Q165" s="51" t="s">
        <v>969</v>
      </c>
    </row>
    <row r="166" spans="2:17">
      <c r="B166" s="51" t="s">
        <v>764</v>
      </c>
      <c r="D166" t="s">
        <v>184</v>
      </c>
      <c r="F166" s="150">
        <f>F89-F91-F92+F152+F157</f>
        <v>860888215.96299303</v>
      </c>
    </row>
    <row r="167" spans="2:17">
      <c r="B167" s="51" t="s">
        <v>765</v>
      </c>
      <c r="D167" t="s">
        <v>185</v>
      </c>
      <c r="F167" s="150">
        <f>F134-F136-F137+F153+F158</f>
        <v>910111853.8534925</v>
      </c>
    </row>
    <row r="168" spans="2:17">
      <c r="F168" s="4"/>
    </row>
    <row r="169" spans="2:17">
      <c r="B169" s="3" t="s">
        <v>475</v>
      </c>
      <c r="F169" s="4"/>
    </row>
    <row r="170" spans="2:17">
      <c r="B170" s="27" t="s">
        <v>515</v>
      </c>
      <c r="F170" s="4"/>
    </row>
    <row r="171" spans="2:17">
      <c r="B171" s="27"/>
      <c r="F171" s="4"/>
    </row>
    <row r="172" spans="2:17">
      <c r="B172" s="51" t="s">
        <v>472</v>
      </c>
      <c r="D172" t="s">
        <v>183</v>
      </c>
      <c r="F172" s="136">
        <f>F165-F156-F48</f>
        <v>834316905.1174382</v>
      </c>
    </row>
    <row r="173" spans="2:17">
      <c r="B173" s="51" t="s">
        <v>473</v>
      </c>
      <c r="D173" t="s">
        <v>184</v>
      </c>
      <c r="F173" s="136">
        <f>F166-F157-F93</f>
        <v>854830798.07478654</v>
      </c>
    </row>
    <row r="174" spans="2:17">
      <c r="B174" s="51" t="s">
        <v>474</v>
      </c>
      <c r="D174" t="s">
        <v>185</v>
      </c>
      <c r="F174" s="136">
        <f>F167-F158-F138</f>
        <v>904398090.85363507</v>
      </c>
    </row>
    <row r="175" spans="2:17">
      <c r="F175" s="4"/>
    </row>
    <row r="176" spans="2:17">
      <c r="F176" s="4"/>
    </row>
    <row r="177" spans="2:9">
      <c r="B177" s="3" t="s">
        <v>632</v>
      </c>
      <c r="F177" s="4"/>
    </row>
    <row r="178" spans="2:9">
      <c r="F178" s="4"/>
      <c r="G178">
        <v>2010</v>
      </c>
      <c r="H178">
        <v>2011</v>
      </c>
      <c r="I178">
        <v>2012</v>
      </c>
    </row>
    <row r="179" spans="2:9">
      <c r="B179" s="51" t="s">
        <v>78</v>
      </c>
      <c r="F179" s="51"/>
      <c r="G179" s="201">
        <f>CPI!P43</f>
        <v>6.5341969999999749E-2</v>
      </c>
      <c r="H179" s="201">
        <f>CPI!Q43</f>
        <v>4.9598000000000031E-2</v>
      </c>
      <c r="I179" s="201">
        <f>CPI!R43</f>
        <v>2.3E-2</v>
      </c>
    </row>
    <row r="180" spans="2:9">
      <c r="F180" s="51"/>
    </row>
    <row r="181" spans="2:9">
      <c r="B181" s="51" t="s">
        <v>633</v>
      </c>
      <c r="D181" s="51" t="s">
        <v>186</v>
      </c>
      <c r="F181" s="155">
        <f>F51*(1+G179)</f>
        <v>750768563.44669139</v>
      </c>
    </row>
    <row r="182" spans="2:9">
      <c r="B182" s="51" t="s">
        <v>634</v>
      </c>
      <c r="D182" s="51" t="s">
        <v>186</v>
      </c>
      <c r="F182" s="155">
        <f>F96*(1+H179)</f>
        <v>758952092.22189605</v>
      </c>
    </row>
    <row r="183" spans="2:9">
      <c r="B183" s="51" t="s">
        <v>635</v>
      </c>
      <c r="D183" s="51" t="s">
        <v>186</v>
      </c>
      <c r="F183" s="155">
        <f>F141*(1+I179)</f>
        <v>760158093.62577534</v>
      </c>
    </row>
    <row r="184" spans="2:9">
      <c r="B184" s="51" t="s">
        <v>636</v>
      </c>
      <c r="D184" s="51" t="s">
        <v>186</v>
      </c>
      <c r="F184" s="202">
        <f>AVERAGE(F181:F183)</f>
        <v>756626249.76478767</v>
      </c>
    </row>
    <row r="185" spans="2:9">
      <c r="F185" s="51"/>
    </row>
    <row r="186" spans="2:9">
      <c r="B186" s="51" t="s">
        <v>637</v>
      </c>
      <c r="D186" s="51" t="s">
        <v>186</v>
      </c>
      <c r="F186" s="155">
        <f>F52*(1+G179)</f>
        <v>173858450.81623036</v>
      </c>
    </row>
    <row r="187" spans="2:9">
      <c r="B187" s="51" t="s">
        <v>638</v>
      </c>
      <c r="D187" s="51" t="s">
        <v>186</v>
      </c>
      <c r="F187" s="155">
        <f>F97*(1+H179)</f>
        <v>177260892.42062902</v>
      </c>
    </row>
    <row r="188" spans="2:9">
      <c r="B188" s="51" t="s">
        <v>639</v>
      </c>
      <c r="D188" s="51" t="s">
        <v>186</v>
      </c>
      <c r="F188" s="155">
        <f>F142*(1+I179)</f>
        <v>205308533.29341185</v>
      </c>
    </row>
    <row r="189" spans="2:9">
      <c r="B189" s="51" t="s">
        <v>640</v>
      </c>
      <c r="D189" s="51" t="s">
        <v>186</v>
      </c>
      <c r="F189" s="202">
        <f>AVERAGE(F186:F188)</f>
        <v>185475958.84342375</v>
      </c>
    </row>
    <row r="190" spans="2:9">
      <c r="F190" s="51"/>
    </row>
    <row r="191" spans="2:9">
      <c r="F191" s="51"/>
    </row>
    <row r="192" spans="2:9">
      <c r="F192" s="51"/>
    </row>
    <row r="193" spans="6:6">
      <c r="F193" s="51"/>
    </row>
    <row r="194" spans="6:6">
      <c r="F194" s="51"/>
    </row>
    <row r="195" spans="6:6">
      <c r="F195" s="4"/>
    </row>
    <row r="196" spans="6:6">
      <c r="F196" s="4"/>
    </row>
    <row r="197" spans="6:6">
      <c r="F197" s="4"/>
    </row>
    <row r="198" spans="6:6">
      <c r="F198" s="4"/>
    </row>
    <row r="199" spans="6:6">
      <c r="F199" s="4"/>
    </row>
    <row r="200" spans="6:6">
      <c r="F200" s="4"/>
    </row>
    <row r="201" spans="6:6">
      <c r="F201" s="4"/>
    </row>
    <row r="202" spans="6:6">
      <c r="F202" s="4"/>
    </row>
    <row r="203" spans="6:6">
      <c r="F203" s="4"/>
    </row>
    <row r="204" spans="6:6">
      <c r="F204" s="4"/>
    </row>
    <row r="205" spans="6:6">
      <c r="F205" s="4"/>
    </row>
    <row r="206" spans="6:6">
      <c r="F206" s="4"/>
    </row>
    <row r="207" spans="6:6">
      <c r="F207" s="4"/>
    </row>
    <row r="208" spans="6:6">
      <c r="F208" s="4"/>
    </row>
    <row r="209" spans="6:6">
      <c r="F209" s="4"/>
    </row>
    <row r="210" spans="6:6">
      <c r="F210" s="4"/>
    </row>
    <row r="211" spans="6:6">
      <c r="F211" s="4"/>
    </row>
    <row r="212" spans="6:6">
      <c r="F212" s="4"/>
    </row>
    <row r="213" spans="6:6">
      <c r="F213" s="4"/>
    </row>
    <row r="214" spans="6:6">
      <c r="F214" s="4"/>
    </row>
    <row r="215" spans="6:6">
      <c r="F215" s="4"/>
    </row>
    <row r="216" spans="6:6">
      <c r="F216" s="4"/>
    </row>
    <row r="217" spans="6:6">
      <c r="F217" s="4"/>
    </row>
    <row r="218" spans="6:6">
      <c r="F218" s="4"/>
    </row>
    <row r="219" spans="6:6">
      <c r="F219" s="4"/>
    </row>
    <row r="220" spans="6:6">
      <c r="F220" s="4"/>
    </row>
    <row r="221" spans="6:6">
      <c r="F221" s="4"/>
    </row>
    <row r="222" spans="6:6">
      <c r="F222" s="4"/>
    </row>
    <row r="223" spans="6:6">
      <c r="F223" s="4"/>
    </row>
    <row r="224" spans="6:6">
      <c r="F224" s="4"/>
    </row>
    <row r="225" spans="6:17">
      <c r="F225" s="4"/>
    </row>
    <row r="226" spans="6:17">
      <c r="F226" s="4"/>
    </row>
    <row r="227" spans="6:17">
      <c r="F227" s="4"/>
    </row>
    <row r="228" spans="6:17">
      <c r="F228" s="4"/>
    </row>
    <row r="229" spans="6:17">
      <c r="F229" s="4"/>
    </row>
    <row r="230" spans="6:17">
      <c r="F230" s="4"/>
    </row>
    <row r="231" spans="6:17">
      <c r="F231" s="4"/>
    </row>
    <row r="232" spans="6:17">
      <c r="F232" s="4"/>
    </row>
    <row r="233" spans="6:17">
      <c r="F233" s="4"/>
    </row>
    <row r="234" spans="6:17">
      <c r="F234" s="4"/>
    </row>
    <row r="235" spans="6:17">
      <c r="F235" s="4"/>
    </row>
    <row r="236" spans="6:17">
      <c r="F236" s="4"/>
    </row>
    <row r="237" spans="6:17">
      <c r="F237" s="4"/>
    </row>
    <row r="238" spans="6:17">
      <c r="F238" s="4"/>
    </row>
    <row r="239" spans="6:17">
      <c r="Q239" s="27"/>
    </row>
    <row r="240" spans="6:17">
      <c r="Q240" s="27"/>
    </row>
    <row r="241" spans="17:17">
      <c r="Q241" s="27"/>
    </row>
    <row r="242" spans="17:17">
      <c r="Q242" s="27"/>
    </row>
    <row r="243" spans="17:17">
      <c r="Q243" s="27"/>
    </row>
    <row r="244" spans="17:17">
      <c r="Q244" s="27"/>
    </row>
    <row r="245" spans="17:17">
      <c r="Q245" s="27"/>
    </row>
    <row r="246" spans="17:17">
      <c r="Q246" s="27"/>
    </row>
    <row r="247" spans="17:17">
      <c r="Q247" s="27"/>
    </row>
    <row r="248" spans="17:17">
      <c r="Q248" s="27"/>
    </row>
    <row r="249" spans="17:17">
      <c r="Q249" s="27"/>
    </row>
    <row r="250" spans="17:17">
      <c r="Q250" s="27"/>
    </row>
    <row r="251" spans="17:17">
      <c r="Q251" s="27"/>
    </row>
    <row r="252" spans="17:17">
      <c r="Q252" s="27"/>
    </row>
    <row r="253" spans="17:17">
      <c r="Q253" s="27"/>
    </row>
    <row r="254" spans="17:17">
      <c r="Q254" s="27"/>
    </row>
    <row r="255" spans="17:17">
      <c r="Q255" s="27"/>
    </row>
    <row r="256" spans="17:17">
      <c r="Q256" s="27"/>
    </row>
    <row r="257" spans="17:17">
      <c r="Q257" s="27"/>
    </row>
    <row r="258" spans="17:17">
      <c r="Q258" s="27"/>
    </row>
    <row r="259" spans="17:17">
      <c r="Q259" s="27"/>
    </row>
    <row r="260" spans="17:17">
      <c r="Q260" s="27"/>
    </row>
    <row r="261" spans="17:17">
      <c r="Q261" s="27"/>
    </row>
    <row r="262" spans="17:17">
      <c r="Q262" s="27"/>
    </row>
    <row r="263" spans="17:17">
      <c r="Q263" s="27"/>
    </row>
  </sheetData>
  <phoneticPr fontId="4" type="noConversion"/>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99"/>
    <pageSetUpPr fitToPage="1"/>
  </sheetPr>
  <dimension ref="A1:Q785"/>
  <sheetViews>
    <sheetView showGridLines="0" zoomScale="85" zoomScaleNormal="85" workbookViewId="0"/>
  </sheetViews>
  <sheetFormatPr defaultRowHeight="12.75"/>
  <cols>
    <col min="1" max="1" width="2.5703125" customWidth="1"/>
    <col min="2" max="2" width="67" customWidth="1"/>
    <col min="3" max="3" width="10.28515625" customWidth="1"/>
    <col min="4" max="4" width="14.5703125" customWidth="1"/>
    <col min="5" max="5" width="2.5703125" customWidth="1"/>
    <col min="6" max="6" width="21.42578125" customWidth="1"/>
    <col min="7" max="15" width="14.85546875" customWidth="1"/>
    <col min="17" max="17" width="16.42578125" customWidth="1"/>
  </cols>
  <sheetData>
    <row r="1" spans="2:17" ht="12" customHeight="1"/>
    <row r="2" spans="2:17" s="1" customFormat="1" ht="18">
      <c r="B2" s="1" t="s">
        <v>134</v>
      </c>
      <c r="F2" s="5" t="s">
        <v>105</v>
      </c>
      <c r="G2" s="5" t="s">
        <v>96</v>
      </c>
      <c r="H2" s="5" t="s">
        <v>97</v>
      </c>
      <c r="I2" s="5" t="s">
        <v>98</v>
      </c>
      <c r="J2" s="5" t="s">
        <v>99</v>
      </c>
      <c r="K2" s="5" t="s">
        <v>100</v>
      </c>
      <c r="L2" s="5" t="s">
        <v>101</v>
      </c>
      <c r="M2" s="5" t="s">
        <v>102</v>
      </c>
      <c r="N2" s="5" t="s">
        <v>103</v>
      </c>
      <c r="O2" s="5" t="s">
        <v>197</v>
      </c>
      <c r="Q2" s="5" t="s">
        <v>567</v>
      </c>
    </row>
    <row r="4" spans="2:17">
      <c r="B4" s="51" t="s">
        <v>555</v>
      </c>
    </row>
    <row r="5" spans="2:17">
      <c r="B5" s="51" t="s">
        <v>556</v>
      </c>
    </row>
    <row r="8" spans="2:17" s="2" customFormat="1">
      <c r="B8" s="2" t="s">
        <v>0</v>
      </c>
      <c r="F8" s="49"/>
    </row>
    <row r="9" spans="2:17">
      <c r="F9" s="47"/>
    </row>
    <row r="10" spans="2:17">
      <c r="B10" s="22" t="s">
        <v>207</v>
      </c>
      <c r="F10" s="47"/>
      <c r="H10" s="90"/>
    </row>
    <row r="11" spans="2:17">
      <c r="F11" s="28"/>
    </row>
    <row r="12" spans="2:17">
      <c r="B12" s="103" t="s">
        <v>265</v>
      </c>
      <c r="F12" s="50"/>
    </row>
    <row r="13" spans="2:17">
      <c r="B13" s="89" t="s">
        <v>201</v>
      </c>
      <c r="D13" s="51" t="s">
        <v>186</v>
      </c>
      <c r="F13" s="109"/>
      <c r="G13" s="110">
        <f>'TAR2013 Tarieven TD'!G11</f>
        <v>18</v>
      </c>
      <c r="H13" s="110">
        <f>'TAR2013 Tarieven TD'!H11</f>
        <v>18</v>
      </c>
      <c r="I13" s="110">
        <f>'TAR2013 Tarieven TD'!I11</f>
        <v>18</v>
      </c>
      <c r="J13" s="110">
        <f>'TAR2013 Tarieven TD'!J11</f>
        <v>18</v>
      </c>
      <c r="K13" s="110">
        <f>'TAR2013 Tarieven TD'!K11</f>
        <v>18</v>
      </c>
      <c r="L13" s="110">
        <f>'TAR2013 Tarieven TD'!L11</f>
        <v>18</v>
      </c>
      <c r="M13" s="110">
        <f>'TAR2013 Tarieven TD'!M11</f>
        <v>18</v>
      </c>
      <c r="N13" s="110">
        <f>'TAR2013 Tarieven TD'!N11</f>
        <v>18</v>
      </c>
      <c r="O13" s="110">
        <f>'TAR2013 Tarieven TD'!O11</f>
        <v>0</v>
      </c>
    </row>
    <row r="14" spans="2:17">
      <c r="B14" s="90" t="s">
        <v>202</v>
      </c>
      <c r="D14" s="51" t="s">
        <v>186</v>
      </c>
      <c r="F14" s="109"/>
      <c r="G14" s="110">
        <f>'TAR2013 Tarieven TD'!G12</f>
        <v>30.01</v>
      </c>
      <c r="H14" s="110">
        <f>'TAR2013 Tarieven TD'!H12</f>
        <v>29.52</v>
      </c>
      <c r="I14" s="110">
        <f>'TAR2013 Tarieven TD'!I12</f>
        <v>28.798499999999997</v>
      </c>
      <c r="J14" s="110">
        <f>'TAR2013 Tarieven TD'!J12</f>
        <v>28.7456</v>
      </c>
      <c r="K14" s="110">
        <f>'TAR2013 Tarieven TD'!K12</f>
        <v>30.36</v>
      </c>
      <c r="L14" s="110">
        <f>'TAR2013 Tarieven TD'!L12</f>
        <v>35.75</v>
      </c>
      <c r="M14" s="110">
        <f>'TAR2013 Tarieven TD'!M12</f>
        <v>30.387999999999998</v>
      </c>
      <c r="N14" s="110">
        <f>'TAR2013 Tarieven TD'!N12</f>
        <v>23.27</v>
      </c>
      <c r="O14" s="110">
        <f>'TAR2013 Tarieven TD'!O12</f>
        <v>0</v>
      </c>
    </row>
    <row r="15" spans="2:17">
      <c r="B15" s="90"/>
      <c r="F15" s="50"/>
    </row>
    <row r="16" spans="2:17">
      <c r="B16" s="91" t="s">
        <v>266</v>
      </c>
      <c r="F16" s="50"/>
    </row>
    <row r="17" spans="2:15">
      <c r="B17" s="89" t="s">
        <v>201</v>
      </c>
      <c r="D17" s="51" t="s">
        <v>186</v>
      </c>
      <c r="F17" s="109"/>
      <c r="G17" s="110">
        <f>'TAR2013 Tarieven TD'!G15</f>
        <v>18</v>
      </c>
      <c r="H17" s="110">
        <f>'TAR2013 Tarieven TD'!H15</f>
        <v>18</v>
      </c>
      <c r="I17" s="110">
        <f>'TAR2013 Tarieven TD'!I15</f>
        <v>18</v>
      </c>
      <c r="J17" s="110">
        <f>'TAR2013 Tarieven TD'!J15</f>
        <v>18</v>
      </c>
      <c r="K17" s="110">
        <f>'TAR2013 Tarieven TD'!K15</f>
        <v>18</v>
      </c>
      <c r="L17" s="110">
        <f>'TAR2013 Tarieven TD'!L15</f>
        <v>18</v>
      </c>
      <c r="M17" s="110">
        <f>'TAR2013 Tarieven TD'!M15</f>
        <v>18</v>
      </c>
      <c r="N17" s="110">
        <f>'TAR2013 Tarieven TD'!N15</f>
        <v>18</v>
      </c>
      <c r="O17" s="110">
        <f>'TAR2013 Tarieven TD'!O15</f>
        <v>0</v>
      </c>
    </row>
    <row r="18" spans="2:15">
      <c r="B18" s="90" t="s">
        <v>202</v>
      </c>
      <c r="D18" s="51" t="s">
        <v>186</v>
      </c>
      <c r="F18" s="109"/>
      <c r="G18" s="110">
        <f>'TAR2013 Tarieven TD'!G16</f>
        <v>30.01</v>
      </c>
      <c r="H18" s="110">
        <f>'TAR2013 Tarieven TD'!H16</f>
        <v>29.52</v>
      </c>
      <c r="I18" s="110">
        <f>'TAR2013 Tarieven TD'!I16</f>
        <v>28.798499999999997</v>
      </c>
      <c r="J18" s="110">
        <f>'TAR2013 Tarieven TD'!J16</f>
        <v>28.7456</v>
      </c>
      <c r="K18" s="110">
        <f>'TAR2013 Tarieven TD'!K16</f>
        <v>30.36</v>
      </c>
      <c r="L18" s="110">
        <f>'TAR2013 Tarieven TD'!L16</f>
        <v>35.75</v>
      </c>
      <c r="M18" s="110">
        <f>'TAR2013 Tarieven TD'!M16</f>
        <v>30.387999999999998</v>
      </c>
      <c r="N18" s="110">
        <f>'TAR2013 Tarieven TD'!N16</f>
        <v>23.27</v>
      </c>
      <c r="O18" s="110">
        <f>'TAR2013 Tarieven TD'!O16</f>
        <v>0</v>
      </c>
    </row>
    <row r="19" spans="2:15">
      <c r="B19" s="104"/>
      <c r="F19" s="50"/>
    </row>
    <row r="20" spans="2:15">
      <c r="B20" s="88" t="s">
        <v>204</v>
      </c>
      <c r="F20" s="50"/>
    </row>
    <row r="21" spans="2:15">
      <c r="B21" s="89" t="s">
        <v>201</v>
      </c>
      <c r="D21" s="51" t="s">
        <v>186</v>
      </c>
      <c r="F21" s="109"/>
      <c r="G21" s="110">
        <f>'TAR2013 Tarieven TD'!G19</f>
        <v>283.11</v>
      </c>
      <c r="H21" s="110">
        <f>'TAR2013 Tarieven TD'!H19</f>
        <v>578.52</v>
      </c>
      <c r="I21" s="110">
        <f>'TAR2013 Tarieven TD'!I19</f>
        <v>828</v>
      </c>
      <c r="J21" s="110">
        <f>'TAR2013 Tarieven TD'!J19</f>
        <v>1044</v>
      </c>
      <c r="K21" s="110">
        <f>'TAR2013 Tarieven TD'!K19</f>
        <v>828</v>
      </c>
      <c r="L21" s="110">
        <f>'TAR2013 Tarieven TD'!L19</f>
        <v>687</v>
      </c>
      <c r="M21" s="110">
        <f>'TAR2013 Tarieven TD'!M19</f>
        <v>795</v>
      </c>
      <c r="N21" s="110">
        <f>'TAR2013 Tarieven TD'!N19</f>
        <v>60</v>
      </c>
      <c r="O21" s="110">
        <f>'TAR2013 Tarieven TD'!O19</f>
        <v>0</v>
      </c>
    </row>
    <row r="22" spans="2:15">
      <c r="B22" s="90" t="s">
        <v>262</v>
      </c>
      <c r="D22" s="51" t="s">
        <v>186</v>
      </c>
      <c r="F22" s="109"/>
      <c r="G22" s="110">
        <f>'TAR2013 Tarieven TD'!G20</f>
        <v>32.76</v>
      </c>
      <c r="H22" s="110">
        <f>'TAR2013 Tarieven TD'!H20</f>
        <v>24.72</v>
      </c>
      <c r="I22" s="110">
        <f>'TAR2013 Tarieven TD'!I20</f>
        <v>0</v>
      </c>
      <c r="J22" s="110">
        <f>'TAR2013 Tarieven TD'!J20</f>
        <v>0</v>
      </c>
      <c r="K22" s="110">
        <f>'TAR2013 Tarieven TD'!K20</f>
        <v>29.88</v>
      </c>
      <c r="L22" s="110">
        <f>'TAR2013 Tarieven TD'!L20</f>
        <v>38.049999999999997</v>
      </c>
      <c r="M22" s="110">
        <f>'TAR2013 Tarieven TD'!M20</f>
        <v>0</v>
      </c>
      <c r="N22" s="110">
        <f>'TAR2013 Tarieven TD'!N20</f>
        <v>0</v>
      </c>
      <c r="O22" s="110">
        <f>'TAR2013 Tarieven TD'!O20</f>
        <v>0</v>
      </c>
    </row>
    <row r="23" spans="2:15">
      <c r="B23" s="89" t="s">
        <v>263</v>
      </c>
      <c r="D23" s="51" t="s">
        <v>186</v>
      </c>
      <c r="F23" s="109"/>
      <c r="G23" s="110">
        <f>'TAR2013 Tarieven TD'!G21</f>
        <v>21.89</v>
      </c>
      <c r="H23" s="110">
        <f>'TAR2013 Tarieven TD'!H21</f>
        <v>24.72</v>
      </c>
      <c r="I23" s="110">
        <f>'TAR2013 Tarieven TD'!I21</f>
        <v>0</v>
      </c>
      <c r="J23" s="110">
        <f>'TAR2013 Tarieven TD'!J21</f>
        <v>0</v>
      </c>
      <c r="K23" s="110">
        <f>'TAR2013 Tarieven TD'!K21</f>
        <v>17.16</v>
      </c>
      <c r="L23" s="110">
        <f>'TAR2013 Tarieven TD'!L21</f>
        <v>27.66</v>
      </c>
      <c r="M23" s="110">
        <f>'TAR2013 Tarieven TD'!M21</f>
        <v>0</v>
      </c>
      <c r="N23" s="110">
        <f>'TAR2013 Tarieven TD'!N21</f>
        <v>0</v>
      </c>
      <c r="O23" s="110">
        <f>'TAR2013 Tarieven TD'!O21</f>
        <v>0</v>
      </c>
    </row>
    <row r="24" spans="2:15">
      <c r="B24" s="90" t="s">
        <v>264</v>
      </c>
      <c r="D24" s="51" t="s">
        <v>186</v>
      </c>
      <c r="F24" s="109"/>
      <c r="G24" s="110">
        <f>'TAR2013 Tarieven TD'!G22</f>
        <v>0</v>
      </c>
      <c r="H24" s="110">
        <f>'TAR2013 Tarieven TD'!H22</f>
        <v>0</v>
      </c>
      <c r="I24" s="110">
        <f>'TAR2013 Tarieven TD'!I22</f>
        <v>24.564499999999999</v>
      </c>
      <c r="J24" s="110">
        <f>'TAR2013 Tarieven TD'!J22</f>
        <v>26</v>
      </c>
      <c r="K24" s="110">
        <f>'TAR2013 Tarieven TD'!K22</f>
        <v>0</v>
      </c>
      <c r="L24" s="110">
        <f>'TAR2013 Tarieven TD'!L22</f>
        <v>0</v>
      </c>
      <c r="M24" s="110">
        <f>'TAR2013 Tarieven TD'!M22</f>
        <v>30.387999999999998</v>
      </c>
      <c r="N24" s="110">
        <f>'TAR2013 Tarieven TD'!N22</f>
        <v>31.06</v>
      </c>
      <c r="O24" s="110">
        <f>'TAR2013 Tarieven TD'!O22</f>
        <v>0</v>
      </c>
    </row>
    <row r="25" spans="2:15">
      <c r="B25" s="105"/>
      <c r="F25" s="50"/>
      <c r="H25" s="90"/>
    </row>
    <row r="26" spans="2:15">
      <c r="B26" s="88" t="s">
        <v>206</v>
      </c>
      <c r="F26" s="50"/>
      <c r="H26" s="90"/>
    </row>
    <row r="27" spans="2:15">
      <c r="B27" s="89" t="s">
        <v>201</v>
      </c>
      <c r="D27" s="51" t="s">
        <v>186</v>
      </c>
      <c r="F27" s="109"/>
      <c r="G27" s="29"/>
      <c r="H27" s="110">
        <f>'TAR2013 Tarieven TD'!H25</f>
        <v>578.52</v>
      </c>
      <c r="I27" s="29"/>
      <c r="J27" s="110">
        <f>'TAR2013 Tarieven TD'!J25</f>
        <v>1044</v>
      </c>
      <c r="K27" s="29"/>
      <c r="L27" s="29"/>
      <c r="M27" s="29"/>
      <c r="N27" s="29"/>
      <c r="O27" s="110">
        <f>'TAR2013 Tarieven TD'!O25</f>
        <v>830</v>
      </c>
    </row>
    <row r="28" spans="2:15">
      <c r="B28" s="90" t="s">
        <v>202</v>
      </c>
      <c r="D28" s="51" t="s">
        <v>186</v>
      </c>
      <c r="F28" s="109"/>
      <c r="G28" s="29"/>
      <c r="H28" s="110">
        <f>'TAR2013 Tarieven TD'!H26</f>
        <v>24.72</v>
      </c>
      <c r="I28" s="29"/>
      <c r="J28" s="110">
        <f>'TAR2013 Tarieven TD'!J26</f>
        <v>14</v>
      </c>
      <c r="K28" s="29"/>
      <c r="L28" s="29"/>
      <c r="M28" s="29"/>
      <c r="N28" s="29"/>
      <c r="O28" s="110">
        <f>'TAR2013 Tarieven TD'!O26</f>
        <v>9.9030000000000005</v>
      </c>
    </row>
    <row r="29" spans="2:15">
      <c r="B29" s="22"/>
      <c r="F29" s="50"/>
      <c r="H29" s="90"/>
    </row>
    <row r="30" spans="2:15">
      <c r="B30" s="22"/>
      <c r="F30" s="50"/>
      <c r="H30" s="90"/>
    </row>
    <row r="31" spans="2:15">
      <c r="F31" s="28"/>
    </row>
    <row r="32" spans="2:15">
      <c r="B32" s="22" t="s">
        <v>208</v>
      </c>
      <c r="F32" s="50"/>
      <c r="H32" s="90"/>
    </row>
    <row r="33" spans="2:15">
      <c r="F33" s="50"/>
    </row>
    <row r="34" spans="2:15">
      <c r="B34" s="3" t="s">
        <v>306</v>
      </c>
      <c r="F34" s="50"/>
    </row>
    <row r="35" spans="2:15">
      <c r="B35" s="3"/>
      <c r="F35" s="50"/>
    </row>
    <row r="36" spans="2:15">
      <c r="B36" s="108" t="s">
        <v>284</v>
      </c>
      <c r="F36" s="50"/>
    </row>
    <row r="37" spans="2:15">
      <c r="B37" s="23" t="s">
        <v>285</v>
      </c>
      <c r="D37" s="51" t="s">
        <v>186</v>
      </c>
      <c r="F37" s="109"/>
      <c r="G37" s="110">
        <f>'TAR2013 Tarieven AD'!G217</f>
        <v>16.68</v>
      </c>
      <c r="H37" s="110">
        <f>'TAR2013 Tarieven AD'!H217</f>
        <v>17.28</v>
      </c>
      <c r="I37" s="110">
        <f>'TAR2013 Tarieven AD'!I217</f>
        <v>17.82</v>
      </c>
      <c r="J37" s="110">
        <f>'TAR2013 Tarieven AD'!J217</f>
        <v>17.5</v>
      </c>
      <c r="K37" s="110">
        <f>'TAR2013 Tarieven AD'!K217</f>
        <v>16.920000000000002</v>
      </c>
      <c r="L37" s="110">
        <f>'TAR2013 Tarieven AD'!L217</f>
        <v>18.3</v>
      </c>
      <c r="M37" s="110">
        <f>'TAR2013 Tarieven AD'!M217</f>
        <v>15.43</v>
      </c>
      <c r="N37" s="110">
        <f>'TAR2013 Tarieven AD'!N217</f>
        <v>11.99</v>
      </c>
      <c r="O37" s="110">
        <f>'TAR2013 Tarieven AD'!O217</f>
        <v>0</v>
      </c>
    </row>
    <row r="38" spans="2:15">
      <c r="B38" s="23" t="s">
        <v>286</v>
      </c>
      <c r="D38" s="51" t="s">
        <v>186</v>
      </c>
      <c r="F38" s="109"/>
      <c r="G38" s="110">
        <f>'TAR2013 Tarieven AD'!G218</f>
        <v>38.5</v>
      </c>
      <c r="H38" s="110">
        <f>'TAR2013 Tarieven AD'!H218</f>
        <v>34.44</v>
      </c>
      <c r="I38" s="110">
        <f>'TAR2013 Tarieven AD'!I218</f>
        <v>38.99</v>
      </c>
      <c r="J38" s="110">
        <f>'TAR2013 Tarieven AD'!J218</f>
        <v>30.1</v>
      </c>
      <c r="K38" s="110">
        <f>'TAR2013 Tarieven AD'!K218</f>
        <v>30.36</v>
      </c>
      <c r="L38" s="110">
        <f>'TAR2013 Tarieven AD'!L218</f>
        <v>42.45</v>
      </c>
      <c r="M38" s="110">
        <f>'TAR2013 Tarieven AD'!M218</f>
        <v>30.96</v>
      </c>
      <c r="N38" s="110">
        <f>'TAR2013 Tarieven AD'!N218</f>
        <v>11.99</v>
      </c>
      <c r="O38" s="110">
        <f>'TAR2013 Tarieven AD'!O218</f>
        <v>0</v>
      </c>
    </row>
    <row r="39" spans="2:15">
      <c r="B39" s="61" t="s">
        <v>287</v>
      </c>
      <c r="D39" s="51" t="s">
        <v>186</v>
      </c>
      <c r="F39" s="109"/>
      <c r="G39" s="110">
        <f>'TAR2013 Tarieven AD'!G219</f>
        <v>38.82</v>
      </c>
      <c r="H39" s="110">
        <f>'TAR2013 Tarieven AD'!H219</f>
        <v>37.32</v>
      </c>
      <c r="I39" s="110">
        <f>'TAR2013 Tarieven AD'!I219</f>
        <v>38.99</v>
      </c>
      <c r="J39" s="110">
        <f>'TAR2013 Tarieven AD'!J219</f>
        <v>30.1</v>
      </c>
      <c r="K39" s="110">
        <f>'TAR2013 Tarieven AD'!K219</f>
        <v>32.520000000000003</v>
      </c>
      <c r="L39" s="110">
        <f>'TAR2013 Tarieven AD'!L219</f>
        <v>42.45</v>
      </c>
      <c r="M39" s="110">
        <f>'TAR2013 Tarieven AD'!M219</f>
        <v>30.96</v>
      </c>
      <c r="N39" s="110">
        <f>'TAR2013 Tarieven AD'!N219</f>
        <v>11.99</v>
      </c>
      <c r="O39" s="110">
        <f>'TAR2013 Tarieven AD'!O219</f>
        <v>0</v>
      </c>
    </row>
    <row r="40" spans="2:15">
      <c r="B40" s="61" t="s">
        <v>288</v>
      </c>
      <c r="D40" s="51" t="s">
        <v>186</v>
      </c>
      <c r="F40" s="109"/>
      <c r="G40" s="110">
        <f>'TAR2013 Tarieven AD'!G220</f>
        <v>51.11</v>
      </c>
      <c r="H40" s="110">
        <f>'TAR2013 Tarieven AD'!H220</f>
        <v>61.8</v>
      </c>
      <c r="I40" s="110">
        <f>'TAR2013 Tarieven AD'!I220</f>
        <v>55.45</v>
      </c>
      <c r="J40" s="110">
        <f>'TAR2013 Tarieven AD'!J220</f>
        <v>37.700000000000003</v>
      </c>
      <c r="K40" s="110">
        <f>'TAR2013 Tarieven AD'!K220</f>
        <v>55.56</v>
      </c>
      <c r="L40" s="110">
        <f>'TAR2013 Tarieven AD'!L220</f>
        <v>58</v>
      </c>
      <c r="M40" s="110">
        <f>'TAR2013 Tarieven AD'!M220</f>
        <v>48.75</v>
      </c>
      <c r="N40" s="110">
        <f>'TAR2013 Tarieven AD'!N220</f>
        <v>11.99</v>
      </c>
      <c r="O40" s="110">
        <f>'TAR2013 Tarieven AD'!O220</f>
        <v>0</v>
      </c>
    </row>
    <row r="41" spans="2:15">
      <c r="B41" s="23"/>
      <c r="F41" s="109"/>
    </row>
    <row r="42" spans="2:15">
      <c r="B42" s="108" t="s">
        <v>289</v>
      </c>
      <c r="F42" s="109"/>
    </row>
    <row r="43" spans="2:15">
      <c r="B43" s="23" t="s">
        <v>285</v>
      </c>
      <c r="D43" s="51" t="s">
        <v>186</v>
      </c>
      <c r="F43" s="109"/>
      <c r="G43" s="110">
        <f>'TAR2013 Tarieven AD'!G223</f>
        <v>0</v>
      </c>
      <c r="H43" s="110">
        <f>'TAR2013 Tarieven AD'!H223</f>
        <v>0</v>
      </c>
      <c r="I43" s="110">
        <f>'TAR2013 Tarieven AD'!I223</f>
        <v>17.82</v>
      </c>
      <c r="J43" s="110">
        <f>'TAR2013 Tarieven AD'!J223</f>
        <v>0</v>
      </c>
      <c r="K43" s="110">
        <f>'TAR2013 Tarieven AD'!K223</f>
        <v>16.920000000000002</v>
      </c>
      <c r="L43" s="110">
        <f>'TAR2013 Tarieven AD'!L223</f>
        <v>0</v>
      </c>
      <c r="M43" s="110">
        <f>'TAR2013 Tarieven AD'!M223</f>
        <v>0</v>
      </c>
      <c r="N43" s="110">
        <f>'TAR2013 Tarieven AD'!N223</f>
        <v>0</v>
      </c>
      <c r="O43" s="110">
        <f>'TAR2013 Tarieven AD'!O223</f>
        <v>0</v>
      </c>
    </row>
    <row r="44" spans="2:15">
      <c r="B44" s="23" t="s">
        <v>286</v>
      </c>
      <c r="D44" s="51" t="s">
        <v>186</v>
      </c>
      <c r="F44" s="109"/>
      <c r="G44" s="110">
        <f>'TAR2013 Tarieven AD'!G224</f>
        <v>0</v>
      </c>
      <c r="H44" s="110">
        <f>'TAR2013 Tarieven AD'!H224</f>
        <v>0</v>
      </c>
      <c r="I44" s="110">
        <f>'TAR2013 Tarieven AD'!I224</f>
        <v>38.99</v>
      </c>
      <c r="J44" s="110">
        <f>'TAR2013 Tarieven AD'!J224</f>
        <v>0</v>
      </c>
      <c r="K44" s="110">
        <f>'TAR2013 Tarieven AD'!K224</f>
        <v>30.36</v>
      </c>
      <c r="L44" s="110">
        <f>'TAR2013 Tarieven AD'!L224</f>
        <v>0</v>
      </c>
      <c r="M44" s="110">
        <f>'TAR2013 Tarieven AD'!M224</f>
        <v>0</v>
      </c>
      <c r="N44" s="110">
        <f>'TAR2013 Tarieven AD'!N224</f>
        <v>0</v>
      </c>
      <c r="O44" s="110">
        <f>'TAR2013 Tarieven AD'!O224</f>
        <v>0</v>
      </c>
    </row>
    <row r="45" spans="2:15">
      <c r="B45" s="61" t="s">
        <v>287</v>
      </c>
      <c r="D45" s="51" t="s">
        <v>186</v>
      </c>
      <c r="F45" s="109"/>
      <c r="G45" s="110">
        <f>'TAR2013 Tarieven AD'!G225</f>
        <v>0</v>
      </c>
      <c r="H45" s="110">
        <f>'TAR2013 Tarieven AD'!H225</f>
        <v>0</v>
      </c>
      <c r="I45" s="110">
        <f>'TAR2013 Tarieven AD'!I225</f>
        <v>38.99</v>
      </c>
      <c r="J45" s="110">
        <f>'TAR2013 Tarieven AD'!J225</f>
        <v>0</v>
      </c>
      <c r="K45" s="110">
        <f>'TAR2013 Tarieven AD'!K225</f>
        <v>32.520000000000003</v>
      </c>
      <c r="L45" s="110">
        <f>'TAR2013 Tarieven AD'!L225</f>
        <v>42</v>
      </c>
      <c r="M45" s="110">
        <f>'TAR2013 Tarieven AD'!M225</f>
        <v>0</v>
      </c>
      <c r="N45" s="110">
        <f>'TAR2013 Tarieven AD'!N225</f>
        <v>0</v>
      </c>
      <c r="O45" s="110">
        <f>'TAR2013 Tarieven AD'!O225</f>
        <v>0</v>
      </c>
    </row>
    <row r="46" spans="2:15">
      <c r="B46" s="61" t="s">
        <v>288</v>
      </c>
      <c r="D46" s="51" t="s">
        <v>186</v>
      </c>
      <c r="F46" s="109"/>
      <c r="G46" s="110">
        <f>'TAR2013 Tarieven AD'!G226</f>
        <v>0</v>
      </c>
      <c r="H46" s="110">
        <f>'TAR2013 Tarieven AD'!H226</f>
        <v>0</v>
      </c>
      <c r="I46" s="110">
        <f>'TAR2013 Tarieven AD'!I226</f>
        <v>55.45</v>
      </c>
      <c r="J46" s="110">
        <f>'TAR2013 Tarieven AD'!J226</f>
        <v>0</v>
      </c>
      <c r="K46" s="110">
        <f>'TAR2013 Tarieven AD'!K226</f>
        <v>55.56</v>
      </c>
      <c r="L46" s="110">
        <f>'TAR2013 Tarieven AD'!L226</f>
        <v>0</v>
      </c>
      <c r="M46" s="110">
        <f>'TAR2013 Tarieven AD'!M226</f>
        <v>0</v>
      </c>
      <c r="N46" s="110">
        <f>'TAR2013 Tarieven AD'!N226</f>
        <v>0</v>
      </c>
      <c r="O46" s="110">
        <f>'TAR2013 Tarieven AD'!O226</f>
        <v>0</v>
      </c>
    </row>
    <row r="47" spans="2:15">
      <c r="B47" s="23"/>
      <c r="F47" s="109"/>
    </row>
    <row r="48" spans="2:15">
      <c r="B48" s="108" t="s">
        <v>290</v>
      </c>
      <c r="F48" s="109"/>
    </row>
    <row r="49" spans="2:15">
      <c r="B49" s="23" t="s">
        <v>291</v>
      </c>
      <c r="D49" s="51" t="s">
        <v>186</v>
      </c>
      <c r="F49" s="109"/>
      <c r="G49" s="110">
        <f>'TAR2013 Tarieven AD'!G229</f>
        <v>0</v>
      </c>
      <c r="H49" s="110">
        <f>'TAR2013 Tarieven AD'!H229</f>
        <v>0</v>
      </c>
      <c r="I49" s="110">
        <f>'TAR2013 Tarieven AD'!I229</f>
        <v>0</v>
      </c>
      <c r="J49" s="110">
        <f>'TAR2013 Tarieven AD'!J229</f>
        <v>0</v>
      </c>
      <c r="K49" s="110">
        <f>'TAR2013 Tarieven AD'!K229</f>
        <v>0</v>
      </c>
      <c r="L49" s="110">
        <f>'TAR2013 Tarieven AD'!L229</f>
        <v>0</v>
      </c>
      <c r="M49" s="110">
        <f>'TAR2013 Tarieven AD'!M229</f>
        <v>0</v>
      </c>
      <c r="N49" s="110">
        <f>'TAR2013 Tarieven AD'!N229</f>
        <v>0</v>
      </c>
      <c r="O49" s="110">
        <f>'TAR2013 Tarieven AD'!O229</f>
        <v>0</v>
      </c>
    </row>
    <row r="50" spans="2:15">
      <c r="B50" s="3"/>
      <c r="F50" s="109"/>
    </row>
    <row r="51" spans="2:15">
      <c r="B51" s="3"/>
      <c r="F51" s="109"/>
    </row>
    <row r="52" spans="2:15">
      <c r="B52" s="3" t="s">
        <v>305</v>
      </c>
      <c r="F52" s="109"/>
    </row>
    <row r="53" spans="2:15">
      <c r="B53" s="3"/>
      <c r="F53" s="109"/>
    </row>
    <row r="54" spans="2:15">
      <c r="B54" s="108" t="s">
        <v>284</v>
      </c>
      <c r="F54" s="109"/>
    </row>
    <row r="55" spans="2:15">
      <c r="B55" s="61" t="s">
        <v>292</v>
      </c>
      <c r="D55" s="51" t="s">
        <v>186</v>
      </c>
      <c r="F55" s="109"/>
      <c r="G55" s="110">
        <f>'TAR2013 Tarieven AD'!G235</f>
        <v>56.95</v>
      </c>
      <c r="H55" s="110">
        <f>'TAR2013 Tarieven AD'!H235</f>
        <v>39.840000000000003</v>
      </c>
      <c r="I55" s="110">
        <f>'TAR2013 Tarieven AD'!I235</f>
        <v>66.11</v>
      </c>
      <c r="J55" s="110">
        <f>'TAR2013 Tarieven AD'!J235</f>
        <v>45.8</v>
      </c>
      <c r="K55" s="110">
        <f>'TAR2013 Tarieven AD'!K235</f>
        <v>58.32</v>
      </c>
      <c r="L55" s="110">
        <f>'TAR2013 Tarieven AD'!L235</f>
        <v>42</v>
      </c>
      <c r="M55" s="110">
        <f>'TAR2013 Tarieven AD'!M235</f>
        <v>22.55</v>
      </c>
      <c r="N55" s="110">
        <f>'TAR2013 Tarieven AD'!N235</f>
        <v>114.81</v>
      </c>
      <c r="O55" s="110">
        <f>'TAR2013 Tarieven AD'!O235</f>
        <v>0</v>
      </c>
    </row>
    <row r="56" spans="2:15">
      <c r="B56" s="61" t="s">
        <v>293</v>
      </c>
      <c r="D56" s="51" t="s">
        <v>186</v>
      </c>
      <c r="F56" s="109"/>
      <c r="G56" s="110">
        <f>'TAR2013 Tarieven AD'!G236</f>
        <v>64.91</v>
      </c>
      <c r="H56" s="110">
        <f>'TAR2013 Tarieven AD'!H236</f>
        <v>49.32</v>
      </c>
      <c r="I56" s="110">
        <f>'TAR2013 Tarieven AD'!I236</f>
        <v>103.48</v>
      </c>
      <c r="J56" s="110">
        <f>'TAR2013 Tarieven AD'!J236</f>
        <v>45.8</v>
      </c>
      <c r="K56" s="110">
        <f>'TAR2013 Tarieven AD'!K236</f>
        <v>96.96</v>
      </c>
      <c r="L56" s="110">
        <f>'TAR2013 Tarieven AD'!L236</f>
        <v>42</v>
      </c>
      <c r="M56" s="110">
        <f>'TAR2013 Tarieven AD'!M236</f>
        <v>22.55</v>
      </c>
      <c r="N56" s="110">
        <f>'TAR2013 Tarieven AD'!N236</f>
        <v>114.81</v>
      </c>
      <c r="O56" s="110">
        <f>'TAR2013 Tarieven AD'!O236</f>
        <v>0</v>
      </c>
    </row>
    <row r="57" spans="2:15">
      <c r="B57" s="61" t="s">
        <v>294</v>
      </c>
      <c r="D57" s="51" t="s">
        <v>186</v>
      </c>
      <c r="F57" s="109"/>
      <c r="G57" s="110">
        <f>'TAR2013 Tarieven AD'!G237</f>
        <v>90.81</v>
      </c>
      <c r="H57" s="110">
        <f>'TAR2013 Tarieven AD'!H237</f>
        <v>75.36</v>
      </c>
      <c r="I57" s="110">
        <f>'TAR2013 Tarieven AD'!I237</f>
        <v>121.22</v>
      </c>
      <c r="J57" s="110">
        <f>'TAR2013 Tarieven AD'!J237</f>
        <v>100.7</v>
      </c>
      <c r="K57" s="110">
        <f>'TAR2013 Tarieven AD'!K237</f>
        <v>177.72</v>
      </c>
      <c r="L57" s="110">
        <f>'TAR2013 Tarieven AD'!L237</f>
        <v>71</v>
      </c>
      <c r="M57" s="110">
        <f>'TAR2013 Tarieven AD'!M237</f>
        <v>22.55</v>
      </c>
      <c r="N57" s="110">
        <f>'TAR2013 Tarieven AD'!N237</f>
        <v>114.81</v>
      </c>
      <c r="O57" s="110">
        <f>'TAR2013 Tarieven AD'!O237</f>
        <v>0</v>
      </c>
    </row>
    <row r="58" spans="2:15">
      <c r="B58" s="61" t="s">
        <v>295</v>
      </c>
      <c r="D58" s="51" t="s">
        <v>186</v>
      </c>
      <c r="F58" s="109"/>
      <c r="G58" s="110">
        <f>'TAR2013 Tarieven AD'!G238</f>
        <v>90.81</v>
      </c>
      <c r="H58" s="110">
        <f>'TAR2013 Tarieven AD'!H238</f>
        <v>114.36</v>
      </c>
      <c r="I58" s="110">
        <f>'TAR2013 Tarieven AD'!I238</f>
        <v>171.08</v>
      </c>
      <c r="J58" s="110">
        <f>'TAR2013 Tarieven AD'!J238</f>
        <v>100.7</v>
      </c>
      <c r="K58" s="110">
        <f>'TAR2013 Tarieven AD'!K238</f>
        <v>231</v>
      </c>
      <c r="L58" s="110">
        <f>'TAR2013 Tarieven AD'!L238</f>
        <v>75</v>
      </c>
      <c r="M58" s="110">
        <f>'TAR2013 Tarieven AD'!M238</f>
        <v>37.200000000000003</v>
      </c>
      <c r="N58" s="110">
        <f>'TAR2013 Tarieven AD'!N238</f>
        <v>114.81</v>
      </c>
      <c r="O58" s="110">
        <f>'TAR2013 Tarieven AD'!O238</f>
        <v>0</v>
      </c>
    </row>
    <row r="59" spans="2:15">
      <c r="B59" s="26" t="s">
        <v>296</v>
      </c>
      <c r="D59" s="51" t="s">
        <v>186</v>
      </c>
      <c r="F59" s="109"/>
      <c r="G59" s="110">
        <f>'TAR2013 Tarieven AD'!G239</f>
        <v>99.95</v>
      </c>
      <c r="H59" s="110">
        <f>'TAR2013 Tarieven AD'!H239</f>
        <v>156.24</v>
      </c>
      <c r="I59" s="110">
        <f>'TAR2013 Tarieven AD'!I239</f>
        <v>220.72</v>
      </c>
      <c r="J59" s="110">
        <f>'TAR2013 Tarieven AD'!J239</f>
        <v>100.7</v>
      </c>
      <c r="K59" s="110">
        <f>'TAR2013 Tarieven AD'!K239</f>
        <v>254.88</v>
      </c>
      <c r="L59" s="110">
        <f>'TAR2013 Tarieven AD'!L239</f>
        <v>86</v>
      </c>
      <c r="M59" s="110">
        <f>'TAR2013 Tarieven AD'!M239</f>
        <v>37.200000000000003</v>
      </c>
      <c r="N59" s="110">
        <f>'TAR2013 Tarieven AD'!N239</f>
        <v>114.81</v>
      </c>
      <c r="O59" s="110">
        <f>'TAR2013 Tarieven AD'!O239</f>
        <v>0</v>
      </c>
    </row>
    <row r="60" spans="2:15">
      <c r="B60" s="61" t="s">
        <v>297</v>
      </c>
      <c r="D60" s="51" t="s">
        <v>186</v>
      </c>
      <c r="F60" s="109"/>
      <c r="G60" s="110">
        <f>'TAR2013 Tarieven AD'!G240</f>
        <v>110</v>
      </c>
      <c r="H60" s="110">
        <f>'TAR2013 Tarieven AD'!H240</f>
        <v>182.88</v>
      </c>
      <c r="I60" s="110">
        <f>'TAR2013 Tarieven AD'!I240</f>
        <v>241.16</v>
      </c>
      <c r="J60" s="110">
        <f>'TAR2013 Tarieven AD'!J240</f>
        <v>100.7</v>
      </c>
      <c r="K60" s="110">
        <f>'TAR2013 Tarieven AD'!K240</f>
        <v>292.32</v>
      </c>
      <c r="L60" s="110">
        <f>'TAR2013 Tarieven AD'!L240</f>
        <v>92</v>
      </c>
      <c r="M60" s="110">
        <f>'TAR2013 Tarieven AD'!M240</f>
        <v>37.200000000000003</v>
      </c>
      <c r="N60" s="110">
        <f>'TAR2013 Tarieven AD'!N240</f>
        <v>114.81</v>
      </c>
      <c r="O60" s="110">
        <f>'TAR2013 Tarieven AD'!O240</f>
        <v>0</v>
      </c>
    </row>
    <row r="61" spans="2:15">
      <c r="B61" s="61" t="s">
        <v>298</v>
      </c>
      <c r="D61" s="51" t="s">
        <v>186</v>
      </c>
      <c r="F61" s="109"/>
      <c r="G61" s="110">
        <f>'TAR2013 Tarieven AD'!G241</f>
        <v>121.02</v>
      </c>
      <c r="H61" s="110">
        <f>'TAR2013 Tarieven AD'!H241</f>
        <v>197.64</v>
      </c>
      <c r="I61" s="110">
        <f>'TAR2013 Tarieven AD'!I241</f>
        <v>265.39999999999998</v>
      </c>
      <c r="J61" s="110">
        <f>'TAR2013 Tarieven AD'!J241</f>
        <v>100.7</v>
      </c>
      <c r="K61" s="110">
        <f>'TAR2013 Tarieven AD'!K241</f>
        <v>321</v>
      </c>
      <c r="L61" s="110">
        <f>'TAR2013 Tarieven AD'!L241</f>
        <v>92</v>
      </c>
      <c r="M61" s="110">
        <f>'TAR2013 Tarieven AD'!M241</f>
        <v>44.88</v>
      </c>
      <c r="N61" s="110">
        <f>'TAR2013 Tarieven AD'!N241</f>
        <v>114.81</v>
      </c>
      <c r="O61" s="110">
        <f>'TAR2013 Tarieven AD'!O241</f>
        <v>0</v>
      </c>
    </row>
    <row r="62" spans="2:15">
      <c r="B62" s="61" t="s">
        <v>299</v>
      </c>
      <c r="D62" s="51" t="s">
        <v>186</v>
      </c>
      <c r="F62" s="109"/>
      <c r="G62" s="110">
        <f>'TAR2013 Tarieven AD'!G242</f>
        <v>132.94999999999999</v>
      </c>
      <c r="H62" s="110">
        <f>'TAR2013 Tarieven AD'!H242</f>
        <v>278.16000000000003</v>
      </c>
      <c r="I62" s="110">
        <f>'TAR2013 Tarieven AD'!I242</f>
        <v>291.68</v>
      </c>
      <c r="J62" s="110">
        <f>'TAR2013 Tarieven AD'!J242</f>
        <v>100.7</v>
      </c>
      <c r="K62" s="110">
        <f>'TAR2013 Tarieven AD'!K242</f>
        <v>354</v>
      </c>
      <c r="L62" s="110">
        <f>'TAR2013 Tarieven AD'!L242</f>
        <v>0</v>
      </c>
      <c r="M62" s="110">
        <f>'TAR2013 Tarieven AD'!M242</f>
        <v>44.88</v>
      </c>
      <c r="N62" s="110">
        <f>'TAR2013 Tarieven AD'!N242</f>
        <v>114.81</v>
      </c>
      <c r="O62" s="110">
        <f>'TAR2013 Tarieven AD'!O242</f>
        <v>0</v>
      </c>
    </row>
    <row r="63" spans="2:15">
      <c r="B63" s="23" t="s">
        <v>300</v>
      </c>
      <c r="D63" s="51" t="s">
        <v>186</v>
      </c>
      <c r="F63" s="109"/>
      <c r="G63" s="110">
        <f>'TAR2013 Tarieven AD'!G243</f>
        <v>0</v>
      </c>
      <c r="H63" s="110">
        <f>'TAR2013 Tarieven AD'!H243</f>
        <v>463.44</v>
      </c>
      <c r="I63" s="110">
        <f>'TAR2013 Tarieven AD'!I243</f>
        <v>321.31</v>
      </c>
      <c r="J63" s="110">
        <f>'TAR2013 Tarieven AD'!J243</f>
        <v>100.7</v>
      </c>
      <c r="K63" s="110">
        <f>'TAR2013 Tarieven AD'!K243</f>
        <v>390</v>
      </c>
      <c r="L63" s="110">
        <f>'TAR2013 Tarieven AD'!L243</f>
        <v>0</v>
      </c>
      <c r="M63" s="110">
        <f>'TAR2013 Tarieven AD'!M243</f>
        <v>44.88</v>
      </c>
      <c r="N63" s="110">
        <f>'TAR2013 Tarieven AD'!N243</f>
        <v>114.81</v>
      </c>
      <c r="O63" s="110">
        <f>'TAR2013 Tarieven AD'!O243</f>
        <v>0</v>
      </c>
    </row>
    <row r="64" spans="2:15">
      <c r="B64" s="23" t="s">
        <v>301</v>
      </c>
      <c r="D64" s="51" t="s">
        <v>186</v>
      </c>
      <c r="F64" s="109"/>
      <c r="G64" s="110">
        <f>'TAR2013 Tarieven AD'!G244</f>
        <v>0</v>
      </c>
      <c r="H64" s="110">
        <f>'TAR2013 Tarieven AD'!H244</f>
        <v>0</v>
      </c>
      <c r="I64" s="110">
        <f>'TAR2013 Tarieven AD'!I244</f>
        <v>353.03</v>
      </c>
      <c r="J64" s="110">
        <f>'TAR2013 Tarieven AD'!J244</f>
        <v>0</v>
      </c>
      <c r="K64" s="110">
        <f>'TAR2013 Tarieven AD'!K244</f>
        <v>429</v>
      </c>
      <c r="L64" s="110">
        <f>'TAR2013 Tarieven AD'!L244</f>
        <v>0</v>
      </c>
      <c r="M64" s="110">
        <f>'TAR2013 Tarieven AD'!M244</f>
        <v>44.88</v>
      </c>
      <c r="N64" s="110">
        <f>'TAR2013 Tarieven AD'!N244</f>
        <v>114.81</v>
      </c>
      <c r="O64" s="110">
        <f>'TAR2013 Tarieven AD'!O244</f>
        <v>0</v>
      </c>
    </row>
    <row r="65" spans="2:15">
      <c r="B65" s="23"/>
      <c r="D65" s="51"/>
      <c r="F65" s="109"/>
    </row>
    <row r="66" spans="2:15">
      <c r="B66" s="108" t="s">
        <v>289</v>
      </c>
      <c r="D66" s="51"/>
      <c r="F66" s="109"/>
    </row>
    <row r="67" spans="2:15">
      <c r="B67" s="61" t="s">
        <v>292</v>
      </c>
      <c r="D67" s="51" t="s">
        <v>186</v>
      </c>
      <c r="F67" s="109"/>
      <c r="G67" s="110">
        <f>'TAR2013 Tarieven AD'!G247</f>
        <v>56.95</v>
      </c>
      <c r="H67" s="110">
        <f>'TAR2013 Tarieven AD'!H247</f>
        <v>99.72</v>
      </c>
      <c r="I67" s="110">
        <f>'TAR2013 Tarieven AD'!I247</f>
        <v>66.11</v>
      </c>
      <c r="J67" s="110">
        <f>'TAR2013 Tarieven AD'!J247</f>
        <v>45.8</v>
      </c>
      <c r="K67" s="110">
        <f>'TAR2013 Tarieven AD'!K247</f>
        <v>58.32</v>
      </c>
      <c r="L67" s="110">
        <f>'TAR2013 Tarieven AD'!L247</f>
        <v>118</v>
      </c>
      <c r="M67" s="110">
        <f>'TAR2013 Tarieven AD'!M247</f>
        <v>0</v>
      </c>
      <c r="N67" s="110">
        <f>'TAR2013 Tarieven AD'!N247</f>
        <v>114.81</v>
      </c>
      <c r="O67" s="110">
        <f>'TAR2013 Tarieven AD'!O247</f>
        <v>0</v>
      </c>
    </row>
    <row r="68" spans="2:15">
      <c r="B68" s="61" t="s">
        <v>293</v>
      </c>
      <c r="D68" s="51" t="s">
        <v>186</v>
      </c>
      <c r="F68" s="109"/>
      <c r="G68" s="110">
        <f>'TAR2013 Tarieven AD'!G248</f>
        <v>64.91</v>
      </c>
      <c r="H68" s="110">
        <f>'TAR2013 Tarieven AD'!H248</f>
        <v>123.6</v>
      </c>
      <c r="I68" s="110">
        <f>'TAR2013 Tarieven AD'!I248</f>
        <v>103.48</v>
      </c>
      <c r="J68" s="110">
        <f>'TAR2013 Tarieven AD'!J248</f>
        <v>45.8</v>
      </c>
      <c r="K68" s="110">
        <f>'TAR2013 Tarieven AD'!K248</f>
        <v>96.96</v>
      </c>
      <c r="L68" s="110">
        <f>'TAR2013 Tarieven AD'!L248</f>
        <v>119</v>
      </c>
      <c r="M68" s="110">
        <f>'TAR2013 Tarieven AD'!M248</f>
        <v>0</v>
      </c>
      <c r="N68" s="110">
        <f>'TAR2013 Tarieven AD'!N248</f>
        <v>114.81</v>
      </c>
      <c r="O68" s="110">
        <f>'TAR2013 Tarieven AD'!O248</f>
        <v>0</v>
      </c>
    </row>
    <row r="69" spans="2:15">
      <c r="B69" s="61" t="s">
        <v>294</v>
      </c>
      <c r="D69" s="51" t="s">
        <v>186</v>
      </c>
      <c r="F69" s="109"/>
      <c r="G69" s="110">
        <f>'TAR2013 Tarieven AD'!G249</f>
        <v>90.81</v>
      </c>
      <c r="H69" s="110">
        <f>'TAR2013 Tarieven AD'!H249</f>
        <v>188.64</v>
      </c>
      <c r="I69" s="110">
        <f>'TAR2013 Tarieven AD'!I249</f>
        <v>121.22</v>
      </c>
      <c r="J69" s="110">
        <f>'TAR2013 Tarieven AD'!J249</f>
        <v>100.7</v>
      </c>
      <c r="K69" s="110">
        <f>'TAR2013 Tarieven AD'!K249</f>
        <v>177.72</v>
      </c>
      <c r="L69" s="110">
        <f>'TAR2013 Tarieven AD'!L249</f>
        <v>140</v>
      </c>
      <c r="M69" s="110">
        <f>'TAR2013 Tarieven AD'!M249</f>
        <v>0</v>
      </c>
      <c r="N69" s="110">
        <f>'TAR2013 Tarieven AD'!N249</f>
        <v>114.81</v>
      </c>
      <c r="O69" s="110">
        <f>'TAR2013 Tarieven AD'!O249</f>
        <v>0</v>
      </c>
    </row>
    <row r="70" spans="2:15">
      <c r="B70" s="61" t="s">
        <v>295</v>
      </c>
      <c r="D70" s="51" t="s">
        <v>186</v>
      </c>
      <c r="F70" s="109"/>
      <c r="G70" s="110">
        <f>'TAR2013 Tarieven AD'!G250</f>
        <v>90.81</v>
      </c>
      <c r="H70" s="110">
        <f>'TAR2013 Tarieven AD'!H250</f>
        <v>286.32</v>
      </c>
      <c r="I70" s="110">
        <f>'TAR2013 Tarieven AD'!I250</f>
        <v>171.08</v>
      </c>
      <c r="J70" s="110">
        <f>'TAR2013 Tarieven AD'!J250</f>
        <v>100.7</v>
      </c>
      <c r="K70" s="110">
        <f>'TAR2013 Tarieven AD'!K250</f>
        <v>231</v>
      </c>
      <c r="L70" s="110">
        <f>'TAR2013 Tarieven AD'!L250</f>
        <v>150</v>
      </c>
      <c r="M70" s="110">
        <f>'TAR2013 Tarieven AD'!M250</f>
        <v>0</v>
      </c>
      <c r="N70" s="110">
        <f>'TAR2013 Tarieven AD'!N250</f>
        <v>114.81</v>
      </c>
      <c r="O70" s="110">
        <f>'TAR2013 Tarieven AD'!O250</f>
        <v>0</v>
      </c>
    </row>
    <row r="71" spans="2:15">
      <c r="B71" s="26" t="s">
        <v>296</v>
      </c>
      <c r="D71" s="51" t="s">
        <v>186</v>
      </c>
      <c r="F71" s="109"/>
      <c r="G71" s="110">
        <f>'TAR2013 Tarieven AD'!G251</f>
        <v>99.95</v>
      </c>
      <c r="H71" s="110">
        <f>'TAR2013 Tarieven AD'!H251</f>
        <v>390.84</v>
      </c>
      <c r="I71" s="110">
        <f>'TAR2013 Tarieven AD'!I251</f>
        <v>220.72</v>
      </c>
      <c r="J71" s="110">
        <f>'TAR2013 Tarieven AD'!J251</f>
        <v>100.7</v>
      </c>
      <c r="K71" s="110">
        <f>'TAR2013 Tarieven AD'!K251</f>
        <v>254.88</v>
      </c>
      <c r="L71" s="110">
        <f>'TAR2013 Tarieven AD'!L251</f>
        <v>165</v>
      </c>
      <c r="M71" s="110">
        <f>'TAR2013 Tarieven AD'!M251</f>
        <v>0</v>
      </c>
      <c r="N71" s="110">
        <f>'TAR2013 Tarieven AD'!N251</f>
        <v>114.81</v>
      </c>
      <c r="O71" s="110">
        <f>'TAR2013 Tarieven AD'!O251</f>
        <v>0</v>
      </c>
    </row>
    <row r="72" spans="2:15">
      <c r="B72" s="61" t="s">
        <v>297</v>
      </c>
      <c r="D72" s="51" t="s">
        <v>186</v>
      </c>
      <c r="F72" s="109"/>
      <c r="G72" s="110">
        <f>'TAR2013 Tarieven AD'!G252</f>
        <v>110</v>
      </c>
      <c r="H72" s="110">
        <f>'TAR2013 Tarieven AD'!H252</f>
        <v>457.44</v>
      </c>
      <c r="I72" s="110">
        <f>'TAR2013 Tarieven AD'!I252</f>
        <v>241.16</v>
      </c>
      <c r="J72" s="110">
        <f>'TAR2013 Tarieven AD'!J252</f>
        <v>100.7</v>
      </c>
      <c r="K72" s="110">
        <f>'TAR2013 Tarieven AD'!K252</f>
        <v>292.32</v>
      </c>
      <c r="L72" s="110">
        <f>'TAR2013 Tarieven AD'!L252</f>
        <v>182.5</v>
      </c>
      <c r="M72" s="110">
        <f>'TAR2013 Tarieven AD'!M252</f>
        <v>0</v>
      </c>
      <c r="N72" s="110">
        <f>'TAR2013 Tarieven AD'!N252</f>
        <v>114.81</v>
      </c>
      <c r="O72" s="110">
        <f>'TAR2013 Tarieven AD'!O252</f>
        <v>0</v>
      </c>
    </row>
    <row r="73" spans="2:15">
      <c r="B73" s="61" t="s">
        <v>298</v>
      </c>
      <c r="D73" s="51" t="s">
        <v>186</v>
      </c>
      <c r="F73" s="109"/>
      <c r="G73" s="110">
        <f>'TAR2013 Tarieven AD'!G253</f>
        <v>121.02</v>
      </c>
      <c r="H73" s="110">
        <f>'TAR2013 Tarieven AD'!H253</f>
        <v>494.16</v>
      </c>
      <c r="I73" s="110">
        <f>'TAR2013 Tarieven AD'!I253</f>
        <v>265.39999999999998</v>
      </c>
      <c r="J73" s="110">
        <f>'TAR2013 Tarieven AD'!J253</f>
        <v>100.7</v>
      </c>
      <c r="K73" s="110">
        <f>'TAR2013 Tarieven AD'!K253</f>
        <v>321</v>
      </c>
      <c r="L73" s="110">
        <f>'TAR2013 Tarieven AD'!L253</f>
        <v>198</v>
      </c>
      <c r="M73" s="110">
        <f>'TAR2013 Tarieven AD'!M253</f>
        <v>0</v>
      </c>
      <c r="N73" s="110">
        <f>'TAR2013 Tarieven AD'!N253</f>
        <v>114.81</v>
      </c>
      <c r="O73" s="110">
        <f>'TAR2013 Tarieven AD'!O253</f>
        <v>0</v>
      </c>
    </row>
    <row r="74" spans="2:15">
      <c r="B74" s="61" t="s">
        <v>299</v>
      </c>
      <c r="D74" s="51" t="s">
        <v>186</v>
      </c>
      <c r="F74" s="109"/>
      <c r="G74" s="110">
        <f>'TAR2013 Tarieven AD'!G254</f>
        <v>132.94999999999999</v>
      </c>
      <c r="H74" s="110">
        <f>'TAR2013 Tarieven AD'!H254</f>
        <v>695.76</v>
      </c>
      <c r="I74" s="110">
        <f>'TAR2013 Tarieven AD'!I254</f>
        <v>291.68</v>
      </c>
      <c r="J74" s="110">
        <f>'TAR2013 Tarieven AD'!J254</f>
        <v>100.7</v>
      </c>
      <c r="K74" s="110">
        <f>'TAR2013 Tarieven AD'!K254</f>
        <v>354</v>
      </c>
      <c r="L74" s="110">
        <f>'TAR2013 Tarieven AD'!L254</f>
        <v>198</v>
      </c>
      <c r="M74" s="110">
        <f>'TAR2013 Tarieven AD'!M254</f>
        <v>0</v>
      </c>
      <c r="N74" s="110">
        <f>'TAR2013 Tarieven AD'!N254</f>
        <v>114.81</v>
      </c>
      <c r="O74" s="110">
        <f>'TAR2013 Tarieven AD'!O254</f>
        <v>0</v>
      </c>
    </row>
    <row r="75" spans="2:15">
      <c r="B75" s="23" t="s">
        <v>300</v>
      </c>
      <c r="D75" s="51" t="s">
        <v>186</v>
      </c>
      <c r="F75" s="109"/>
      <c r="G75" s="110">
        <f>'TAR2013 Tarieven AD'!G255</f>
        <v>0</v>
      </c>
      <c r="H75" s="110">
        <f>'TAR2013 Tarieven AD'!H255</f>
        <v>1158.8399999999999</v>
      </c>
      <c r="I75" s="110">
        <f>'TAR2013 Tarieven AD'!I255</f>
        <v>321.31</v>
      </c>
      <c r="J75" s="110">
        <f>'TAR2013 Tarieven AD'!J255</f>
        <v>100.7</v>
      </c>
      <c r="K75" s="110">
        <f>'TAR2013 Tarieven AD'!K255</f>
        <v>390</v>
      </c>
      <c r="L75" s="110">
        <f>'TAR2013 Tarieven AD'!L255</f>
        <v>198</v>
      </c>
      <c r="M75" s="110">
        <f>'TAR2013 Tarieven AD'!M255</f>
        <v>0</v>
      </c>
      <c r="N75" s="110">
        <f>'TAR2013 Tarieven AD'!N255</f>
        <v>114.81</v>
      </c>
      <c r="O75" s="110">
        <f>'TAR2013 Tarieven AD'!O255</f>
        <v>0</v>
      </c>
    </row>
    <row r="76" spans="2:15">
      <c r="B76" s="23" t="s">
        <v>301</v>
      </c>
      <c r="D76" s="51" t="s">
        <v>186</v>
      </c>
      <c r="F76" s="109"/>
      <c r="G76" s="110">
        <f>'TAR2013 Tarieven AD'!G256</f>
        <v>0</v>
      </c>
      <c r="H76" s="110">
        <f>'TAR2013 Tarieven AD'!H256</f>
        <v>2318.04</v>
      </c>
      <c r="I76" s="110">
        <f>'TAR2013 Tarieven AD'!I256</f>
        <v>353.03</v>
      </c>
      <c r="J76" s="110">
        <f>'TAR2013 Tarieven AD'!J256</f>
        <v>100.7</v>
      </c>
      <c r="K76" s="110">
        <f>'TAR2013 Tarieven AD'!K256</f>
        <v>429</v>
      </c>
      <c r="L76" s="110">
        <f>'TAR2013 Tarieven AD'!L256</f>
        <v>198</v>
      </c>
      <c r="M76" s="110">
        <f>'TAR2013 Tarieven AD'!M256</f>
        <v>0</v>
      </c>
      <c r="N76" s="110">
        <f>'TAR2013 Tarieven AD'!N256</f>
        <v>114.81</v>
      </c>
      <c r="O76" s="110">
        <f>'TAR2013 Tarieven AD'!O256</f>
        <v>0</v>
      </c>
    </row>
    <row r="77" spans="2:15">
      <c r="B77" s="23"/>
      <c r="D77" s="51"/>
      <c r="F77" s="109"/>
    </row>
    <row r="78" spans="2:15">
      <c r="B78" s="108" t="s">
        <v>290</v>
      </c>
      <c r="D78" s="51"/>
      <c r="F78" s="109"/>
    </row>
    <row r="79" spans="2:15">
      <c r="B79" s="23" t="s">
        <v>302</v>
      </c>
      <c r="D79" s="51" t="s">
        <v>186</v>
      </c>
      <c r="F79" s="109"/>
      <c r="G79" s="110">
        <f>'TAR2013 Tarieven AD'!G259</f>
        <v>0</v>
      </c>
      <c r="H79" s="110">
        <f>'TAR2013 Tarieven AD'!H259</f>
        <v>2415</v>
      </c>
      <c r="I79" s="110">
        <f>'TAR2013 Tarieven AD'!I259</f>
        <v>0</v>
      </c>
      <c r="J79" s="110">
        <f>'TAR2013 Tarieven AD'!J259</f>
        <v>121219.2</v>
      </c>
      <c r="K79" s="110">
        <f>'TAR2013 Tarieven AD'!K259</f>
        <v>0</v>
      </c>
      <c r="L79" s="110">
        <f>'TAR2013 Tarieven AD'!L259</f>
        <v>0</v>
      </c>
      <c r="M79" s="110">
        <f>'TAR2013 Tarieven AD'!M259</f>
        <v>0</v>
      </c>
      <c r="N79" s="110">
        <f>'TAR2013 Tarieven AD'!N259</f>
        <v>0</v>
      </c>
      <c r="O79" s="110">
        <f>'TAR2013 Tarieven AD'!O259</f>
        <v>0</v>
      </c>
    </row>
    <row r="80" spans="2:15">
      <c r="B80" s="22"/>
      <c r="F80" s="109"/>
    </row>
    <row r="81" spans="2:15">
      <c r="B81" s="22"/>
      <c r="F81" s="109"/>
    </row>
    <row r="82" spans="2:15">
      <c r="B82" s="22"/>
      <c r="F82" s="109"/>
    </row>
    <row r="83" spans="2:15">
      <c r="B83" s="22"/>
      <c r="F83" s="109"/>
    </row>
    <row r="84" spans="2:15">
      <c r="B84" s="3" t="s">
        <v>307</v>
      </c>
      <c r="F84" s="109"/>
    </row>
    <row r="85" spans="2:15">
      <c r="B85" s="3"/>
      <c r="F85" s="109"/>
    </row>
    <row r="86" spans="2:15">
      <c r="B86" s="108" t="s">
        <v>284</v>
      </c>
      <c r="F86" s="109"/>
    </row>
    <row r="87" spans="2:15">
      <c r="B87" s="23" t="s">
        <v>285</v>
      </c>
      <c r="D87" s="51" t="s">
        <v>186</v>
      </c>
      <c r="F87" s="109"/>
      <c r="G87" s="110">
        <f>'TAR2013 Tarieven AD'!G267</f>
        <v>681.24</v>
      </c>
      <c r="H87" s="110">
        <f>'TAR2013 Tarieven AD'!H267</f>
        <v>768.77</v>
      </c>
      <c r="I87" s="110">
        <f>'TAR2013 Tarieven AD'!I267</f>
        <v>594</v>
      </c>
      <c r="J87" s="110">
        <f>'TAR2013 Tarieven AD'!J267</f>
        <v>690</v>
      </c>
      <c r="K87" s="110">
        <f>'TAR2013 Tarieven AD'!K267</f>
        <v>648</v>
      </c>
      <c r="L87" s="110">
        <f>'TAR2013 Tarieven AD'!L267</f>
        <v>567.45000000000005</v>
      </c>
      <c r="M87" s="110">
        <f>'TAR2013 Tarieven AD'!M267</f>
        <v>832</v>
      </c>
      <c r="N87" s="110">
        <f>'TAR2013 Tarieven AD'!N267</f>
        <v>1016.64</v>
      </c>
      <c r="O87" s="110">
        <f>'TAR2013 Tarieven AD'!O267</f>
        <v>0</v>
      </c>
    </row>
    <row r="88" spans="2:15">
      <c r="B88" s="23" t="s">
        <v>286</v>
      </c>
      <c r="D88" s="51" t="s">
        <v>186</v>
      </c>
      <c r="F88" s="109"/>
      <c r="G88" s="110">
        <f>'TAR2013 Tarieven AD'!G268</f>
        <v>1298.26</v>
      </c>
      <c r="H88" s="110">
        <f>'TAR2013 Tarieven AD'!H268</f>
        <v>1406.41</v>
      </c>
      <c r="I88" s="110">
        <f>'TAR2013 Tarieven AD'!I268</f>
        <v>1370</v>
      </c>
      <c r="J88" s="110">
        <f>'TAR2013 Tarieven AD'!J268</f>
        <v>1306</v>
      </c>
      <c r="K88" s="110">
        <f>'TAR2013 Tarieven AD'!K268</f>
        <v>1352</v>
      </c>
      <c r="L88" s="110">
        <f>'TAR2013 Tarieven AD'!L268</f>
        <v>1508</v>
      </c>
      <c r="M88" s="110">
        <f>'TAR2013 Tarieven AD'!M268</f>
        <v>1700</v>
      </c>
      <c r="N88" s="110">
        <f>'TAR2013 Tarieven AD'!N268</f>
        <v>2620.19</v>
      </c>
      <c r="O88" s="110">
        <f>'TAR2013 Tarieven AD'!O268</f>
        <v>0</v>
      </c>
    </row>
    <row r="89" spans="2:15">
      <c r="B89" s="61" t="s">
        <v>287</v>
      </c>
      <c r="D89" s="51" t="s">
        <v>186</v>
      </c>
      <c r="F89" s="109"/>
      <c r="G89" s="110">
        <f>'TAR2013 Tarieven AD'!G269</f>
        <v>1298.26</v>
      </c>
      <c r="H89" s="110">
        <f>'TAR2013 Tarieven AD'!H269</f>
        <v>1406.41</v>
      </c>
      <c r="I89" s="110">
        <f>'TAR2013 Tarieven AD'!I269</f>
        <v>1370</v>
      </c>
      <c r="J89" s="110">
        <f>'TAR2013 Tarieven AD'!J269</f>
        <v>1338</v>
      </c>
      <c r="K89" s="110">
        <f>'TAR2013 Tarieven AD'!K269</f>
        <v>1352</v>
      </c>
      <c r="L89" s="110">
        <f>'TAR2013 Tarieven AD'!L269</f>
        <v>1508</v>
      </c>
      <c r="M89" s="110">
        <f>'TAR2013 Tarieven AD'!M269</f>
        <v>1700</v>
      </c>
      <c r="N89" s="110">
        <f>'TAR2013 Tarieven AD'!N269</f>
        <v>3648.2</v>
      </c>
      <c r="O89" s="110">
        <f>'TAR2013 Tarieven AD'!O269</f>
        <v>0</v>
      </c>
    </row>
    <row r="90" spans="2:15">
      <c r="B90" s="61" t="s">
        <v>288</v>
      </c>
      <c r="D90" s="51" t="s">
        <v>186</v>
      </c>
      <c r="F90" s="109"/>
      <c r="G90" s="110">
        <f>'TAR2013 Tarieven AD'!G270</f>
        <v>1810.67</v>
      </c>
      <c r="H90" s="110">
        <f>'TAR2013 Tarieven AD'!H270</f>
        <v>1789.68</v>
      </c>
      <c r="I90" s="110">
        <f>'TAR2013 Tarieven AD'!I270</f>
        <v>1750</v>
      </c>
      <c r="J90" s="110">
        <f>'TAR2013 Tarieven AD'!J270</f>
        <v>1839</v>
      </c>
      <c r="K90" s="110">
        <f>'TAR2013 Tarieven AD'!K270</f>
        <v>1894</v>
      </c>
      <c r="L90" s="110">
        <f>'TAR2013 Tarieven AD'!L270</f>
        <v>2217</v>
      </c>
      <c r="M90" s="110">
        <f>'TAR2013 Tarieven AD'!M270</f>
        <v>2820</v>
      </c>
      <c r="N90" s="110">
        <f>'TAR2013 Tarieven AD'!N270</f>
        <v>3773.82</v>
      </c>
      <c r="O90" s="110">
        <f>'TAR2013 Tarieven AD'!O270</f>
        <v>0</v>
      </c>
    </row>
    <row r="91" spans="2:15">
      <c r="B91" s="23"/>
      <c r="F91" s="109"/>
    </row>
    <row r="92" spans="2:15">
      <c r="B92" s="108" t="s">
        <v>289</v>
      </c>
      <c r="F92" s="109"/>
    </row>
    <row r="93" spans="2:15">
      <c r="B93" s="23" t="s">
        <v>285</v>
      </c>
      <c r="D93" s="51" t="s">
        <v>186</v>
      </c>
      <c r="F93" s="109"/>
      <c r="G93" s="110">
        <f>'TAR2013 Tarieven AD'!G273</f>
        <v>0</v>
      </c>
      <c r="H93" s="110">
        <f>'TAR2013 Tarieven AD'!H273</f>
        <v>0</v>
      </c>
      <c r="I93" s="110">
        <f>'TAR2013 Tarieven AD'!I273</f>
        <v>594</v>
      </c>
      <c r="J93" s="110">
        <f>'TAR2013 Tarieven AD'!J273</f>
        <v>0</v>
      </c>
      <c r="K93" s="110">
        <f>'TAR2013 Tarieven AD'!K273</f>
        <v>648</v>
      </c>
      <c r="L93" s="110">
        <f>'TAR2013 Tarieven AD'!L273</f>
        <v>0</v>
      </c>
      <c r="M93" s="110">
        <f>'TAR2013 Tarieven AD'!M273</f>
        <v>0</v>
      </c>
      <c r="N93" s="110">
        <f>'TAR2013 Tarieven AD'!N273</f>
        <v>0</v>
      </c>
      <c r="O93" s="110">
        <f>'TAR2013 Tarieven AD'!O273</f>
        <v>0</v>
      </c>
    </row>
    <row r="94" spans="2:15">
      <c r="B94" s="23" t="s">
        <v>286</v>
      </c>
      <c r="D94" s="51" t="s">
        <v>186</v>
      </c>
      <c r="F94" s="109"/>
      <c r="G94" s="110">
        <f>'TAR2013 Tarieven AD'!G274</f>
        <v>0</v>
      </c>
      <c r="H94" s="110">
        <f>'TAR2013 Tarieven AD'!H274</f>
        <v>0</v>
      </c>
      <c r="I94" s="110">
        <f>'TAR2013 Tarieven AD'!I274</f>
        <v>1370</v>
      </c>
      <c r="J94" s="110">
        <f>'TAR2013 Tarieven AD'!J274</f>
        <v>0</v>
      </c>
      <c r="K94" s="110">
        <f>'TAR2013 Tarieven AD'!K274</f>
        <v>1352</v>
      </c>
      <c r="L94" s="110">
        <f>'TAR2013 Tarieven AD'!L274</f>
        <v>0</v>
      </c>
      <c r="M94" s="110">
        <f>'TAR2013 Tarieven AD'!M274</f>
        <v>0</v>
      </c>
      <c r="N94" s="110">
        <f>'TAR2013 Tarieven AD'!N274</f>
        <v>0</v>
      </c>
      <c r="O94" s="110">
        <f>'TAR2013 Tarieven AD'!O274</f>
        <v>0</v>
      </c>
    </row>
    <row r="95" spans="2:15">
      <c r="B95" s="61" t="s">
        <v>287</v>
      </c>
      <c r="D95" s="51" t="s">
        <v>186</v>
      </c>
      <c r="F95" s="109"/>
      <c r="G95" s="110">
        <f>'TAR2013 Tarieven AD'!G275</f>
        <v>0</v>
      </c>
      <c r="H95" s="110">
        <f>'TAR2013 Tarieven AD'!H275</f>
        <v>0</v>
      </c>
      <c r="I95" s="110">
        <f>'TAR2013 Tarieven AD'!I275</f>
        <v>1370</v>
      </c>
      <c r="J95" s="110">
        <f>'TAR2013 Tarieven AD'!J275</f>
        <v>0</v>
      </c>
      <c r="K95" s="110">
        <f>'TAR2013 Tarieven AD'!K275</f>
        <v>1352</v>
      </c>
      <c r="L95" s="110">
        <f>'TAR2013 Tarieven AD'!L275</f>
        <v>0</v>
      </c>
      <c r="M95" s="110">
        <f>'TAR2013 Tarieven AD'!M275</f>
        <v>0</v>
      </c>
      <c r="N95" s="110">
        <f>'TAR2013 Tarieven AD'!N275</f>
        <v>0</v>
      </c>
      <c r="O95" s="110">
        <f>'TAR2013 Tarieven AD'!O275</f>
        <v>0</v>
      </c>
    </row>
    <row r="96" spans="2:15">
      <c r="B96" s="61" t="s">
        <v>288</v>
      </c>
      <c r="D96" s="51" t="s">
        <v>186</v>
      </c>
      <c r="F96" s="109"/>
      <c r="G96" s="110">
        <f>'TAR2013 Tarieven AD'!G276</f>
        <v>0</v>
      </c>
      <c r="H96" s="110">
        <f>'TAR2013 Tarieven AD'!H276</f>
        <v>0</v>
      </c>
      <c r="I96" s="110">
        <f>'TAR2013 Tarieven AD'!I276</f>
        <v>1750</v>
      </c>
      <c r="J96" s="110">
        <f>'TAR2013 Tarieven AD'!J276</f>
        <v>0</v>
      </c>
      <c r="K96" s="110">
        <f>'TAR2013 Tarieven AD'!K276</f>
        <v>1894</v>
      </c>
      <c r="L96" s="110">
        <f>'TAR2013 Tarieven AD'!L276</f>
        <v>0</v>
      </c>
      <c r="M96" s="110">
        <f>'TAR2013 Tarieven AD'!M276</f>
        <v>0</v>
      </c>
      <c r="N96" s="110">
        <f>'TAR2013 Tarieven AD'!N276</f>
        <v>0</v>
      </c>
      <c r="O96" s="110">
        <f>'TAR2013 Tarieven AD'!O276</f>
        <v>0</v>
      </c>
    </row>
    <row r="97" spans="2:15">
      <c r="B97" s="23"/>
      <c r="F97" s="109"/>
    </row>
    <row r="98" spans="2:15">
      <c r="B98" s="108" t="s">
        <v>290</v>
      </c>
      <c r="F98" s="109"/>
    </row>
    <row r="99" spans="2:15">
      <c r="B99" s="23" t="s">
        <v>291</v>
      </c>
      <c r="D99" s="51" t="s">
        <v>186</v>
      </c>
      <c r="F99" s="109"/>
      <c r="G99" s="110">
        <f>'TAR2013 Tarieven AD'!G279</f>
        <v>0</v>
      </c>
      <c r="H99" s="110">
        <f>'TAR2013 Tarieven AD'!H279</f>
        <v>0</v>
      </c>
      <c r="I99" s="110">
        <f>'TAR2013 Tarieven AD'!I279</f>
        <v>0</v>
      </c>
      <c r="J99" s="110">
        <f>'TAR2013 Tarieven AD'!J279</f>
        <v>0</v>
      </c>
      <c r="K99" s="110">
        <f>'TAR2013 Tarieven AD'!K279</f>
        <v>0</v>
      </c>
      <c r="L99" s="110">
        <f>'TAR2013 Tarieven AD'!L279</f>
        <v>0</v>
      </c>
      <c r="M99" s="110">
        <f>'TAR2013 Tarieven AD'!M279</f>
        <v>0</v>
      </c>
      <c r="N99" s="110">
        <f>'TAR2013 Tarieven AD'!N279</f>
        <v>0</v>
      </c>
      <c r="O99" s="110">
        <f>'TAR2013 Tarieven AD'!O279</f>
        <v>0</v>
      </c>
    </row>
    <row r="100" spans="2:15">
      <c r="B100" s="3"/>
      <c r="F100" s="109"/>
    </row>
    <row r="101" spans="2:15">
      <c r="B101" s="3"/>
      <c r="F101" s="109"/>
    </row>
    <row r="102" spans="2:15">
      <c r="B102" s="3" t="s">
        <v>308</v>
      </c>
      <c r="F102" s="109"/>
    </row>
    <row r="103" spans="2:15">
      <c r="B103" s="3"/>
      <c r="F103" s="109"/>
    </row>
    <row r="104" spans="2:15">
      <c r="B104" s="108" t="s">
        <v>284</v>
      </c>
      <c r="F104" s="109"/>
    </row>
    <row r="105" spans="2:15">
      <c r="B105" s="23" t="s">
        <v>285</v>
      </c>
      <c r="D105" s="51" t="s">
        <v>186</v>
      </c>
      <c r="F105" s="109"/>
      <c r="G105" s="110">
        <f>'TAR2013 Tarieven AD'!G285</f>
        <v>18.96</v>
      </c>
      <c r="H105" s="110">
        <f>'TAR2013 Tarieven AD'!H285</f>
        <v>28</v>
      </c>
      <c r="I105" s="110">
        <f>'TAR2013 Tarieven AD'!I285</f>
        <v>18.3</v>
      </c>
      <c r="J105" s="110">
        <f>'TAR2013 Tarieven AD'!J285</f>
        <v>20.7</v>
      </c>
      <c r="K105" s="110">
        <f>'TAR2013 Tarieven AD'!K285</f>
        <v>24.5</v>
      </c>
      <c r="L105" s="110">
        <f>'TAR2013 Tarieven AD'!L285</f>
        <v>14.65</v>
      </c>
      <c r="M105" s="110">
        <f>'TAR2013 Tarieven AD'!M285</f>
        <v>36.6</v>
      </c>
      <c r="N105" s="110">
        <f>'TAR2013 Tarieven AD'!N285</f>
        <v>61.64</v>
      </c>
      <c r="O105" s="110">
        <f>'TAR2013 Tarieven AD'!O285</f>
        <v>0</v>
      </c>
    </row>
    <row r="106" spans="2:15">
      <c r="B106" s="23" t="s">
        <v>286</v>
      </c>
      <c r="D106" s="51" t="s">
        <v>186</v>
      </c>
      <c r="F106" s="109"/>
      <c r="G106" s="110">
        <f>'TAR2013 Tarieven AD'!G286</f>
        <v>20.5</v>
      </c>
      <c r="H106" s="110">
        <f>'TAR2013 Tarieven AD'!H286</f>
        <v>29.54</v>
      </c>
      <c r="I106" s="110">
        <f>'TAR2013 Tarieven AD'!I286</f>
        <v>18.3</v>
      </c>
      <c r="J106" s="110">
        <f>'TAR2013 Tarieven AD'!J286</f>
        <v>25.5</v>
      </c>
      <c r="K106" s="110">
        <f>'TAR2013 Tarieven AD'!K286</f>
        <v>30.1</v>
      </c>
      <c r="L106" s="110">
        <f>'TAR2013 Tarieven AD'!L286</f>
        <v>23.1</v>
      </c>
      <c r="M106" s="110">
        <f>'TAR2013 Tarieven AD'!M286</f>
        <v>36.6</v>
      </c>
      <c r="N106" s="110">
        <f>'TAR2013 Tarieven AD'!N286</f>
        <v>50.41</v>
      </c>
      <c r="O106" s="110">
        <f>'TAR2013 Tarieven AD'!O286</f>
        <v>0</v>
      </c>
    </row>
    <row r="107" spans="2:15">
      <c r="B107" s="61" t="s">
        <v>287</v>
      </c>
      <c r="D107" s="51" t="s">
        <v>186</v>
      </c>
      <c r="F107" s="109"/>
      <c r="G107" s="110">
        <f>'TAR2013 Tarieven AD'!G287</f>
        <v>23.46</v>
      </c>
      <c r="H107" s="110">
        <f>'TAR2013 Tarieven AD'!H287</f>
        <v>31.16</v>
      </c>
      <c r="I107" s="110">
        <f>'TAR2013 Tarieven AD'!I287</f>
        <v>18.3</v>
      </c>
      <c r="J107" s="110">
        <f>'TAR2013 Tarieven AD'!J287</f>
        <v>25.5</v>
      </c>
      <c r="K107" s="110">
        <f>'TAR2013 Tarieven AD'!K287</f>
        <v>30.1</v>
      </c>
      <c r="L107" s="110">
        <f>'TAR2013 Tarieven AD'!L287</f>
        <v>23.1</v>
      </c>
      <c r="M107" s="110">
        <f>'TAR2013 Tarieven AD'!M287</f>
        <v>36.6</v>
      </c>
      <c r="N107" s="110">
        <f>'TAR2013 Tarieven AD'!N287</f>
        <v>50.41</v>
      </c>
      <c r="O107" s="110">
        <f>'TAR2013 Tarieven AD'!O287</f>
        <v>0</v>
      </c>
    </row>
    <row r="108" spans="2:15">
      <c r="B108" s="61" t="s">
        <v>288</v>
      </c>
      <c r="D108" s="51" t="s">
        <v>186</v>
      </c>
      <c r="F108" s="109"/>
      <c r="G108" s="110">
        <f>'TAR2013 Tarieven AD'!G288</f>
        <v>26.71</v>
      </c>
      <c r="H108" s="110">
        <f>'TAR2013 Tarieven AD'!H288</f>
        <v>32.36</v>
      </c>
      <c r="I108" s="110">
        <f>'TAR2013 Tarieven AD'!I288</f>
        <v>18.3</v>
      </c>
      <c r="J108" s="110">
        <f>'TAR2013 Tarieven AD'!J288</f>
        <v>25.5</v>
      </c>
      <c r="K108" s="110">
        <f>'TAR2013 Tarieven AD'!K288</f>
        <v>30.1</v>
      </c>
      <c r="L108" s="110">
        <f>'TAR2013 Tarieven AD'!L288</f>
        <v>18.5</v>
      </c>
      <c r="M108" s="110">
        <f>'TAR2013 Tarieven AD'!M288</f>
        <v>43.2</v>
      </c>
      <c r="N108" s="110">
        <f>'TAR2013 Tarieven AD'!N288</f>
        <v>50.41</v>
      </c>
      <c r="O108" s="110">
        <f>'TAR2013 Tarieven AD'!O288</f>
        <v>0</v>
      </c>
    </row>
    <row r="109" spans="2:15">
      <c r="B109" s="23"/>
      <c r="F109" s="109"/>
    </row>
    <row r="110" spans="2:15">
      <c r="B110" s="108" t="s">
        <v>289</v>
      </c>
      <c r="F110" s="109"/>
    </row>
    <row r="111" spans="2:15">
      <c r="B111" s="23" t="s">
        <v>285</v>
      </c>
      <c r="D111" s="51" t="s">
        <v>186</v>
      </c>
      <c r="F111" s="109"/>
      <c r="G111" s="110">
        <f>'TAR2013 Tarieven AD'!G291</f>
        <v>18.96</v>
      </c>
      <c r="H111" s="110">
        <f>'TAR2013 Tarieven AD'!H291</f>
        <v>0</v>
      </c>
      <c r="I111" s="110">
        <f>'TAR2013 Tarieven AD'!I291</f>
        <v>18.3</v>
      </c>
      <c r="J111" s="110">
        <f>'TAR2013 Tarieven AD'!J291</f>
        <v>0</v>
      </c>
      <c r="K111" s="110">
        <f>'TAR2013 Tarieven AD'!K291</f>
        <v>24.5</v>
      </c>
      <c r="L111" s="110">
        <f>'TAR2013 Tarieven AD'!L291</f>
        <v>0</v>
      </c>
      <c r="M111" s="110">
        <f>'TAR2013 Tarieven AD'!M291</f>
        <v>0</v>
      </c>
      <c r="N111" s="110">
        <f>'TAR2013 Tarieven AD'!N291</f>
        <v>0</v>
      </c>
      <c r="O111" s="110">
        <f>'TAR2013 Tarieven AD'!O291</f>
        <v>0</v>
      </c>
    </row>
    <row r="112" spans="2:15">
      <c r="B112" s="23" t="s">
        <v>286</v>
      </c>
      <c r="D112" s="51" t="s">
        <v>186</v>
      </c>
      <c r="F112" s="109"/>
      <c r="G112" s="110">
        <f>'TAR2013 Tarieven AD'!G292</f>
        <v>20.5</v>
      </c>
      <c r="H112" s="110">
        <f>'TAR2013 Tarieven AD'!H292</f>
        <v>0</v>
      </c>
      <c r="I112" s="110">
        <f>'TAR2013 Tarieven AD'!I292</f>
        <v>18.3</v>
      </c>
      <c r="J112" s="110">
        <f>'TAR2013 Tarieven AD'!J292</f>
        <v>0</v>
      </c>
      <c r="K112" s="110">
        <f>'TAR2013 Tarieven AD'!K292</f>
        <v>30.1</v>
      </c>
      <c r="L112" s="110">
        <f>'TAR2013 Tarieven AD'!L292</f>
        <v>0</v>
      </c>
      <c r="M112" s="110">
        <f>'TAR2013 Tarieven AD'!M292</f>
        <v>0</v>
      </c>
      <c r="N112" s="110">
        <f>'TAR2013 Tarieven AD'!N292</f>
        <v>0</v>
      </c>
      <c r="O112" s="110">
        <f>'TAR2013 Tarieven AD'!O292</f>
        <v>0</v>
      </c>
    </row>
    <row r="113" spans="2:15">
      <c r="B113" s="61" t="s">
        <v>287</v>
      </c>
      <c r="D113" s="51" t="s">
        <v>186</v>
      </c>
      <c r="F113" s="109"/>
      <c r="G113" s="110">
        <f>'TAR2013 Tarieven AD'!G293</f>
        <v>23.46</v>
      </c>
      <c r="H113" s="110">
        <f>'TAR2013 Tarieven AD'!H293</f>
        <v>0</v>
      </c>
      <c r="I113" s="110">
        <f>'TAR2013 Tarieven AD'!I293</f>
        <v>18.3</v>
      </c>
      <c r="J113" s="110">
        <f>'TAR2013 Tarieven AD'!J293</f>
        <v>0</v>
      </c>
      <c r="K113" s="110">
        <f>'TAR2013 Tarieven AD'!K293</f>
        <v>30.1</v>
      </c>
      <c r="L113" s="110">
        <f>'TAR2013 Tarieven AD'!L293</f>
        <v>0</v>
      </c>
      <c r="M113" s="110">
        <f>'TAR2013 Tarieven AD'!M293</f>
        <v>0</v>
      </c>
      <c r="N113" s="110">
        <f>'TAR2013 Tarieven AD'!N293</f>
        <v>0</v>
      </c>
      <c r="O113" s="110">
        <f>'TAR2013 Tarieven AD'!O293</f>
        <v>0</v>
      </c>
    </row>
    <row r="114" spans="2:15">
      <c r="B114" s="61" t="s">
        <v>288</v>
      </c>
      <c r="D114" s="51" t="s">
        <v>186</v>
      </c>
      <c r="F114" s="109"/>
      <c r="G114" s="110">
        <f>'TAR2013 Tarieven AD'!G294</f>
        <v>26.71</v>
      </c>
      <c r="H114" s="110">
        <f>'TAR2013 Tarieven AD'!H294</f>
        <v>0</v>
      </c>
      <c r="I114" s="110">
        <f>'TAR2013 Tarieven AD'!I294</f>
        <v>18.3</v>
      </c>
      <c r="J114" s="110">
        <f>'TAR2013 Tarieven AD'!J294</f>
        <v>0</v>
      </c>
      <c r="K114" s="110">
        <f>'TAR2013 Tarieven AD'!K294</f>
        <v>30.1</v>
      </c>
      <c r="L114" s="110">
        <f>'TAR2013 Tarieven AD'!L294</f>
        <v>0</v>
      </c>
      <c r="M114" s="110">
        <f>'TAR2013 Tarieven AD'!M294</f>
        <v>0</v>
      </c>
      <c r="N114" s="110">
        <f>'TAR2013 Tarieven AD'!N294</f>
        <v>0</v>
      </c>
      <c r="O114" s="110">
        <f>'TAR2013 Tarieven AD'!O294</f>
        <v>0</v>
      </c>
    </row>
    <row r="115" spans="2:15">
      <c r="B115" s="23"/>
      <c r="F115" s="109"/>
    </row>
    <row r="116" spans="2:15">
      <c r="B116" s="108" t="s">
        <v>290</v>
      </c>
      <c r="F116" s="109"/>
    </row>
    <row r="117" spans="2:15">
      <c r="B117" s="23" t="s">
        <v>291</v>
      </c>
      <c r="D117" s="51" t="s">
        <v>186</v>
      </c>
      <c r="F117" s="109"/>
      <c r="G117" s="110">
        <f>'TAR2013 Tarieven AD'!G297</f>
        <v>0</v>
      </c>
      <c r="H117" s="110">
        <f>'TAR2013 Tarieven AD'!H297</f>
        <v>0</v>
      </c>
      <c r="I117" s="110">
        <f>'TAR2013 Tarieven AD'!I297</f>
        <v>0</v>
      </c>
      <c r="J117" s="110">
        <f>'TAR2013 Tarieven AD'!J297</f>
        <v>0</v>
      </c>
      <c r="K117" s="110">
        <f>'TAR2013 Tarieven AD'!K297</f>
        <v>0</v>
      </c>
      <c r="L117" s="110">
        <f>'TAR2013 Tarieven AD'!L297</f>
        <v>0</v>
      </c>
      <c r="M117" s="110">
        <f>'TAR2013 Tarieven AD'!M297</f>
        <v>0</v>
      </c>
      <c r="N117" s="110">
        <f>'TAR2013 Tarieven AD'!N297</f>
        <v>0</v>
      </c>
      <c r="O117" s="110">
        <f>'TAR2013 Tarieven AD'!O297</f>
        <v>0</v>
      </c>
    </row>
    <row r="118" spans="2:15">
      <c r="B118" s="3"/>
      <c r="F118" s="109"/>
    </row>
    <row r="119" spans="2:15">
      <c r="B119" s="3"/>
      <c r="F119" s="109"/>
    </row>
    <row r="120" spans="2:15">
      <c r="B120" s="3" t="s">
        <v>309</v>
      </c>
      <c r="F120" s="109"/>
    </row>
    <row r="121" spans="2:15">
      <c r="B121" s="3"/>
      <c r="F121" s="109"/>
    </row>
    <row r="122" spans="2:15">
      <c r="B122" s="108" t="s">
        <v>284</v>
      </c>
      <c r="F122" s="109"/>
    </row>
    <row r="123" spans="2:15">
      <c r="B123" s="61" t="s">
        <v>292</v>
      </c>
      <c r="D123" s="51" t="s">
        <v>186</v>
      </c>
      <c r="F123" s="109"/>
      <c r="G123" s="110">
        <f>'TAR2013 Tarieven AD'!G303</f>
        <v>2560.21</v>
      </c>
      <c r="H123" s="110">
        <f>'TAR2013 Tarieven AD'!H303</f>
        <v>2363.66</v>
      </c>
      <c r="I123" s="110">
        <f>'TAR2013 Tarieven AD'!I303</f>
        <v>2030</v>
      </c>
      <c r="J123" s="110">
        <f>'TAR2013 Tarieven AD'!J303</f>
        <v>1180</v>
      </c>
      <c r="K123" s="110">
        <f>'TAR2013 Tarieven AD'!K303</f>
        <v>1949</v>
      </c>
      <c r="L123" s="110">
        <f>'TAR2013 Tarieven AD'!L303</f>
        <v>1175</v>
      </c>
      <c r="M123" s="110">
        <f>'TAR2013 Tarieven AD'!M303</f>
        <v>1240</v>
      </c>
      <c r="N123" s="110">
        <f>'TAR2013 Tarieven AD'!N303</f>
        <v>2722.1</v>
      </c>
      <c r="O123" s="110">
        <f>'TAR2013 Tarieven AD'!O303</f>
        <v>0</v>
      </c>
    </row>
    <row r="124" spans="2:15">
      <c r="B124" s="61" t="s">
        <v>293</v>
      </c>
      <c r="D124" s="51" t="s">
        <v>186</v>
      </c>
      <c r="F124" s="109"/>
      <c r="G124" s="110">
        <f>'TAR2013 Tarieven AD'!G304</f>
        <v>2560.21</v>
      </c>
      <c r="H124" s="110">
        <f>'TAR2013 Tarieven AD'!H304</f>
        <v>2363.66</v>
      </c>
      <c r="I124" s="110">
        <f>'TAR2013 Tarieven AD'!I304</f>
        <v>2480</v>
      </c>
      <c r="J124" s="110">
        <f>'TAR2013 Tarieven AD'!J304</f>
        <v>1180</v>
      </c>
      <c r="K124" s="110">
        <f>'TAR2013 Tarieven AD'!K304</f>
        <v>1949</v>
      </c>
      <c r="L124" s="110">
        <f>'TAR2013 Tarieven AD'!L304</f>
        <v>1488</v>
      </c>
      <c r="M124" s="110">
        <f>'TAR2013 Tarieven AD'!M304</f>
        <v>1240</v>
      </c>
      <c r="N124" s="110">
        <f>'TAR2013 Tarieven AD'!N304</f>
        <v>2722.1</v>
      </c>
      <c r="O124" s="110">
        <f>'TAR2013 Tarieven AD'!O304</f>
        <v>0</v>
      </c>
    </row>
    <row r="125" spans="2:15">
      <c r="B125" s="61" t="s">
        <v>294</v>
      </c>
      <c r="D125" s="51" t="s">
        <v>186</v>
      </c>
      <c r="F125" s="109"/>
      <c r="G125" s="110">
        <f>'TAR2013 Tarieven AD'!G305</f>
        <v>3789.15</v>
      </c>
      <c r="H125" s="110">
        <f>'TAR2013 Tarieven AD'!H305</f>
        <v>2363.66</v>
      </c>
      <c r="I125" s="110">
        <f>'TAR2013 Tarieven AD'!I305</f>
        <v>2905</v>
      </c>
      <c r="J125" s="110">
        <f>'TAR2013 Tarieven AD'!J305</f>
        <v>2580</v>
      </c>
      <c r="K125" s="110">
        <f>'TAR2013 Tarieven AD'!K305</f>
        <v>2769</v>
      </c>
      <c r="L125" s="110">
        <f>'TAR2013 Tarieven AD'!L305</f>
        <v>2612</v>
      </c>
      <c r="M125" s="110">
        <f>'TAR2013 Tarieven AD'!M305</f>
        <v>1240</v>
      </c>
      <c r="N125" s="110">
        <f>'TAR2013 Tarieven AD'!N305</f>
        <v>5950.55</v>
      </c>
      <c r="O125" s="110">
        <f>'TAR2013 Tarieven AD'!O305</f>
        <v>0</v>
      </c>
    </row>
    <row r="126" spans="2:15">
      <c r="B126" s="61" t="s">
        <v>295</v>
      </c>
      <c r="D126" s="51" t="s">
        <v>186</v>
      </c>
      <c r="F126" s="109"/>
      <c r="G126" s="110">
        <f>'TAR2013 Tarieven AD'!G306</f>
        <v>3789.15</v>
      </c>
      <c r="H126" s="110">
        <f>'TAR2013 Tarieven AD'!H306</f>
        <v>2363.66</v>
      </c>
      <c r="I126" s="110">
        <f>'TAR2013 Tarieven AD'!I306</f>
        <v>4100</v>
      </c>
      <c r="J126" s="110">
        <f>'TAR2013 Tarieven AD'!J306</f>
        <v>2580</v>
      </c>
      <c r="K126" s="110">
        <f>'TAR2013 Tarieven AD'!K306</f>
        <v>3021</v>
      </c>
      <c r="L126" s="110">
        <f>'TAR2013 Tarieven AD'!L306</f>
        <v>4681</v>
      </c>
      <c r="M126" s="110">
        <f>'TAR2013 Tarieven AD'!M306</f>
        <v>1240</v>
      </c>
      <c r="N126" s="110">
        <f>'TAR2013 Tarieven AD'!N306</f>
        <v>5950.55</v>
      </c>
      <c r="O126" s="110">
        <f>'TAR2013 Tarieven AD'!O306</f>
        <v>0</v>
      </c>
    </row>
    <row r="127" spans="2:15">
      <c r="B127" s="26" t="s">
        <v>296</v>
      </c>
      <c r="D127" s="51" t="s">
        <v>186</v>
      </c>
      <c r="F127" s="109"/>
      <c r="G127" s="110">
        <f>'TAR2013 Tarieven AD'!G307</f>
        <v>0</v>
      </c>
      <c r="H127" s="110">
        <f>'TAR2013 Tarieven AD'!H307</f>
        <v>2585.2600000000002</v>
      </c>
      <c r="I127" s="110">
        <f>'TAR2013 Tarieven AD'!I307</f>
        <v>5290</v>
      </c>
      <c r="J127" s="110">
        <f>'TAR2013 Tarieven AD'!J307</f>
        <v>2580</v>
      </c>
      <c r="K127" s="110">
        <f>'TAR2013 Tarieven AD'!K307</f>
        <v>3322</v>
      </c>
      <c r="L127" s="110">
        <f>'TAR2013 Tarieven AD'!L307</f>
        <v>5097</v>
      </c>
      <c r="M127" s="110">
        <f>'TAR2013 Tarieven AD'!M307</f>
        <v>1240</v>
      </c>
      <c r="N127" s="110">
        <f>'TAR2013 Tarieven AD'!N307</f>
        <v>5950.55</v>
      </c>
      <c r="O127" s="110">
        <f>'TAR2013 Tarieven AD'!O307</f>
        <v>0</v>
      </c>
    </row>
    <row r="128" spans="2:15">
      <c r="B128" s="61" t="s">
        <v>297</v>
      </c>
      <c r="D128" s="51" t="s">
        <v>186</v>
      </c>
      <c r="F128" s="109"/>
      <c r="G128" s="110">
        <f>'TAR2013 Tarieven AD'!G308</f>
        <v>0</v>
      </c>
      <c r="H128" s="110">
        <f>'TAR2013 Tarieven AD'!H308</f>
        <v>2585.2600000000002</v>
      </c>
      <c r="I128" s="110">
        <f>'TAR2013 Tarieven AD'!I308</f>
        <v>5780</v>
      </c>
      <c r="J128" s="110">
        <f>'TAR2013 Tarieven AD'!J308</f>
        <v>2580</v>
      </c>
      <c r="K128" s="110">
        <f>'TAR2013 Tarieven AD'!K308</f>
        <v>3809</v>
      </c>
      <c r="L128" s="110">
        <f>'TAR2013 Tarieven AD'!L308</f>
        <v>6903</v>
      </c>
      <c r="M128" s="110">
        <f>'TAR2013 Tarieven AD'!M308</f>
        <v>0</v>
      </c>
      <c r="N128" s="110">
        <f>'TAR2013 Tarieven AD'!N308</f>
        <v>5950.55</v>
      </c>
      <c r="O128" s="110">
        <f>'TAR2013 Tarieven AD'!O308</f>
        <v>0</v>
      </c>
    </row>
    <row r="129" spans="2:15">
      <c r="B129" s="61" t="s">
        <v>298</v>
      </c>
      <c r="D129" s="51" t="s">
        <v>186</v>
      </c>
      <c r="F129" s="109"/>
      <c r="G129" s="110">
        <f>'TAR2013 Tarieven AD'!G309</f>
        <v>0</v>
      </c>
      <c r="H129" s="110">
        <f>'TAR2013 Tarieven AD'!H309</f>
        <v>3102.32</v>
      </c>
      <c r="I129" s="110">
        <f>'TAR2013 Tarieven AD'!I309</f>
        <v>6360</v>
      </c>
      <c r="J129" s="110">
        <f>'TAR2013 Tarieven AD'!J309</f>
        <v>2580</v>
      </c>
      <c r="K129" s="110">
        <f>'TAR2013 Tarieven AD'!K309</f>
        <v>4195</v>
      </c>
      <c r="L129" s="110">
        <f>'TAR2013 Tarieven AD'!L309</f>
        <v>7539</v>
      </c>
      <c r="M129" s="110">
        <f>'TAR2013 Tarieven AD'!M309</f>
        <v>0</v>
      </c>
      <c r="N129" s="110">
        <f>'TAR2013 Tarieven AD'!N309</f>
        <v>5950.55</v>
      </c>
      <c r="O129" s="110">
        <f>'TAR2013 Tarieven AD'!O309</f>
        <v>0</v>
      </c>
    </row>
    <row r="130" spans="2:15">
      <c r="B130" s="61" t="s">
        <v>299</v>
      </c>
      <c r="D130" s="51" t="s">
        <v>186</v>
      </c>
      <c r="F130" s="109"/>
      <c r="G130" s="110">
        <f>'TAR2013 Tarieven AD'!G310</f>
        <v>0</v>
      </c>
      <c r="H130" s="110">
        <f>'TAR2013 Tarieven AD'!H310</f>
        <v>0</v>
      </c>
      <c r="I130" s="110">
        <f>'TAR2013 Tarieven AD'!I310</f>
        <v>6990</v>
      </c>
      <c r="J130" s="110">
        <f>'TAR2013 Tarieven AD'!J310</f>
        <v>2580</v>
      </c>
      <c r="K130" s="110">
        <f>'TAR2013 Tarieven AD'!K310</f>
        <v>4615</v>
      </c>
      <c r="L130" s="110">
        <f>'TAR2013 Tarieven AD'!L310</f>
        <v>7539</v>
      </c>
      <c r="M130" s="110">
        <f>'TAR2013 Tarieven AD'!M310</f>
        <v>0</v>
      </c>
      <c r="N130" s="110">
        <f>'TAR2013 Tarieven AD'!N310</f>
        <v>5950.55</v>
      </c>
      <c r="O130" s="110">
        <f>'TAR2013 Tarieven AD'!O310</f>
        <v>0</v>
      </c>
    </row>
    <row r="131" spans="2:15">
      <c r="B131" s="23" t="s">
        <v>300</v>
      </c>
      <c r="D131" s="51" t="s">
        <v>186</v>
      </c>
      <c r="F131" s="109"/>
      <c r="G131" s="110">
        <f>'TAR2013 Tarieven AD'!G311</f>
        <v>0</v>
      </c>
      <c r="H131" s="110">
        <f>'TAR2013 Tarieven AD'!H311</f>
        <v>0</v>
      </c>
      <c r="I131" s="110">
        <f>'TAR2013 Tarieven AD'!I311</f>
        <v>7700</v>
      </c>
      <c r="J131" s="110">
        <f>'TAR2013 Tarieven AD'!J311</f>
        <v>2580</v>
      </c>
      <c r="K131" s="110">
        <f>'TAR2013 Tarieven AD'!K311</f>
        <v>5074</v>
      </c>
      <c r="L131" s="110">
        <f>'TAR2013 Tarieven AD'!L311</f>
        <v>7539</v>
      </c>
      <c r="M131" s="110">
        <f>'TAR2013 Tarieven AD'!M311</f>
        <v>0</v>
      </c>
      <c r="N131" s="110">
        <f>'TAR2013 Tarieven AD'!N311</f>
        <v>5950.55</v>
      </c>
      <c r="O131" s="110">
        <f>'TAR2013 Tarieven AD'!O311</f>
        <v>0</v>
      </c>
    </row>
    <row r="132" spans="2:15">
      <c r="B132" s="23" t="s">
        <v>301</v>
      </c>
      <c r="D132" s="51" t="s">
        <v>186</v>
      </c>
      <c r="F132" s="109"/>
      <c r="G132" s="110">
        <f>'TAR2013 Tarieven AD'!G312</f>
        <v>0</v>
      </c>
      <c r="H132" s="110">
        <f>'TAR2013 Tarieven AD'!H312</f>
        <v>0</v>
      </c>
      <c r="I132" s="110">
        <f>'TAR2013 Tarieven AD'!I312</f>
        <v>8460</v>
      </c>
      <c r="J132" s="110">
        <f>'TAR2013 Tarieven AD'!J312</f>
        <v>0</v>
      </c>
      <c r="K132" s="110">
        <f>'TAR2013 Tarieven AD'!K312</f>
        <v>5583</v>
      </c>
      <c r="L132" s="110">
        <f>'TAR2013 Tarieven AD'!L312</f>
        <v>0</v>
      </c>
      <c r="M132" s="110">
        <f>'TAR2013 Tarieven AD'!M312</f>
        <v>0</v>
      </c>
      <c r="N132" s="110">
        <f>'TAR2013 Tarieven AD'!N312</f>
        <v>5950.55</v>
      </c>
      <c r="O132" s="110">
        <f>'TAR2013 Tarieven AD'!O312</f>
        <v>0</v>
      </c>
    </row>
    <row r="133" spans="2:15">
      <c r="B133" s="23"/>
      <c r="F133" s="109"/>
    </row>
    <row r="134" spans="2:15">
      <c r="B134" s="108" t="s">
        <v>289</v>
      </c>
      <c r="F134" s="109"/>
    </row>
    <row r="135" spans="2:15">
      <c r="B135" s="61" t="s">
        <v>292</v>
      </c>
      <c r="D135" s="51" t="s">
        <v>186</v>
      </c>
      <c r="F135" s="109"/>
      <c r="G135" s="110">
        <f>'TAR2013 Tarieven AD'!G315</f>
        <v>8260.42</v>
      </c>
      <c r="H135" s="110">
        <f>'TAR2013 Tarieven AD'!H315</f>
        <v>16250.24</v>
      </c>
      <c r="I135" s="110">
        <f>'TAR2013 Tarieven AD'!I315</f>
        <v>2030</v>
      </c>
      <c r="J135" s="110">
        <f>'TAR2013 Tarieven AD'!J315</f>
        <v>1180</v>
      </c>
      <c r="K135" s="110">
        <f>'TAR2013 Tarieven AD'!K315</f>
        <v>1949</v>
      </c>
      <c r="L135" s="110">
        <f>'TAR2013 Tarieven AD'!L315</f>
        <v>7539</v>
      </c>
      <c r="M135" s="110">
        <f>'TAR2013 Tarieven AD'!M315</f>
        <v>2020</v>
      </c>
      <c r="N135" s="110">
        <f>'TAR2013 Tarieven AD'!N315</f>
        <v>6148.41</v>
      </c>
      <c r="O135" s="110">
        <f>'TAR2013 Tarieven AD'!O315</f>
        <v>0</v>
      </c>
    </row>
    <row r="136" spans="2:15">
      <c r="B136" s="61" t="s">
        <v>293</v>
      </c>
      <c r="D136" s="51" t="s">
        <v>186</v>
      </c>
      <c r="F136" s="109"/>
      <c r="G136" s="110">
        <f>'TAR2013 Tarieven AD'!G316</f>
        <v>8260.42</v>
      </c>
      <c r="H136" s="110">
        <f>'TAR2013 Tarieven AD'!H316</f>
        <v>16250.24</v>
      </c>
      <c r="I136" s="110">
        <f>'TAR2013 Tarieven AD'!I316</f>
        <v>2480</v>
      </c>
      <c r="J136" s="110">
        <f>'TAR2013 Tarieven AD'!J316</f>
        <v>1180</v>
      </c>
      <c r="K136" s="110">
        <f>'TAR2013 Tarieven AD'!K316</f>
        <v>1949</v>
      </c>
      <c r="L136" s="110">
        <f>'TAR2013 Tarieven AD'!L316</f>
        <v>7539</v>
      </c>
      <c r="M136" s="110">
        <f>'TAR2013 Tarieven AD'!M316</f>
        <v>2020</v>
      </c>
      <c r="N136" s="110">
        <f>'TAR2013 Tarieven AD'!N316</f>
        <v>6148.41</v>
      </c>
      <c r="O136" s="110">
        <f>'TAR2013 Tarieven AD'!O316</f>
        <v>0</v>
      </c>
    </row>
    <row r="137" spans="2:15">
      <c r="B137" s="61" t="s">
        <v>294</v>
      </c>
      <c r="D137" s="51" t="s">
        <v>186</v>
      </c>
      <c r="F137" s="109"/>
      <c r="G137" s="110">
        <f>'TAR2013 Tarieven AD'!G317</f>
        <v>8260.42</v>
      </c>
      <c r="H137" s="110">
        <f>'TAR2013 Tarieven AD'!H317</f>
        <v>16988.89</v>
      </c>
      <c r="I137" s="110">
        <f>'TAR2013 Tarieven AD'!I317</f>
        <v>2905</v>
      </c>
      <c r="J137" s="110">
        <f>'TAR2013 Tarieven AD'!J317</f>
        <v>2580</v>
      </c>
      <c r="K137" s="110">
        <f>'TAR2013 Tarieven AD'!K317</f>
        <v>2769</v>
      </c>
      <c r="L137" s="110">
        <f>'TAR2013 Tarieven AD'!L317</f>
        <v>7539</v>
      </c>
      <c r="M137" s="110">
        <f>'TAR2013 Tarieven AD'!M317</f>
        <v>2020</v>
      </c>
      <c r="N137" s="110">
        <f>'TAR2013 Tarieven AD'!N317</f>
        <v>6148.41</v>
      </c>
      <c r="O137" s="110">
        <f>'TAR2013 Tarieven AD'!O317</f>
        <v>0</v>
      </c>
    </row>
    <row r="138" spans="2:15">
      <c r="B138" s="61" t="s">
        <v>295</v>
      </c>
      <c r="D138" s="51" t="s">
        <v>186</v>
      </c>
      <c r="F138" s="109"/>
      <c r="G138" s="110">
        <f>'TAR2013 Tarieven AD'!G318</f>
        <v>8260.42</v>
      </c>
      <c r="H138" s="110">
        <f>'TAR2013 Tarieven AD'!H318</f>
        <v>16988.89</v>
      </c>
      <c r="I138" s="110">
        <f>'TAR2013 Tarieven AD'!I318</f>
        <v>4100</v>
      </c>
      <c r="J138" s="110">
        <f>'TAR2013 Tarieven AD'!J318</f>
        <v>2580</v>
      </c>
      <c r="K138" s="110">
        <f>'TAR2013 Tarieven AD'!K318</f>
        <v>3021</v>
      </c>
      <c r="L138" s="110">
        <f>'TAR2013 Tarieven AD'!L318</f>
        <v>7539</v>
      </c>
      <c r="M138" s="110">
        <f>'TAR2013 Tarieven AD'!M318</f>
        <v>2020</v>
      </c>
      <c r="N138" s="110">
        <f>'TAR2013 Tarieven AD'!N318</f>
        <v>6148.41</v>
      </c>
      <c r="O138" s="110">
        <f>'TAR2013 Tarieven AD'!O318</f>
        <v>0</v>
      </c>
    </row>
    <row r="139" spans="2:15">
      <c r="B139" s="26" t="s">
        <v>296</v>
      </c>
      <c r="D139" s="51" t="s">
        <v>186</v>
      </c>
      <c r="F139" s="109"/>
      <c r="G139" s="110">
        <f>'TAR2013 Tarieven AD'!G319</f>
        <v>8260.42</v>
      </c>
      <c r="H139" s="110">
        <f>'TAR2013 Tarieven AD'!H319</f>
        <v>16988.89</v>
      </c>
      <c r="I139" s="110">
        <f>'TAR2013 Tarieven AD'!I319</f>
        <v>5290</v>
      </c>
      <c r="J139" s="110">
        <f>'TAR2013 Tarieven AD'!J319</f>
        <v>2580</v>
      </c>
      <c r="K139" s="110">
        <f>'TAR2013 Tarieven AD'!K319</f>
        <v>3322</v>
      </c>
      <c r="L139" s="110">
        <f>'TAR2013 Tarieven AD'!L319</f>
        <v>7539</v>
      </c>
      <c r="M139" s="110">
        <f>'TAR2013 Tarieven AD'!M319</f>
        <v>2020</v>
      </c>
      <c r="N139" s="110">
        <f>'TAR2013 Tarieven AD'!N319</f>
        <v>6148.41</v>
      </c>
      <c r="O139" s="110">
        <f>'TAR2013 Tarieven AD'!O319</f>
        <v>0</v>
      </c>
    </row>
    <row r="140" spans="2:15">
      <c r="B140" s="61" t="s">
        <v>297</v>
      </c>
      <c r="D140" s="51" t="s">
        <v>186</v>
      </c>
      <c r="F140" s="109"/>
      <c r="G140" s="110">
        <f>'TAR2013 Tarieven AD'!G320</f>
        <v>8881.2000000000007</v>
      </c>
      <c r="H140" s="110">
        <f>'TAR2013 Tarieven AD'!H320</f>
        <v>18613.91</v>
      </c>
      <c r="I140" s="110">
        <f>'TAR2013 Tarieven AD'!I320</f>
        <v>5780</v>
      </c>
      <c r="J140" s="110">
        <f>'TAR2013 Tarieven AD'!J320</f>
        <v>2580</v>
      </c>
      <c r="K140" s="110">
        <f>'TAR2013 Tarieven AD'!K320</f>
        <v>3809</v>
      </c>
      <c r="L140" s="110">
        <f>'TAR2013 Tarieven AD'!L320</f>
        <v>7539</v>
      </c>
      <c r="M140" s="110">
        <f>'TAR2013 Tarieven AD'!M320</f>
        <v>2020</v>
      </c>
      <c r="N140" s="110">
        <f>'TAR2013 Tarieven AD'!N320</f>
        <v>6148.41</v>
      </c>
      <c r="O140" s="110">
        <f>'TAR2013 Tarieven AD'!O320</f>
        <v>0</v>
      </c>
    </row>
    <row r="141" spans="2:15">
      <c r="B141" s="61" t="s">
        <v>298</v>
      </c>
      <c r="D141" s="51" t="s">
        <v>186</v>
      </c>
      <c r="F141" s="109"/>
      <c r="G141" s="110">
        <f>'TAR2013 Tarieven AD'!G321</f>
        <v>8881.2000000000007</v>
      </c>
      <c r="H141" s="110">
        <f>'TAR2013 Tarieven AD'!H321</f>
        <v>18613.91</v>
      </c>
      <c r="I141" s="110">
        <f>'TAR2013 Tarieven AD'!I321</f>
        <v>6360</v>
      </c>
      <c r="J141" s="110">
        <f>'TAR2013 Tarieven AD'!J321</f>
        <v>2580</v>
      </c>
      <c r="K141" s="110">
        <f>'TAR2013 Tarieven AD'!K321</f>
        <v>4195</v>
      </c>
      <c r="L141" s="110">
        <f>'TAR2013 Tarieven AD'!L321</f>
        <v>7539</v>
      </c>
      <c r="M141" s="110">
        <f>'TAR2013 Tarieven AD'!M321</f>
        <v>2450</v>
      </c>
      <c r="N141" s="110">
        <f>'TAR2013 Tarieven AD'!N321</f>
        <v>6148.41</v>
      </c>
      <c r="O141" s="110">
        <f>'TAR2013 Tarieven AD'!O321</f>
        <v>0</v>
      </c>
    </row>
    <row r="142" spans="2:15">
      <c r="B142" s="61" t="s">
        <v>299</v>
      </c>
      <c r="D142" s="51" t="s">
        <v>186</v>
      </c>
      <c r="F142" s="109"/>
      <c r="G142" s="110">
        <f>'TAR2013 Tarieven AD'!G322</f>
        <v>8881.2000000000007</v>
      </c>
      <c r="H142" s="110">
        <f>'TAR2013 Tarieven AD'!H322</f>
        <v>0</v>
      </c>
      <c r="I142" s="110">
        <f>'TAR2013 Tarieven AD'!I322</f>
        <v>6990</v>
      </c>
      <c r="J142" s="110">
        <f>'TAR2013 Tarieven AD'!J322</f>
        <v>2580</v>
      </c>
      <c r="K142" s="110">
        <f>'TAR2013 Tarieven AD'!K322</f>
        <v>4615</v>
      </c>
      <c r="L142" s="110">
        <f>'TAR2013 Tarieven AD'!L322</f>
        <v>7539</v>
      </c>
      <c r="M142" s="110">
        <f>'TAR2013 Tarieven AD'!M322</f>
        <v>2450</v>
      </c>
      <c r="N142" s="110">
        <f>'TAR2013 Tarieven AD'!N322</f>
        <v>6148.41</v>
      </c>
      <c r="O142" s="110">
        <f>'TAR2013 Tarieven AD'!O322</f>
        <v>0</v>
      </c>
    </row>
    <row r="143" spans="2:15">
      <c r="B143" s="23" t="s">
        <v>300</v>
      </c>
      <c r="D143" s="51" t="s">
        <v>186</v>
      </c>
      <c r="F143" s="109"/>
      <c r="G143" s="110">
        <f>'TAR2013 Tarieven AD'!G323</f>
        <v>0</v>
      </c>
      <c r="H143" s="110">
        <f>'TAR2013 Tarieven AD'!H323</f>
        <v>0</v>
      </c>
      <c r="I143" s="110">
        <f>'TAR2013 Tarieven AD'!I323</f>
        <v>7700</v>
      </c>
      <c r="J143" s="110">
        <f>'TAR2013 Tarieven AD'!J323</f>
        <v>2580</v>
      </c>
      <c r="K143" s="110">
        <f>'TAR2013 Tarieven AD'!K323</f>
        <v>5074</v>
      </c>
      <c r="L143" s="110">
        <f>'TAR2013 Tarieven AD'!L323</f>
        <v>0</v>
      </c>
      <c r="M143" s="110">
        <f>'TAR2013 Tarieven AD'!M323</f>
        <v>2450</v>
      </c>
      <c r="N143" s="110">
        <f>'TAR2013 Tarieven AD'!N323</f>
        <v>6148.41</v>
      </c>
      <c r="O143" s="110">
        <f>'TAR2013 Tarieven AD'!O323</f>
        <v>0</v>
      </c>
    </row>
    <row r="144" spans="2:15">
      <c r="B144" s="23" t="s">
        <v>301</v>
      </c>
      <c r="D144" s="51" t="s">
        <v>186</v>
      </c>
      <c r="F144" s="109"/>
      <c r="G144" s="110">
        <f>'TAR2013 Tarieven AD'!G324</f>
        <v>0</v>
      </c>
      <c r="H144" s="110">
        <f>'TAR2013 Tarieven AD'!H324</f>
        <v>0</v>
      </c>
      <c r="I144" s="110">
        <f>'TAR2013 Tarieven AD'!I324</f>
        <v>8460</v>
      </c>
      <c r="J144" s="110">
        <f>'TAR2013 Tarieven AD'!J324</f>
        <v>2580</v>
      </c>
      <c r="K144" s="110">
        <f>'TAR2013 Tarieven AD'!K324</f>
        <v>5583</v>
      </c>
      <c r="L144" s="110">
        <f>'TAR2013 Tarieven AD'!L324</f>
        <v>0</v>
      </c>
      <c r="M144" s="110">
        <f>'TAR2013 Tarieven AD'!M324</f>
        <v>2450</v>
      </c>
      <c r="N144" s="110">
        <f>'TAR2013 Tarieven AD'!N324</f>
        <v>6148.41</v>
      </c>
      <c r="O144" s="110">
        <f>'TAR2013 Tarieven AD'!O324</f>
        <v>0</v>
      </c>
    </row>
    <row r="145" spans="2:15">
      <c r="B145" s="23"/>
      <c r="D145" s="51"/>
      <c r="F145" s="50"/>
    </row>
    <row r="146" spans="2:15">
      <c r="B146" s="108" t="s">
        <v>290</v>
      </c>
      <c r="D146" s="51"/>
      <c r="F146" s="50"/>
    </row>
    <row r="147" spans="2:15">
      <c r="B147" s="23" t="s">
        <v>302</v>
      </c>
      <c r="D147" s="51" t="s">
        <v>186</v>
      </c>
      <c r="F147" s="109"/>
      <c r="G147" s="110">
        <f>'TAR2013 Tarieven AD'!G327</f>
        <v>0</v>
      </c>
      <c r="H147" s="110">
        <f>'TAR2013 Tarieven AD'!H327</f>
        <v>0</v>
      </c>
      <c r="I147" s="110">
        <f>'TAR2013 Tarieven AD'!I327</f>
        <v>0</v>
      </c>
      <c r="J147" s="110">
        <f>'TAR2013 Tarieven AD'!J327</f>
        <v>0</v>
      </c>
      <c r="K147" s="110">
        <f>'TAR2013 Tarieven AD'!K327</f>
        <v>0</v>
      </c>
      <c r="L147" s="110">
        <f>'TAR2013 Tarieven AD'!L327</f>
        <v>0</v>
      </c>
      <c r="M147" s="110">
        <f>'TAR2013 Tarieven AD'!M327</f>
        <v>0</v>
      </c>
      <c r="N147" s="110">
        <f>'TAR2013 Tarieven AD'!N327</f>
        <v>0</v>
      </c>
      <c r="O147" s="110">
        <f>'TAR2013 Tarieven AD'!O327</f>
        <v>0</v>
      </c>
    </row>
    <row r="148" spans="2:15">
      <c r="F148" s="28"/>
    </row>
    <row r="149" spans="2:15">
      <c r="F149" s="28"/>
    </row>
    <row r="150" spans="2:15" s="2" customFormat="1">
      <c r="B150" s="2" t="s">
        <v>326</v>
      </c>
      <c r="F150" s="49"/>
    </row>
    <row r="151" spans="2:15">
      <c r="F151" s="47"/>
    </row>
    <row r="152" spans="2:15">
      <c r="B152" s="22" t="s">
        <v>327</v>
      </c>
      <c r="F152" s="47"/>
      <c r="H152" s="90"/>
    </row>
    <row r="153" spans="2:15">
      <c r="B153" s="90" t="s">
        <v>262</v>
      </c>
      <c r="D153" s="51" t="s">
        <v>186</v>
      </c>
      <c r="F153" s="47"/>
      <c r="G153" s="110">
        <f>G22</f>
        <v>32.76</v>
      </c>
      <c r="H153" s="110">
        <f t="shared" ref="H153:O153" si="0">H22</f>
        <v>24.72</v>
      </c>
      <c r="I153" s="110">
        <f t="shared" si="0"/>
        <v>0</v>
      </c>
      <c r="J153" s="110">
        <f t="shared" si="0"/>
        <v>0</v>
      </c>
      <c r="K153" s="110">
        <f t="shared" si="0"/>
        <v>29.88</v>
      </c>
      <c r="L153" s="110">
        <f t="shared" si="0"/>
        <v>38.049999999999997</v>
      </c>
      <c r="M153" s="110">
        <f t="shared" si="0"/>
        <v>0</v>
      </c>
      <c r="N153" s="110">
        <f t="shared" si="0"/>
        <v>0</v>
      </c>
      <c r="O153" s="110">
        <f t="shared" si="0"/>
        <v>0</v>
      </c>
    </row>
    <row r="154" spans="2:15">
      <c r="B154" s="89" t="s">
        <v>263</v>
      </c>
      <c r="D154" s="51" t="s">
        <v>186</v>
      </c>
      <c r="F154" s="47"/>
      <c r="G154" s="110">
        <f t="shared" ref="G154:O155" si="1">G23</f>
        <v>21.89</v>
      </c>
      <c r="H154" s="110">
        <f t="shared" si="1"/>
        <v>24.72</v>
      </c>
      <c r="I154" s="110">
        <f t="shared" si="1"/>
        <v>0</v>
      </c>
      <c r="J154" s="110">
        <f t="shared" si="1"/>
        <v>0</v>
      </c>
      <c r="K154" s="110">
        <f t="shared" si="1"/>
        <v>17.16</v>
      </c>
      <c r="L154" s="110">
        <f t="shared" si="1"/>
        <v>27.66</v>
      </c>
      <c r="M154" s="110">
        <f t="shared" si="1"/>
        <v>0</v>
      </c>
      <c r="N154" s="110">
        <f t="shared" si="1"/>
        <v>0</v>
      </c>
      <c r="O154" s="110">
        <f t="shared" si="1"/>
        <v>0</v>
      </c>
    </row>
    <row r="155" spans="2:15">
      <c r="B155" s="90" t="s">
        <v>264</v>
      </c>
      <c r="D155" s="51" t="s">
        <v>186</v>
      </c>
      <c r="F155" s="47"/>
      <c r="G155" s="110">
        <f t="shared" si="1"/>
        <v>0</v>
      </c>
      <c r="H155" s="110">
        <f t="shared" si="1"/>
        <v>0</v>
      </c>
      <c r="I155" s="110">
        <f t="shared" si="1"/>
        <v>24.564499999999999</v>
      </c>
      <c r="J155" s="110">
        <f t="shared" si="1"/>
        <v>26</v>
      </c>
      <c r="K155" s="110">
        <f t="shared" si="1"/>
        <v>0</v>
      </c>
      <c r="L155" s="110">
        <f t="shared" si="1"/>
        <v>0</v>
      </c>
      <c r="M155" s="110">
        <f t="shared" si="1"/>
        <v>30.387999999999998</v>
      </c>
      <c r="N155" s="110">
        <f t="shared" si="1"/>
        <v>31.06</v>
      </c>
      <c r="O155" s="110">
        <f t="shared" si="1"/>
        <v>0</v>
      </c>
    </row>
    <row r="156" spans="2:15">
      <c r="B156" s="22"/>
      <c r="F156" s="47"/>
      <c r="H156" s="90"/>
    </row>
    <row r="157" spans="2:15">
      <c r="B157" s="22" t="s">
        <v>328</v>
      </c>
      <c r="F157" s="47"/>
      <c r="H157" s="90"/>
    </row>
    <row r="158" spans="2:15">
      <c r="B158" s="90" t="s">
        <v>262</v>
      </c>
      <c r="D158" s="51" t="s">
        <v>186</v>
      </c>
      <c r="F158" s="47"/>
      <c r="G158" s="97">
        <f>'Berekening rekenvolumes'!G19</f>
        <v>7366.3888888888878</v>
      </c>
      <c r="H158" s="97">
        <f>'Berekening rekenvolumes'!H19</f>
        <v>12207.361111111109</v>
      </c>
      <c r="I158" s="97">
        <f>'Berekening rekenvolumes'!I19</f>
        <v>0</v>
      </c>
      <c r="J158" s="97">
        <f>'Berekening rekenvolumes'!J19</f>
        <v>0</v>
      </c>
      <c r="K158" s="97">
        <f>'Berekening rekenvolumes'!K19</f>
        <v>136101.36111111112</v>
      </c>
      <c r="L158" s="97">
        <f>'Berekening rekenvolumes'!L19</f>
        <v>3784.7566666666667</v>
      </c>
      <c r="M158" s="97">
        <f>'Berekening rekenvolumes'!M19</f>
        <v>0</v>
      </c>
      <c r="N158" s="97">
        <f>'Berekening rekenvolumes'!N19</f>
        <v>0</v>
      </c>
      <c r="O158" s="97">
        <f>'Berekening rekenvolumes'!O19</f>
        <v>0</v>
      </c>
    </row>
    <row r="159" spans="2:15">
      <c r="B159" s="89" t="s">
        <v>263</v>
      </c>
      <c r="D159" s="51" t="s">
        <v>186</v>
      </c>
      <c r="F159" s="47"/>
      <c r="G159" s="97">
        <f>'Berekening rekenvolumes'!G20</f>
        <v>23341.638888888891</v>
      </c>
      <c r="H159" s="97">
        <f>'Berekening rekenvolumes'!H20</f>
        <v>48604.709229772852</v>
      </c>
      <c r="I159" s="97">
        <f>'Berekening rekenvolumes'!I20</f>
        <v>0</v>
      </c>
      <c r="J159" s="97">
        <f>'Berekening rekenvolumes'!J20</f>
        <v>0</v>
      </c>
      <c r="K159" s="97">
        <f>'Berekening rekenvolumes'!K20</f>
        <v>529847.85680978966</v>
      </c>
      <c r="L159" s="97">
        <f>'Berekening rekenvolumes'!L20</f>
        <v>26392.39333333333</v>
      </c>
      <c r="M159" s="97">
        <f>'Berekening rekenvolumes'!M20</f>
        <v>0</v>
      </c>
      <c r="N159" s="97">
        <f>'Berekening rekenvolumes'!N20</f>
        <v>0</v>
      </c>
      <c r="O159" s="97">
        <f>'Berekening rekenvolumes'!O20</f>
        <v>0</v>
      </c>
    </row>
    <row r="160" spans="2:15">
      <c r="B160" s="90" t="s">
        <v>264</v>
      </c>
      <c r="D160" s="51" t="s">
        <v>186</v>
      </c>
      <c r="F160" s="47"/>
      <c r="G160" s="97">
        <f>'Berekening rekenvolumes'!G21</f>
        <v>0</v>
      </c>
      <c r="H160" s="97">
        <f>'Berekening rekenvolumes'!H21</f>
        <v>0</v>
      </c>
      <c r="I160" s="97">
        <f>'Berekening rekenvolumes'!I21</f>
        <v>153419.88261245476</v>
      </c>
      <c r="J160" s="97">
        <f>'Berekening rekenvolumes'!J21</f>
        <v>746574.67327855539</v>
      </c>
      <c r="K160" s="97">
        <f>'Berekening rekenvolumes'!K21</f>
        <v>0</v>
      </c>
      <c r="L160" s="97">
        <f>'Berekening rekenvolumes'!L21</f>
        <v>0</v>
      </c>
      <c r="M160" s="97">
        <f>'Berekening rekenvolumes'!M21</f>
        <v>650423.1834578244</v>
      </c>
      <c r="N160" s="97">
        <f>'Berekening rekenvolumes'!N21</f>
        <v>328021.69104539836</v>
      </c>
      <c r="O160" s="97">
        <f>'Berekening rekenvolumes'!O21</f>
        <v>0</v>
      </c>
    </row>
    <row r="161" spans="2:17">
      <c r="B161" s="90" t="s">
        <v>329</v>
      </c>
      <c r="D161" s="51" t="s">
        <v>186</v>
      </c>
      <c r="F161" s="47"/>
      <c r="G161" s="97">
        <f>'Berekening rekenvolumes'!G22</f>
        <v>30708.027777777777</v>
      </c>
      <c r="H161" s="97">
        <f>'Berekening rekenvolumes'!H22</f>
        <v>60812.070340883954</v>
      </c>
      <c r="I161" s="97">
        <f>'Berekening rekenvolumes'!I22</f>
        <v>153419.88261245476</v>
      </c>
      <c r="J161" s="97">
        <f>'Berekening rekenvolumes'!J22</f>
        <v>746574.67327855539</v>
      </c>
      <c r="K161" s="97">
        <f>'Berekening rekenvolumes'!K22</f>
        <v>665949.21792090079</v>
      </c>
      <c r="L161" s="97">
        <f>'Berekening rekenvolumes'!L22</f>
        <v>30177.149999999998</v>
      </c>
      <c r="M161" s="97">
        <f>'Berekening rekenvolumes'!M22</f>
        <v>650423.1834578244</v>
      </c>
      <c r="N161" s="97">
        <f>'Berekening rekenvolumes'!N22</f>
        <v>328021.69104539836</v>
      </c>
      <c r="O161" s="97">
        <f>'Berekening rekenvolumes'!O22</f>
        <v>0</v>
      </c>
    </row>
    <row r="162" spans="2:17">
      <c r="B162" s="22"/>
      <c r="F162" s="47"/>
      <c r="H162" s="90"/>
    </row>
    <row r="163" spans="2:17">
      <c r="B163" s="22" t="s">
        <v>330</v>
      </c>
      <c r="F163" s="47"/>
      <c r="H163" s="90"/>
    </row>
    <row r="164" spans="2:17">
      <c r="B164" s="90" t="s">
        <v>329</v>
      </c>
      <c r="D164" s="51" t="s">
        <v>186</v>
      </c>
      <c r="F164" s="47"/>
      <c r="G164" s="106">
        <f>IF(G155=0,(G153*G158+G154*G159)/G161,G155)</f>
        <v>24.497547700610319</v>
      </c>
      <c r="H164" s="106">
        <f t="shared" ref="H164:N164" si="2">IF(H155=0,(H153*H158+H154*H159)/H161,H155)</f>
        <v>24.720000000000002</v>
      </c>
      <c r="I164" s="106">
        <f t="shared" si="2"/>
        <v>24.564499999999999</v>
      </c>
      <c r="J164" s="106">
        <f t="shared" si="2"/>
        <v>26</v>
      </c>
      <c r="K164" s="106">
        <f t="shared" si="2"/>
        <v>19.759611602125133</v>
      </c>
      <c r="L164" s="106">
        <f t="shared" si="2"/>
        <v>28.963092630240649</v>
      </c>
      <c r="M164" s="106">
        <f t="shared" si="2"/>
        <v>30.387999999999998</v>
      </c>
      <c r="N164" s="106">
        <f t="shared" si="2"/>
        <v>31.06</v>
      </c>
      <c r="O164" s="116">
        <v>0</v>
      </c>
    </row>
    <row r="165" spans="2:17">
      <c r="B165" s="22"/>
      <c r="F165" s="47"/>
      <c r="H165" s="90"/>
    </row>
    <row r="166" spans="2:17">
      <c r="F166" s="50"/>
    </row>
    <row r="167" spans="2:17" s="2" customFormat="1">
      <c r="B167" s="2" t="s">
        <v>516</v>
      </c>
      <c r="F167" s="49"/>
    </row>
    <row r="168" spans="2:17">
      <c r="F168" s="47"/>
    </row>
    <row r="169" spans="2:17" s="140" customFormat="1">
      <c r="B169" s="141" t="s">
        <v>557</v>
      </c>
      <c r="C169" s="142"/>
      <c r="E169" s="142"/>
      <c r="F169" s="142"/>
      <c r="G169" s="142"/>
      <c r="H169" s="142"/>
      <c r="I169" s="142"/>
      <c r="J169" s="142"/>
      <c r="K169" s="142"/>
      <c r="L169" s="142"/>
      <c r="M169" s="143"/>
    </row>
    <row r="170" spans="2:17" s="140" customFormat="1">
      <c r="B170" s="142" t="s">
        <v>454</v>
      </c>
      <c r="C170" s="142"/>
      <c r="D170" s="51" t="s">
        <v>186</v>
      </c>
      <c r="E170" s="142"/>
      <c r="F170" s="144">
        <f>SUM(G170:O170)</f>
        <v>927746.24616593693</v>
      </c>
      <c r="G170" s="145">
        <v>-308621.91999196913</v>
      </c>
      <c r="H170" s="145">
        <v>29629.785200140224</v>
      </c>
      <c r="I170" s="145">
        <v>0</v>
      </c>
      <c r="J170" s="148">
        <v>-25890.491100140149</v>
      </c>
      <c r="K170" s="145">
        <v>1577035.3810538438</v>
      </c>
      <c r="L170" s="146">
        <v>-70633.44286670108</v>
      </c>
      <c r="M170" s="146">
        <v>-273773.0661292366</v>
      </c>
      <c r="N170" s="149">
        <v>0</v>
      </c>
      <c r="O170" s="149">
        <v>0</v>
      </c>
      <c r="Q170" s="200" t="s">
        <v>984</v>
      </c>
    </row>
    <row r="171" spans="2:17">
      <c r="F171" s="47"/>
    </row>
    <row r="172" spans="2:17">
      <c r="B172" s="3" t="s">
        <v>455</v>
      </c>
      <c r="F172" s="47"/>
    </row>
    <row r="173" spans="2:17">
      <c r="B173" s="142" t="s">
        <v>454</v>
      </c>
      <c r="D173" s="51" t="s">
        <v>186</v>
      </c>
      <c r="F173" s="144">
        <f>SUM(G173:O173)</f>
        <v>927746.24616593693</v>
      </c>
      <c r="G173" s="111">
        <f t="shared" ref="G173:O173" si="3">G170</f>
        <v>-308621.91999196913</v>
      </c>
      <c r="H173" s="111">
        <f t="shared" si="3"/>
        <v>29629.785200140224</v>
      </c>
      <c r="I173" s="111">
        <f t="shared" si="3"/>
        <v>0</v>
      </c>
      <c r="J173" s="111">
        <f t="shared" si="3"/>
        <v>-25890.491100140149</v>
      </c>
      <c r="K173" s="111">
        <f t="shared" si="3"/>
        <v>1577035.3810538438</v>
      </c>
      <c r="L173" s="111">
        <f t="shared" si="3"/>
        <v>-70633.44286670108</v>
      </c>
      <c r="M173" s="111">
        <f t="shared" si="3"/>
        <v>-273773.0661292366</v>
      </c>
      <c r="N173" s="111">
        <f t="shared" si="3"/>
        <v>0</v>
      </c>
      <c r="O173" s="111">
        <f t="shared" si="3"/>
        <v>0</v>
      </c>
    </row>
    <row r="174" spans="2:17">
      <c r="F174" s="47"/>
    </row>
    <row r="175" spans="2:17">
      <c r="B175" s="3" t="s">
        <v>457</v>
      </c>
      <c r="F175" s="47"/>
      <c r="J175" s="147"/>
    </row>
    <row r="176" spans="2:17">
      <c r="B176" s="153" t="s">
        <v>459</v>
      </c>
      <c r="D176" s="51" t="s">
        <v>186</v>
      </c>
      <c r="F176" s="144">
        <f>SUM(G176:O176)</f>
        <v>945635631.52958441</v>
      </c>
      <c r="G176" s="98">
        <f>SUMPRODUCT(G13:G24,'Berekening rekenvolumes'!G10:G21)</f>
        <v>18634567.786431625</v>
      </c>
      <c r="H176" s="98">
        <f>SUMPRODUCT(H13:H24,'Berekening rekenvolumes'!H10:H21)</f>
        <v>24008088.887470715</v>
      </c>
      <c r="I176" s="98">
        <f>SUMPRODUCT(I13:I24,'Berekening rekenvolumes'!I10:I21)</f>
        <v>52592010.674433641</v>
      </c>
      <c r="J176" s="98">
        <f>SUMPRODUCT(J13:J24,'Berekening rekenvolumes'!J10:J21)</f>
        <v>270678240.48520708</v>
      </c>
      <c r="K176" s="98">
        <f>SUMPRODUCT(K13:K24,'Berekening rekenvolumes'!K10:K21)</f>
        <v>291783645.42948139</v>
      </c>
      <c r="L176" s="98">
        <f>SUMPRODUCT(L13:L24,'Berekening rekenvolumes'!L10:L21)</f>
        <v>15872986.304099999</v>
      </c>
      <c r="M176" s="98">
        <f>SUMPRODUCT(M13:M24,'Berekening rekenvolumes'!M10:M21)</f>
        <v>255234113.92484358</v>
      </c>
      <c r="N176" s="98">
        <f>SUMPRODUCT(N13:N24,'Berekening rekenvolumes'!N10:N21)</f>
        <v>16831978.037616331</v>
      </c>
      <c r="O176" s="98">
        <f>SUMPRODUCT(O13:O24,'Berekening rekenvolumes'!O10:O21)</f>
        <v>0</v>
      </c>
    </row>
    <row r="177" spans="2:17">
      <c r="B177" s="153" t="s">
        <v>460</v>
      </c>
      <c r="D177" s="51" t="s">
        <v>186</v>
      </c>
      <c r="F177" s="144">
        <f>SUM(G177:O177)</f>
        <v>126080441.83762814</v>
      </c>
      <c r="G177" s="98">
        <f>G13*'Berekening rekenvolumes'!G10+G17*'Berekening rekenvolumes'!G14</f>
        <v>2469174.9230769225</v>
      </c>
      <c r="H177" s="98">
        <f>H13*'Berekening rekenvolumes'!H10+H17*'Berekening rekenvolumes'!H14</f>
        <v>3345349.0050847456</v>
      </c>
      <c r="I177" s="98">
        <f>I13*'Berekening rekenvolumes'!I10+I17*'Berekening rekenvolumes'!I14</f>
        <v>7045560</v>
      </c>
      <c r="J177" s="98">
        <f>J13*'Berekening rekenvolumes'!J10+J17*'Berekening rekenvolumes'!J14</f>
        <v>36487483.205919206</v>
      </c>
      <c r="K177" s="98">
        <f>K13*'Berekening rekenvolumes'!K10+K17*'Berekening rekenvolumes'!K14</f>
        <v>39985975.510203399</v>
      </c>
      <c r="L177" s="98">
        <f>L13*'Berekening rekenvolumes'!L10+L17*'Berekening rekenvolumes'!L14</f>
        <v>1827095.9999999998</v>
      </c>
      <c r="M177" s="98">
        <f>M13*'Berekening rekenvolumes'!M10+M17*'Berekening rekenvolumes'!M14</f>
        <v>34009622.339591146</v>
      </c>
      <c r="N177" s="98">
        <f>N13*'Berekening rekenvolumes'!N10+N17*'Berekening rekenvolumes'!N14</f>
        <v>910180.85375271668</v>
      </c>
      <c r="O177" s="98">
        <f>O13*'Berekening rekenvolumes'!O10+O17*'Berekening rekenvolumes'!O14</f>
        <v>0</v>
      </c>
    </row>
    <row r="178" spans="2:17">
      <c r="B178" s="153" t="s">
        <v>458</v>
      </c>
      <c r="D178" s="51" t="s">
        <v>186</v>
      </c>
      <c r="F178" s="144">
        <f>SUM(G178:O178)</f>
        <v>819555189.69195628</v>
      </c>
      <c r="G178" s="107">
        <f>G176-G177</f>
        <v>16165392.863354703</v>
      </c>
      <c r="H178" s="107">
        <f t="shared" ref="H178:O178" si="4">H176-H177</f>
        <v>20662739.882385969</v>
      </c>
      <c r="I178" s="107">
        <f t="shared" si="4"/>
        <v>45546450.674433641</v>
      </c>
      <c r="J178" s="107">
        <f t="shared" si="4"/>
        <v>234190757.27928787</v>
      </c>
      <c r="K178" s="107">
        <f t="shared" si="4"/>
        <v>251797669.919278</v>
      </c>
      <c r="L178" s="107">
        <f t="shared" si="4"/>
        <v>14045890.304099999</v>
      </c>
      <c r="M178" s="107">
        <f t="shared" si="4"/>
        <v>221224491.58525243</v>
      </c>
      <c r="N178" s="107">
        <f t="shared" si="4"/>
        <v>15921797.183863614</v>
      </c>
      <c r="O178" s="107">
        <f t="shared" si="4"/>
        <v>0</v>
      </c>
    </row>
    <row r="179" spans="2:17">
      <c r="B179" s="154" t="s">
        <v>456</v>
      </c>
      <c r="D179" s="51" t="s">
        <v>135</v>
      </c>
      <c r="F179" s="47"/>
      <c r="G179" s="152">
        <f>IFERROR(G173/G178,0%)</f>
        <v>-1.9091519927831976E-2</v>
      </c>
      <c r="H179" s="152">
        <f t="shared" ref="H179:O179" si="5">IFERROR(H173/H178,0%)</f>
        <v>1.4339717466703556E-3</v>
      </c>
      <c r="I179" s="152">
        <f t="shared" si="5"/>
        <v>0</v>
      </c>
      <c r="J179" s="152">
        <f t="shared" si="5"/>
        <v>-1.1055300132645302E-4</v>
      </c>
      <c r="K179" s="152">
        <f t="shared" si="5"/>
        <v>6.2631055385040466E-3</v>
      </c>
      <c r="L179" s="152">
        <f t="shared" si="5"/>
        <v>-5.0287622455717999E-3</v>
      </c>
      <c r="M179" s="152">
        <f t="shared" si="5"/>
        <v>-1.2375350675118794E-3</v>
      </c>
      <c r="N179" s="152">
        <f t="shared" si="5"/>
        <v>0</v>
      </c>
      <c r="O179" s="152">
        <f t="shared" si="5"/>
        <v>0</v>
      </c>
    </row>
    <row r="180" spans="2:17">
      <c r="F180" s="28"/>
    </row>
    <row r="181" spans="2:17">
      <c r="F181" s="50"/>
    </row>
    <row r="182" spans="2:17" s="2" customFormat="1">
      <c r="B182" s="2" t="s">
        <v>626</v>
      </c>
      <c r="F182" s="49"/>
    </row>
    <row r="183" spans="2:17">
      <c r="F183" s="47"/>
    </row>
    <row r="184" spans="2:17" s="140" customFormat="1">
      <c r="B184" s="3" t="s">
        <v>628</v>
      </c>
      <c r="C184" s="142"/>
      <c r="E184" s="142"/>
      <c r="G184" s="142"/>
      <c r="H184" s="142"/>
      <c r="I184" s="142"/>
      <c r="J184" s="142"/>
      <c r="K184" s="142"/>
      <c r="L184" s="142"/>
      <c r="M184" s="143"/>
    </row>
    <row r="185" spans="2:17" s="140" customFormat="1">
      <c r="B185" s="198" t="s">
        <v>642</v>
      </c>
      <c r="C185" s="142"/>
      <c r="D185" s="51" t="s">
        <v>186</v>
      </c>
      <c r="E185" s="142"/>
      <c r="F185" s="98">
        <f>SUMPRODUCT('TAR2013 Tarieven AD'!G217:O259,'Berekening rekenvolumes'!G35:O77)+SUMPRODUCT('TAR2013 Tarieven AD'!G267:O327,'Berekening rekenvolumes'!G85:O145)</f>
        <v>165091952.28170133</v>
      </c>
      <c r="G185" s="55"/>
      <c r="H185" s="199"/>
      <c r="I185" s="199"/>
      <c r="J185" s="199"/>
      <c r="K185" s="199"/>
      <c r="L185" s="68"/>
      <c r="M185" s="68"/>
      <c r="N185" s="143"/>
      <c r="O185" s="143"/>
      <c r="P185" s="143"/>
      <c r="Q185" s="200"/>
    </row>
    <row r="186" spans="2:17">
      <c r="B186" s="130" t="s">
        <v>644</v>
      </c>
      <c r="D186" s="51" t="s">
        <v>186</v>
      </c>
      <c r="F186" s="205">
        <f>'Genormaliseerde totale kosten'!F189</f>
        <v>185475958.84342375</v>
      </c>
      <c r="G186" s="55"/>
      <c r="H186" s="259"/>
    </row>
    <row r="187" spans="2:17">
      <c r="B187" s="198" t="s">
        <v>643</v>
      </c>
      <c r="D187" s="51" t="s">
        <v>186</v>
      </c>
      <c r="F187" s="203">
        <f>SUMPRODUCT(G198:O209,'Berekening rekenvolumes'!G10:O21)+SUMPRODUCT(G213:O214,'Berekening rekenvolumes'!G25:O26)</f>
        <v>953873875.05058444</v>
      </c>
      <c r="G187" s="29"/>
      <c r="H187" s="259"/>
    </row>
    <row r="188" spans="2:17">
      <c r="B188" s="130" t="s">
        <v>641</v>
      </c>
      <c r="D188" s="51" t="s">
        <v>186</v>
      </c>
      <c r="F188" s="204">
        <f>'Genormaliseerde totale kosten'!F184</f>
        <v>756626249.76478767</v>
      </c>
    </row>
    <row r="189" spans="2:17">
      <c r="B189" s="104"/>
      <c r="F189" s="47"/>
    </row>
    <row r="190" spans="2:17">
      <c r="B190" s="198" t="s">
        <v>627</v>
      </c>
      <c r="F190" s="471">
        <f>(F186/F185)*(F187/F188)</f>
        <v>1.4163522334662393</v>
      </c>
      <c r="Q190" t="s">
        <v>578</v>
      </c>
    </row>
    <row r="191" spans="2:17">
      <c r="F191" s="47"/>
    </row>
    <row r="192" spans="2:17">
      <c r="F192" s="47"/>
    </row>
    <row r="193" spans="2:17" s="2" customFormat="1">
      <c r="B193" s="2" t="s">
        <v>517</v>
      </c>
      <c r="F193" s="49"/>
    </row>
    <row r="194" spans="2:17">
      <c r="F194" s="47"/>
    </row>
    <row r="195" spans="2:17">
      <c r="B195" s="22" t="s">
        <v>207</v>
      </c>
      <c r="F195" s="47"/>
      <c r="H195" s="90"/>
    </row>
    <row r="196" spans="2:17">
      <c r="F196" s="28"/>
    </row>
    <row r="197" spans="2:17">
      <c r="B197" s="103" t="s">
        <v>265</v>
      </c>
      <c r="F197" s="50"/>
    </row>
    <row r="198" spans="2:17">
      <c r="B198" s="89" t="s">
        <v>201</v>
      </c>
      <c r="D198" s="51" t="s">
        <v>186</v>
      </c>
      <c r="F198" s="109"/>
      <c r="G198" s="110">
        <f>G13</f>
        <v>18</v>
      </c>
      <c r="H198" s="110">
        <f t="shared" ref="H198:O198" si="6">H13</f>
        <v>18</v>
      </c>
      <c r="I198" s="110">
        <f t="shared" si="6"/>
        <v>18</v>
      </c>
      <c r="J198" s="110">
        <f t="shared" si="6"/>
        <v>18</v>
      </c>
      <c r="K198" s="110">
        <f t="shared" si="6"/>
        <v>18</v>
      </c>
      <c r="L198" s="110">
        <f t="shared" si="6"/>
        <v>18</v>
      </c>
      <c r="M198" s="110">
        <f t="shared" si="6"/>
        <v>18</v>
      </c>
      <c r="N198" s="110">
        <f t="shared" si="6"/>
        <v>18</v>
      </c>
      <c r="O198" s="110">
        <f t="shared" si="6"/>
        <v>0</v>
      </c>
      <c r="Q198" s="51" t="s">
        <v>577</v>
      </c>
    </row>
    <row r="199" spans="2:17">
      <c r="B199" s="90" t="s">
        <v>202</v>
      </c>
      <c r="D199" s="51" t="s">
        <v>186</v>
      </c>
      <c r="F199" s="109"/>
      <c r="G199" s="106">
        <f t="shared" ref="G199:O199" si="7">G14*(1-G$179)</f>
        <v>30.582936513034237</v>
      </c>
      <c r="H199" s="106">
        <f t="shared" si="7"/>
        <v>29.477669154038288</v>
      </c>
      <c r="I199" s="106">
        <f t="shared" si="7"/>
        <v>28.798499999999997</v>
      </c>
      <c r="J199" s="106">
        <f t="shared" si="7"/>
        <v>28.748777912354932</v>
      </c>
      <c r="K199" s="106">
        <f t="shared" si="7"/>
        <v>30.169852115851015</v>
      </c>
      <c r="L199" s="106">
        <f t="shared" si="7"/>
        <v>35.929778250279192</v>
      </c>
      <c r="M199" s="106">
        <f t="shared" si="7"/>
        <v>30.425606215631547</v>
      </c>
      <c r="N199" s="106">
        <f t="shared" si="7"/>
        <v>23.27</v>
      </c>
      <c r="O199" s="106">
        <f t="shared" si="7"/>
        <v>0</v>
      </c>
      <c r="Q199" s="51" t="s">
        <v>576</v>
      </c>
    </row>
    <row r="200" spans="2:17">
      <c r="B200" s="90"/>
      <c r="F200" s="50"/>
    </row>
    <row r="201" spans="2:17">
      <c r="B201" s="91" t="s">
        <v>266</v>
      </c>
      <c r="F201" s="50"/>
    </row>
    <row r="202" spans="2:17">
      <c r="B202" s="89" t="s">
        <v>201</v>
      </c>
      <c r="D202" s="51" t="s">
        <v>186</v>
      </c>
      <c r="F202" s="109"/>
      <c r="G202" s="110">
        <f t="shared" ref="G202:O202" si="8">G17</f>
        <v>18</v>
      </c>
      <c r="H202" s="110">
        <f t="shared" si="8"/>
        <v>18</v>
      </c>
      <c r="I202" s="110">
        <f t="shared" si="8"/>
        <v>18</v>
      </c>
      <c r="J202" s="110">
        <f t="shared" si="8"/>
        <v>18</v>
      </c>
      <c r="K202" s="110">
        <f t="shared" si="8"/>
        <v>18</v>
      </c>
      <c r="L202" s="110">
        <f t="shared" si="8"/>
        <v>18</v>
      </c>
      <c r="M202" s="110">
        <f t="shared" si="8"/>
        <v>18</v>
      </c>
      <c r="N202" s="110">
        <f t="shared" si="8"/>
        <v>18</v>
      </c>
      <c r="O202" s="110">
        <f t="shared" si="8"/>
        <v>0</v>
      </c>
      <c r="Q202" s="51" t="s">
        <v>577</v>
      </c>
    </row>
    <row r="203" spans="2:17">
      <c r="B203" s="90" t="s">
        <v>202</v>
      </c>
      <c r="D203" s="51" t="s">
        <v>186</v>
      </c>
      <c r="F203" s="109"/>
      <c r="G203" s="106">
        <f t="shared" ref="G203:O203" si="9">G18*(1-G$179)</f>
        <v>30.582936513034237</v>
      </c>
      <c r="H203" s="106">
        <f t="shared" si="9"/>
        <v>29.477669154038288</v>
      </c>
      <c r="I203" s="106">
        <f t="shared" si="9"/>
        <v>28.798499999999997</v>
      </c>
      <c r="J203" s="106">
        <f t="shared" si="9"/>
        <v>28.748777912354932</v>
      </c>
      <c r="K203" s="106">
        <f t="shared" si="9"/>
        <v>30.169852115851015</v>
      </c>
      <c r="L203" s="106">
        <f t="shared" si="9"/>
        <v>35.929778250279192</v>
      </c>
      <c r="M203" s="106">
        <f t="shared" si="9"/>
        <v>30.425606215631547</v>
      </c>
      <c r="N203" s="106">
        <f t="shared" si="9"/>
        <v>23.27</v>
      </c>
      <c r="O203" s="106">
        <f t="shared" si="9"/>
        <v>0</v>
      </c>
      <c r="Q203" s="51" t="s">
        <v>576</v>
      </c>
    </row>
    <row r="204" spans="2:17">
      <c r="B204" s="104"/>
      <c r="F204" s="50"/>
    </row>
    <row r="205" spans="2:17">
      <c r="B205" s="88" t="s">
        <v>204</v>
      </c>
      <c r="F205" s="50"/>
    </row>
    <row r="206" spans="2:17">
      <c r="B206" s="89" t="s">
        <v>201</v>
      </c>
      <c r="D206" s="51" t="s">
        <v>186</v>
      </c>
      <c r="F206" s="109"/>
      <c r="G206" s="106">
        <f t="shared" ref="G206:O206" si="10">G21*(1-G$179)</f>
        <v>288.51500020676849</v>
      </c>
      <c r="H206" s="106">
        <f t="shared" si="10"/>
        <v>577.69041866511623</v>
      </c>
      <c r="I206" s="106">
        <f t="shared" si="10"/>
        <v>828</v>
      </c>
      <c r="J206" s="106">
        <f t="shared" si="10"/>
        <v>1044.115417333385</v>
      </c>
      <c r="K206" s="106">
        <f t="shared" si="10"/>
        <v>822.81414861411861</v>
      </c>
      <c r="L206" s="106">
        <f t="shared" si="10"/>
        <v>690.45475966270783</v>
      </c>
      <c r="M206" s="106">
        <f t="shared" si="10"/>
        <v>795.98384037867186</v>
      </c>
      <c r="N206" s="106">
        <f t="shared" si="10"/>
        <v>60</v>
      </c>
      <c r="O206" s="106">
        <f t="shared" si="10"/>
        <v>0</v>
      </c>
      <c r="Q206" s="51" t="s">
        <v>576</v>
      </c>
    </row>
    <row r="207" spans="2:17">
      <c r="B207" s="90" t="s">
        <v>262</v>
      </c>
      <c r="D207" s="51" t="s">
        <v>186</v>
      </c>
      <c r="F207" s="109"/>
      <c r="G207" s="106">
        <f t="shared" ref="G207:O207" si="11">G22*(1-G$179)</f>
        <v>33.385438192835771</v>
      </c>
      <c r="H207" s="106">
        <f t="shared" si="11"/>
        <v>24.684552218422308</v>
      </c>
      <c r="I207" s="106">
        <f t="shared" si="11"/>
        <v>0</v>
      </c>
      <c r="J207" s="106">
        <f t="shared" si="11"/>
        <v>0</v>
      </c>
      <c r="K207" s="106">
        <f t="shared" si="11"/>
        <v>29.692858406509497</v>
      </c>
      <c r="L207" s="106">
        <f t="shared" si="11"/>
        <v>38.241344403444003</v>
      </c>
      <c r="M207" s="106">
        <f t="shared" si="11"/>
        <v>0</v>
      </c>
      <c r="N207" s="106">
        <f t="shared" si="11"/>
        <v>0</v>
      </c>
      <c r="O207" s="106">
        <f t="shared" si="11"/>
        <v>0</v>
      </c>
      <c r="Q207" s="51" t="s">
        <v>576</v>
      </c>
    </row>
    <row r="208" spans="2:17">
      <c r="B208" s="89" t="s">
        <v>263</v>
      </c>
      <c r="D208" s="51" t="s">
        <v>186</v>
      </c>
      <c r="F208" s="109"/>
      <c r="G208" s="106">
        <f t="shared" ref="G208:O208" si="12">G23*(1-G$179)</f>
        <v>22.307913371220241</v>
      </c>
      <c r="H208" s="106">
        <f t="shared" si="12"/>
        <v>24.684552218422308</v>
      </c>
      <c r="I208" s="106">
        <f t="shared" si="12"/>
        <v>0</v>
      </c>
      <c r="J208" s="106">
        <f t="shared" si="12"/>
        <v>0</v>
      </c>
      <c r="K208" s="106">
        <f t="shared" si="12"/>
        <v>17.052525108959269</v>
      </c>
      <c r="L208" s="106">
        <f t="shared" si="12"/>
        <v>27.799095563712516</v>
      </c>
      <c r="M208" s="106">
        <f t="shared" si="12"/>
        <v>0</v>
      </c>
      <c r="N208" s="106">
        <f t="shared" si="12"/>
        <v>0</v>
      </c>
      <c r="O208" s="106">
        <f t="shared" si="12"/>
        <v>0</v>
      </c>
      <c r="Q208" s="51" t="s">
        <v>576</v>
      </c>
    </row>
    <row r="209" spans="2:17">
      <c r="B209" s="90" t="s">
        <v>264</v>
      </c>
      <c r="D209" s="51" t="s">
        <v>186</v>
      </c>
      <c r="F209" s="109"/>
      <c r="G209" s="106">
        <f t="shared" ref="G209:O209" si="13">G24*(1-G$179)</f>
        <v>0</v>
      </c>
      <c r="H209" s="106">
        <f t="shared" si="13"/>
        <v>0</v>
      </c>
      <c r="I209" s="106">
        <f t="shared" si="13"/>
        <v>24.564499999999999</v>
      </c>
      <c r="J209" s="106">
        <f t="shared" si="13"/>
        <v>26.002874378034491</v>
      </c>
      <c r="K209" s="106">
        <f t="shared" si="13"/>
        <v>0</v>
      </c>
      <c r="L209" s="106">
        <f t="shared" si="13"/>
        <v>0</v>
      </c>
      <c r="M209" s="106">
        <f t="shared" si="13"/>
        <v>30.425606215631547</v>
      </c>
      <c r="N209" s="106">
        <f t="shared" si="13"/>
        <v>31.06</v>
      </c>
      <c r="O209" s="106">
        <f t="shared" si="13"/>
        <v>0</v>
      </c>
      <c r="Q209" s="51" t="s">
        <v>576</v>
      </c>
    </row>
    <row r="210" spans="2:17">
      <c r="B210" s="90" t="s">
        <v>205</v>
      </c>
      <c r="D210" s="51" t="s">
        <v>186</v>
      </c>
      <c r="F210" s="109"/>
      <c r="G210" s="116">
        <f t="shared" ref="G210:O210" si="14">G164*(1-G$179)</f>
        <v>24.965243120719531</v>
      </c>
      <c r="H210" s="116">
        <f t="shared" si="14"/>
        <v>24.684552218422311</v>
      </c>
      <c r="I210" s="116">
        <f t="shared" si="14"/>
        <v>24.564499999999999</v>
      </c>
      <c r="J210" s="116">
        <f t="shared" si="14"/>
        <v>26.002874378034491</v>
      </c>
      <c r="K210" s="116">
        <f t="shared" si="14"/>
        <v>19.635855069261176</v>
      </c>
      <c r="L210" s="116">
        <f t="shared" si="14"/>
        <v>29.108741136974601</v>
      </c>
      <c r="M210" s="116">
        <f t="shared" si="14"/>
        <v>30.425606215631547</v>
      </c>
      <c r="N210" s="116">
        <f t="shared" si="14"/>
        <v>31.06</v>
      </c>
      <c r="O210" s="116">
        <f t="shared" si="14"/>
        <v>0</v>
      </c>
      <c r="Q210" s="51" t="s">
        <v>576</v>
      </c>
    </row>
    <row r="211" spans="2:17">
      <c r="B211" s="105"/>
      <c r="F211" s="50"/>
      <c r="H211" s="90"/>
    </row>
    <row r="212" spans="2:17">
      <c r="B212" s="88" t="s">
        <v>206</v>
      </c>
      <c r="F212" s="50"/>
      <c r="H212" s="90"/>
    </row>
    <row r="213" spans="2:17">
      <c r="B213" s="89" t="s">
        <v>201</v>
      </c>
      <c r="D213" s="51" t="s">
        <v>186</v>
      </c>
      <c r="F213" s="109"/>
      <c r="G213" s="29"/>
      <c r="H213" s="106">
        <f>H27</f>
        <v>578.52</v>
      </c>
      <c r="I213" s="29"/>
      <c r="J213" s="106">
        <f>J27</f>
        <v>1044</v>
      </c>
      <c r="K213" s="29"/>
      <c r="L213" s="29"/>
      <c r="M213" s="29"/>
      <c r="N213" s="29"/>
      <c r="O213" s="106">
        <f>O27</f>
        <v>830</v>
      </c>
      <c r="Q213" s="51" t="s">
        <v>577</v>
      </c>
    </row>
    <row r="214" spans="2:17">
      <c r="B214" s="90" t="s">
        <v>202</v>
      </c>
      <c r="D214" s="51" t="s">
        <v>186</v>
      </c>
      <c r="F214" s="109"/>
      <c r="G214" s="29"/>
      <c r="H214" s="106">
        <f>H28</f>
        <v>24.72</v>
      </c>
      <c r="I214" s="29"/>
      <c r="J214" s="106">
        <f>J28</f>
        <v>14</v>
      </c>
      <c r="K214" s="29"/>
      <c r="L214" s="29"/>
      <c r="M214" s="29"/>
      <c r="N214" s="29"/>
      <c r="O214" s="106">
        <f>O28</f>
        <v>9.9030000000000005</v>
      </c>
      <c r="Q214" s="51" t="s">
        <v>577</v>
      </c>
    </row>
    <row r="215" spans="2:17">
      <c r="B215" s="22"/>
      <c r="F215" s="50"/>
      <c r="H215" s="90"/>
    </row>
    <row r="216" spans="2:17">
      <c r="B216" s="22"/>
      <c r="F216" s="50"/>
      <c r="H216" s="90"/>
    </row>
    <row r="217" spans="2:17">
      <c r="F217" s="28"/>
    </row>
    <row r="218" spans="2:17">
      <c r="B218" s="22" t="s">
        <v>208</v>
      </c>
      <c r="F218" s="50"/>
      <c r="H218" s="90"/>
    </row>
    <row r="219" spans="2:17">
      <c r="F219" s="50"/>
    </row>
    <row r="220" spans="2:17">
      <c r="B220" s="3" t="s">
        <v>306</v>
      </c>
      <c r="F220" s="50"/>
    </row>
    <row r="221" spans="2:17">
      <c r="B221" s="3"/>
      <c r="F221" s="50"/>
    </row>
    <row r="222" spans="2:17">
      <c r="B222" s="108" t="s">
        <v>284</v>
      </c>
      <c r="F222" s="50"/>
    </row>
    <row r="223" spans="2:17">
      <c r="B223" s="23" t="s">
        <v>285</v>
      </c>
      <c r="D223" s="51" t="s">
        <v>186</v>
      </c>
      <c r="F223" s="109"/>
      <c r="G223" s="106">
        <f>G37*$F$190</f>
        <v>23.624755254216872</v>
      </c>
      <c r="H223" s="106">
        <f>H37*$F$190</f>
        <v>24.474566594296615</v>
      </c>
      <c r="I223" s="106">
        <f t="shared" ref="I223:O223" si="15">I37*$F$190</f>
        <v>25.239396800368386</v>
      </c>
      <c r="J223" s="106">
        <f t="shared" si="15"/>
        <v>24.786164085659188</v>
      </c>
      <c r="K223" s="106">
        <f t="shared" si="15"/>
        <v>23.96467979024877</v>
      </c>
      <c r="L223" s="106">
        <f t="shared" si="15"/>
        <v>25.919245872432182</v>
      </c>
      <c r="M223" s="106">
        <f t="shared" si="15"/>
        <v>21.854314962384073</v>
      </c>
      <c r="N223" s="106">
        <f t="shared" si="15"/>
        <v>16.98206327926021</v>
      </c>
      <c r="O223" s="106">
        <f t="shared" si="15"/>
        <v>0</v>
      </c>
      <c r="Q223" s="51" t="s">
        <v>577</v>
      </c>
    </row>
    <row r="224" spans="2:17">
      <c r="B224" s="23" t="s">
        <v>286</v>
      </c>
      <c r="D224" s="51" t="s">
        <v>186</v>
      </c>
      <c r="F224" s="109"/>
      <c r="G224" s="106">
        <f t="shared" ref="G224:O224" si="16">G38*$F$190</f>
        <v>54.529560988450214</v>
      </c>
      <c r="H224" s="106">
        <f t="shared" si="16"/>
        <v>48.779170920577279</v>
      </c>
      <c r="I224" s="106">
        <f t="shared" si="16"/>
        <v>55.223573582848672</v>
      </c>
      <c r="J224" s="106">
        <f t="shared" si="16"/>
        <v>42.632202227333806</v>
      </c>
      <c r="K224" s="106">
        <f t="shared" si="16"/>
        <v>43.000453808035026</v>
      </c>
      <c r="L224" s="106">
        <f t="shared" si="16"/>
        <v>60.124152310641861</v>
      </c>
      <c r="M224" s="106">
        <f t="shared" si="16"/>
        <v>43.850265148114772</v>
      </c>
      <c r="N224" s="106">
        <f t="shared" si="16"/>
        <v>16.98206327926021</v>
      </c>
      <c r="O224" s="106">
        <f t="shared" si="16"/>
        <v>0</v>
      </c>
    </row>
    <row r="225" spans="2:15">
      <c r="B225" s="61" t="s">
        <v>287</v>
      </c>
      <c r="D225" s="51" t="s">
        <v>186</v>
      </c>
      <c r="F225" s="109"/>
      <c r="G225" s="106">
        <f t="shared" ref="G225:O225" si="17">G39*$F$190</f>
        <v>54.982793703159409</v>
      </c>
      <c r="H225" s="106">
        <f t="shared" si="17"/>
        <v>52.858265352960053</v>
      </c>
      <c r="I225" s="106">
        <f t="shared" si="17"/>
        <v>55.223573582848672</v>
      </c>
      <c r="J225" s="106">
        <f t="shared" si="17"/>
        <v>42.632202227333806</v>
      </c>
      <c r="K225" s="106">
        <f t="shared" si="17"/>
        <v>46.059774632322103</v>
      </c>
      <c r="L225" s="106">
        <f t="shared" si="17"/>
        <v>60.124152310641861</v>
      </c>
      <c r="M225" s="106">
        <f t="shared" si="17"/>
        <v>43.850265148114772</v>
      </c>
      <c r="N225" s="106">
        <f t="shared" si="17"/>
        <v>16.98206327926021</v>
      </c>
      <c r="O225" s="106">
        <f t="shared" si="17"/>
        <v>0</v>
      </c>
    </row>
    <row r="226" spans="2:15">
      <c r="B226" s="61" t="s">
        <v>288</v>
      </c>
      <c r="D226" s="51" t="s">
        <v>186</v>
      </c>
      <c r="F226" s="109"/>
      <c r="G226" s="106">
        <f t="shared" ref="G226:O226" si="18">G40*$F$190</f>
        <v>72.389762652459495</v>
      </c>
      <c r="H226" s="106">
        <f t="shared" si="18"/>
        <v>87.53056802821358</v>
      </c>
      <c r="I226" s="106">
        <f t="shared" si="18"/>
        <v>78.536731345702975</v>
      </c>
      <c r="J226" s="106">
        <f t="shared" si="18"/>
        <v>53.396479201677224</v>
      </c>
      <c r="K226" s="106">
        <f t="shared" si="18"/>
        <v>78.692530091384256</v>
      </c>
      <c r="L226" s="106">
        <f t="shared" si="18"/>
        <v>82.148429541041878</v>
      </c>
      <c r="M226" s="106">
        <f t="shared" si="18"/>
        <v>69.04717138147916</v>
      </c>
      <c r="N226" s="106">
        <f t="shared" si="18"/>
        <v>16.98206327926021</v>
      </c>
      <c r="O226" s="106">
        <f t="shared" si="18"/>
        <v>0</v>
      </c>
    </row>
    <row r="227" spans="2:15">
      <c r="B227" s="23"/>
      <c r="F227" s="109"/>
    </row>
    <row r="228" spans="2:15">
      <c r="B228" s="108" t="s">
        <v>289</v>
      </c>
      <c r="F228" s="109"/>
    </row>
    <row r="229" spans="2:15">
      <c r="B229" s="23" t="s">
        <v>285</v>
      </c>
      <c r="D229" s="51" t="s">
        <v>186</v>
      </c>
      <c r="F229" s="109"/>
      <c r="G229" s="106">
        <f>G43*$F$190</f>
        <v>0</v>
      </c>
      <c r="H229" s="106">
        <f t="shared" ref="H229:O229" si="19">H43*$F$190</f>
        <v>0</v>
      </c>
      <c r="I229" s="106">
        <f t="shared" si="19"/>
        <v>25.239396800368386</v>
      </c>
      <c r="J229" s="106">
        <f t="shared" si="19"/>
        <v>0</v>
      </c>
      <c r="K229" s="106">
        <f t="shared" si="19"/>
        <v>23.96467979024877</v>
      </c>
      <c r="L229" s="106">
        <f t="shared" si="19"/>
        <v>0</v>
      </c>
      <c r="M229" s="106">
        <f t="shared" si="19"/>
        <v>0</v>
      </c>
      <c r="N229" s="106">
        <f t="shared" si="19"/>
        <v>0</v>
      </c>
      <c r="O229" s="106">
        <f t="shared" si="19"/>
        <v>0</v>
      </c>
    </row>
    <row r="230" spans="2:15">
      <c r="B230" s="23" t="s">
        <v>286</v>
      </c>
      <c r="D230" s="51" t="s">
        <v>186</v>
      </c>
      <c r="F230" s="109"/>
      <c r="G230" s="106">
        <f t="shared" ref="G230:O230" si="20">G44*$F$190</f>
        <v>0</v>
      </c>
      <c r="H230" s="106">
        <f t="shared" si="20"/>
        <v>0</v>
      </c>
      <c r="I230" s="106">
        <f t="shared" si="20"/>
        <v>55.223573582848672</v>
      </c>
      <c r="J230" s="106">
        <f t="shared" si="20"/>
        <v>0</v>
      </c>
      <c r="K230" s="106">
        <f t="shared" si="20"/>
        <v>43.000453808035026</v>
      </c>
      <c r="L230" s="106">
        <f t="shared" si="20"/>
        <v>0</v>
      </c>
      <c r="M230" s="106">
        <f t="shared" si="20"/>
        <v>0</v>
      </c>
      <c r="N230" s="106">
        <f t="shared" si="20"/>
        <v>0</v>
      </c>
      <c r="O230" s="106">
        <f t="shared" si="20"/>
        <v>0</v>
      </c>
    </row>
    <row r="231" spans="2:15">
      <c r="B231" s="61" t="s">
        <v>287</v>
      </c>
      <c r="D231" s="51" t="s">
        <v>186</v>
      </c>
      <c r="F231" s="109"/>
      <c r="G231" s="106">
        <f t="shared" ref="G231:O231" si="21">G45*$F$190</f>
        <v>0</v>
      </c>
      <c r="H231" s="106">
        <f t="shared" si="21"/>
        <v>0</v>
      </c>
      <c r="I231" s="106">
        <f t="shared" si="21"/>
        <v>55.223573582848672</v>
      </c>
      <c r="J231" s="106">
        <f t="shared" si="21"/>
        <v>0</v>
      </c>
      <c r="K231" s="106">
        <f t="shared" si="21"/>
        <v>46.059774632322103</v>
      </c>
      <c r="L231" s="106">
        <f t="shared" si="21"/>
        <v>59.486793805582053</v>
      </c>
      <c r="M231" s="106">
        <f t="shared" si="21"/>
        <v>0</v>
      </c>
      <c r="N231" s="106">
        <f t="shared" si="21"/>
        <v>0</v>
      </c>
      <c r="O231" s="106">
        <f t="shared" si="21"/>
        <v>0</v>
      </c>
    </row>
    <row r="232" spans="2:15">
      <c r="B232" s="61" t="s">
        <v>288</v>
      </c>
      <c r="D232" s="51" t="s">
        <v>186</v>
      </c>
      <c r="F232" s="109"/>
      <c r="G232" s="106">
        <f t="shared" ref="G232:O232" si="22">G46*$F$190</f>
        <v>0</v>
      </c>
      <c r="H232" s="106">
        <f t="shared" si="22"/>
        <v>0</v>
      </c>
      <c r="I232" s="106">
        <f t="shared" si="22"/>
        <v>78.536731345702975</v>
      </c>
      <c r="J232" s="106">
        <f t="shared" si="22"/>
        <v>0</v>
      </c>
      <c r="K232" s="106">
        <f t="shared" si="22"/>
        <v>78.692530091384256</v>
      </c>
      <c r="L232" s="106">
        <f t="shared" si="22"/>
        <v>0</v>
      </c>
      <c r="M232" s="106">
        <f t="shared" si="22"/>
        <v>0</v>
      </c>
      <c r="N232" s="106">
        <f t="shared" si="22"/>
        <v>0</v>
      </c>
      <c r="O232" s="106">
        <f t="shared" si="22"/>
        <v>0</v>
      </c>
    </row>
    <row r="233" spans="2:15">
      <c r="B233" s="23"/>
      <c r="F233" s="109"/>
    </row>
    <row r="234" spans="2:15">
      <c r="B234" s="108" t="s">
        <v>290</v>
      </c>
      <c r="F234" s="109"/>
    </row>
    <row r="235" spans="2:15">
      <c r="B235" s="23" t="s">
        <v>291</v>
      </c>
      <c r="D235" s="51" t="s">
        <v>186</v>
      </c>
      <c r="F235" s="109"/>
      <c r="G235" s="106">
        <f t="shared" ref="G235:O235" si="23">G49*$F$190</f>
        <v>0</v>
      </c>
      <c r="H235" s="106">
        <f t="shared" si="23"/>
        <v>0</v>
      </c>
      <c r="I235" s="106">
        <f t="shared" si="23"/>
        <v>0</v>
      </c>
      <c r="J235" s="106">
        <f t="shared" si="23"/>
        <v>0</v>
      </c>
      <c r="K235" s="106">
        <f t="shared" si="23"/>
        <v>0</v>
      </c>
      <c r="L235" s="106">
        <f t="shared" si="23"/>
        <v>0</v>
      </c>
      <c r="M235" s="106">
        <f t="shared" si="23"/>
        <v>0</v>
      </c>
      <c r="N235" s="106">
        <f t="shared" si="23"/>
        <v>0</v>
      </c>
      <c r="O235" s="106">
        <f t="shared" si="23"/>
        <v>0</v>
      </c>
    </row>
    <row r="236" spans="2:15">
      <c r="B236" s="3"/>
      <c r="F236" s="109"/>
    </row>
    <row r="237" spans="2:15">
      <c r="B237" s="3"/>
      <c r="F237" s="109"/>
    </row>
    <row r="238" spans="2:15">
      <c r="B238" s="3" t="s">
        <v>305</v>
      </c>
      <c r="F238" s="109"/>
    </row>
    <row r="239" spans="2:15">
      <c r="B239" s="3"/>
      <c r="F239" s="109"/>
    </row>
    <row r="240" spans="2:15">
      <c r="B240" s="108" t="s">
        <v>284</v>
      </c>
      <c r="F240" s="109"/>
    </row>
    <row r="241" spans="2:17">
      <c r="B241" s="61" t="s">
        <v>292</v>
      </c>
      <c r="D241" s="51" t="s">
        <v>186</v>
      </c>
      <c r="F241" s="109"/>
      <c r="G241" s="106">
        <f>G55*$F$190</f>
        <v>80.661259695902331</v>
      </c>
      <c r="H241" s="106">
        <f t="shared" ref="H241:O241" si="24">H55*$F$190</f>
        <v>56.427472981294976</v>
      </c>
      <c r="I241" s="106">
        <f t="shared" si="24"/>
        <v>93.635046154453079</v>
      </c>
      <c r="J241" s="106">
        <f t="shared" si="24"/>
        <v>64.868932292753755</v>
      </c>
      <c r="K241" s="106">
        <f t="shared" si="24"/>
        <v>82.60166225575108</v>
      </c>
      <c r="L241" s="106">
        <f t="shared" si="24"/>
        <v>59.486793805582053</v>
      </c>
      <c r="M241" s="106">
        <f t="shared" si="24"/>
        <v>31.938742864663698</v>
      </c>
      <c r="N241" s="106">
        <f t="shared" si="24"/>
        <v>162.61139992425893</v>
      </c>
      <c r="O241" s="106">
        <f t="shared" si="24"/>
        <v>0</v>
      </c>
      <c r="Q241" s="51" t="s">
        <v>577</v>
      </c>
    </row>
    <row r="242" spans="2:17">
      <c r="B242" s="61" t="s">
        <v>293</v>
      </c>
      <c r="D242" s="51" t="s">
        <v>186</v>
      </c>
      <c r="F242" s="109"/>
      <c r="G242" s="106">
        <f t="shared" ref="G242:O242" si="25">G56*$F$190</f>
        <v>91.935423474293586</v>
      </c>
      <c r="H242" s="106">
        <f t="shared" si="25"/>
        <v>69.854492154554919</v>
      </c>
      <c r="I242" s="106">
        <f t="shared" si="25"/>
        <v>146.56412911908646</v>
      </c>
      <c r="J242" s="106">
        <f t="shared" si="25"/>
        <v>64.868932292753755</v>
      </c>
      <c r="K242" s="106">
        <f t="shared" si="25"/>
        <v>137.32951255688656</v>
      </c>
      <c r="L242" s="106">
        <f t="shared" si="25"/>
        <v>59.486793805582053</v>
      </c>
      <c r="M242" s="106">
        <f t="shared" si="25"/>
        <v>31.938742864663698</v>
      </c>
      <c r="N242" s="106">
        <f t="shared" si="25"/>
        <v>162.61139992425893</v>
      </c>
      <c r="O242" s="106">
        <f t="shared" si="25"/>
        <v>0</v>
      </c>
    </row>
    <row r="243" spans="2:17">
      <c r="B243" s="61" t="s">
        <v>294</v>
      </c>
      <c r="D243" s="51" t="s">
        <v>186</v>
      </c>
      <c r="F243" s="109"/>
      <c r="G243" s="106">
        <f t="shared" ref="G243:O243" si="26">G57*$F$190</f>
        <v>128.61894632106919</v>
      </c>
      <c r="H243" s="106">
        <f t="shared" si="26"/>
        <v>106.7363043140158</v>
      </c>
      <c r="I243" s="106">
        <f t="shared" si="26"/>
        <v>171.69021774077751</v>
      </c>
      <c r="J243" s="106">
        <f t="shared" si="26"/>
        <v>142.62666991005031</v>
      </c>
      <c r="K243" s="106">
        <f t="shared" si="26"/>
        <v>251.71411893162005</v>
      </c>
      <c r="L243" s="106">
        <f t="shared" si="26"/>
        <v>100.56100857610299</v>
      </c>
      <c r="M243" s="106">
        <f t="shared" si="26"/>
        <v>31.938742864663698</v>
      </c>
      <c r="N243" s="106">
        <f t="shared" si="26"/>
        <v>162.61139992425893</v>
      </c>
      <c r="O243" s="106">
        <f t="shared" si="26"/>
        <v>0</v>
      </c>
    </row>
    <row r="244" spans="2:17">
      <c r="B244" s="61" t="s">
        <v>295</v>
      </c>
      <c r="D244" s="51" t="s">
        <v>186</v>
      </c>
      <c r="F244" s="109"/>
      <c r="G244" s="106">
        <f t="shared" ref="G244:O244" si="27">G58*$F$190</f>
        <v>128.61894632106919</v>
      </c>
      <c r="H244" s="106">
        <f t="shared" si="27"/>
        <v>161.97404141919912</v>
      </c>
      <c r="I244" s="106">
        <f t="shared" si="27"/>
        <v>242.30954010140422</v>
      </c>
      <c r="J244" s="106">
        <f t="shared" si="27"/>
        <v>142.62666991005031</v>
      </c>
      <c r="K244" s="106">
        <f t="shared" si="27"/>
        <v>327.17736593070128</v>
      </c>
      <c r="L244" s="106">
        <f t="shared" si="27"/>
        <v>106.22641750996794</v>
      </c>
      <c r="M244" s="106">
        <f t="shared" si="27"/>
        <v>52.688303084944103</v>
      </c>
      <c r="N244" s="106">
        <f t="shared" si="27"/>
        <v>162.61139992425893</v>
      </c>
      <c r="O244" s="106">
        <f t="shared" si="27"/>
        <v>0</v>
      </c>
    </row>
    <row r="245" spans="2:17">
      <c r="B245" s="26" t="s">
        <v>296</v>
      </c>
      <c r="D245" s="51" t="s">
        <v>186</v>
      </c>
      <c r="F245" s="109"/>
      <c r="G245" s="106">
        <f>G59*$F$190</f>
        <v>141.56440573495061</v>
      </c>
      <c r="H245" s="106">
        <f t="shared" ref="H245:O245" si="28">H59*$F$190</f>
        <v>221.29087295676524</v>
      </c>
      <c r="I245" s="106">
        <f t="shared" si="28"/>
        <v>312.61726497066832</v>
      </c>
      <c r="J245" s="106">
        <f t="shared" si="28"/>
        <v>142.62666991005031</v>
      </c>
      <c r="K245" s="106">
        <f t="shared" si="28"/>
        <v>360.99985726587505</v>
      </c>
      <c r="L245" s="106">
        <f t="shared" si="28"/>
        <v>121.80629207809658</v>
      </c>
      <c r="M245" s="106">
        <f t="shared" si="28"/>
        <v>52.688303084944103</v>
      </c>
      <c r="N245" s="106">
        <f t="shared" si="28"/>
        <v>162.61139992425893</v>
      </c>
      <c r="O245" s="106">
        <f t="shared" si="28"/>
        <v>0</v>
      </c>
    </row>
    <row r="246" spans="2:17">
      <c r="B246" s="61" t="s">
        <v>297</v>
      </c>
      <c r="D246" s="51" t="s">
        <v>186</v>
      </c>
      <c r="F246" s="109"/>
      <c r="G246" s="106">
        <f t="shared" ref="G246:O246" si="29">G60*$F$190</f>
        <v>155.79874568128633</v>
      </c>
      <c r="H246" s="106">
        <f t="shared" si="29"/>
        <v>259.02249645630582</v>
      </c>
      <c r="I246" s="106">
        <f t="shared" si="29"/>
        <v>341.56750462271827</v>
      </c>
      <c r="J246" s="106">
        <f t="shared" si="29"/>
        <v>142.62666991005031</v>
      </c>
      <c r="K246" s="106">
        <f t="shared" si="29"/>
        <v>414.02808488685105</v>
      </c>
      <c r="L246" s="106">
        <f t="shared" si="29"/>
        <v>130.30440547889401</v>
      </c>
      <c r="M246" s="106">
        <f t="shared" si="29"/>
        <v>52.688303084944103</v>
      </c>
      <c r="N246" s="106">
        <f t="shared" si="29"/>
        <v>162.61139992425893</v>
      </c>
      <c r="O246" s="106">
        <f t="shared" si="29"/>
        <v>0</v>
      </c>
    </row>
    <row r="247" spans="2:17">
      <c r="B247" s="61" t="s">
        <v>298</v>
      </c>
      <c r="D247" s="51" t="s">
        <v>186</v>
      </c>
      <c r="F247" s="109"/>
      <c r="G247" s="106">
        <f>G61*$F$190</f>
        <v>171.40694729408426</v>
      </c>
      <c r="H247" s="106">
        <f t="shared" ref="H247:O247" si="30">H61*$F$190</f>
        <v>279.9278554222675</v>
      </c>
      <c r="I247" s="106">
        <f t="shared" si="30"/>
        <v>375.89988276193986</v>
      </c>
      <c r="J247" s="106">
        <f t="shared" si="30"/>
        <v>142.62666991005031</v>
      </c>
      <c r="K247" s="106">
        <f t="shared" si="30"/>
        <v>454.64906694266278</v>
      </c>
      <c r="L247" s="106">
        <f t="shared" si="30"/>
        <v>130.30440547889401</v>
      </c>
      <c r="M247" s="106">
        <f t="shared" si="30"/>
        <v>63.56588823796482</v>
      </c>
      <c r="N247" s="106">
        <f t="shared" si="30"/>
        <v>162.61139992425893</v>
      </c>
      <c r="O247" s="106">
        <f t="shared" si="30"/>
        <v>0</v>
      </c>
    </row>
    <row r="248" spans="2:17">
      <c r="B248" s="61" t="s">
        <v>299</v>
      </c>
      <c r="D248" s="51" t="s">
        <v>186</v>
      </c>
      <c r="F248" s="109"/>
      <c r="G248" s="106">
        <f t="shared" ref="G248:O248" si="31">G62*$F$190</f>
        <v>188.30402943933649</v>
      </c>
      <c r="H248" s="106">
        <f t="shared" si="31"/>
        <v>393.97253726096915</v>
      </c>
      <c r="I248" s="106">
        <f t="shared" si="31"/>
        <v>413.1216194574327</v>
      </c>
      <c r="J248" s="106">
        <f t="shared" si="31"/>
        <v>142.62666991005031</v>
      </c>
      <c r="K248" s="106">
        <f t="shared" si="31"/>
        <v>501.38869064704869</v>
      </c>
      <c r="L248" s="106">
        <f t="shared" si="31"/>
        <v>0</v>
      </c>
      <c r="M248" s="106">
        <f t="shared" si="31"/>
        <v>63.56588823796482</v>
      </c>
      <c r="N248" s="106">
        <f t="shared" si="31"/>
        <v>162.61139992425893</v>
      </c>
      <c r="O248" s="106">
        <f t="shared" si="31"/>
        <v>0</v>
      </c>
    </row>
    <row r="249" spans="2:17">
      <c r="B249" s="23" t="s">
        <v>300</v>
      </c>
      <c r="D249" s="51" t="s">
        <v>186</v>
      </c>
      <c r="F249" s="109"/>
      <c r="G249" s="106">
        <f t="shared" ref="G249:O249" si="32">G63*$F$190</f>
        <v>0</v>
      </c>
      <c r="H249" s="106">
        <f t="shared" si="32"/>
        <v>656.39427907759398</v>
      </c>
      <c r="I249" s="106">
        <f t="shared" si="32"/>
        <v>455.08813613503736</v>
      </c>
      <c r="J249" s="106">
        <f t="shared" si="32"/>
        <v>142.62666991005031</v>
      </c>
      <c r="K249" s="106">
        <f t="shared" si="32"/>
        <v>552.37737105183328</v>
      </c>
      <c r="L249" s="106">
        <f t="shared" si="32"/>
        <v>0</v>
      </c>
      <c r="M249" s="106">
        <f t="shared" si="32"/>
        <v>63.56588823796482</v>
      </c>
      <c r="N249" s="106">
        <f t="shared" si="32"/>
        <v>162.61139992425893</v>
      </c>
      <c r="O249" s="106">
        <f t="shared" si="32"/>
        <v>0</v>
      </c>
    </row>
    <row r="250" spans="2:17">
      <c r="B250" s="23" t="s">
        <v>301</v>
      </c>
      <c r="D250" s="51" t="s">
        <v>186</v>
      </c>
      <c r="F250" s="109"/>
      <c r="G250" s="106">
        <f t="shared" ref="G250:O250" si="33">G64*$F$190</f>
        <v>0</v>
      </c>
      <c r="H250" s="106">
        <f t="shared" si="33"/>
        <v>0</v>
      </c>
      <c r="I250" s="106">
        <f t="shared" si="33"/>
        <v>500.0148289805864</v>
      </c>
      <c r="J250" s="106">
        <f t="shared" si="33"/>
        <v>0</v>
      </c>
      <c r="K250" s="106">
        <f t="shared" si="33"/>
        <v>607.61510815701661</v>
      </c>
      <c r="L250" s="106">
        <f t="shared" si="33"/>
        <v>0</v>
      </c>
      <c r="M250" s="106">
        <f t="shared" si="33"/>
        <v>63.56588823796482</v>
      </c>
      <c r="N250" s="106">
        <f t="shared" si="33"/>
        <v>162.61139992425893</v>
      </c>
      <c r="O250" s="106">
        <f t="shared" si="33"/>
        <v>0</v>
      </c>
    </row>
    <row r="251" spans="2:17">
      <c r="B251" s="23"/>
      <c r="F251" s="109"/>
    </row>
    <row r="252" spans="2:17">
      <c r="B252" s="108" t="s">
        <v>289</v>
      </c>
      <c r="F252" s="109"/>
    </row>
    <row r="253" spans="2:17">
      <c r="B253" s="61" t="s">
        <v>292</v>
      </c>
      <c r="D253" s="51" t="s">
        <v>186</v>
      </c>
      <c r="F253" s="109"/>
      <c r="G253" s="106">
        <f>G67*$F$190</f>
        <v>80.661259695902331</v>
      </c>
      <c r="H253" s="106">
        <f t="shared" ref="H253:O253" si="34">H67*$F$190</f>
        <v>141.23864472125339</v>
      </c>
      <c r="I253" s="106">
        <f t="shared" si="34"/>
        <v>93.635046154453079</v>
      </c>
      <c r="J253" s="106">
        <f t="shared" si="34"/>
        <v>64.868932292753755</v>
      </c>
      <c r="K253" s="106">
        <f t="shared" si="34"/>
        <v>82.60166225575108</v>
      </c>
      <c r="L253" s="106">
        <f t="shared" si="34"/>
        <v>167.12956354901624</v>
      </c>
      <c r="M253" s="106">
        <f t="shared" si="34"/>
        <v>0</v>
      </c>
      <c r="N253" s="106">
        <f t="shared" si="34"/>
        <v>162.61139992425893</v>
      </c>
      <c r="O253" s="106">
        <f t="shared" si="34"/>
        <v>0</v>
      </c>
    </row>
    <row r="254" spans="2:17">
      <c r="B254" s="61" t="s">
        <v>293</v>
      </c>
      <c r="D254" s="51" t="s">
        <v>186</v>
      </c>
      <c r="F254" s="109"/>
      <c r="G254" s="106">
        <f t="shared" ref="G254:O254" si="35">G68*$F$190</f>
        <v>91.935423474293586</v>
      </c>
      <c r="H254" s="106">
        <f t="shared" si="35"/>
        <v>175.06113605642716</v>
      </c>
      <c r="I254" s="106">
        <f t="shared" si="35"/>
        <v>146.56412911908646</v>
      </c>
      <c r="J254" s="106">
        <f t="shared" si="35"/>
        <v>64.868932292753755</v>
      </c>
      <c r="K254" s="106">
        <f t="shared" si="35"/>
        <v>137.32951255688656</v>
      </c>
      <c r="L254" s="106">
        <f t="shared" si="35"/>
        <v>168.54591578248247</v>
      </c>
      <c r="M254" s="106">
        <f t="shared" si="35"/>
        <v>0</v>
      </c>
      <c r="N254" s="106">
        <f t="shared" si="35"/>
        <v>162.61139992425893</v>
      </c>
      <c r="O254" s="106">
        <f t="shared" si="35"/>
        <v>0</v>
      </c>
    </row>
    <row r="255" spans="2:17">
      <c r="B255" s="61" t="s">
        <v>294</v>
      </c>
      <c r="D255" s="51" t="s">
        <v>186</v>
      </c>
      <c r="F255" s="109"/>
      <c r="G255" s="106">
        <f t="shared" ref="G255:O255" si="36">G69*$F$190</f>
        <v>128.61894632106919</v>
      </c>
      <c r="H255" s="106">
        <f t="shared" si="36"/>
        <v>267.18068532107134</v>
      </c>
      <c r="I255" s="106">
        <f t="shared" si="36"/>
        <v>171.69021774077751</v>
      </c>
      <c r="J255" s="106">
        <f t="shared" si="36"/>
        <v>142.62666991005031</v>
      </c>
      <c r="K255" s="106">
        <f t="shared" si="36"/>
        <v>251.71411893162005</v>
      </c>
      <c r="L255" s="106">
        <f t="shared" si="36"/>
        <v>198.2893126852735</v>
      </c>
      <c r="M255" s="106">
        <f t="shared" si="36"/>
        <v>0</v>
      </c>
      <c r="N255" s="106">
        <f t="shared" si="36"/>
        <v>162.61139992425893</v>
      </c>
      <c r="O255" s="106">
        <f t="shared" si="36"/>
        <v>0</v>
      </c>
    </row>
    <row r="256" spans="2:17">
      <c r="B256" s="61" t="s">
        <v>295</v>
      </c>
      <c r="D256" s="51" t="s">
        <v>186</v>
      </c>
      <c r="F256" s="109"/>
      <c r="G256" s="106">
        <f t="shared" ref="G256:O256" si="37">G70*$F$190</f>
        <v>128.61894632106919</v>
      </c>
      <c r="H256" s="106">
        <f t="shared" si="37"/>
        <v>405.52997148605363</v>
      </c>
      <c r="I256" s="106">
        <f t="shared" si="37"/>
        <v>242.30954010140422</v>
      </c>
      <c r="J256" s="106">
        <f t="shared" si="37"/>
        <v>142.62666991005031</v>
      </c>
      <c r="K256" s="106">
        <f t="shared" si="37"/>
        <v>327.17736593070128</v>
      </c>
      <c r="L256" s="106">
        <f t="shared" si="37"/>
        <v>212.45283501993589</v>
      </c>
      <c r="M256" s="106">
        <f t="shared" si="37"/>
        <v>0</v>
      </c>
      <c r="N256" s="106">
        <f t="shared" si="37"/>
        <v>162.61139992425893</v>
      </c>
      <c r="O256" s="106">
        <f t="shared" si="37"/>
        <v>0</v>
      </c>
    </row>
    <row r="257" spans="2:15">
      <c r="B257" s="26" t="s">
        <v>296</v>
      </c>
      <c r="D257" s="51" t="s">
        <v>186</v>
      </c>
      <c r="F257" s="109"/>
      <c r="G257" s="106">
        <f>G71*$F$190</f>
        <v>141.56440573495061</v>
      </c>
      <c r="H257" s="106">
        <f t="shared" ref="H257:O257" si="38">H71*$F$190</f>
        <v>553.56710692794491</v>
      </c>
      <c r="I257" s="106">
        <f t="shared" si="38"/>
        <v>312.61726497066832</v>
      </c>
      <c r="J257" s="106">
        <f t="shared" si="38"/>
        <v>142.62666991005031</v>
      </c>
      <c r="K257" s="106">
        <f t="shared" si="38"/>
        <v>360.99985726587505</v>
      </c>
      <c r="L257" s="106">
        <f t="shared" si="38"/>
        <v>233.69811852192947</v>
      </c>
      <c r="M257" s="106">
        <f t="shared" si="38"/>
        <v>0</v>
      </c>
      <c r="N257" s="106">
        <f t="shared" si="38"/>
        <v>162.61139992425893</v>
      </c>
      <c r="O257" s="106">
        <f t="shared" si="38"/>
        <v>0</v>
      </c>
    </row>
    <row r="258" spans="2:15">
      <c r="B258" s="61" t="s">
        <v>297</v>
      </c>
      <c r="D258" s="51" t="s">
        <v>186</v>
      </c>
      <c r="F258" s="109"/>
      <c r="G258" s="106">
        <f t="shared" ref="G258:O258" si="39">G72*$F$190</f>
        <v>155.79874568128633</v>
      </c>
      <c r="H258" s="106">
        <f t="shared" si="39"/>
        <v>647.8961656767965</v>
      </c>
      <c r="I258" s="106">
        <f t="shared" si="39"/>
        <v>341.56750462271827</v>
      </c>
      <c r="J258" s="106">
        <f t="shared" si="39"/>
        <v>142.62666991005031</v>
      </c>
      <c r="K258" s="106">
        <f t="shared" si="39"/>
        <v>414.02808488685105</v>
      </c>
      <c r="L258" s="106">
        <f t="shared" si="39"/>
        <v>258.48428260758868</v>
      </c>
      <c r="M258" s="106">
        <f t="shared" si="39"/>
        <v>0</v>
      </c>
      <c r="N258" s="106">
        <f t="shared" si="39"/>
        <v>162.61139992425893</v>
      </c>
      <c r="O258" s="106">
        <f t="shared" si="39"/>
        <v>0</v>
      </c>
    </row>
    <row r="259" spans="2:15">
      <c r="B259" s="61" t="s">
        <v>298</v>
      </c>
      <c r="D259" s="51" t="s">
        <v>186</v>
      </c>
      <c r="F259" s="109"/>
      <c r="G259" s="106">
        <f>G73*$F$190</f>
        <v>171.40694729408426</v>
      </c>
      <c r="H259" s="106">
        <f t="shared" ref="H259:O259" si="40">H73*$F$190</f>
        <v>699.90461968967679</v>
      </c>
      <c r="I259" s="106">
        <f t="shared" si="40"/>
        <v>375.89988276193986</v>
      </c>
      <c r="J259" s="106">
        <f t="shared" si="40"/>
        <v>142.62666991005031</v>
      </c>
      <c r="K259" s="106">
        <f t="shared" si="40"/>
        <v>454.64906694266278</v>
      </c>
      <c r="L259" s="106">
        <f t="shared" si="40"/>
        <v>280.43774222631538</v>
      </c>
      <c r="M259" s="106">
        <f t="shared" si="40"/>
        <v>0</v>
      </c>
      <c r="N259" s="106">
        <f t="shared" si="40"/>
        <v>162.61139992425893</v>
      </c>
      <c r="O259" s="106">
        <f t="shared" si="40"/>
        <v>0</v>
      </c>
    </row>
    <row r="260" spans="2:15">
      <c r="B260" s="61" t="s">
        <v>299</v>
      </c>
      <c r="D260" s="51" t="s">
        <v>186</v>
      </c>
      <c r="F260" s="109"/>
      <c r="G260" s="106">
        <f t="shared" ref="G260:O260" si="41">G74*$F$190</f>
        <v>188.30402943933649</v>
      </c>
      <c r="H260" s="106">
        <f t="shared" si="41"/>
        <v>985.44122995647058</v>
      </c>
      <c r="I260" s="106">
        <f t="shared" si="41"/>
        <v>413.1216194574327</v>
      </c>
      <c r="J260" s="106">
        <f t="shared" si="41"/>
        <v>142.62666991005031</v>
      </c>
      <c r="K260" s="106">
        <f t="shared" si="41"/>
        <v>501.38869064704869</v>
      </c>
      <c r="L260" s="106">
        <f t="shared" si="41"/>
        <v>280.43774222631538</v>
      </c>
      <c r="M260" s="106">
        <f t="shared" si="41"/>
        <v>0</v>
      </c>
      <c r="N260" s="106">
        <f t="shared" si="41"/>
        <v>162.61139992425893</v>
      </c>
      <c r="O260" s="106">
        <f t="shared" si="41"/>
        <v>0</v>
      </c>
    </row>
    <row r="261" spans="2:15">
      <c r="B261" s="23" t="s">
        <v>300</v>
      </c>
      <c r="D261" s="51" t="s">
        <v>186</v>
      </c>
      <c r="F261" s="109"/>
      <c r="G261" s="106">
        <f t="shared" ref="G261:O261" si="42">G75*$F$190</f>
        <v>0</v>
      </c>
      <c r="H261" s="106">
        <f t="shared" si="42"/>
        <v>1641.3256222300165</v>
      </c>
      <c r="I261" s="106">
        <f t="shared" si="42"/>
        <v>455.08813613503736</v>
      </c>
      <c r="J261" s="106">
        <f t="shared" si="42"/>
        <v>142.62666991005031</v>
      </c>
      <c r="K261" s="106">
        <f t="shared" si="42"/>
        <v>552.37737105183328</v>
      </c>
      <c r="L261" s="106">
        <f t="shared" si="42"/>
        <v>280.43774222631538</v>
      </c>
      <c r="M261" s="106">
        <f t="shared" si="42"/>
        <v>0</v>
      </c>
      <c r="N261" s="106">
        <f t="shared" si="42"/>
        <v>162.61139992425893</v>
      </c>
      <c r="O261" s="106">
        <f t="shared" si="42"/>
        <v>0</v>
      </c>
    </row>
    <row r="262" spans="2:15">
      <c r="B262" s="23" t="s">
        <v>301</v>
      </c>
      <c r="D262" s="51" t="s">
        <v>186</v>
      </c>
      <c r="F262" s="109"/>
      <c r="G262" s="106">
        <f t="shared" ref="G262:O262" si="43">G76*$F$190</f>
        <v>0</v>
      </c>
      <c r="H262" s="106">
        <f t="shared" si="43"/>
        <v>3283.1611312640812</v>
      </c>
      <c r="I262" s="106">
        <f t="shared" si="43"/>
        <v>500.0148289805864</v>
      </c>
      <c r="J262" s="106">
        <f t="shared" si="43"/>
        <v>142.62666991005031</v>
      </c>
      <c r="K262" s="106">
        <f t="shared" si="43"/>
        <v>607.61510815701661</v>
      </c>
      <c r="L262" s="106">
        <f t="shared" si="43"/>
        <v>280.43774222631538</v>
      </c>
      <c r="M262" s="106">
        <f t="shared" si="43"/>
        <v>0</v>
      </c>
      <c r="N262" s="106">
        <f t="shared" si="43"/>
        <v>162.61139992425893</v>
      </c>
      <c r="O262" s="106">
        <f t="shared" si="43"/>
        <v>0</v>
      </c>
    </row>
    <row r="263" spans="2:15">
      <c r="B263" s="23"/>
      <c r="F263" s="109"/>
    </row>
    <row r="264" spans="2:15">
      <c r="B264" s="108" t="s">
        <v>290</v>
      </c>
      <c r="F264" s="109"/>
    </row>
    <row r="265" spans="2:15">
      <c r="B265" s="23" t="s">
        <v>302</v>
      </c>
      <c r="D265" s="51" t="s">
        <v>186</v>
      </c>
      <c r="F265" s="109"/>
      <c r="G265" s="106">
        <f t="shared" ref="G265:O265" si="44">G79*$F$190</f>
        <v>0</v>
      </c>
      <c r="H265" s="106">
        <f t="shared" si="44"/>
        <v>3420.4906438209678</v>
      </c>
      <c r="I265" s="106">
        <f t="shared" si="44"/>
        <v>0</v>
      </c>
      <c r="J265" s="106">
        <f t="shared" si="44"/>
        <v>171689.08465899076</v>
      </c>
      <c r="K265" s="106">
        <f t="shared" si="44"/>
        <v>0</v>
      </c>
      <c r="L265" s="106">
        <f t="shared" si="44"/>
        <v>0</v>
      </c>
      <c r="M265" s="106">
        <f t="shared" si="44"/>
        <v>0</v>
      </c>
      <c r="N265" s="106">
        <f t="shared" si="44"/>
        <v>0</v>
      </c>
      <c r="O265" s="106">
        <f t="shared" si="44"/>
        <v>0</v>
      </c>
    </row>
    <row r="266" spans="2:15">
      <c r="B266" s="22"/>
      <c r="F266" s="109"/>
    </row>
    <row r="267" spans="2:15">
      <c r="B267" s="22"/>
      <c r="F267" s="109"/>
    </row>
    <row r="268" spans="2:15">
      <c r="B268" s="22"/>
      <c r="F268" s="109"/>
    </row>
    <row r="269" spans="2:15">
      <c r="B269" s="22"/>
      <c r="F269" s="109"/>
    </row>
    <row r="270" spans="2:15">
      <c r="B270" s="3" t="s">
        <v>307</v>
      </c>
      <c r="F270" s="109"/>
    </row>
    <row r="271" spans="2:15">
      <c r="B271" s="3"/>
      <c r="F271" s="109"/>
    </row>
    <row r="272" spans="2:15">
      <c r="B272" s="108" t="s">
        <v>284</v>
      </c>
      <c r="F272" s="109"/>
    </row>
    <row r="273" spans="2:17">
      <c r="B273" s="23" t="s">
        <v>285</v>
      </c>
      <c r="D273" s="51" t="s">
        <v>186</v>
      </c>
      <c r="F273" s="109"/>
      <c r="G273" s="106">
        <f>G87*$F$190</f>
        <v>964.87579552654086</v>
      </c>
      <c r="H273" s="106">
        <f t="shared" ref="H273:O273" si="45">H87*$F$190</f>
        <v>1088.8491065218407</v>
      </c>
      <c r="I273" s="106">
        <f t="shared" si="45"/>
        <v>841.31322667894608</v>
      </c>
      <c r="J273" s="106">
        <f t="shared" si="45"/>
        <v>977.28304109170506</v>
      </c>
      <c r="K273" s="106">
        <f t="shared" si="45"/>
        <v>917.79624728612305</v>
      </c>
      <c r="L273" s="106">
        <f t="shared" si="45"/>
        <v>803.70907488041757</v>
      </c>
      <c r="M273" s="106">
        <f t="shared" si="45"/>
        <v>1178.4050582439111</v>
      </c>
      <c r="N273" s="106">
        <f t="shared" si="45"/>
        <v>1439.9203346311174</v>
      </c>
      <c r="O273" s="106">
        <f t="shared" si="45"/>
        <v>0</v>
      </c>
      <c r="Q273" s="51" t="s">
        <v>577</v>
      </c>
    </row>
    <row r="274" spans="2:17">
      <c r="B274" s="23" t="s">
        <v>286</v>
      </c>
      <c r="D274" s="51" t="s">
        <v>186</v>
      </c>
      <c r="F274" s="109"/>
      <c r="G274" s="106">
        <f t="shared" ref="G274:O274" si="46">G88*$F$190</f>
        <v>1838.7934506198799</v>
      </c>
      <c r="H274" s="106">
        <f t="shared" si="46"/>
        <v>1991.9719446692536</v>
      </c>
      <c r="I274" s="106">
        <f t="shared" si="46"/>
        <v>1940.4025598487478</v>
      </c>
      <c r="J274" s="106">
        <f t="shared" si="46"/>
        <v>1849.7560169069086</v>
      </c>
      <c r="K274" s="106">
        <f t="shared" si="46"/>
        <v>1914.9082196463555</v>
      </c>
      <c r="L274" s="106">
        <f t="shared" si="46"/>
        <v>2135.8591680670888</v>
      </c>
      <c r="M274" s="106">
        <f t="shared" si="46"/>
        <v>2407.7987968926068</v>
      </c>
      <c r="N274" s="106">
        <f t="shared" si="46"/>
        <v>3711.1119586059058</v>
      </c>
      <c r="O274" s="106">
        <f t="shared" si="46"/>
        <v>0</v>
      </c>
    </row>
    <row r="275" spans="2:17">
      <c r="B275" s="61" t="s">
        <v>287</v>
      </c>
      <c r="D275" s="51" t="s">
        <v>186</v>
      </c>
      <c r="F275" s="109"/>
      <c r="G275" s="106">
        <f t="shared" ref="G275:O275" si="47">G89*$F$190</f>
        <v>1838.7934506198799</v>
      </c>
      <c r="H275" s="106">
        <f t="shared" si="47"/>
        <v>1991.9719446692536</v>
      </c>
      <c r="I275" s="106">
        <f t="shared" si="47"/>
        <v>1940.4025598487478</v>
      </c>
      <c r="J275" s="106">
        <f t="shared" si="47"/>
        <v>1895.0792883778281</v>
      </c>
      <c r="K275" s="106">
        <f t="shared" si="47"/>
        <v>1914.9082196463555</v>
      </c>
      <c r="L275" s="106">
        <f t="shared" si="47"/>
        <v>2135.8591680670888</v>
      </c>
      <c r="M275" s="106">
        <f t="shared" si="47"/>
        <v>2407.7987968926068</v>
      </c>
      <c r="N275" s="106">
        <f t="shared" si="47"/>
        <v>5167.1362181315335</v>
      </c>
      <c r="O275" s="106">
        <f t="shared" si="47"/>
        <v>0</v>
      </c>
    </row>
    <row r="276" spans="2:17">
      <c r="B276" s="61" t="s">
        <v>288</v>
      </c>
      <c r="D276" s="51" t="s">
        <v>186</v>
      </c>
      <c r="F276" s="109"/>
      <c r="G276" s="106">
        <f t="shared" ref="G276:O276" si="48">G90*$F$190</f>
        <v>2564.5464985703156</v>
      </c>
      <c r="H276" s="106">
        <f t="shared" si="48"/>
        <v>2534.8172651898594</v>
      </c>
      <c r="I276" s="106">
        <f t="shared" si="48"/>
        <v>2478.6164085659188</v>
      </c>
      <c r="J276" s="106">
        <f t="shared" si="48"/>
        <v>2604.6717573444139</v>
      </c>
      <c r="K276" s="106">
        <f t="shared" si="48"/>
        <v>2682.5711301850574</v>
      </c>
      <c r="L276" s="106">
        <f t="shared" si="48"/>
        <v>3140.0529015946527</v>
      </c>
      <c r="M276" s="106">
        <f t="shared" si="48"/>
        <v>3994.1132983747948</v>
      </c>
      <c r="N276" s="106">
        <f t="shared" si="48"/>
        <v>5345.0583856995636</v>
      </c>
      <c r="O276" s="106">
        <f t="shared" si="48"/>
        <v>0</v>
      </c>
    </row>
    <row r="277" spans="2:17">
      <c r="B277" s="23"/>
      <c r="D277" s="51"/>
      <c r="F277" s="109"/>
    </row>
    <row r="278" spans="2:17">
      <c r="B278" s="108" t="s">
        <v>289</v>
      </c>
      <c r="D278" s="51"/>
      <c r="F278" s="109"/>
    </row>
    <row r="279" spans="2:17">
      <c r="B279" s="23" t="s">
        <v>285</v>
      </c>
      <c r="D279" s="51" t="s">
        <v>186</v>
      </c>
      <c r="F279" s="109"/>
      <c r="G279" s="106">
        <f>G93*$F$190</f>
        <v>0</v>
      </c>
      <c r="H279" s="106">
        <f t="shared" ref="H279:O279" si="49">H93*$F$190</f>
        <v>0</v>
      </c>
      <c r="I279" s="106">
        <f t="shared" si="49"/>
        <v>841.31322667894608</v>
      </c>
      <c r="J279" s="106">
        <f t="shared" si="49"/>
        <v>0</v>
      </c>
      <c r="K279" s="106">
        <f t="shared" si="49"/>
        <v>917.79624728612305</v>
      </c>
      <c r="L279" s="106">
        <f t="shared" si="49"/>
        <v>0</v>
      </c>
      <c r="M279" s="106">
        <f t="shared" si="49"/>
        <v>0</v>
      </c>
      <c r="N279" s="106">
        <f t="shared" si="49"/>
        <v>0</v>
      </c>
      <c r="O279" s="106">
        <f t="shared" si="49"/>
        <v>0</v>
      </c>
    </row>
    <row r="280" spans="2:17">
      <c r="B280" s="23" t="s">
        <v>286</v>
      </c>
      <c r="D280" s="51" t="s">
        <v>186</v>
      </c>
      <c r="F280" s="109"/>
      <c r="G280" s="106">
        <f t="shared" ref="G280:O280" si="50">G94*$F$190</f>
        <v>0</v>
      </c>
      <c r="H280" s="106">
        <f t="shared" si="50"/>
        <v>0</v>
      </c>
      <c r="I280" s="106">
        <f t="shared" si="50"/>
        <v>1940.4025598487478</v>
      </c>
      <c r="J280" s="106">
        <f t="shared" si="50"/>
        <v>0</v>
      </c>
      <c r="K280" s="106">
        <f t="shared" si="50"/>
        <v>1914.9082196463555</v>
      </c>
      <c r="L280" s="106">
        <f t="shared" si="50"/>
        <v>0</v>
      </c>
      <c r="M280" s="106">
        <f t="shared" si="50"/>
        <v>0</v>
      </c>
      <c r="N280" s="106">
        <f t="shared" si="50"/>
        <v>0</v>
      </c>
      <c r="O280" s="106">
        <f t="shared" si="50"/>
        <v>0</v>
      </c>
    </row>
    <row r="281" spans="2:17">
      <c r="B281" s="61" t="s">
        <v>287</v>
      </c>
      <c r="D281" s="51" t="s">
        <v>186</v>
      </c>
      <c r="F281" s="109"/>
      <c r="G281" s="106">
        <f t="shared" ref="G281:O281" si="51">G95*$F$190</f>
        <v>0</v>
      </c>
      <c r="H281" s="106">
        <f t="shared" si="51"/>
        <v>0</v>
      </c>
      <c r="I281" s="106">
        <f t="shared" si="51"/>
        <v>1940.4025598487478</v>
      </c>
      <c r="J281" s="106">
        <f t="shared" si="51"/>
        <v>0</v>
      </c>
      <c r="K281" s="106">
        <f t="shared" si="51"/>
        <v>1914.9082196463555</v>
      </c>
      <c r="L281" s="106">
        <f t="shared" si="51"/>
        <v>0</v>
      </c>
      <c r="M281" s="106">
        <f t="shared" si="51"/>
        <v>0</v>
      </c>
      <c r="N281" s="106">
        <f t="shared" si="51"/>
        <v>0</v>
      </c>
      <c r="O281" s="106">
        <f t="shared" si="51"/>
        <v>0</v>
      </c>
    </row>
    <row r="282" spans="2:17">
      <c r="B282" s="61" t="s">
        <v>288</v>
      </c>
      <c r="D282" s="51" t="s">
        <v>186</v>
      </c>
      <c r="F282" s="109"/>
      <c r="G282" s="106">
        <f t="shared" ref="G282:O282" si="52">G96*$F$190</f>
        <v>0</v>
      </c>
      <c r="H282" s="106">
        <f t="shared" si="52"/>
        <v>0</v>
      </c>
      <c r="I282" s="106">
        <f t="shared" si="52"/>
        <v>2478.6164085659188</v>
      </c>
      <c r="J282" s="106">
        <f t="shared" si="52"/>
        <v>0</v>
      </c>
      <c r="K282" s="106">
        <f t="shared" si="52"/>
        <v>2682.5711301850574</v>
      </c>
      <c r="L282" s="106">
        <f t="shared" si="52"/>
        <v>0</v>
      </c>
      <c r="M282" s="106">
        <f t="shared" si="52"/>
        <v>0</v>
      </c>
      <c r="N282" s="106">
        <f t="shared" si="52"/>
        <v>0</v>
      </c>
      <c r="O282" s="106">
        <f t="shared" si="52"/>
        <v>0</v>
      </c>
    </row>
    <row r="283" spans="2:17">
      <c r="B283" s="23"/>
      <c r="F283" s="109"/>
    </row>
    <row r="284" spans="2:17">
      <c r="B284" s="108" t="s">
        <v>290</v>
      </c>
      <c r="F284" s="109"/>
    </row>
    <row r="285" spans="2:17">
      <c r="B285" s="23" t="s">
        <v>291</v>
      </c>
      <c r="D285" s="51" t="s">
        <v>186</v>
      </c>
      <c r="F285" s="109"/>
      <c r="G285" s="106">
        <f t="shared" ref="G285:O285" si="53">G99*$F$190</f>
        <v>0</v>
      </c>
      <c r="H285" s="106">
        <f t="shared" si="53"/>
        <v>0</v>
      </c>
      <c r="I285" s="106">
        <f t="shared" si="53"/>
        <v>0</v>
      </c>
      <c r="J285" s="106">
        <f t="shared" si="53"/>
        <v>0</v>
      </c>
      <c r="K285" s="106">
        <f t="shared" si="53"/>
        <v>0</v>
      </c>
      <c r="L285" s="106">
        <f t="shared" si="53"/>
        <v>0</v>
      </c>
      <c r="M285" s="106">
        <f t="shared" si="53"/>
        <v>0</v>
      </c>
      <c r="N285" s="106">
        <f t="shared" si="53"/>
        <v>0</v>
      </c>
      <c r="O285" s="106">
        <f t="shared" si="53"/>
        <v>0</v>
      </c>
    </row>
    <row r="286" spans="2:17">
      <c r="B286" s="3"/>
      <c r="F286" s="109"/>
    </row>
    <row r="287" spans="2:17">
      <c r="B287" s="3"/>
      <c r="F287" s="109"/>
    </row>
    <row r="288" spans="2:17">
      <c r="B288" s="3" t="s">
        <v>308</v>
      </c>
      <c r="F288" s="109"/>
    </row>
    <row r="289" spans="2:17">
      <c r="B289" s="3"/>
      <c r="F289" s="109"/>
    </row>
    <row r="290" spans="2:17">
      <c r="B290" s="108" t="s">
        <v>284</v>
      </c>
      <c r="F290" s="109"/>
    </row>
    <row r="291" spans="2:17">
      <c r="B291" s="23" t="s">
        <v>285</v>
      </c>
      <c r="D291" s="51" t="s">
        <v>186</v>
      </c>
      <c r="F291" s="109"/>
      <c r="G291" s="106">
        <f>G105*$F$190</f>
        <v>26.854038346519896</v>
      </c>
      <c r="H291" s="106">
        <f t="shared" ref="H291:O291" si="54">H105*$F$190</f>
        <v>39.657862537054697</v>
      </c>
      <c r="I291" s="106">
        <f t="shared" si="54"/>
        <v>25.919245872432182</v>
      </c>
      <c r="J291" s="106">
        <f t="shared" si="54"/>
        <v>29.318491232751153</v>
      </c>
      <c r="K291" s="106">
        <f t="shared" si="54"/>
        <v>34.700629719922865</v>
      </c>
      <c r="L291" s="106">
        <f t="shared" si="54"/>
        <v>20.749560220280404</v>
      </c>
      <c r="M291" s="106">
        <f t="shared" si="54"/>
        <v>51.838491744864363</v>
      </c>
      <c r="N291" s="106">
        <f t="shared" si="54"/>
        <v>87.303951670858993</v>
      </c>
      <c r="O291" s="106">
        <f t="shared" si="54"/>
        <v>0</v>
      </c>
      <c r="Q291" s="51" t="s">
        <v>577</v>
      </c>
    </row>
    <row r="292" spans="2:17">
      <c r="B292" s="23" t="s">
        <v>286</v>
      </c>
      <c r="D292" s="51" t="s">
        <v>186</v>
      </c>
      <c r="F292" s="109"/>
      <c r="G292" s="106">
        <f t="shared" ref="G292:O292" si="55">G106*$F$190</f>
        <v>29.035220786057906</v>
      </c>
      <c r="H292" s="106">
        <f t="shared" si="55"/>
        <v>41.83904497659271</v>
      </c>
      <c r="I292" s="106">
        <f t="shared" si="55"/>
        <v>25.919245872432182</v>
      </c>
      <c r="J292" s="106">
        <f t="shared" si="55"/>
        <v>36.1169819533891</v>
      </c>
      <c r="K292" s="106">
        <f t="shared" si="55"/>
        <v>42.632202227333806</v>
      </c>
      <c r="L292" s="106">
        <f t="shared" si="55"/>
        <v>32.717736593070128</v>
      </c>
      <c r="M292" s="106">
        <f t="shared" si="55"/>
        <v>51.838491744864363</v>
      </c>
      <c r="N292" s="106">
        <f t="shared" si="55"/>
        <v>71.398316089033116</v>
      </c>
      <c r="O292" s="106">
        <f t="shared" si="55"/>
        <v>0</v>
      </c>
    </row>
    <row r="293" spans="2:17">
      <c r="B293" s="61" t="s">
        <v>287</v>
      </c>
      <c r="D293" s="51" t="s">
        <v>186</v>
      </c>
      <c r="F293" s="109"/>
      <c r="G293" s="106">
        <f t="shared" ref="G293:O293" si="56">G107*$F$190</f>
        <v>33.227623397117974</v>
      </c>
      <c r="H293" s="106">
        <f t="shared" si="56"/>
        <v>44.133535594808016</v>
      </c>
      <c r="I293" s="106">
        <f t="shared" si="56"/>
        <v>25.919245872432182</v>
      </c>
      <c r="J293" s="106">
        <f t="shared" si="56"/>
        <v>36.1169819533891</v>
      </c>
      <c r="K293" s="106">
        <f t="shared" si="56"/>
        <v>42.632202227333806</v>
      </c>
      <c r="L293" s="106">
        <f t="shared" si="56"/>
        <v>32.717736593070128</v>
      </c>
      <c r="M293" s="106">
        <f t="shared" si="56"/>
        <v>51.838491744864363</v>
      </c>
      <c r="N293" s="106">
        <f t="shared" si="56"/>
        <v>71.398316089033116</v>
      </c>
      <c r="O293" s="106">
        <f t="shared" si="56"/>
        <v>0</v>
      </c>
    </row>
    <row r="294" spans="2:17">
      <c r="B294" s="61" t="s">
        <v>288</v>
      </c>
      <c r="D294" s="51" t="s">
        <v>186</v>
      </c>
      <c r="F294" s="109"/>
      <c r="G294" s="106">
        <f t="shared" ref="G294:O294" si="57">G108*$F$190</f>
        <v>37.830768155883256</v>
      </c>
      <c r="H294" s="106">
        <f t="shared" si="57"/>
        <v>45.833158274967502</v>
      </c>
      <c r="I294" s="106">
        <f t="shared" si="57"/>
        <v>25.919245872432182</v>
      </c>
      <c r="J294" s="106">
        <f t="shared" si="57"/>
        <v>36.1169819533891</v>
      </c>
      <c r="K294" s="106">
        <f t="shared" si="57"/>
        <v>42.632202227333806</v>
      </c>
      <c r="L294" s="106">
        <f t="shared" si="57"/>
        <v>26.202516319125426</v>
      </c>
      <c r="M294" s="106">
        <f t="shared" si="57"/>
        <v>61.186416485741539</v>
      </c>
      <c r="N294" s="106">
        <f t="shared" si="57"/>
        <v>71.398316089033116</v>
      </c>
      <c r="O294" s="106">
        <f t="shared" si="57"/>
        <v>0</v>
      </c>
    </row>
    <row r="295" spans="2:17">
      <c r="B295" s="23"/>
      <c r="D295" s="51"/>
      <c r="F295" s="109"/>
    </row>
    <row r="296" spans="2:17">
      <c r="B296" s="108" t="s">
        <v>289</v>
      </c>
      <c r="D296" s="51"/>
      <c r="F296" s="109"/>
    </row>
    <row r="297" spans="2:17">
      <c r="B297" s="23" t="s">
        <v>285</v>
      </c>
      <c r="D297" s="51" t="s">
        <v>186</v>
      </c>
      <c r="F297" s="109"/>
      <c r="G297" s="106">
        <f>G111*$F$190</f>
        <v>26.854038346519896</v>
      </c>
      <c r="H297" s="106">
        <f t="shared" ref="H297:O297" si="58">H111*$F$190</f>
        <v>0</v>
      </c>
      <c r="I297" s="106">
        <f t="shared" si="58"/>
        <v>25.919245872432182</v>
      </c>
      <c r="J297" s="106">
        <f t="shared" si="58"/>
        <v>0</v>
      </c>
      <c r="K297" s="106">
        <f t="shared" si="58"/>
        <v>34.700629719922865</v>
      </c>
      <c r="L297" s="106">
        <f t="shared" si="58"/>
        <v>0</v>
      </c>
      <c r="M297" s="106">
        <f t="shared" si="58"/>
        <v>0</v>
      </c>
      <c r="N297" s="106">
        <f t="shared" si="58"/>
        <v>0</v>
      </c>
      <c r="O297" s="106">
        <f t="shared" si="58"/>
        <v>0</v>
      </c>
    </row>
    <row r="298" spans="2:17">
      <c r="B298" s="23" t="s">
        <v>286</v>
      </c>
      <c r="D298" s="51" t="s">
        <v>186</v>
      </c>
      <c r="F298" s="109"/>
      <c r="G298" s="106">
        <f t="shared" ref="G298:O298" si="59">G112*$F$190</f>
        <v>29.035220786057906</v>
      </c>
      <c r="H298" s="106">
        <f t="shared" si="59"/>
        <v>0</v>
      </c>
      <c r="I298" s="106">
        <f t="shared" si="59"/>
        <v>25.919245872432182</v>
      </c>
      <c r="J298" s="106">
        <f t="shared" si="59"/>
        <v>0</v>
      </c>
      <c r="K298" s="106">
        <f t="shared" si="59"/>
        <v>42.632202227333806</v>
      </c>
      <c r="L298" s="106">
        <f t="shared" si="59"/>
        <v>0</v>
      </c>
      <c r="M298" s="106">
        <f t="shared" si="59"/>
        <v>0</v>
      </c>
      <c r="N298" s="106">
        <f t="shared" si="59"/>
        <v>0</v>
      </c>
      <c r="O298" s="106">
        <f t="shared" si="59"/>
        <v>0</v>
      </c>
    </row>
    <row r="299" spans="2:17">
      <c r="B299" s="61" t="s">
        <v>287</v>
      </c>
      <c r="D299" s="51" t="s">
        <v>186</v>
      </c>
      <c r="F299" s="109"/>
      <c r="G299" s="106">
        <f t="shared" ref="G299:O299" si="60">G113*$F$190</f>
        <v>33.227623397117974</v>
      </c>
      <c r="H299" s="106">
        <f t="shared" si="60"/>
        <v>0</v>
      </c>
      <c r="I299" s="106">
        <f t="shared" si="60"/>
        <v>25.919245872432182</v>
      </c>
      <c r="J299" s="106">
        <f t="shared" si="60"/>
        <v>0</v>
      </c>
      <c r="K299" s="106">
        <f t="shared" si="60"/>
        <v>42.632202227333806</v>
      </c>
      <c r="L299" s="106">
        <f t="shared" si="60"/>
        <v>0</v>
      </c>
      <c r="M299" s="106">
        <f t="shared" si="60"/>
        <v>0</v>
      </c>
      <c r="N299" s="106">
        <f t="shared" si="60"/>
        <v>0</v>
      </c>
      <c r="O299" s="106">
        <f t="shared" si="60"/>
        <v>0</v>
      </c>
    </row>
    <row r="300" spans="2:17">
      <c r="B300" s="61" t="s">
        <v>288</v>
      </c>
      <c r="D300" s="51" t="s">
        <v>186</v>
      </c>
      <c r="F300" s="109"/>
      <c r="G300" s="106">
        <f t="shared" ref="G300:O300" si="61">G114*$F$190</f>
        <v>37.830768155883256</v>
      </c>
      <c r="H300" s="106">
        <f t="shared" si="61"/>
        <v>0</v>
      </c>
      <c r="I300" s="106">
        <f t="shared" si="61"/>
        <v>25.919245872432182</v>
      </c>
      <c r="J300" s="106">
        <f t="shared" si="61"/>
        <v>0</v>
      </c>
      <c r="K300" s="106">
        <f t="shared" si="61"/>
        <v>42.632202227333806</v>
      </c>
      <c r="L300" s="106">
        <f t="shared" si="61"/>
        <v>0</v>
      </c>
      <c r="M300" s="106">
        <f t="shared" si="61"/>
        <v>0</v>
      </c>
      <c r="N300" s="106">
        <f t="shared" si="61"/>
        <v>0</v>
      </c>
      <c r="O300" s="106">
        <f t="shared" si="61"/>
        <v>0</v>
      </c>
    </row>
    <row r="301" spans="2:17">
      <c r="B301" s="23"/>
      <c r="F301" s="109"/>
    </row>
    <row r="302" spans="2:17">
      <c r="B302" s="108" t="s">
        <v>290</v>
      </c>
      <c r="F302" s="109"/>
    </row>
    <row r="303" spans="2:17">
      <c r="B303" s="23" t="s">
        <v>291</v>
      </c>
      <c r="D303" s="51" t="s">
        <v>186</v>
      </c>
      <c r="F303" s="109"/>
      <c r="G303" s="106">
        <f t="shared" ref="G303:O303" si="62">G117*$F$190</f>
        <v>0</v>
      </c>
      <c r="H303" s="106">
        <f t="shared" si="62"/>
        <v>0</v>
      </c>
      <c r="I303" s="106">
        <f t="shared" si="62"/>
        <v>0</v>
      </c>
      <c r="J303" s="106">
        <f t="shared" si="62"/>
        <v>0</v>
      </c>
      <c r="K303" s="106">
        <f t="shared" si="62"/>
        <v>0</v>
      </c>
      <c r="L303" s="106">
        <f t="shared" si="62"/>
        <v>0</v>
      </c>
      <c r="M303" s="106">
        <f t="shared" si="62"/>
        <v>0</v>
      </c>
      <c r="N303" s="106">
        <f t="shared" si="62"/>
        <v>0</v>
      </c>
      <c r="O303" s="106">
        <f t="shared" si="62"/>
        <v>0</v>
      </c>
    </row>
    <row r="304" spans="2:17">
      <c r="B304" s="3"/>
      <c r="F304" s="109"/>
    </row>
    <row r="305" spans="2:17">
      <c r="B305" s="3"/>
      <c r="F305" s="109"/>
    </row>
    <row r="306" spans="2:17">
      <c r="B306" s="3" t="s">
        <v>309</v>
      </c>
      <c r="F306" s="109"/>
    </row>
    <row r="307" spans="2:17">
      <c r="B307" s="3"/>
      <c r="F307" s="109"/>
    </row>
    <row r="308" spans="2:17">
      <c r="B308" s="108" t="s">
        <v>284</v>
      </c>
      <c r="F308" s="109"/>
    </row>
    <row r="309" spans="2:17">
      <c r="B309" s="61" t="s">
        <v>292</v>
      </c>
      <c r="D309" s="51" t="s">
        <v>186</v>
      </c>
      <c r="F309" s="109"/>
      <c r="G309" s="106">
        <f>G123*$F$190</f>
        <v>3626.1591516426006</v>
      </c>
      <c r="H309" s="106">
        <f t="shared" ref="H309:O309" si="63">H123*$F$190</f>
        <v>3347.7751201548108</v>
      </c>
      <c r="I309" s="106">
        <f t="shared" si="63"/>
        <v>2875.1950339364657</v>
      </c>
      <c r="J309" s="106">
        <f t="shared" si="63"/>
        <v>1671.2956354901623</v>
      </c>
      <c r="K309" s="106">
        <f t="shared" si="63"/>
        <v>2760.4705030257005</v>
      </c>
      <c r="L309" s="106">
        <f t="shared" si="63"/>
        <v>1664.2138743228311</v>
      </c>
      <c r="M309" s="106">
        <f t="shared" si="63"/>
        <v>1756.2767694981367</v>
      </c>
      <c r="N309" s="106">
        <f t="shared" si="63"/>
        <v>3855.4524147184497</v>
      </c>
      <c r="O309" s="106">
        <f t="shared" si="63"/>
        <v>0</v>
      </c>
      <c r="Q309" s="51" t="s">
        <v>577</v>
      </c>
    </row>
    <row r="310" spans="2:17">
      <c r="B310" s="61" t="s">
        <v>293</v>
      </c>
      <c r="D310" s="51" t="s">
        <v>186</v>
      </c>
      <c r="F310" s="109"/>
      <c r="G310" s="106">
        <f t="shared" ref="G310:O310" si="64">G124*$F$190</f>
        <v>3626.1591516426006</v>
      </c>
      <c r="H310" s="106">
        <f t="shared" si="64"/>
        <v>3347.7751201548108</v>
      </c>
      <c r="I310" s="106">
        <f t="shared" si="64"/>
        <v>3512.5535389962733</v>
      </c>
      <c r="J310" s="106">
        <f t="shared" si="64"/>
        <v>1671.2956354901623</v>
      </c>
      <c r="K310" s="106">
        <f t="shared" si="64"/>
        <v>2760.4705030257005</v>
      </c>
      <c r="L310" s="106">
        <f t="shared" si="64"/>
        <v>2107.5321233977643</v>
      </c>
      <c r="M310" s="106">
        <f t="shared" si="64"/>
        <v>1756.2767694981367</v>
      </c>
      <c r="N310" s="106">
        <f t="shared" si="64"/>
        <v>3855.4524147184497</v>
      </c>
      <c r="O310" s="106">
        <f t="shared" si="64"/>
        <v>0</v>
      </c>
    </row>
    <row r="311" spans="2:17">
      <c r="B311" s="61" t="s">
        <v>294</v>
      </c>
      <c r="D311" s="51" t="s">
        <v>186</v>
      </c>
      <c r="F311" s="109"/>
      <c r="G311" s="106">
        <f t="shared" ref="G311:O311" si="65">G125*$F$190</f>
        <v>5366.771065438601</v>
      </c>
      <c r="H311" s="106">
        <f t="shared" si="65"/>
        <v>3347.7751201548108</v>
      </c>
      <c r="I311" s="106">
        <f t="shared" si="65"/>
        <v>4114.5032382194249</v>
      </c>
      <c r="J311" s="106">
        <f t="shared" si="65"/>
        <v>3654.1887623428975</v>
      </c>
      <c r="K311" s="106">
        <f t="shared" si="65"/>
        <v>3921.8793344680166</v>
      </c>
      <c r="L311" s="106">
        <f t="shared" si="65"/>
        <v>3699.5120338138172</v>
      </c>
      <c r="M311" s="106">
        <f t="shared" si="65"/>
        <v>1756.2767694981367</v>
      </c>
      <c r="N311" s="106">
        <f t="shared" si="65"/>
        <v>8428.0747828525309</v>
      </c>
      <c r="O311" s="106">
        <f t="shared" si="65"/>
        <v>0</v>
      </c>
    </row>
    <row r="312" spans="2:17">
      <c r="B312" s="61" t="s">
        <v>295</v>
      </c>
      <c r="D312" s="51" t="s">
        <v>186</v>
      </c>
      <c r="F312" s="109"/>
      <c r="G312" s="106">
        <f t="shared" ref="G312:O312" si="66">G126*$F$190</f>
        <v>5366.771065438601</v>
      </c>
      <c r="H312" s="106">
        <f t="shared" si="66"/>
        <v>3347.7751201548108</v>
      </c>
      <c r="I312" s="106">
        <f t="shared" si="66"/>
        <v>5807.0441572115815</v>
      </c>
      <c r="J312" s="106">
        <f t="shared" si="66"/>
        <v>3654.1887623428975</v>
      </c>
      <c r="K312" s="106">
        <f t="shared" si="66"/>
        <v>4278.8000973015087</v>
      </c>
      <c r="L312" s="106">
        <f t="shared" si="66"/>
        <v>6629.9448048554659</v>
      </c>
      <c r="M312" s="106">
        <f t="shared" si="66"/>
        <v>1756.2767694981367</v>
      </c>
      <c r="N312" s="106">
        <f t="shared" si="66"/>
        <v>8428.0747828525309</v>
      </c>
      <c r="O312" s="106">
        <f t="shared" si="66"/>
        <v>0</v>
      </c>
    </row>
    <row r="313" spans="2:17">
      <c r="B313" s="26" t="s">
        <v>296</v>
      </c>
      <c r="D313" s="51" t="s">
        <v>186</v>
      </c>
      <c r="F313" s="109"/>
      <c r="G313" s="106">
        <f>G127*$F$190</f>
        <v>0</v>
      </c>
      <c r="H313" s="106">
        <f t="shared" ref="H313:O313" si="67">H127*$F$190</f>
        <v>3661.6387750909303</v>
      </c>
      <c r="I313" s="106">
        <f t="shared" si="67"/>
        <v>7492.5033150364061</v>
      </c>
      <c r="J313" s="106">
        <f t="shared" si="67"/>
        <v>3654.1887623428975</v>
      </c>
      <c r="K313" s="106">
        <f t="shared" si="67"/>
        <v>4705.1221195748467</v>
      </c>
      <c r="L313" s="106">
        <f t="shared" si="67"/>
        <v>7219.147333977422</v>
      </c>
      <c r="M313" s="106">
        <f t="shared" si="67"/>
        <v>1756.2767694981367</v>
      </c>
      <c r="N313" s="106">
        <f t="shared" si="67"/>
        <v>8428.0747828525309</v>
      </c>
      <c r="O313" s="106">
        <f t="shared" si="67"/>
        <v>0</v>
      </c>
    </row>
    <row r="314" spans="2:17">
      <c r="B314" s="61" t="s">
        <v>297</v>
      </c>
      <c r="D314" s="51" t="s">
        <v>186</v>
      </c>
      <c r="F314" s="109"/>
      <c r="G314" s="106">
        <f t="shared" ref="G314:O314" si="68">G128*$F$190</f>
        <v>0</v>
      </c>
      <c r="H314" s="106">
        <f t="shared" si="68"/>
        <v>3661.6387750909303</v>
      </c>
      <c r="I314" s="106">
        <f t="shared" si="68"/>
        <v>8186.5159094348628</v>
      </c>
      <c r="J314" s="106">
        <f t="shared" si="68"/>
        <v>3654.1887623428975</v>
      </c>
      <c r="K314" s="106">
        <f t="shared" si="68"/>
        <v>5394.8856572729055</v>
      </c>
      <c r="L314" s="106">
        <f t="shared" si="68"/>
        <v>9777.0794676174501</v>
      </c>
      <c r="M314" s="106">
        <f t="shared" si="68"/>
        <v>0</v>
      </c>
      <c r="N314" s="106">
        <f t="shared" si="68"/>
        <v>8428.0747828525309</v>
      </c>
      <c r="O314" s="106">
        <f t="shared" si="68"/>
        <v>0</v>
      </c>
    </row>
    <row r="315" spans="2:17">
      <c r="B315" s="61" t="s">
        <v>298</v>
      </c>
      <c r="D315" s="51" t="s">
        <v>186</v>
      </c>
      <c r="F315" s="109"/>
      <c r="G315" s="106">
        <f>G129*$F$190</f>
        <v>0</v>
      </c>
      <c r="H315" s="106">
        <f t="shared" ref="H315:O315" si="69">H129*$F$190</f>
        <v>4393.9778609269833</v>
      </c>
      <c r="I315" s="106">
        <f t="shared" si="69"/>
        <v>9008.0002048452825</v>
      </c>
      <c r="J315" s="106">
        <f t="shared" si="69"/>
        <v>3654.1887623428975</v>
      </c>
      <c r="K315" s="106">
        <f t="shared" si="69"/>
        <v>5941.5976193908737</v>
      </c>
      <c r="L315" s="106">
        <f t="shared" si="69"/>
        <v>10677.879488101978</v>
      </c>
      <c r="M315" s="106">
        <f t="shared" si="69"/>
        <v>0</v>
      </c>
      <c r="N315" s="106">
        <f t="shared" si="69"/>
        <v>8428.0747828525309</v>
      </c>
      <c r="O315" s="106">
        <f t="shared" si="69"/>
        <v>0</v>
      </c>
    </row>
    <row r="316" spans="2:17">
      <c r="B316" s="61" t="s">
        <v>299</v>
      </c>
      <c r="D316" s="51" t="s">
        <v>186</v>
      </c>
      <c r="F316" s="109"/>
      <c r="G316" s="106">
        <f t="shared" ref="G316:O316" si="70">G130*$F$190</f>
        <v>0</v>
      </c>
      <c r="H316" s="106">
        <f t="shared" si="70"/>
        <v>0</v>
      </c>
      <c r="I316" s="106">
        <f t="shared" si="70"/>
        <v>9900.3021119290133</v>
      </c>
      <c r="J316" s="106">
        <f t="shared" si="70"/>
        <v>3654.1887623428975</v>
      </c>
      <c r="K316" s="106">
        <f t="shared" si="70"/>
        <v>6536.4655574466942</v>
      </c>
      <c r="L316" s="106">
        <f t="shared" si="70"/>
        <v>10677.879488101978</v>
      </c>
      <c r="M316" s="106">
        <f t="shared" si="70"/>
        <v>0</v>
      </c>
      <c r="N316" s="106">
        <f t="shared" si="70"/>
        <v>8428.0747828525309</v>
      </c>
      <c r="O316" s="106">
        <f t="shared" si="70"/>
        <v>0</v>
      </c>
    </row>
    <row r="317" spans="2:17">
      <c r="B317" s="23" t="s">
        <v>300</v>
      </c>
      <c r="D317" s="51" t="s">
        <v>186</v>
      </c>
      <c r="F317" s="109"/>
      <c r="G317" s="106">
        <f t="shared" ref="G317:O317" si="71">G131*$F$190</f>
        <v>0</v>
      </c>
      <c r="H317" s="106">
        <f t="shared" si="71"/>
        <v>0</v>
      </c>
      <c r="I317" s="106">
        <f t="shared" si="71"/>
        <v>10905.912197690042</v>
      </c>
      <c r="J317" s="106">
        <f t="shared" si="71"/>
        <v>3654.1887623428975</v>
      </c>
      <c r="K317" s="106">
        <f t="shared" si="71"/>
        <v>7186.5712326076982</v>
      </c>
      <c r="L317" s="106">
        <f t="shared" si="71"/>
        <v>10677.879488101978</v>
      </c>
      <c r="M317" s="106">
        <f t="shared" si="71"/>
        <v>0</v>
      </c>
      <c r="N317" s="106">
        <f t="shared" si="71"/>
        <v>8428.0747828525309</v>
      </c>
      <c r="O317" s="106">
        <f t="shared" si="71"/>
        <v>0</v>
      </c>
    </row>
    <row r="318" spans="2:17">
      <c r="B318" s="23" t="s">
        <v>301</v>
      </c>
      <c r="D318" s="51" t="s">
        <v>186</v>
      </c>
      <c r="F318" s="109"/>
      <c r="G318" s="106">
        <f t="shared" ref="G318:O318" si="72">G132*$F$190</f>
        <v>0</v>
      </c>
      <c r="H318" s="106">
        <f t="shared" si="72"/>
        <v>0</v>
      </c>
      <c r="I318" s="106">
        <f t="shared" si="72"/>
        <v>11982.339895124383</v>
      </c>
      <c r="J318" s="106">
        <f t="shared" si="72"/>
        <v>0</v>
      </c>
      <c r="K318" s="106">
        <f t="shared" si="72"/>
        <v>7907.4945194420143</v>
      </c>
      <c r="L318" s="106">
        <f t="shared" si="72"/>
        <v>0</v>
      </c>
      <c r="M318" s="106">
        <f t="shared" si="72"/>
        <v>0</v>
      </c>
      <c r="N318" s="106">
        <f t="shared" si="72"/>
        <v>8428.0747828525309</v>
      </c>
      <c r="O318" s="106">
        <f t="shared" si="72"/>
        <v>0</v>
      </c>
    </row>
    <row r="319" spans="2:17">
      <c r="B319" s="23"/>
      <c r="F319" s="109"/>
    </row>
    <row r="320" spans="2:17">
      <c r="B320" s="108" t="s">
        <v>289</v>
      </c>
      <c r="F320" s="109"/>
    </row>
    <row r="321" spans="2:15">
      <c r="B321" s="61" t="s">
        <v>292</v>
      </c>
      <c r="D321" s="51" t="s">
        <v>186</v>
      </c>
      <c r="F321" s="109"/>
      <c r="G321" s="106">
        <f>G135*$F$190</f>
        <v>11699.664316369193</v>
      </c>
      <c r="H321" s="106">
        <f t="shared" ref="H321:O321" si="73">H135*$F$190</f>
        <v>23016.06371836242</v>
      </c>
      <c r="I321" s="106">
        <f t="shared" si="73"/>
        <v>2875.1950339364657</v>
      </c>
      <c r="J321" s="106">
        <f t="shared" si="73"/>
        <v>1671.2956354901623</v>
      </c>
      <c r="K321" s="106">
        <f t="shared" si="73"/>
        <v>2760.4705030257005</v>
      </c>
      <c r="L321" s="106">
        <f t="shared" si="73"/>
        <v>10677.879488101978</v>
      </c>
      <c r="M321" s="106">
        <f t="shared" si="73"/>
        <v>2861.0315116018032</v>
      </c>
      <c r="N321" s="106">
        <f t="shared" si="73"/>
        <v>8708.31423576616</v>
      </c>
      <c r="O321" s="106">
        <f t="shared" si="73"/>
        <v>0</v>
      </c>
    </row>
    <row r="322" spans="2:15">
      <c r="B322" s="61" t="s">
        <v>293</v>
      </c>
      <c r="D322" s="51" t="s">
        <v>186</v>
      </c>
      <c r="F322" s="109"/>
      <c r="G322" s="106">
        <f t="shared" ref="G322:O322" si="74">G136*$F$190</f>
        <v>11699.664316369193</v>
      </c>
      <c r="H322" s="106">
        <f t="shared" si="74"/>
        <v>23016.06371836242</v>
      </c>
      <c r="I322" s="106">
        <f t="shared" si="74"/>
        <v>3512.5535389962733</v>
      </c>
      <c r="J322" s="106">
        <f t="shared" si="74"/>
        <v>1671.2956354901623</v>
      </c>
      <c r="K322" s="106">
        <f t="shared" si="74"/>
        <v>2760.4705030257005</v>
      </c>
      <c r="L322" s="106">
        <f t="shared" si="74"/>
        <v>10677.879488101978</v>
      </c>
      <c r="M322" s="106">
        <f t="shared" si="74"/>
        <v>2861.0315116018032</v>
      </c>
      <c r="N322" s="106">
        <f t="shared" si="74"/>
        <v>8708.31423576616</v>
      </c>
      <c r="O322" s="106">
        <f t="shared" si="74"/>
        <v>0</v>
      </c>
    </row>
    <row r="323" spans="2:15">
      <c r="B323" s="61" t="s">
        <v>294</v>
      </c>
      <c r="D323" s="51" t="s">
        <v>186</v>
      </c>
      <c r="F323" s="109"/>
      <c r="G323" s="106">
        <f t="shared" ref="G323:O323" si="75">G137*$F$190</f>
        <v>11699.664316369193</v>
      </c>
      <c r="H323" s="106">
        <f t="shared" si="75"/>
        <v>24062.252295612256</v>
      </c>
      <c r="I323" s="106">
        <f t="shared" si="75"/>
        <v>4114.5032382194249</v>
      </c>
      <c r="J323" s="106">
        <f t="shared" si="75"/>
        <v>3654.1887623428975</v>
      </c>
      <c r="K323" s="106">
        <f t="shared" si="75"/>
        <v>3921.8793344680166</v>
      </c>
      <c r="L323" s="106">
        <f t="shared" si="75"/>
        <v>10677.879488101978</v>
      </c>
      <c r="M323" s="106">
        <f t="shared" si="75"/>
        <v>2861.0315116018032</v>
      </c>
      <c r="N323" s="106">
        <f t="shared" si="75"/>
        <v>8708.31423576616</v>
      </c>
      <c r="O323" s="106">
        <f t="shared" si="75"/>
        <v>0</v>
      </c>
    </row>
    <row r="324" spans="2:15">
      <c r="B324" s="61" t="s">
        <v>295</v>
      </c>
      <c r="D324" s="51" t="s">
        <v>186</v>
      </c>
      <c r="F324" s="109"/>
      <c r="G324" s="106">
        <f t="shared" ref="G324:O324" si="76">G138*$F$190</f>
        <v>11699.664316369193</v>
      </c>
      <c r="H324" s="106">
        <f t="shared" si="76"/>
        <v>24062.252295612256</v>
      </c>
      <c r="I324" s="106">
        <f t="shared" si="76"/>
        <v>5807.0441572115815</v>
      </c>
      <c r="J324" s="106">
        <f t="shared" si="76"/>
        <v>3654.1887623428975</v>
      </c>
      <c r="K324" s="106">
        <f t="shared" si="76"/>
        <v>4278.8000973015087</v>
      </c>
      <c r="L324" s="106">
        <f t="shared" si="76"/>
        <v>10677.879488101978</v>
      </c>
      <c r="M324" s="106">
        <f t="shared" si="76"/>
        <v>2861.0315116018032</v>
      </c>
      <c r="N324" s="106">
        <f t="shared" si="76"/>
        <v>8708.31423576616</v>
      </c>
      <c r="O324" s="106">
        <f t="shared" si="76"/>
        <v>0</v>
      </c>
    </row>
    <row r="325" spans="2:15">
      <c r="B325" s="26" t="s">
        <v>296</v>
      </c>
      <c r="D325" s="51" t="s">
        <v>186</v>
      </c>
      <c r="F325" s="109"/>
      <c r="G325" s="106">
        <f>G139*$F$190</f>
        <v>11699.664316369193</v>
      </c>
      <c r="H325" s="106">
        <f t="shared" ref="H325:O325" si="77">H139*$F$190</f>
        <v>24062.252295612256</v>
      </c>
      <c r="I325" s="106">
        <f t="shared" si="77"/>
        <v>7492.5033150364061</v>
      </c>
      <c r="J325" s="106">
        <f t="shared" si="77"/>
        <v>3654.1887623428975</v>
      </c>
      <c r="K325" s="106">
        <f t="shared" si="77"/>
        <v>4705.1221195748467</v>
      </c>
      <c r="L325" s="106">
        <f t="shared" si="77"/>
        <v>10677.879488101978</v>
      </c>
      <c r="M325" s="106">
        <f t="shared" si="77"/>
        <v>2861.0315116018032</v>
      </c>
      <c r="N325" s="106">
        <f t="shared" si="77"/>
        <v>8708.31423576616</v>
      </c>
      <c r="O325" s="106">
        <f t="shared" si="77"/>
        <v>0</v>
      </c>
    </row>
    <row r="326" spans="2:15">
      <c r="B326" s="61" t="s">
        <v>297</v>
      </c>
      <c r="D326" s="51" t="s">
        <v>186</v>
      </c>
      <c r="F326" s="109"/>
      <c r="G326" s="106">
        <f t="shared" ref="G326:O326" si="78">G140*$F$190</f>
        <v>12578.907455860366</v>
      </c>
      <c r="H326" s="106">
        <f t="shared" si="78"/>
        <v>26363.853002039566</v>
      </c>
      <c r="I326" s="106">
        <f t="shared" si="78"/>
        <v>8186.5159094348628</v>
      </c>
      <c r="J326" s="106">
        <f t="shared" si="78"/>
        <v>3654.1887623428975</v>
      </c>
      <c r="K326" s="106">
        <f t="shared" si="78"/>
        <v>5394.8856572729055</v>
      </c>
      <c r="L326" s="106">
        <f t="shared" si="78"/>
        <v>10677.879488101978</v>
      </c>
      <c r="M326" s="106">
        <f t="shared" si="78"/>
        <v>2861.0315116018032</v>
      </c>
      <c r="N326" s="106">
        <f t="shared" si="78"/>
        <v>8708.31423576616</v>
      </c>
      <c r="O326" s="106">
        <f t="shared" si="78"/>
        <v>0</v>
      </c>
    </row>
    <row r="327" spans="2:15">
      <c r="B327" s="61" t="s">
        <v>298</v>
      </c>
      <c r="D327" s="51" t="s">
        <v>186</v>
      </c>
      <c r="F327" s="109"/>
      <c r="G327" s="106">
        <f>G141*$F$190</f>
        <v>12578.907455860366</v>
      </c>
      <c r="H327" s="106">
        <f t="shared" ref="H327:O327" si="79">H141*$F$190</f>
        <v>26363.853002039566</v>
      </c>
      <c r="I327" s="106">
        <f t="shared" si="79"/>
        <v>9008.0002048452825</v>
      </c>
      <c r="J327" s="106">
        <f t="shared" si="79"/>
        <v>3654.1887623428975</v>
      </c>
      <c r="K327" s="106">
        <f t="shared" si="79"/>
        <v>5941.5976193908737</v>
      </c>
      <c r="L327" s="106">
        <f t="shared" si="79"/>
        <v>10677.879488101978</v>
      </c>
      <c r="M327" s="106">
        <f t="shared" si="79"/>
        <v>3470.0629719922863</v>
      </c>
      <c r="N327" s="106">
        <f t="shared" si="79"/>
        <v>8708.31423576616</v>
      </c>
      <c r="O327" s="106">
        <f t="shared" si="79"/>
        <v>0</v>
      </c>
    </row>
    <row r="328" spans="2:15">
      <c r="B328" s="61" t="s">
        <v>299</v>
      </c>
      <c r="D328" s="51" t="s">
        <v>186</v>
      </c>
      <c r="F328" s="109"/>
      <c r="G328" s="106">
        <f t="shared" ref="G328:O328" si="80">G142*$F$190</f>
        <v>12578.907455860366</v>
      </c>
      <c r="H328" s="106">
        <f t="shared" si="80"/>
        <v>0</v>
      </c>
      <c r="I328" s="106">
        <f t="shared" si="80"/>
        <v>9900.3021119290133</v>
      </c>
      <c r="J328" s="106">
        <f t="shared" si="80"/>
        <v>3654.1887623428975</v>
      </c>
      <c r="K328" s="106">
        <f t="shared" si="80"/>
        <v>6536.4655574466942</v>
      </c>
      <c r="L328" s="106">
        <f t="shared" si="80"/>
        <v>10677.879488101978</v>
      </c>
      <c r="M328" s="106">
        <f t="shared" si="80"/>
        <v>3470.0629719922863</v>
      </c>
      <c r="N328" s="106">
        <f t="shared" si="80"/>
        <v>8708.31423576616</v>
      </c>
      <c r="O328" s="106">
        <f t="shared" si="80"/>
        <v>0</v>
      </c>
    </row>
    <row r="329" spans="2:15">
      <c r="B329" s="23" t="s">
        <v>300</v>
      </c>
      <c r="D329" s="51" t="s">
        <v>186</v>
      </c>
      <c r="F329" s="109"/>
      <c r="G329" s="106">
        <f t="shared" ref="G329:O329" si="81">G143*$F$190</f>
        <v>0</v>
      </c>
      <c r="H329" s="106">
        <f t="shared" si="81"/>
        <v>0</v>
      </c>
      <c r="I329" s="106">
        <f t="shared" si="81"/>
        <v>10905.912197690042</v>
      </c>
      <c r="J329" s="106">
        <f t="shared" si="81"/>
        <v>3654.1887623428975</v>
      </c>
      <c r="K329" s="106">
        <f t="shared" si="81"/>
        <v>7186.5712326076982</v>
      </c>
      <c r="L329" s="106">
        <f t="shared" si="81"/>
        <v>0</v>
      </c>
      <c r="M329" s="106">
        <f t="shared" si="81"/>
        <v>3470.0629719922863</v>
      </c>
      <c r="N329" s="106">
        <f t="shared" si="81"/>
        <v>8708.31423576616</v>
      </c>
      <c r="O329" s="106">
        <f t="shared" si="81"/>
        <v>0</v>
      </c>
    </row>
    <row r="330" spans="2:15">
      <c r="B330" s="23" t="s">
        <v>301</v>
      </c>
      <c r="D330" s="51" t="s">
        <v>186</v>
      </c>
      <c r="F330" s="109"/>
      <c r="G330" s="106">
        <f t="shared" ref="G330:O330" si="82">G144*$F$190</f>
        <v>0</v>
      </c>
      <c r="H330" s="106">
        <f t="shared" si="82"/>
        <v>0</v>
      </c>
      <c r="I330" s="106">
        <f t="shared" si="82"/>
        <v>11982.339895124383</v>
      </c>
      <c r="J330" s="106">
        <f t="shared" si="82"/>
        <v>3654.1887623428975</v>
      </c>
      <c r="K330" s="106">
        <f t="shared" si="82"/>
        <v>7907.4945194420143</v>
      </c>
      <c r="L330" s="106">
        <f t="shared" si="82"/>
        <v>0</v>
      </c>
      <c r="M330" s="106">
        <f t="shared" si="82"/>
        <v>3470.0629719922863</v>
      </c>
      <c r="N330" s="106">
        <f t="shared" si="82"/>
        <v>8708.31423576616</v>
      </c>
      <c r="O330" s="106">
        <f t="shared" si="82"/>
        <v>0</v>
      </c>
    </row>
    <row r="331" spans="2:15">
      <c r="B331" s="23"/>
      <c r="F331" s="50"/>
    </row>
    <row r="332" spans="2:15">
      <c r="B332" s="108" t="s">
        <v>290</v>
      </c>
      <c r="F332" s="50"/>
    </row>
    <row r="333" spans="2:15">
      <c r="B333" s="23" t="s">
        <v>302</v>
      </c>
      <c r="D333" s="51" t="s">
        <v>186</v>
      </c>
      <c r="F333" s="109"/>
      <c r="G333" s="106">
        <f t="shared" ref="G333:O333" si="83">G147*$F$190</f>
        <v>0</v>
      </c>
      <c r="H333" s="106">
        <f t="shared" si="83"/>
        <v>0</v>
      </c>
      <c r="I333" s="106">
        <f t="shared" si="83"/>
        <v>0</v>
      </c>
      <c r="J333" s="106">
        <f t="shared" si="83"/>
        <v>0</v>
      </c>
      <c r="K333" s="106">
        <f t="shared" si="83"/>
        <v>0</v>
      </c>
      <c r="L333" s="106">
        <f t="shared" si="83"/>
        <v>0</v>
      </c>
      <c r="M333" s="106">
        <f t="shared" si="83"/>
        <v>0</v>
      </c>
      <c r="N333" s="106">
        <f t="shared" si="83"/>
        <v>0</v>
      </c>
      <c r="O333" s="106">
        <f t="shared" si="83"/>
        <v>0</v>
      </c>
    </row>
    <row r="334" spans="2:15" s="56" customFormat="1">
      <c r="B334"/>
      <c r="C334" s="58"/>
      <c r="D334" s="57"/>
      <c r="E334" s="59"/>
      <c r="F334" s="59"/>
      <c r="G334" s="60"/>
      <c r="H334" s="60"/>
      <c r="I334" s="60"/>
      <c r="J334" s="60"/>
      <c r="K334" s="60"/>
      <c r="L334" s="60"/>
      <c r="M334" s="60"/>
      <c r="N334" s="60"/>
      <c r="O334" s="57"/>
    </row>
    <row r="336" spans="2:15" s="2" customFormat="1">
      <c r="B336" s="2" t="s">
        <v>331</v>
      </c>
      <c r="F336" s="49"/>
    </row>
    <row r="337" spans="2:17">
      <c r="F337" s="47"/>
    </row>
    <row r="338" spans="2:17">
      <c r="B338" s="27" t="s">
        <v>518</v>
      </c>
      <c r="F338" s="47"/>
    </row>
    <row r="339" spans="2:17">
      <c r="B339" s="27" t="s">
        <v>519</v>
      </c>
      <c r="F339" s="47"/>
    </row>
    <row r="340" spans="2:17">
      <c r="B340" s="27" t="s">
        <v>332</v>
      </c>
      <c r="F340" s="47"/>
    </row>
    <row r="341" spans="2:17">
      <c r="F341" s="47"/>
    </row>
    <row r="342" spans="2:17">
      <c r="B342" s="22" t="s">
        <v>207</v>
      </c>
      <c r="F342" s="47"/>
      <c r="H342" s="90"/>
    </row>
    <row r="343" spans="2:17">
      <c r="F343" s="28"/>
    </row>
    <row r="344" spans="2:17">
      <c r="B344" s="103" t="s">
        <v>265</v>
      </c>
      <c r="F344" s="50"/>
    </row>
    <row r="345" spans="2:17">
      <c r="B345" s="89" t="s">
        <v>201</v>
      </c>
      <c r="D345" s="51" t="s">
        <v>130</v>
      </c>
      <c r="F345" s="102">
        <f t="shared" ref="F345:F408" si="84">SUM(G345:O345)</f>
        <v>6974103.0027017621</v>
      </c>
      <c r="G345" s="98">
        <f>IF(G198&gt;0,'Berekening rekenvolumes'!G10,0)</f>
        <v>136666.89743589741</v>
      </c>
      <c r="H345" s="98">
        <f>IF(H198&gt;0,'Berekening rekenvolumes'!H10,0)</f>
        <v>185291.61111111112</v>
      </c>
      <c r="I345" s="98">
        <f>IF(I198&gt;0,'Berekening rekenvolumes'!I10,0)</f>
        <v>389735.66666666669</v>
      </c>
      <c r="J345" s="98">
        <f>IF(J198&gt;0,'Berekening rekenvolumes'!J10,0)</f>
        <v>2018637.8370405796</v>
      </c>
      <c r="K345" s="98">
        <f>IF(K198&gt;0,'Berekening rekenvolumes'!K10,0)</f>
        <v>2211690.7388381059</v>
      </c>
      <c r="L345" s="98">
        <f>IF(L198&gt;0,'Berekening rekenvolumes'!L10,0)</f>
        <v>101151.86666666665</v>
      </c>
      <c r="M345" s="98">
        <f>IF(M198&gt;0,'Berekening rekenvolumes'!M10,0)</f>
        <v>1881089.1584566773</v>
      </c>
      <c r="N345" s="98">
        <f>IF(N198&gt;0,'Berekening rekenvolumes'!N10,0)</f>
        <v>49839.226486056963</v>
      </c>
      <c r="O345" s="98">
        <f>IF(O198&gt;0,'Berekening rekenvolumes'!O10,0)</f>
        <v>0</v>
      </c>
      <c r="Q345" s="51" t="s">
        <v>979</v>
      </c>
    </row>
    <row r="346" spans="2:17">
      <c r="B346" s="90" t="s">
        <v>202</v>
      </c>
      <c r="D346" s="51" t="s">
        <v>130</v>
      </c>
      <c r="F346" s="102">
        <f t="shared" si="84"/>
        <v>22616181.448834509</v>
      </c>
      <c r="G346" s="98">
        <f>IF(G199&gt;0,'Berekening rekenvolumes'!G11,0)</f>
        <v>477360.217948718</v>
      </c>
      <c r="H346" s="98">
        <f>IF(H199&gt;0,'Berekening rekenvolumes'!H11,0)</f>
        <v>605800.97222222213</v>
      </c>
      <c r="I346" s="98">
        <f>IF(I199&gt;0,'Berekening rekenvolumes'!I11,0)</f>
        <v>1325353</v>
      </c>
      <c r="J346" s="98">
        <f>IF(J199&gt;0,'Berekening rekenvolumes'!J11,0)</f>
        <v>6741460.3096565902</v>
      </c>
      <c r="K346" s="98">
        <f>IF(K199&gt;0,'Berekening rekenvolumes'!K11,0)</f>
        <v>7078671.4069611887</v>
      </c>
      <c r="L346" s="98">
        <f>IF(L199&gt;0,'Berekening rekenvolumes'!L11,0)</f>
        <v>342940.8</v>
      </c>
      <c r="M346" s="98">
        <f>IF(M199&gt;0,'Berekening rekenvolumes'!M11,0)</f>
        <v>5880542.365597182</v>
      </c>
      <c r="N346" s="98">
        <f>IF(N199&gt;0,'Berekening rekenvolumes'!N11,0)</f>
        <v>164052.37644860838</v>
      </c>
      <c r="O346" s="98">
        <f>IF(O199&gt;0,'Berekening rekenvolumes'!O11,0)</f>
        <v>0</v>
      </c>
    </row>
    <row r="347" spans="2:17">
      <c r="B347" s="90"/>
      <c r="F347" s="109"/>
    </row>
    <row r="348" spans="2:17">
      <c r="B348" s="91" t="s">
        <v>266</v>
      </c>
      <c r="F348" s="109"/>
    </row>
    <row r="349" spans="2:17">
      <c r="B349" s="89" t="s">
        <v>201</v>
      </c>
      <c r="D349" s="51" t="s">
        <v>130</v>
      </c>
      <c r="F349" s="102">
        <f t="shared" si="84"/>
        <v>30365.988277579301</v>
      </c>
      <c r="G349" s="98">
        <f>IF(G202&gt;0,'Berekening rekenvolumes'!G14,0)</f>
        <v>509.4871794871795</v>
      </c>
      <c r="H349" s="98">
        <f>IF(H202&gt;0,'Berekening rekenvolumes'!H14,0)</f>
        <v>561.11139359698655</v>
      </c>
      <c r="I349" s="98">
        <f>IF(I202&gt;0,'Berekening rekenvolumes'!I14,0)</f>
        <v>1684.3333333333333</v>
      </c>
      <c r="J349" s="98">
        <f>IF(J202&gt;0,'Berekening rekenvolumes'!J14,0)</f>
        <v>8444.5632882651498</v>
      </c>
      <c r="K349" s="98">
        <f>IF(K202&gt;0,'Berekening rekenvolumes'!K14,0)</f>
        <v>9752.3450620830354</v>
      </c>
      <c r="L349" s="98">
        <f>IF(L202&gt;0,'Berekening rekenvolumes'!L14,0)</f>
        <v>353.4666666666667</v>
      </c>
      <c r="M349" s="98">
        <f>IF(M202&gt;0,'Berekening rekenvolumes'!M14,0)</f>
        <v>8334.3048539418796</v>
      </c>
      <c r="N349" s="98">
        <f>IF(N202&gt;0,'Berekening rekenvolumes'!N14,0)</f>
        <v>726.3765002050726</v>
      </c>
      <c r="O349" s="98">
        <f>IF(O202&gt;0,'Berekening rekenvolumes'!O14,0)</f>
        <v>0</v>
      </c>
    </row>
    <row r="350" spans="2:17">
      <c r="B350" s="90" t="s">
        <v>202</v>
      </c>
      <c r="D350" s="51" t="s">
        <v>130</v>
      </c>
      <c r="F350" s="102">
        <f t="shared" si="84"/>
        <v>2341606.4157511177</v>
      </c>
      <c r="G350" s="98">
        <f>IF(G203&gt;0,'Berekening rekenvolumes'!G15,0)</f>
        <v>35170.128205128211</v>
      </c>
      <c r="H350" s="98">
        <f>IF(H203&gt;0,'Berekening rekenvolumes'!H15,0)</f>
        <v>39622.650188323903</v>
      </c>
      <c r="I350" s="98">
        <f>IF(I203&gt;0,'Berekening rekenvolumes'!I15,0)</f>
        <v>110935</v>
      </c>
      <c r="J350" s="98">
        <f>IF(J203&gt;0,'Berekening rekenvolumes'!J15,0)</f>
        <v>646096.93713264691</v>
      </c>
      <c r="K350" s="98">
        <f>IF(K203&gt;0,'Berekening rekenvolumes'!K15,0)</f>
        <v>711203.45552677196</v>
      </c>
      <c r="L350" s="98">
        <f>IF(L203&gt;0,'Berekening rekenvolumes'!L15,0)</f>
        <v>23774.666666666668</v>
      </c>
      <c r="M350" s="98">
        <f>IF(M203&gt;0,'Berekening rekenvolumes'!M15,0)</f>
        <v>694962.64764563611</v>
      </c>
      <c r="N350" s="98">
        <f>IF(N203&gt;0,'Berekening rekenvolumes'!N15,0)</f>
        <v>79840.930385944186</v>
      </c>
      <c r="O350" s="98">
        <f>IF(O203&gt;0,'Berekening rekenvolumes'!O15,0)</f>
        <v>0</v>
      </c>
    </row>
    <row r="351" spans="2:17">
      <c r="B351" s="104"/>
      <c r="F351" s="109"/>
    </row>
    <row r="352" spans="2:17">
      <c r="B352" s="88" t="s">
        <v>204</v>
      </c>
      <c r="F352" s="109"/>
    </row>
    <row r="353" spans="2:15">
      <c r="B353" s="89" t="s">
        <v>201</v>
      </c>
      <c r="D353" s="51" t="s">
        <v>130</v>
      </c>
      <c r="F353" s="102">
        <f t="shared" si="84"/>
        <v>8822.9411906296045</v>
      </c>
      <c r="G353" s="98">
        <f>IF(G206&gt;0,'Berekening rekenvolumes'!G18,0)</f>
        <v>113.33333333333333</v>
      </c>
      <c r="H353" s="98">
        <f>IF(H206&gt;0,'Berekening rekenvolumes'!H18,0)</f>
        <v>184.19444444444443</v>
      </c>
      <c r="I353" s="98">
        <f>IF(I206&gt;0,'Berekening rekenvolumes'!I18,0)</f>
        <v>501</v>
      </c>
      <c r="J353" s="98">
        <f>IF(J206&gt;0,'Berekening rekenvolumes'!J18,0)</f>
        <v>2318.0557286788703</v>
      </c>
      <c r="K353" s="98">
        <f>IF(K206&gt;0,'Berekening rekenvolumes'!K18,0)</f>
        <v>2582.3323687046977</v>
      </c>
      <c r="L353" s="98">
        <f>IF(L206&gt;0,'Berekening rekenvolumes'!L18,0)</f>
        <v>89.94</v>
      </c>
      <c r="M353" s="98">
        <f>IF(M206&gt;0,'Berekening rekenvolumes'!M18,0)</f>
        <v>2066.6484829098731</v>
      </c>
      <c r="N353" s="98">
        <f>IF(N206&gt;0,'Berekening rekenvolumes'!N18,0)</f>
        <v>967.4368325583855</v>
      </c>
      <c r="O353" s="98">
        <f>IF(O206&gt;0,'Berekening rekenvolumes'!O18,0)</f>
        <v>0</v>
      </c>
    </row>
    <row r="354" spans="2:15">
      <c r="B354" s="90" t="s">
        <v>262</v>
      </c>
      <c r="D354" s="51" t="s">
        <v>130</v>
      </c>
      <c r="F354" s="102">
        <f t="shared" si="84"/>
        <v>159459.86777777778</v>
      </c>
      <c r="G354" s="98">
        <f>IF(G207&gt;0,'Berekening rekenvolumes'!G19,0)</f>
        <v>7366.3888888888878</v>
      </c>
      <c r="H354" s="98">
        <f>IF(H207&gt;0,'Berekening rekenvolumes'!H19,0)</f>
        <v>12207.361111111109</v>
      </c>
      <c r="I354" s="98">
        <f>IF(I207&gt;0,'Berekening rekenvolumes'!I19,0)</f>
        <v>0</v>
      </c>
      <c r="J354" s="98">
        <f>IF(J207&gt;0,'Berekening rekenvolumes'!J19,0)</f>
        <v>0</v>
      </c>
      <c r="K354" s="98">
        <f>IF(K207&gt;0,'Berekening rekenvolumes'!K19,0)</f>
        <v>136101.36111111112</v>
      </c>
      <c r="L354" s="98">
        <f>IF(L207&gt;0,'Berekening rekenvolumes'!L19,0)</f>
        <v>3784.7566666666667</v>
      </c>
      <c r="M354" s="98">
        <f>IF(M207&gt;0,'Berekening rekenvolumes'!M19,0)</f>
        <v>0</v>
      </c>
      <c r="N354" s="98">
        <f>IF(N207&gt;0,'Berekening rekenvolumes'!N19,0)</f>
        <v>0</v>
      </c>
      <c r="O354" s="98">
        <f>IF(O207&gt;0,'Berekening rekenvolumes'!O19,0)</f>
        <v>0</v>
      </c>
    </row>
    <row r="355" spans="2:15">
      <c r="B355" s="89" t="s">
        <v>263</v>
      </c>
      <c r="D355" s="51" t="s">
        <v>130</v>
      </c>
      <c r="F355" s="102">
        <f t="shared" si="84"/>
        <v>628186.59826178476</v>
      </c>
      <c r="G355" s="98">
        <f>IF(G208&gt;0,'Berekening rekenvolumes'!G20,0)</f>
        <v>23341.638888888891</v>
      </c>
      <c r="H355" s="98">
        <f>IF(H208&gt;0,'Berekening rekenvolumes'!H20,0)</f>
        <v>48604.709229772852</v>
      </c>
      <c r="I355" s="98">
        <f>IF(I208&gt;0,'Berekening rekenvolumes'!I20,0)</f>
        <v>0</v>
      </c>
      <c r="J355" s="98">
        <f>IF(J208&gt;0,'Berekening rekenvolumes'!J20,0)</f>
        <v>0</v>
      </c>
      <c r="K355" s="98">
        <f>IF(K208&gt;0,'Berekening rekenvolumes'!K20,0)</f>
        <v>529847.85680978966</v>
      </c>
      <c r="L355" s="98">
        <f>IF(L208&gt;0,'Berekening rekenvolumes'!L20,0)</f>
        <v>26392.39333333333</v>
      </c>
      <c r="M355" s="98">
        <f>IF(M208&gt;0,'Berekening rekenvolumes'!M20,0)</f>
        <v>0</v>
      </c>
      <c r="N355" s="98">
        <f>IF(N208&gt;0,'Berekening rekenvolumes'!N20,0)</f>
        <v>0</v>
      </c>
      <c r="O355" s="98">
        <f>IF(O208&gt;0,'Berekening rekenvolumes'!O20,0)</f>
        <v>0</v>
      </c>
    </row>
    <row r="356" spans="2:15">
      <c r="B356" s="90" t="s">
        <v>264</v>
      </c>
      <c r="D356" s="51" t="s">
        <v>130</v>
      </c>
      <c r="F356" s="102">
        <f t="shared" si="84"/>
        <v>1878439.430394233</v>
      </c>
      <c r="G356" s="98">
        <f>IF(G209&gt;0,'Berekening rekenvolumes'!G21,0)</f>
        <v>0</v>
      </c>
      <c r="H356" s="98">
        <f>IF(H209&gt;0,'Berekening rekenvolumes'!H21,0)</f>
        <v>0</v>
      </c>
      <c r="I356" s="98">
        <f>IF(I209&gt;0,'Berekening rekenvolumes'!I21,0)</f>
        <v>153419.88261245476</v>
      </c>
      <c r="J356" s="98">
        <f>IF(J209&gt;0,'Berekening rekenvolumes'!J21,0)</f>
        <v>746574.67327855539</v>
      </c>
      <c r="K356" s="98">
        <f>IF(K209&gt;0,'Berekening rekenvolumes'!K21,0)</f>
        <v>0</v>
      </c>
      <c r="L356" s="98">
        <f>IF(L209&gt;0,'Berekening rekenvolumes'!L21,0)</f>
        <v>0</v>
      </c>
      <c r="M356" s="98">
        <f>IF(M209&gt;0,'Berekening rekenvolumes'!M21,0)</f>
        <v>650423.1834578244</v>
      </c>
      <c r="N356" s="98">
        <f>IF(N209&gt;0,'Berekening rekenvolumes'!N21,0)</f>
        <v>328021.69104539836</v>
      </c>
      <c r="O356" s="98">
        <f>IF(O209&gt;0,'Berekening rekenvolumes'!O21,0)</f>
        <v>0</v>
      </c>
    </row>
    <row r="357" spans="2:15">
      <c r="B357" s="90" t="s">
        <v>205</v>
      </c>
      <c r="D357" s="51" t="s">
        <v>130</v>
      </c>
      <c r="F357" s="102">
        <f t="shared" si="84"/>
        <v>2666085.8964337953</v>
      </c>
      <c r="G357" s="98">
        <f>IF(G210&gt;0,'Berekening rekenvolumes'!G22,0)</f>
        <v>30708.027777777777</v>
      </c>
      <c r="H357" s="98">
        <f>IF(H210&gt;0,'Berekening rekenvolumes'!H22,0)</f>
        <v>60812.070340883954</v>
      </c>
      <c r="I357" s="98">
        <f>IF(I210&gt;0,'Berekening rekenvolumes'!I22,0)</f>
        <v>153419.88261245476</v>
      </c>
      <c r="J357" s="98">
        <f>IF(J210&gt;0,'Berekening rekenvolumes'!J22,0)</f>
        <v>746574.67327855539</v>
      </c>
      <c r="K357" s="98">
        <f>IF(K210&gt;0,'Berekening rekenvolumes'!K22,0)</f>
        <v>665949.21792090079</v>
      </c>
      <c r="L357" s="98">
        <f>IF(L210&gt;0,'Berekening rekenvolumes'!L22,0)</f>
        <v>30177.149999999998</v>
      </c>
      <c r="M357" s="98">
        <f>IF(M210&gt;0,'Berekening rekenvolumes'!M22,0)</f>
        <v>650423.1834578244</v>
      </c>
      <c r="N357" s="98">
        <f>IF(N210&gt;0,'Berekening rekenvolumes'!N22,0)</f>
        <v>328021.69104539836</v>
      </c>
      <c r="O357" s="98">
        <f>IF(O210&gt;0,'Berekening rekenvolumes'!O22,0)</f>
        <v>0</v>
      </c>
    </row>
    <row r="358" spans="2:15">
      <c r="B358" s="105"/>
      <c r="F358" s="109"/>
      <c r="H358" s="90"/>
    </row>
    <row r="359" spans="2:15">
      <c r="B359" s="88" t="s">
        <v>206</v>
      </c>
      <c r="F359" s="109"/>
      <c r="H359" s="90"/>
    </row>
    <row r="360" spans="2:15">
      <c r="B360" s="89" t="s">
        <v>201</v>
      </c>
      <c r="D360" s="51" t="s">
        <v>130</v>
      </c>
      <c r="F360" s="102">
        <f t="shared" si="84"/>
        <v>7</v>
      </c>
      <c r="G360" s="29"/>
      <c r="H360" s="98">
        <f>IF(H213&gt;0,'Berekening rekenvolumes'!H25,0)</f>
        <v>4</v>
      </c>
      <c r="I360" s="29"/>
      <c r="J360" s="98">
        <f>IF(J213&gt;0,'Berekening rekenvolumes'!J25,0)</f>
        <v>1</v>
      </c>
      <c r="K360" s="29"/>
      <c r="L360" s="29"/>
      <c r="M360" s="29"/>
      <c r="N360" s="29"/>
      <c r="O360" s="98">
        <f>IF(O213&gt;0,'Berekening rekenvolumes'!O25,0)</f>
        <v>2</v>
      </c>
    </row>
    <row r="361" spans="2:15">
      <c r="B361" s="90" t="s">
        <v>202</v>
      </c>
      <c r="D361" s="51" t="s">
        <v>130</v>
      </c>
      <c r="F361" s="102">
        <f t="shared" si="84"/>
        <v>786299.45876666671</v>
      </c>
      <c r="G361" s="29"/>
      <c r="H361" s="98">
        <f>IF(H214&gt;0,'Berekening rekenvolumes'!H26,0)</f>
        <v>76157.666666666672</v>
      </c>
      <c r="I361" s="29"/>
      <c r="J361" s="98">
        <f>IF(J214&gt;0,'Berekening rekenvolumes'!J26,0)</f>
        <v>60000</v>
      </c>
      <c r="K361" s="29"/>
      <c r="L361" s="29"/>
      <c r="M361" s="29"/>
      <c r="N361" s="29"/>
      <c r="O361" s="98">
        <f>IF(O214&gt;0,'Berekening rekenvolumes'!O26,0)</f>
        <v>650141.79210000008</v>
      </c>
    </row>
    <row r="362" spans="2:15">
      <c r="B362" s="22"/>
      <c r="F362" s="109"/>
      <c r="H362" s="90"/>
    </row>
    <row r="363" spans="2:15">
      <c r="B363" s="22"/>
      <c r="F363" s="109"/>
      <c r="H363" s="90"/>
    </row>
    <row r="364" spans="2:15">
      <c r="F364" s="109"/>
    </row>
    <row r="365" spans="2:15">
      <c r="B365" s="22" t="s">
        <v>208</v>
      </c>
      <c r="F365" s="109"/>
      <c r="H365" s="90"/>
    </row>
    <row r="366" spans="2:15">
      <c r="F366" s="109"/>
    </row>
    <row r="367" spans="2:15">
      <c r="B367" s="3" t="s">
        <v>306</v>
      </c>
      <c r="F367" s="109"/>
    </row>
    <row r="368" spans="2:15">
      <c r="B368" s="3"/>
      <c r="F368" s="109"/>
    </row>
    <row r="369" spans="2:15">
      <c r="B369" s="108" t="s">
        <v>284</v>
      </c>
      <c r="F369" s="109"/>
    </row>
    <row r="370" spans="2:15">
      <c r="B370" s="23" t="s">
        <v>285</v>
      </c>
      <c r="D370" s="51" t="s">
        <v>130</v>
      </c>
      <c r="F370" s="102">
        <f t="shared" si="84"/>
        <v>6839272.7536220178</v>
      </c>
      <c r="G370" s="98">
        <f>IF(G223&gt;0,'Berekening rekenvolumes'!G35,0)</f>
        <v>133669.8205128205</v>
      </c>
      <c r="H370" s="98">
        <f>IF(H223&gt;0,'Berekening rekenvolumes'!H35,0)</f>
        <v>181856.27777777778</v>
      </c>
      <c r="I370" s="98">
        <f>IF(I223&gt;0,'Berekening rekenvolumes'!I35,0)</f>
        <v>379622.66666666669</v>
      </c>
      <c r="J370" s="98">
        <f>IF(J223&gt;0,'Berekening rekenvolumes'!J35,0)</f>
        <v>1977711.7453203599</v>
      </c>
      <c r="K370" s="98">
        <f>IF(K223&gt;0,'Berekening rekenvolumes'!K35,0)</f>
        <v>2174210.75</v>
      </c>
      <c r="L370" s="98">
        <f>IF(L223&gt;0,'Berekening rekenvolumes'!L35,0)</f>
        <v>98969</v>
      </c>
      <c r="M370" s="98">
        <f>IF(M223&gt;0,'Berekening rekenvolumes'!M35,0)</f>
        <v>1843974.2536454611</v>
      </c>
      <c r="N370" s="98">
        <f>IF(N223&gt;0,'Berekening rekenvolumes'!N35,0)</f>
        <v>49258.239698931109</v>
      </c>
      <c r="O370" s="98">
        <f>IF(O223&gt;0,'Berekening rekenvolumes'!O35,0)</f>
        <v>0</v>
      </c>
    </row>
    <row r="371" spans="2:15">
      <c r="B371" s="23" t="s">
        <v>286</v>
      </c>
      <c r="D371" s="51" t="s">
        <v>130</v>
      </c>
      <c r="F371" s="102">
        <f t="shared" si="84"/>
        <v>25425.08257336833</v>
      </c>
      <c r="G371" s="98">
        <f>IF(G224&gt;0,'Berekening rekenvolumes'!G36,0)</f>
        <v>3</v>
      </c>
      <c r="H371" s="98">
        <f>IF(H224&gt;0,'Berekening rekenvolumes'!H36,0)</f>
        <v>21.305555555555557</v>
      </c>
      <c r="I371" s="98">
        <f>IF(I224&gt;0,'Berekening rekenvolumes'!I36,0)</f>
        <v>2400</v>
      </c>
      <c r="J371" s="98">
        <f>IF(J224&gt;0,'Berekening rekenvolumes'!J36,0)</f>
        <v>4849.0895288625497</v>
      </c>
      <c r="K371" s="98">
        <f>IF(K224&gt;0,'Berekening rekenvolumes'!K36,0)</f>
        <v>9294.6944444444434</v>
      </c>
      <c r="L371" s="98">
        <f>IF(L224&gt;0,'Berekening rekenvolumes'!L36,0)</f>
        <v>668.93333333333339</v>
      </c>
      <c r="M371" s="98">
        <f>IF(M224&gt;0,'Berekening rekenvolumes'!M36,0)</f>
        <v>7761.4052458553897</v>
      </c>
      <c r="N371" s="98">
        <f>IF(N224&gt;0,'Berekening rekenvolumes'!N36,0)</f>
        <v>426.65446531706112</v>
      </c>
      <c r="O371" s="98">
        <f>IF(O224&gt;0,'Berekening rekenvolumes'!O36,0)</f>
        <v>0</v>
      </c>
    </row>
    <row r="372" spans="2:15">
      <c r="B372" s="61" t="s">
        <v>287</v>
      </c>
      <c r="D372" s="51" t="s">
        <v>130</v>
      </c>
      <c r="F372" s="102">
        <f t="shared" si="84"/>
        <v>77388.462006510017</v>
      </c>
      <c r="G372" s="98">
        <f>IF(G225&gt;0,'Berekening rekenvolumes'!G37,0)</f>
        <v>2278.8717948717949</v>
      </c>
      <c r="H372" s="98">
        <f>IF(H225&gt;0,'Berekening rekenvolumes'!H37,0)</f>
        <v>2749.1111111111113</v>
      </c>
      <c r="I372" s="98">
        <f>IF(I225&gt;0,'Berekening rekenvolumes'!I37,0)</f>
        <v>5758.666666666667</v>
      </c>
      <c r="J372" s="98">
        <f>IF(J225&gt;0,'Berekening rekenvolumes'!J37,0)</f>
        <v>27627.476785386138</v>
      </c>
      <c r="K372" s="98">
        <f>IF(K225&gt;0,'Berekening rekenvolumes'!K37,0)</f>
        <v>21302.916666666668</v>
      </c>
      <c r="L372" s="98">
        <f>IF(L225&gt;0,'Berekening rekenvolumes'!L37,0)</f>
        <v>1103.6666666666667</v>
      </c>
      <c r="M372" s="98">
        <f>IF(M225&gt;0,'Berekening rekenvolumes'!M37,0)</f>
        <v>16163.250026709402</v>
      </c>
      <c r="N372" s="98">
        <f>IF(N225&gt;0,'Berekening rekenvolumes'!N37,0)</f>
        <v>404.5022884315693</v>
      </c>
      <c r="O372" s="98">
        <f>IF(O225&gt;0,'Berekening rekenvolumes'!O37,0)</f>
        <v>0</v>
      </c>
    </row>
    <row r="373" spans="2:15">
      <c r="B373" s="61" t="s">
        <v>288</v>
      </c>
      <c r="D373" s="51" t="s">
        <v>130</v>
      </c>
      <c r="F373" s="102">
        <f t="shared" si="84"/>
        <v>26317.47691902451</v>
      </c>
      <c r="G373" s="98">
        <f>IF(G226&gt;0,'Berekening rekenvolumes'!G38,0)</f>
        <v>719.53846153846155</v>
      </c>
      <c r="H373" s="98">
        <f>IF(H226&gt;0,'Berekening rekenvolumes'!H38,0)</f>
        <v>665.1388888888888</v>
      </c>
      <c r="I373" s="98">
        <f>IF(I226&gt;0,'Berekening rekenvolumes'!I38,0)</f>
        <v>1955.6666666666667</v>
      </c>
      <c r="J373" s="98">
        <f>IF(J226&gt;0,'Berekening rekenvolumes'!J38,0)</f>
        <v>8602.3974507738694</v>
      </c>
      <c r="K373" s="98">
        <f>IF(K226&gt;0,'Berekening rekenvolumes'!K38,0)</f>
        <v>6891.3888888888878</v>
      </c>
      <c r="L373" s="98">
        <f>IF(L226&gt;0,'Berekening rekenvolumes'!L38,0)</f>
        <v>409.59999999999997</v>
      </c>
      <c r="M373" s="98">
        <f>IF(M226&gt;0,'Berekening rekenvolumes'!M38,0)</f>
        <v>6778.6834589757646</v>
      </c>
      <c r="N373" s="98">
        <f>IF(N226&gt;0,'Berekening rekenvolumes'!N38,0)</f>
        <v>295.06310329197191</v>
      </c>
      <c r="O373" s="98">
        <f>IF(O226&gt;0,'Berekening rekenvolumes'!O38,0)</f>
        <v>0</v>
      </c>
    </row>
    <row r="374" spans="2:15">
      <c r="B374" s="23"/>
      <c r="F374" s="109"/>
    </row>
    <row r="375" spans="2:15">
      <c r="B375" s="108" t="s">
        <v>289</v>
      </c>
      <c r="F375" s="109"/>
    </row>
    <row r="376" spans="2:15">
      <c r="B376" s="23" t="s">
        <v>285</v>
      </c>
      <c r="D376" s="51" t="s">
        <v>130</v>
      </c>
      <c r="F376" s="102">
        <f t="shared" si="84"/>
        <v>0</v>
      </c>
      <c r="G376" s="98">
        <f>IF(G229&gt;0,'Berekening rekenvolumes'!G41,0)</f>
        <v>0</v>
      </c>
      <c r="H376" s="98">
        <f>IF(H229&gt;0,'Berekening rekenvolumes'!H41,0)</f>
        <v>0</v>
      </c>
      <c r="I376" s="98">
        <f>IF(I229&gt;0,'Berekening rekenvolumes'!I41,0)</f>
        <v>0</v>
      </c>
      <c r="J376" s="98">
        <f>IF(J229&gt;0,'Berekening rekenvolumes'!J41,0)</f>
        <v>0</v>
      </c>
      <c r="K376" s="98">
        <f>IF(K229&gt;0,'Berekening rekenvolumes'!K41,0)</f>
        <v>0</v>
      </c>
      <c r="L376" s="98">
        <f>IF(L229&gt;0,'Berekening rekenvolumes'!L41,0)</f>
        <v>0</v>
      </c>
      <c r="M376" s="98">
        <f>IF(M229&gt;0,'Berekening rekenvolumes'!M41,0)</f>
        <v>0</v>
      </c>
      <c r="N376" s="98">
        <f>IF(N229&gt;0,'Berekening rekenvolumes'!N41,0)</f>
        <v>0</v>
      </c>
      <c r="O376" s="98">
        <f>IF(O229&gt;0,'Berekening rekenvolumes'!O41,0)</f>
        <v>0</v>
      </c>
    </row>
    <row r="377" spans="2:15">
      <c r="B377" s="23" t="s">
        <v>286</v>
      </c>
      <c r="D377" s="51" t="s">
        <v>130</v>
      </c>
      <c r="F377" s="102">
        <f t="shared" si="84"/>
        <v>0.33333333333333331</v>
      </c>
      <c r="G377" s="98">
        <f>IF(G230&gt;0,'Berekening rekenvolumes'!G42,0)</f>
        <v>0</v>
      </c>
      <c r="H377" s="98">
        <f>IF(H230&gt;0,'Berekening rekenvolumes'!H42,0)</f>
        <v>0</v>
      </c>
      <c r="I377" s="98">
        <f>IF(I230&gt;0,'Berekening rekenvolumes'!I42,0)</f>
        <v>0</v>
      </c>
      <c r="J377" s="98">
        <f>IF(J230&gt;0,'Berekening rekenvolumes'!J42,0)</f>
        <v>0</v>
      </c>
      <c r="K377" s="98">
        <f>IF(K230&gt;0,'Berekening rekenvolumes'!K42,0)</f>
        <v>0.33333333333333331</v>
      </c>
      <c r="L377" s="98">
        <f>IF(L230&gt;0,'Berekening rekenvolumes'!L42,0)</f>
        <v>0</v>
      </c>
      <c r="M377" s="98">
        <f>IF(M230&gt;0,'Berekening rekenvolumes'!M42,0)</f>
        <v>0</v>
      </c>
      <c r="N377" s="98">
        <f>IF(N230&gt;0,'Berekening rekenvolumes'!N42,0)</f>
        <v>0</v>
      </c>
      <c r="O377" s="98">
        <f>IF(O230&gt;0,'Berekening rekenvolumes'!O42,0)</f>
        <v>0</v>
      </c>
    </row>
    <row r="378" spans="2:15">
      <c r="B378" s="61" t="s">
        <v>287</v>
      </c>
      <c r="D378" s="51" t="s">
        <v>130</v>
      </c>
      <c r="F378" s="102">
        <f t="shared" si="84"/>
        <v>1.6666666666666665</v>
      </c>
      <c r="G378" s="98">
        <f>IF(G231&gt;0,'Berekening rekenvolumes'!G43,0)</f>
        <v>0</v>
      </c>
      <c r="H378" s="98">
        <f>IF(H231&gt;0,'Berekening rekenvolumes'!H43,0)</f>
        <v>0</v>
      </c>
      <c r="I378" s="98">
        <f>IF(I231&gt;0,'Berekening rekenvolumes'!I43,0)</f>
        <v>0.66666666666666663</v>
      </c>
      <c r="J378" s="98">
        <f>IF(J231&gt;0,'Berekening rekenvolumes'!J43,0)</f>
        <v>0</v>
      </c>
      <c r="K378" s="98">
        <f>IF(K231&gt;0,'Berekening rekenvolumes'!K43,0)</f>
        <v>0</v>
      </c>
      <c r="L378" s="98">
        <f>IF(L231&gt;0,'Berekening rekenvolumes'!L43,0)</f>
        <v>1</v>
      </c>
      <c r="M378" s="98">
        <f>IF(M231&gt;0,'Berekening rekenvolumes'!M43,0)</f>
        <v>0</v>
      </c>
      <c r="N378" s="98">
        <f>IF(N231&gt;0,'Berekening rekenvolumes'!N43,0)</f>
        <v>0</v>
      </c>
      <c r="O378" s="98">
        <f>IF(O231&gt;0,'Berekening rekenvolumes'!O43,0)</f>
        <v>0</v>
      </c>
    </row>
    <row r="379" spans="2:15">
      <c r="B379" s="61" t="s">
        <v>288</v>
      </c>
      <c r="D379" s="51" t="s">
        <v>130</v>
      </c>
      <c r="F379" s="102">
        <f t="shared" si="84"/>
        <v>0.66666666666666663</v>
      </c>
      <c r="G379" s="98">
        <f>IF(G232&gt;0,'Berekening rekenvolumes'!G44,0)</f>
        <v>0</v>
      </c>
      <c r="H379" s="98">
        <f>IF(H232&gt;0,'Berekening rekenvolumes'!H44,0)</f>
        <v>0</v>
      </c>
      <c r="I379" s="98">
        <f>IF(I232&gt;0,'Berekening rekenvolumes'!I44,0)</f>
        <v>0.66666666666666663</v>
      </c>
      <c r="J379" s="98">
        <f>IF(J232&gt;0,'Berekening rekenvolumes'!J44,0)</f>
        <v>0</v>
      </c>
      <c r="K379" s="98">
        <f>IF(K232&gt;0,'Berekening rekenvolumes'!K44,0)</f>
        <v>0</v>
      </c>
      <c r="L379" s="98">
        <f>IF(L232&gt;0,'Berekening rekenvolumes'!L44,0)</f>
        <v>0</v>
      </c>
      <c r="M379" s="98">
        <f>IF(M232&gt;0,'Berekening rekenvolumes'!M44,0)</f>
        <v>0</v>
      </c>
      <c r="N379" s="98">
        <f>IF(N232&gt;0,'Berekening rekenvolumes'!N44,0)</f>
        <v>0</v>
      </c>
      <c r="O379" s="98">
        <f>IF(O232&gt;0,'Berekening rekenvolumes'!O44,0)</f>
        <v>0</v>
      </c>
    </row>
    <row r="380" spans="2:15">
      <c r="B380" s="23"/>
      <c r="F380" s="109"/>
    </row>
    <row r="381" spans="2:15">
      <c r="B381" s="108" t="s">
        <v>290</v>
      </c>
      <c r="F381" s="109"/>
    </row>
    <row r="382" spans="2:15">
      <c r="B382" s="23" t="s">
        <v>291</v>
      </c>
      <c r="D382" s="51" t="s">
        <v>130</v>
      </c>
      <c r="F382" s="102">
        <f t="shared" si="84"/>
        <v>0</v>
      </c>
      <c r="G382" s="29"/>
      <c r="H382" s="98">
        <f>IF(H235&gt;0,'Berekening rekenvolumes'!H47,0)</f>
        <v>0</v>
      </c>
      <c r="I382" s="29"/>
      <c r="J382" s="98">
        <f>IF(J235&gt;0,'Berekening rekenvolumes'!J47,0)</f>
        <v>0</v>
      </c>
      <c r="K382" s="29"/>
      <c r="L382" s="29"/>
      <c r="M382" s="29"/>
      <c r="N382" s="29"/>
      <c r="O382" s="98">
        <f>IF(O235&gt;0,'Berekening rekenvolumes'!O47,0)</f>
        <v>0</v>
      </c>
    </row>
    <row r="383" spans="2:15">
      <c r="B383" s="3"/>
      <c r="F383" s="109"/>
    </row>
    <row r="384" spans="2:15">
      <c r="B384" s="3"/>
      <c r="F384" s="109"/>
    </row>
    <row r="385" spans="2:15">
      <c r="B385" s="3" t="s">
        <v>305</v>
      </c>
      <c r="F385" s="109"/>
    </row>
    <row r="386" spans="2:15">
      <c r="B386" s="3"/>
      <c r="F386" s="109"/>
    </row>
    <row r="387" spans="2:15">
      <c r="B387" s="108" t="s">
        <v>284</v>
      </c>
      <c r="F387" s="109"/>
    </row>
    <row r="388" spans="2:15">
      <c r="B388" s="61" t="s">
        <v>292</v>
      </c>
      <c r="D388" s="51" t="s">
        <v>130</v>
      </c>
      <c r="F388" s="102">
        <f t="shared" si="84"/>
        <v>9602.8028512042201</v>
      </c>
      <c r="G388" s="98">
        <f>IF(G241&gt;0,'Berekening rekenvolumes'!G53,0)</f>
        <v>233.51282051282053</v>
      </c>
      <c r="H388" s="98">
        <f>IF(H241&gt;0,'Berekening rekenvolumes'!H53,0)</f>
        <v>191.47222222222206</v>
      </c>
      <c r="I388" s="98">
        <f>IF(I241&gt;0,'Berekening rekenvolumes'!I53,0)</f>
        <v>778.33333333333337</v>
      </c>
      <c r="J388" s="98">
        <f>IF(J241&gt;0,'Berekening rekenvolumes'!J53,0)</f>
        <v>2718.1035215193433</v>
      </c>
      <c r="K388" s="98">
        <f>IF(K241&gt;0,'Berekening rekenvolumes'!K53,0)</f>
        <v>3108.4166666666665</v>
      </c>
      <c r="L388" s="98">
        <f>IF(L241&gt;0,'Berekening rekenvolumes'!L53,0)</f>
        <v>142.20000000000002</v>
      </c>
      <c r="M388" s="98">
        <f>IF(M241&gt;0,'Berekening rekenvolumes'!M53,0)</f>
        <v>2326.9309536165019</v>
      </c>
      <c r="N388" s="98">
        <f>IF(N241&gt;0,'Berekening rekenvolumes'!N53,0)</f>
        <v>103.83333333333333</v>
      </c>
      <c r="O388" s="98">
        <f>IF(O241&gt;0,'Berekening rekenvolumes'!O53,0)</f>
        <v>0</v>
      </c>
    </row>
    <row r="389" spans="2:15">
      <c r="B389" s="61" t="s">
        <v>293</v>
      </c>
      <c r="D389" s="51" t="s">
        <v>130</v>
      </c>
      <c r="F389" s="102">
        <f t="shared" si="84"/>
        <v>12530.104091542276</v>
      </c>
      <c r="G389" s="98">
        <f>IF(G242&gt;0,'Berekening rekenvolumes'!G54,0)</f>
        <v>182.71794871794873</v>
      </c>
      <c r="H389" s="98">
        <f>IF(H242&gt;0,'Berekening rekenvolumes'!H54,0)</f>
        <v>257.77777777777777</v>
      </c>
      <c r="I389" s="98">
        <f>IF(I242&gt;0,'Berekening rekenvolumes'!I54,0)</f>
        <v>538</v>
      </c>
      <c r="J389" s="98">
        <f>IF(J242&gt;0,'Berekening rekenvolumes'!J54,0)</f>
        <v>3347.6866336168182</v>
      </c>
      <c r="K389" s="98">
        <f>IF(K242&gt;0,'Berekening rekenvolumes'!K54,0)</f>
        <v>4378.833333333333</v>
      </c>
      <c r="L389" s="98">
        <f>IF(L242&gt;0,'Berekening rekenvolumes'!L54,0)</f>
        <v>142</v>
      </c>
      <c r="M389" s="98">
        <f>IF(M242&gt;0,'Berekening rekenvolumes'!M54,0)</f>
        <v>3498.1995092075081</v>
      </c>
      <c r="N389" s="98">
        <f>IF(N242&gt;0,'Berekening rekenvolumes'!N54,0)</f>
        <v>184.88888888888891</v>
      </c>
      <c r="O389" s="98">
        <f>IF(O242&gt;0,'Berekening rekenvolumes'!O54,0)</f>
        <v>0</v>
      </c>
    </row>
    <row r="390" spans="2:15">
      <c r="B390" s="61" t="s">
        <v>294</v>
      </c>
      <c r="D390" s="51" t="s">
        <v>130</v>
      </c>
      <c r="F390" s="102">
        <f t="shared" si="84"/>
        <v>6436.7590309702664</v>
      </c>
      <c r="G390" s="98">
        <f>IF(G243&gt;0,'Berekening rekenvolumes'!G55,0)</f>
        <v>63.717948717948723</v>
      </c>
      <c r="H390" s="98">
        <f>IF(H243&gt;0,'Berekening rekenvolumes'!H55,0)</f>
        <v>99.25</v>
      </c>
      <c r="I390" s="98">
        <f>IF(I243&gt;0,'Berekening rekenvolumes'!I55,0)</f>
        <v>371.33333333333331</v>
      </c>
      <c r="J390" s="98">
        <f>IF(J243&gt;0,'Berekening rekenvolumes'!J55,0)</f>
        <v>1673.718934988404</v>
      </c>
      <c r="K390" s="98">
        <f>IF(K243&gt;0,'Berekening rekenvolumes'!K55,0)</f>
        <v>2043.5555555555554</v>
      </c>
      <c r="L390" s="98">
        <f>IF(L243&gt;0,'Berekening rekenvolumes'!L55,0)</f>
        <v>36.800000000000004</v>
      </c>
      <c r="M390" s="98">
        <f>IF(M243&gt;0,'Berekening rekenvolumes'!M55,0)</f>
        <v>1998.6054805972469</v>
      </c>
      <c r="N390" s="98">
        <f>IF(N243&gt;0,'Berekening rekenvolumes'!N55,0)</f>
        <v>149.7777777777778</v>
      </c>
      <c r="O390" s="98">
        <f>IF(O243&gt;0,'Berekening rekenvolumes'!O55,0)</f>
        <v>0</v>
      </c>
    </row>
    <row r="391" spans="2:15">
      <c r="B391" s="61" t="s">
        <v>295</v>
      </c>
      <c r="D391" s="51" t="s">
        <v>130</v>
      </c>
      <c r="F391" s="102">
        <f t="shared" si="84"/>
        <v>3436.7743157947516</v>
      </c>
      <c r="G391" s="98">
        <f>IF(G244&gt;0,'Berekening rekenvolumes'!G56,0)</f>
        <v>62.564102564102562</v>
      </c>
      <c r="H391" s="98">
        <f>IF(H244&gt;0,'Berekening rekenvolumes'!H56,0)</f>
        <v>58.888888888888879</v>
      </c>
      <c r="I391" s="98">
        <f>IF(I244&gt;0,'Berekening rekenvolumes'!I56,0)</f>
        <v>116.66666666666667</v>
      </c>
      <c r="J391" s="98">
        <f>IF(J244&gt;0,'Berekening rekenvolumes'!J56,0)</f>
        <v>851.61106987371329</v>
      </c>
      <c r="K391" s="98">
        <f>IF(K244&gt;0,'Berekening rekenvolumes'!K56,0)</f>
        <v>1278.8055555555554</v>
      </c>
      <c r="L391" s="98">
        <f>IF(L244&gt;0,'Berekening rekenvolumes'!L56,0)</f>
        <v>21.733333333333334</v>
      </c>
      <c r="M391" s="98">
        <f>IF(M244&gt;0,'Berekening rekenvolumes'!M56,0)</f>
        <v>721.25700857506945</v>
      </c>
      <c r="N391" s="98">
        <f>IF(N244&gt;0,'Berekening rekenvolumes'!N56,0)</f>
        <v>325.24769033742217</v>
      </c>
      <c r="O391" s="98">
        <f>IF(O244&gt;0,'Berekening rekenvolumes'!O56,0)</f>
        <v>0</v>
      </c>
    </row>
    <row r="392" spans="2:15">
      <c r="B392" s="26" t="s">
        <v>296</v>
      </c>
      <c r="D392" s="51" t="s">
        <v>130</v>
      </c>
      <c r="F392" s="102">
        <f t="shared" si="84"/>
        <v>2848.7746845314637</v>
      </c>
      <c r="G392" s="98">
        <f>IF(G245&gt;0,'Berekening rekenvolumes'!G57,0)</f>
        <v>18.076923076923077</v>
      </c>
      <c r="H392" s="98">
        <f>IF(H245&gt;0,'Berekening rekenvolumes'!H57,0)</f>
        <v>9.3333333333333339</v>
      </c>
      <c r="I392" s="98">
        <f>IF(I245&gt;0,'Berekening rekenvolumes'!I57,0)</f>
        <v>75</v>
      </c>
      <c r="J392" s="98">
        <f>IF(J245&gt;0,'Berekening rekenvolumes'!J57,0)</f>
        <v>679.24862959107213</v>
      </c>
      <c r="K392" s="98">
        <f>IF(K245&gt;0,'Berekening rekenvolumes'!K57,0)</f>
        <v>665.22222222222217</v>
      </c>
      <c r="L392" s="98">
        <f>IF(L245&gt;0,'Berekening rekenvolumes'!L57,0)</f>
        <v>4.7</v>
      </c>
      <c r="M392" s="98">
        <f>IF(M245&gt;0,'Berekening rekenvolumes'!M57,0)</f>
        <v>925.48709916903829</v>
      </c>
      <c r="N392" s="98">
        <f>IF(N245&gt;0,'Berekening rekenvolumes'!N57,0)</f>
        <v>471.70647713887439</v>
      </c>
      <c r="O392" s="98">
        <f>IF(O245&gt;0,'Berekening rekenvolumes'!O57,0)</f>
        <v>0</v>
      </c>
    </row>
    <row r="393" spans="2:15">
      <c r="B393" s="61" t="s">
        <v>297</v>
      </c>
      <c r="D393" s="51" t="s">
        <v>130</v>
      </c>
      <c r="F393" s="102">
        <f t="shared" si="84"/>
        <v>1028.5127058938176</v>
      </c>
      <c r="G393" s="98">
        <f>IF(G246&gt;0,'Berekening rekenvolumes'!G58,0)</f>
        <v>8</v>
      </c>
      <c r="H393" s="98">
        <f>IF(H246&gt;0,'Berekening rekenvolumes'!H58,0)</f>
        <v>0</v>
      </c>
      <c r="I393" s="98">
        <f>IF(I246&gt;0,'Berekening rekenvolumes'!I58,0)</f>
        <v>12.333333333333334</v>
      </c>
      <c r="J393" s="98">
        <f>IF(J246&gt;0,'Berekening rekenvolumes'!J58,0)</f>
        <v>282.71042648101064</v>
      </c>
      <c r="K393" s="98">
        <f>IF(K246&gt;0,'Berekening rekenvolumes'!K58,0)</f>
        <v>324.72222222222223</v>
      </c>
      <c r="L393" s="98">
        <f>IF(L246&gt;0,'Berekening rekenvolumes'!L58,0)</f>
        <v>3</v>
      </c>
      <c r="M393" s="98">
        <f>IF(M246&gt;0,'Berekening rekenvolumes'!M58,0)</f>
        <v>396.91339052391828</v>
      </c>
      <c r="N393" s="98">
        <f>IF(N246&gt;0,'Berekening rekenvolumes'!N58,0)</f>
        <v>0.83333333333333337</v>
      </c>
      <c r="O393" s="98">
        <f>IF(O246&gt;0,'Berekening rekenvolumes'!O58,0)</f>
        <v>0</v>
      </c>
    </row>
    <row r="394" spans="2:15">
      <c r="B394" s="61" t="s">
        <v>298</v>
      </c>
      <c r="D394" s="51" t="s">
        <v>130</v>
      </c>
      <c r="F394" s="102">
        <f t="shared" si="84"/>
        <v>652.14003762949073</v>
      </c>
      <c r="G394" s="98">
        <f>IF(G247&gt;0,'Berekening rekenvolumes'!G59,0)</f>
        <v>7.6923076923076941E-2</v>
      </c>
      <c r="H394" s="98">
        <f>IF(H247&gt;0,'Berekening rekenvolumes'!H59,0)</f>
        <v>1</v>
      </c>
      <c r="I394" s="98">
        <f>IF(I247&gt;0,'Berekening rekenvolumes'!I59,0)</f>
        <v>5</v>
      </c>
      <c r="J394" s="98">
        <f>IF(J247&gt;0,'Berekening rekenvolumes'!J59,0)</f>
        <v>156.29552775577582</v>
      </c>
      <c r="K394" s="98">
        <f>IF(K247&gt;0,'Berekening rekenvolumes'!K59,0)</f>
        <v>174.58333333333334</v>
      </c>
      <c r="L394" s="98">
        <f>IF(L247&gt;0,'Berekening rekenvolumes'!L59,0)</f>
        <v>0</v>
      </c>
      <c r="M394" s="98">
        <f>IF(M247&gt;0,'Berekening rekenvolumes'!M59,0)</f>
        <v>314.85092013012513</v>
      </c>
      <c r="N394" s="98">
        <f>IF(N247&gt;0,'Berekening rekenvolumes'!N59,0)</f>
        <v>0.33333333333333331</v>
      </c>
      <c r="O394" s="98">
        <f>IF(O247&gt;0,'Berekening rekenvolumes'!O59,0)</f>
        <v>0</v>
      </c>
    </row>
    <row r="395" spans="2:15">
      <c r="B395" s="61" t="s">
        <v>299</v>
      </c>
      <c r="D395" s="51" t="s">
        <v>130</v>
      </c>
      <c r="F395" s="102">
        <f t="shared" si="84"/>
        <v>517.90379621986972</v>
      </c>
      <c r="G395" s="98">
        <f>IF(G248&gt;0,'Berekening rekenvolumes'!G60,0)</f>
        <v>0</v>
      </c>
      <c r="H395" s="98">
        <f>IF(H248&gt;0,'Berekening rekenvolumes'!H60,0)</f>
        <v>0</v>
      </c>
      <c r="I395" s="98">
        <f>IF(I248&gt;0,'Berekening rekenvolumes'!I60,0)</f>
        <v>1.6666666666666667</v>
      </c>
      <c r="J395" s="98">
        <f>IF(J248&gt;0,'Berekening rekenvolumes'!J60,0)</f>
        <v>54.666666978379588</v>
      </c>
      <c r="K395" s="98">
        <f>IF(K248&gt;0,'Berekening rekenvolumes'!K60,0)</f>
        <v>80.75</v>
      </c>
      <c r="L395" s="98">
        <f>IF(L248&gt;0,'Berekening rekenvolumes'!L60,0)</f>
        <v>0</v>
      </c>
      <c r="M395" s="98">
        <f>IF(M248&gt;0,'Berekening rekenvolumes'!M60,0)</f>
        <v>145.43157368593452</v>
      </c>
      <c r="N395" s="98">
        <f>IF(N248&gt;0,'Berekening rekenvolumes'!N60,0)</f>
        <v>235.38888888888891</v>
      </c>
      <c r="O395" s="98">
        <f>IF(O248&gt;0,'Berekening rekenvolumes'!O60,0)</f>
        <v>0</v>
      </c>
    </row>
    <row r="396" spans="2:15">
      <c r="B396" s="23" t="s">
        <v>300</v>
      </c>
      <c r="D396" s="51" t="s">
        <v>130</v>
      </c>
      <c r="F396" s="102">
        <f t="shared" si="84"/>
        <v>98.339469004556165</v>
      </c>
      <c r="G396" s="98">
        <f>IF(G249&gt;0,'Berekening rekenvolumes'!G61,0)</f>
        <v>0</v>
      </c>
      <c r="H396" s="98">
        <f>IF(H249&gt;0,'Berekening rekenvolumes'!H61,0)</f>
        <v>0</v>
      </c>
      <c r="I396" s="98">
        <f>IF(I249&gt;0,'Berekening rekenvolumes'!I61,0)</f>
        <v>0.66666666666666663</v>
      </c>
      <c r="J396" s="98">
        <f>IF(J249&gt;0,'Berekening rekenvolumes'!J61,0)</f>
        <v>18</v>
      </c>
      <c r="K396" s="98">
        <f>IF(K249&gt;0,'Berekening rekenvolumes'!K61,0)</f>
        <v>28.666666666666668</v>
      </c>
      <c r="L396" s="98">
        <f>IF(L249&gt;0,'Berekening rekenvolumes'!L61,0)</f>
        <v>0</v>
      </c>
      <c r="M396" s="98">
        <f>IF(M249&gt;0,'Berekening rekenvolumes'!M61,0)</f>
        <v>51.006135671222829</v>
      </c>
      <c r="N396" s="98">
        <f>IF(N249&gt;0,'Berekening rekenvolumes'!N61,0)</f>
        <v>0</v>
      </c>
      <c r="O396" s="98">
        <f>IF(O249&gt;0,'Berekening rekenvolumes'!O61,0)</f>
        <v>0</v>
      </c>
    </row>
    <row r="397" spans="2:15">
      <c r="B397" s="23" t="s">
        <v>301</v>
      </c>
      <c r="D397" s="51" t="s">
        <v>130</v>
      </c>
      <c r="F397" s="102">
        <f t="shared" si="84"/>
        <v>74.080807225659925</v>
      </c>
      <c r="G397" s="98">
        <f>IF(G250&gt;0,'Berekening rekenvolumes'!G62,0)</f>
        <v>0</v>
      </c>
      <c r="H397" s="98">
        <f>IF(H250&gt;0,'Berekening rekenvolumes'!H62,0)</f>
        <v>0</v>
      </c>
      <c r="I397" s="98">
        <f>IF(I250&gt;0,'Berekening rekenvolumes'!I62,0)</f>
        <v>0</v>
      </c>
      <c r="J397" s="98">
        <f>IF(J250&gt;0,'Berekening rekenvolumes'!J62,0)</f>
        <v>0</v>
      </c>
      <c r="K397" s="98">
        <f>IF(K250&gt;0,'Berekening rekenvolumes'!K62,0)</f>
        <v>19.777777777777775</v>
      </c>
      <c r="L397" s="98">
        <f>IF(L250&gt;0,'Berekening rekenvolumes'!L62,0)</f>
        <v>0</v>
      </c>
      <c r="M397" s="98">
        <f>IF(M250&gt;0,'Berekening rekenvolumes'!M62,0)</f>
        <v>45.303029447882146</v>
      </c>
      <c r="N397" s="98">
        <f>IF(N250&gt;0,'Berekening rekenvolumes'!N62,0)</f>
        <v>9</v>
      </c>
      <c r="O397" s="98">
        <f>IF(O250&gt;0,'Berekening rekenvolumes'!O62,0)</f>
        <v>0</v>
      </c>
    </row>
    <row r="398" spans="2:15">
      <c r="B398" s="23"/>
      <c r="F398" s="109"/>
    </row>
    <row r="399" spans="2:15">
      <c r="B399" s="108" t="s">
        <v>289</v>
      </c>
      <c r="F399" s="109"/>
    </row>
    <row r="400" spans="2:15">
      <c r="B400" s="61" t="s">
        <v>292</v>
      </c>
      <c r="D400" s="51" t="s">
        <v>130</v>
      </c>
      <c r="F400" s="102">
        <f t="shared" si="84"/>
        <v>45.748388349307859</v>
      </c>
      <c r="G400" s="98">
        <f>IF(G253&gt;0,'Berekening rekenvolumes'!G65,0)</f>
        <v>0</v>
      </c>
      <c r="H400" s="98">
        <f>IF(H253&gt;0,'Berekening rekenvolumes'!H65,0)</f>
        <v>1.1944444444444444</v>
      </c>
      <c r="I400" s="98">
        <f>IF(I253&gt;0,'Berekening rekenvolumes'!I65,0)</f>
        <v>1.3333333333333333</v>
      </c>
      <c r="J400" s="98">
        <f>IF(J253&gt;0,'Berekening rekenvolumes'!J65,0)</f>
        <v>31.887277238196749</v>
      </c>
      <c r="K400" s="98">
        <f>IF(K253&gt;0,'Berekening rekenvolumes'!K65,0)</f>
        <v>8.3333333333333339</v>
      </c>
      <c r="L400" s="98">
        <f>IF(L253&gt;0,'Berekening rekenvolumes'!L65,0)</f>
        <v>2</v>
      </c>
      <c r="M400" s="98">
        <f>IF(M253&gt;0,'Berekening rekenvolumes'!M65,0)</f>
        <v>0</v>
      </c>
      <c r="N400" s="98">
        <f>IF(N253&gt;0,'Berekening rekenvolumes'!N65,0)</f>
        <v>1</v>
      </c>
      <c r="O400" s="98">
        <f>IF(O253&gt;0,'Berekening rekenvolumes'!O65,0)</f>
        <v>0</v>
      </c>
    </row>
    <row r="401" spans="2:15">
      <c r="B401" s="61" t="s">
        <v>293</v>
      </c>
      <c r="D401" s="51" t="s">
        <v>130</v>
      </c>
      <c r="F401" s="102">
        <f t="shared" si="84"/>
        <v>163.97664999530312</v>
      </c>
      <c r="G401" s="98">
        <f>IF(G254&gt;0,'Berekening rekenvolumes'!G66,0)</f>
        <v>4.666666666666667</v>
      </c>
      <c r="H401" s="98">
        <f>IF(H254&gt;0,'Berekening rekenvolumes'!H66,0)</f>
        <v>22</v>
      </c>
      <c r="I401" s="98">
        <f>IF(I254&gt;0,'Berekening rekenvolumes'!I66,0)</f>
        <v>9.3459420322296811</v>
      </c>
      <c r="J401" s="98">
        <f>IF(J254&gt;0,'Berekening rekenvolumes'!J66,0)</f>
        <v>105.96713563754302</v>
      </c>
      <c r="K401" s="98">
        <f>IF(K254&gt;0,'Berekening rekenvolumes'!K66,0)</f>
        <v>11.663572325530382</v>
      </c>
      <c r="L401" s="98">
        <f>IF(L254&gt;0,'Berekening rekenvolumes'!L66,0)</f>
        <v>8.3333333333333339</v>
      </c>
      <c r="M401" s="98">
        <f>IF(M254&gt;0,'Berekening rekenvolumes'!M66,0)</f>
        <v>0</v>
      </c>
      <c r="N401" s="98">
        <f>IF(N254&gt;0,'Berekening rekenvolumes'!N66,0)</f>
        <v>2</v>
      </c>
      <c r="O401" s="98">
        <f>IF(O254&gt;0,'Berekening rekenvolumes'!O66,0)</f>
        <v>0</v>
      </c>
    </row>
    <row r="402" spans="2:15">
      <c r="B402" s="61" t="s">
        <v>294</v>
      </c>
      <c r="D402" s="51" t="s">
        <v>130</v>
      </c>
      <c r="F402" s="102">
        <f t="shared" si="84"/>
        <v>199.98867706186874</v>
      </c>
      <c r="G402" s="98">
        <f>IF(G255&gt;0,'Berekening rekenvolumes'!G67,0)</f>
        <v>3.6666666666666665</v>
      </c>
      <c r="H402" s="98">
        <f>IF(H255&gt;0,'Berekening rekenvolumes'!H67,0)</f>
        <v>9.3333333333333339</v>
      </c>
      <c r="I402" s="98">
        <f>IF(I255&gt;0,'Berekening rekenvolumes'!I67,0)</f>
        <v>16.339637682781508</v>
      </c>
      <c r="J402" s="98">
        <f>IF(J255&gt;0,'Berekening rekenvolumes'!J67,0)</f>
        <v>129.78635115102438</v>
      </c>
      <c r="K402" s="98">
        <f>IF(K255&gt;0,'Berekening rekenvolumes'!K67,0)</f>
        <v>8.3293548947295353</v>
      </c>
      <c r="L402" s="98">
        <f>IF(L255&gt;0,'Berekening rekenvolumes'!L67,0)</f>
        <v>13.366666666666667</v>
      </c>
      <c r="M402" s="98">
        <f>IF(M255&gt;0,'Berekening rekenvolumes'!M67,0)</f>
        <v>0</v>
      </c>
      <c r="N402" s="98">
        <f>IF(N255&gt;0,'Berekening rekenvolumes'!N67,0)</f>
        <v>19.166666666666668</v>
      </c>
      <c r="O402" s="98">
        <f>IF(O255&gt;0,'Berekening rekenvolumes'!O67,0)</f>
        <v>0</v>
      </c>
    </row>
    <row r="403" spans="2:15">
      <c r="B403" s="61" t="s">
        <v>295</v>
      </c>
      <c r="D403" s="51" t="s">
        <v>130</v>
      </c>
      <c r="F403" s="102">
        <f t="shared" si="84"/>
        <v>341.39107878253003</v>
      </c>
      <c r="G403" s="98">
        <f>IF(G256&gt;0,'Berekening rekenvolumes'!G68,0)</f>
        <v>22</v>
      </c>
      <c r="H403" s="98">
        <f>IF(H256&gt;0,'Berekening rekenvolumes'!H68,0)</f>
        <v>37.333333333333336</v>
      </c>
      <c r="I403" s="98">
        <f>IF(I256&gt;0,'Berekening rekenvolumes'!I68,0)</f>
        <v>28.050434795585392</v>
      </c>
      <c r="J403" s="98">
        <f>IF(J256&gt;0,'Berekening rekenvolumes'!J68,0)</f>
        <v>181.65440739045823</v>
      </c>
      <c r="K403" s="98">
        <f>IF(K256&gt;0,'Berekening rekenvolumes'!K68,0)</f>
        <v>24.330681040930802</v>
      </c>
      <c r="L403" s="98">
        <f>IF(L256&gt;0,'Berekening rekenvolumes'!L68,0)</f>
        <v>22.522222222222222</v>
      </c>
      <c r="M403" s="98">
        <f>IF(M256&gt;0,'Berekening rekenvolumes'!M68,0)</f>
        <v>0</v>
      </c>
      <c r="N403" s="98">
        <f>IF(N256&gt;0,'Berekening rekenvolumes'!N68,0)</f>
        <v>25.5</v>
      </c>
      <c r="O403" s="98">
        <f>IF(O256&gt;0,'Berekening rekenvolumes'!O68,0)</f>
        <v>0</v>
      </c>
    </row>
    <row r="404" spans="2:15">
      <c r="B404" s="26" t="s">
        <v>296</v>
      </c>
      <c r="D404" s="51" t="s">
        <v>130</v>
      </c>
      <c r="F404" s="102">
        <f t="shared" si="84"/>
        <v>394.86904554164039</v>
      </c>
      <c r="G404" s="98">
        <f>IF(G257&gt;0,'Berekening rekenvolumes'!G69,0)</f>
        <v>17</v>
      </c>
      <c r="H404" s="98">
        <f>IF(H257&gt;0,'Berekening rekenvolumes'!H69,0)</f>
        <v>33.666666666666664</v>
      </c>
      <c r="I404" s="98">
        <f>IF(I257&gt;0,'Berekening rekenvolumes'!I69,0)</f>
        <v>58.09141306699852</v>
      </c>
      <c r="J404" s="98">
        <f>IF(J257&gt;0,'Berekening rekenvolumes'!J69,0)</f>
        <v>214.46506973195423</v>
      </c>
      <c r="K404" s="98">
        <f>IF(K257&gt;0,'Berekening rekenvolumes'!K69,0)</f>
        <v>23.998673853798735</v>
      </c>
      <c r="L404" s="98">
        <f>IF(L257&gt;0,'Berekening rekenvolumes'!L69,0)</f>
        <v>18.980555555555554</v>
      </c>
      <c r="M404" s="98">
        <f>IF(M257&gt;0,'Berekening rekenvolumes'!M69,0)</f>
        <v>0</v>
      </c>
      <c r="N404" s="98">
        <f>IF(N257&gt;0,'Berekening rekenvolumes'!N69,0)</f>
        <v>28.666666666666668</v>
      </c>
      <c r="O404" s="98">
        <f>IF(O257&gt;0,'Berekening rekenvolumes'!O69,0)</f>
        <v>0</v>
      </c>
    </row>
    <row r="405" spans="2:15">
      <c r="B405" s="61" t="s">
        <v>297</v>
      </c>
      <c r="D405" s="51" t="s">
        <v>130</v>
      </c>
      <c r="F405" s="102">
        <f t="shared" si="84"/>
        <v>287.70831394255521</v>
      </c>
      <c r="G405" s="98">
        <f>IF(G258&gt;0,'Berekening rekenvolumes'!G70,0)</f>
        <v>8</v>
      </c>
      <c r="H405" s="98">
        <f>IF(H258&gt;0,'Berekening rekenvolumes'!H70,0)</f>
        <v>17</v>
      </c>
      <c r="I405" s="98">
        <f>IF(I258&gt;0,'Berekening rekenvolumes'!I70,0)</f>
        <v>70.531920340950819</v>
      </c>
      <c r="J405" s="98">
        <f>IF(J258&gt;0,'Berekening rekenvolumes'!J70,0)</f>
        <v>114.85985812015377</v>
      </c>
      <c r="K405" s="98">
        <f>IF(K258&gt;0,'Berekening rekenvolumes'!K70,0)</f>
        <v>55.316535481450636</v>
      </c>
      <c r="L405" s="98">
        <f>IF(L258&gt;0,'Berekening rekenvolumes'!L70,0)</f>
        <v>8</v>
      </c>
      <c r="M405" s="98">
        <f>IF(M258&gt;0,'Berekening rekenvolumes'!M70,0)</f>
        <v>0</v>
      </c>
      <c r="N405" s="98">
        <f>IF(N258&gt;0,'Berekening rekenvolumes'!N70,0)</f>
        <v>14</v>
      </c>
      <c r="O405" s="98">
        <f>IF(O258&gt;0,'Berekening rekenvolumes'!O70,0)</f>
        <v>0</v>
      </c>
    </row>
    <row r="406" spans="2:15">
      <c r="B406" s="61" t="s">
        <v>298</v>
      </c>
      <c r="D406" s="51" t="s">
        <v>130</v>
      </c>
      <c r="F406" s="102">
        <f t="shared" si="84"/>
        <v>239.78263944868053</v>
      </c>
      <c r="G406" s="98">
        <f>IF(G259&gt;0,'Berekening rekenvolumes'!G71,0)</f>
        <v>3</v>
      </c>
      <c r="H406" s="98">
        <f>IF(H259&gt;0,'Berekening rekenvolumes'!H71,0)</f>
        <v>3</v>
      </c>
      <c r="I406" s="98">
        <f>IF(I259&gt;0,'Berekening rekenvolumes'!I71,0)</f>
        <v>50.151304386756181</v>
      </c>
      <c r="J406" s="98">
        <f>IF(J259&gt;0,'Berekening rekenvolumes'!J71,0)</f>
        <v>128.68777471494741</v>
      </c>
      <c r="K406" s="98">
        <f>IF(K259&gt;0,'Berekening rekenvolumes'!K71,0)</f>
        <v>38.665782569199159</v>
      </c>
      <c r="L406" s="98">
        <f>IF(L259&gt;0,'Berekening rekenvolumes'!L71,0)</f>
        <v>6.6111111111111107</v>
      </c>
      <c r="M406" s="98">
        <f>IF(M259&gt;0,'Berekening rekenvolumes'!M71,0)</f>
        <v>0</v>
      </c>
      <c r="N406" s="98">
        <f>IF(N259&gt;0,'Berekening rekenvolumes'!N71,0)</f>
        <v>9.6666666666666661</v>
      </c>
      <c r="O406" s="98">
        <f>IF(O259&gt;0,'Berekening rekenvolumes'!O71,0)</f>
        <v>0</v>
      </c>
    </row>
    <row r="407" spans="2:15">
      <c r="B407" s="61" t="s">
        <v>299</v>
      </c>
      <c r="D407" s="51" t="s">
        <v>130</v>
      </c>
      <c r="F407" s="102">
        <f t="shared" si="84"/>
        <v>121.63505666513302</v>
      </c>
      <c r="G407" s="98">
        <f>IF(G260&gt;0,'Berekening rekenvolumes'!G72,0)</f>
        <v>0</v>
      </c>
      <c r="H407" s="98">
        <f>IF(H260&gt;0,'Berekening rekenvolumes'!H72,0)</f>
        <v>2.3333333333333335</v>
      </c>
      <c r="I407" s="98">
        <f>IF(I260&gt;0,'Berekening rekenvolumes'!I72,0)</f>
        <v>30.18282613399705</v>
      </c>
      <c r="J407" s="98">
        <f>IF(J260&gt;0,'Berekening rekenvolumes'!J72,0)</f>
        <v>24.628180221211508</v>
      </c>
      <c r="K407" s="98">
        <f>IF(K260&gt;0,'Berekening rekenvolumes'!K72,0)</f>
        <v>27.324050309924473</v>
      </c>
      <c r="L407" s="98">
        <f>IF(L260&gt;0,'Berekening rekenvolumes'!L72,0)</f>
        <v>5.333333333333333</v>
      </c>
      <c r="M407" s="98">
        <f>IF(M260&gt;0,'Berekening rekenvolumes'!M72,0)</f>
        <v>0</v>
      </c>
      <c r="N407" s="98">
        <f>IF(N260&gt;0,'Berekening rekenvolumes'!N72,0)</f>
        <v>31.833333333333332</v>
      </c>
      <c r="O407" s="98">
        <f>IF(O260&gt;0,'Berekening rekenvolumes'!O72,0)</f>
        <v>0</v>
      </c>
    </row>
    <row r="408" spans="2:15">
      <c r="B408" s="23" t="s">
        <v>300</v>
      </c>
      <c r="D408" s="51" t="s">
        <v>130</v>
      </c>
      <c r="F408" s="102">
        <f t="shared" si="84"/>
        <v>91.594969080877448</v>
      </c>
      <c r="G408" s="98">
        <f>IF(G261&gt;0,'Berekening rekenvolumes'!G73,0)</f>
        <v>0</v>
      </c>
      <c r="H408" s="98">
        <f>IF(H261&gt;0,'Berekening rekenvolumes'!H73,0)</f>
        <v>0.66666666666666663</v>
      </c>
      <c r="I408" s="98">
        <f>IF(I261&gt;0,'Berekening rekenvolumes'!I73,0)</f>
        <v>12.682427540287103</v>
      </c>
      <c r="J408" s="98">
        <f>IF(J261&gt;0,'Berekening rekenvolumes'!J73,0)</f>
        <v>59.279208207257007</v>
      </c>
      <c r="K408" s="98">
        <f>IF(K261&gt;0,'Berekening rekenvolumes'!K73,0)</f>
        <v>11.333333333333334</v>
      </c>
      <c r="L408" s="98">
        <f>IF(L261&gt;0,'Berekening rekenvolumes'!L73,0)</f>
        <v>4.9666666666666668</v>
      </c>
      <c r="M408" s="98">
        <f>IF(M261&gt;0,'Berekening rekenvolumes'!M73,0)</f>
        <v>0</v>
      </c>
      <c r="N408" s="98">
        <f>IF(N261&gt;0,'Berekening rekenvolumes'!N73,0)</f>
        <v>2.6666666666666665</v>
      </c>
      <c r="O408" s="98">
        <f>IF(O261&gt;0,'Berekening rekenvolumes'!O73,0)</f>
        <v>0</v>
      </c>
    </row>
    <row r="409" spans="2:15">
      <c r="B409" s="23" t="s">
        <v>301</v>
      </c>
      <c r="D409" s="51" t="s">
        <v>130</v>
      </c>
      <c r="F409" s="102">
        <f t="shared" ref="F409:F472" si="85">SUM(G409:O409)</f>
        <v>118.85311919461085</v>
      </c>
      <c r="G409" s="98">
        <f>IF(G262&gt;0,'Berekening rekenvolumes'!G74,0)</f>
        <v>0</v>
      </c>
      <c r="H409" s="98">
        <f>IF(H262&gt;0,'Berekening rekenvolumes'!H74,0)</f>
        <v>0.66666666666666663</v>
      </c>
      <c r="I409" s="98">
        <f>IF(I262&gt;0,'Berekening rekenvolumes'!I74,0)</f>
        <v>3.3364855080574203</v>
      </c>
      <c r="J409" s="98">
        <f>IF(J262&gt;0,'Berekening rekenvolumes'!J74,0)</f>
        <v>23.31751778402095</v>
      </c>
      <c r="K409" s="98">
        <f>IF(K262&gt;0,'Berekening rekenvolumes'!K74,0)</f>
        <v>10.332449235865823</v>
      </c>
      <c r="L409" s="98">
        <f>IF(L262&gt;0,'Berekening rekenvolumes'!L74,0)</f>
        <v>3.0333333333333332</v>
      </c>
      <c r="M409" s="98">
        <f>IF(M262&gt;0,'Berekening rekenvolumes'!M74,0)</f>
        <v>0</v>
      </c>
      <c r="N409" s="98">
        <f>IF(N262&gt;0,'Berekening rekenvolumes'!N74,0)</f>
        <v>78.166666666666671</v>
      </c>
      <c r="O409" s="98">
        <f>IF(O262&gt;0,'Berekening rekenvolumes'!O74,0)</f>
        <v>0</v>
      </c>
    </row>
    <row r="410" spans="2:15">
      <c r="B410" s="23"/>
      <c r="F410" s="109"/>
    </row>
    <row r="411" spans="2:15">
      <c r="B411" s="108" t="s">
        <v>290</v>
      </c>
      <c r="F411" s="109"/>
    </row>
    <row r="412" spans="2:15">
      <c r="B412" s="23" t="s">
        <v>302</v>
      </c>
      <c r="D412" s="51" t="s">
        <v>130</v>
      </c>
      <c r="F412" s="102">
        <f t="shared" si="85"/>
        <v>7</v>
      </c>
      <c r="G412" s="29"/>
      <c r="H412" s="98">
        <f>IF(H265&gt;0,'Berekening rekenvolumes'!H77,0)</f>
        <v>4</v>
      </c>
      <c r="I412" s="29"/>
      <c r="J412" s="98">
        <f>IF(J265&gt;0,'Berekening rekenvolumes'!J77,0)</f>
        <v>3</v>
      </c>
      <c r="K412" s="29"/>
      <c r="L412" s="29"/>
      <c r="M412" s="29"/>
      <c r="N412" s="29"/>
      <c r="O412" s="98">
        <f>IF(O265&gt;0,'Berekening rekenvolumes'!O77,0)</f>
        <v>0</v>
      </c>
    </row>
    <row r="413" spans="2:15">
      <c r="B413" s="22"/>
      <c r="F413" s="109"/>
    </row>
    <row r="414" spans="2:15">
      <c r="B414" s="22"/>
      <c r="F414" s="109"/>
    </row>
    <row r="415" spans="2:15">
      <c r="B415" s="22"/>
      <c r="F415" s="109"/>
      <c r="H415" s="82"/>
      <c r="J415" s="82"/>
    </row>
    <row r="416" spans="2:15">
      <c r="B416" s="22"/>
      <c r="F416" s="109"/>
    </row>
    <row r="417" spans="2:15">
      <c r="B417" s="3" t="s">
        <v>307</v>
      </c>
      <c r="F417" s="109"/>
    </row>
    <row r="418" spans="2:15">
      <c r="B418" s="3"/>
      <c r="F418" s="109"/>
    </row>
    <row r="419" spans="2:15">
      <c r="B419" s="108" t="s">
        <v>284</v>
      </c>
      <c r="F419" s="109"/>
    </row>
    <row r="420" spans="2:15">
      <c r="B420" s="23" t="s">
        <v>285</v>
      </c>
      <c r="D420" s="51" t="s">
        <v>130</v>
      </c>
      <c r="F420" s="102">
        <f t="shared" si="85"/>
        <v>51842.011868305919</v>
      </c>
      <c r="G420" s="98">
        <f>IF(G273&gt;0,'Berekening rekenvolumes'!G85,0)</f>
        <v>1101.3333333333333</v>
      </c>
      <c r="H420" s="98">
        <f>IF(H273&gt;0,'Berekening rekenvolumes'!H85,0)</f>
        <v>1577.3333333333333</v>
      </c>
      <c r="I420" s="98">
        <f>IF(I273&gt;0,'Berekening rekenvolumes'!I85,0)</f>
        <v>3346.2714542463054</v>
      </c>
      <c r="J420" s="98">
        <f>IF(J273&gt;0,'Berekening rekenvolumes'!J85,0)</f>
        <v>14397.763727903106</v>
      </c>
      <c r="K420" s="98">
        <f>IF(K273&gt;0,'Berekening rekenvolumes'!K85,0)</f>
        <v>17141.919151138718</v>
      </c>
      <c r="L420" s="98">
        <f>IF(L273&gt;0,'Berekening rekenvolumes'!L85,0)</f>
        <v>699</v>
      </c>
      <c r="M420" s="98">
        <f>IF(M273&gt;0,'Berekening rekenvolumes'!M85,0)</f>
        <v>12947.057535017788</v>
      </c>
      <c r="N420" s="98">
        <f>IF(N273&gt;0,'Berekening rekenvolumes'!N85,0)</f>
        <v>631.33333333333337</v>
      </c>
      <c r="O420" s="98">
        <f>IF(O273&gt;0,'Berekening rekenvolumes'!O85,0)</f>
        <v>0</v>
      </c>
    </row>
    <row r="421" spans="2:15">
      <c r="B421" s="23" t="s">
        <v>286</v>
      </c>
      <c r="D421" s="51" t="s">
        <v>130</v>
      </c>
      <c r="F421" s="102">
        <f t="shared" si="85"/>
        <v>543.24620636605516</v>
      </c>
      <c r="G421" s="98">
        <f>IF(G274&gt;0,'Berekening rekenvolumes'!G86,0)</f>
        <v>1</v>
      </c>
      <c r="H421" s="98">
        <f>IF(H274&gt;0,'Berekening rekenvolumes'!H86,0)</f>
        <v>14.333333333333334</v>
      </c>
      <c r="I421" s="98">
        <f>IF(I274&gt;0,'Berekening rekenvolumes'!I86,0)</f>
        <v>41.424476631584099</v>
      </c>
      <c r="J421" s="98">
        <f>IF(J274&gt;0,'Berekening rekenvolumes'!J86,0)</f>
        <v>166.56916048495694</v>
      </c>
      <c r="K421" s="98">
        <f>IF(K274&gt;0,'Berekening rekenvolumes'!K86,0)</f>
        <v>164.02290217895225</v>
      </c>
      <c r="L421" s="98">
        <f>IF(L274&gt;0,'Berekening rekenvolumes'!L86,0)</f>
        <v>4</v>
      </c>
      <c r="M421" s="98">
        <f>IF(M274&gt;0,'Berekening rekenvolumes'!M86,0)</f>
        <v>147.56300040389513</v>
      </c>
      <c r="N421" s="98">
        <f>IF(N274&gt;0,'Berekening rekenvolumes'!N86,0)</f>
        <v>4.333333333333333</v>
      </c>
      <c r="O421" s="98">
        <f>IF(O274&gt;0,'Berekening rekenvolumes'!O86,0)</f>
        <v>0</v>
      </c>
    </row>
    <row r="422" spans="2:15">
      <c r="B422" s="61" t="s">
        <v>287</v>
      </c>
      <c r="D422" s="51" t="s">
        <v>130</v>
      </c>
      <c r="F422" s="102">
        <f t="shared" si="85"/>
        <v>560.56048111135317</v>
      </c>
      <c r="G422" s="98">
        <f>IF(G275&gt;0,'Berekening rekenvolumes'!G87,0)</f>
        <v>16.666666666666668</v>
      </c>
      <c r="H422" s="98">
        <f>IF(H275&gt;0,'Berekening rekenvolumes'!H87,0)</f>
        <v>20.666666666666668</v>
      </c>
      <c r="I422" s="98">
        <f>IF(I275&gt;0,'Berekening rekenvolumes'!I87,0)</f>
        <v>27.03154706235917</v>
      </c>
      <c r="J422" s="98">
        <f>IF(J275&gt;0,'Berekening rekenvolumes'!J87,0)</f>
        <v>205.01287658678424</v>
      </c>
      <c r="K422" s="98">
        <f>IF(K275&gt;0,'Berekening rekenvolumes'!K87,0)</f>
        <v>129.99188687992583</v>
      </c>
      <c r="L422" s="98">
        <f>IF(L275&gt;0,'Berekening rekenvolumes'!L87,0)</f>
        <v>9.3333333333333339</v>
      </c>
      <c r="M422" s="98">
        <f>IF(M275&gt;0,'Berekening rekenvolumes'!M87,0)</f>
        <v>149.19083724895074</v>
      </c>
      <c r="N422" s="98">
        <f>IF(N275&gt;0,'Berekening rekenvolumes'!N87,0)</f>
        <v>2.6666666666666665</v>
      </c>
      <c r="O422" s="98">
        <f>IF(O275&gt;0,'Berekening rekenvolumes'!O87,0)</f>
        <v>0</v>
      </c>
    </row>
    <row r="423" spans="2:15">
      <c r="B423" s="61" t="s">
        <v>288</v>
      </c>
      <c r="D423" s="51" t="s">
        <v>130</v>
      </c>
      <c r="F423" s="102">
        <f t="shared" si="85"/>
        <v>398.88422496174678</v>
      </c>
      <c r="G423" s="98">
        <f>IF(G276&gt;0,'Berekening rekenvolumes'!G88,0)</f>
        <v>4</v>
      </c>
      <c r="H423" s="98">
        <f>IF(H276&gt;0,'Berekening rekenvolumes'!H88,0)</f>
        <v>12</v>
      </c>
      <c r="I423" s="98">
        <f>IF(I276&gt;0,'Berekening rekenvolumes'!I88,0)</f>
        <v>17.677565969780012</v>
      </c>
      <c r="J423" s="98">
        <f>IF(J276&gt;0,'Berekening rekenvolumes'!J88,0)</f>
        <v>131.33434382319933</v>
      </c>
      <c r="K423" s="98">
        <f>IF(K276&gt;0,'Berekening rekenvolumes'!K88,0)</f>
        <v>132</v>
      </c>
      <c r="L423" s="98">
        <f>IF(L276&gt;0,'Berekening rekenvolumes'!L88,0)</f>
        <v>4.333333333333333</v>
      </c>
      <c r="M423" s="98">
        <f>IF(M276&gt;0,'Berekening rekenvolumes'!M88,0)</f>
        <v>95.205648502100829</v>
      </c>
      <c r="N423" s="98">
        <f>IF(N276&gt;0,'Berekening rekenvolumes'!N88,0)</f>
        <v>2.3333333333333335</v>
      </c>
      <c r="O423" s="98">
        <f>IF(O276&gt;0,'Berekening rekenvolumes'!O88,0)</f>
        <v>0</v>
      </c>
    </row>
    <row r="424" spans="2:15">
      <c r="B424" s="23"/>
      <c r="F424" s="109"/>
    </row>
    <row r="425" spans="2:15">
      <c r="B425" s="108" t="s">
        <v>289</v>
      </c>
      <c r="F425" s="109"/>
    </row>
    <row r="426" spans="2:15">
      <c r="B426" s="23" t="s">
        <v>285</v>
      </c>
      <c r="D426" s="51" t="s">
        <v>130</v>
      </c>
      <c r="F426" s="102">
        <f t="shared" si="85"/>
        <v>0</v>
      </c>
      <c r="G426" s="98">
        <f>IF(G279&gt;0,'Berekening rekenvolumes'!G91,0)</f>
        <v>0</v>
      </c>
      <c r="H426" s="98">
        <f>IF(H279&gt;0,'Berekening rekenvolumes'!H91,0)</f>
        <v>0</v>
      </c>
      <c r="I426" s="98">
        <f>IF(I279&gt;0,'Berekening rekenvolumes'!I91,0)</f>
        <v>0</v>
      </c>
      <c r="J426" s="98">
        <f>IF(J279&gt;0,'Berekening rekenvolumes'!J91,0)</f>
        <v>0</v>
      </c>
      <c r="K426" s="98">
        <f>IF(K279&gt;0,'Berekening rekenvolumes'!K91,0)</f>
        <v>0</v>
      </c>
      <c r="L426" s="98">
        <f>IF(L279&gt;0,'Berekening rekenvolumes'!L91,0)</f>
        <v>0</v>
      </c>
      <c r="M426" s="98">
        <f>IF(M279&gt;0,'Berekening rekenvolumes'!M91,0)</f>
        <v>0</v>
      </c>
      <c r="N426" s="98">
        <f>IF(N279&gt;0,'Berekening rekenvolumes'!N91,0)</f>
        <v>0</v>
      </c>
      <c r="O426" s="98">
        <f>IF(O279&gt;0,'Berekening rekenvolumes'!O91,0)</f>
        <v>0</v>
      </c>
    </row>
    <row r="427" spans="2:15">
      <c r="B427" s="23" t="s">
        <v>286</v>
      </c>
      <c r="D427" s="51" t="s">
        <v>130</v>
      </c>
      <c r="F427" s="102">
        <f t="shared" si="85"/>
        <v>0</v>
      </c>
      <c r="G427" s="98">
        <f>IF(G280&gt;0,'Berekening rekenvolumes'!G92,0)</f>
        <v>0</v>
      </c>
      <c r="H427" s="98">
        <f>IF(H280&gt;0,'Berekening rekenvolumes'!H92,0)</f>
        <v>0</v>
      </c>
      <c r="I427" s="98">
        <f>IF(I280&gt;0,'Berekening rekenvolumes'!I92,0)</f>
        <v>0</v>
      </c>
      <c r="J427" s="98">
        <f>IF(J280&gt;0,'Berekening rekenvolumes'!J92,0)</f>
        <v>0</v>
      </c>
      <c r="K427" s="98">
        <f>IF(K280&gt;0,'Berekening rekenvolumes'!K92,0)</f>
        <v>0</v>
      </c>
      <c r="L427" s="98">
        <f>IF(L280&gt;0,'Berekening rekenvolumes'!L92,0)</f>
        <v>0</v>
      </c>
      <c r="M427" s="98">
        <f>IF(M280&gt;0,'Berekening rekenvolumes'!M92,0)</f>
        <v>0</v>
      </c>
      <c r="N427" s="98">
        <f>IF(N280&gt;0,'Berekening rekenvolumes'!N92,0)</f>
        <v>0</v>
      </c>
      <c r="O427" s="98">
        <f>IF(O280&gt;0,'Berekening rekenvolumes'!O92,0)</f>
        <v>0</v>
      </c>
    </row>
    <row r="428" spans="2:15">
      <c r="B428" s="61" t="s">
        <v>287</v>
      </c>
      <c r="D428" s="51" t="s">
        <v>130</v>
      </c>
      <c r="F428" s="102">
        <f t="shared" si="85"/>
        <v>0.33333333333333331</v>
      </c>
      <c r="G428" s="98">
        <f>IF(G281&gt;0,'Berekening rekenvolumes'!G93,0)</f>
        <v>0</v>
      </c>
      <c r="H428" s="98">
        <f>IF(H281&gt;0,'Berekening rekenvolumes'!H93,0)</f>
        <v>0</v>
      </c>
      <c r="I428" s="98">
        <f>IF(I281&gt;0,'Berekening rekenvolumes'!I93,0)</f>
        <v>0.33333333333333331</v>
      </c>
      <c r="J428" s="98">
        <f>IF(J281&gt;0,'Berekening rekenvolumes'!J93,0)</f>
        <v>0</v>
      </c>
      <c r="K428" s="98">
        <f>IF(K281&gt;0,'Berekening rekenvolumes'!K93,0)</f>
        <v>0</v>
      </c>
      <c r="L428" s="98">
        <f>IF(L281&gt;0,'Berekening rekenvolumes'!L93,0)</f>
        <v>0</v>
      </c>
      <c r="M428" s="98">
        <f>IF(M281&gt;0,'Berekening rekenvolumes'!M93,0)</f>
        <v>0</v>
      </c>
      <c r="N428" s="98">
        <f>IF(N281&gt;0,'Berekening rekenvolumes'!N93,0)</f>
        <v>0</v>
      </c>
      <c r="O428" s="98">
        <f>IF(O281&gt;0,'Berekening rekenvolumes'!O93,0)</f>
        <v>0</v>
      </c>
    </row>
    <row r="429" spans="2:15">
      <c r="B429" s="61" t="s">
        <v>288</v>
      </c>
      <c r="D429" s="51" t="s">
        <v>130</v>
      </c>
      <c r="F429" s="102">
        <f t="shared" si="85"/>
        <v>0</v>
      </c>
      <c r="G429" s="98">
        <f>IF(G282&gt;0,'Berekening rekenvolumes'!G94,0)</f>
        <v>0</v>
      </c>
      <c r="H429" s="98">
        <f>IF(H282&gt;0,'Berekening rekenvolumes'!H94,0)</f>
        <v>0</v>
      </c>
      <c r="I429" s="98">
        <f>IF(I282&gt;0,'Berekening rekenvolumes'!I94,0)</f>
        <v>0</v>
      </c>
      <c r="J429" s="98">
        <f>IF(J282&gt;0,'Berekening rekenvolumes'!J94,0)</f>
        <v>0</v>
      </c>
      <c r="K429" s="98">
        <f>IF(K282&gt;0,'Berekening rekenvolumes'!K94,0)</f>
        <v>0</v>
      </c>
      <c r="L429" s="98">
        <f>IF(L282&gt;0,'Berekening rekenvolumes'!L94,0)</f>
        <v>0</v>
      </c>
      <c r="M429" s="98">
        <f>IF(M282&gt;0,'Berekening rekenvolumes'!M94,0)</f>
        <v>0</v>
      </c>
      <c r="N429" s="98">
        <f>IF(N282&gt;0,'Berekening rekenvolumes'!N94,0)</f>
        <v>0</v>
      </c>
      <c r="O429" s="98">
        <f>IF(O282&gt;0,'Berekening rekenvolumes'!O94,0)</f>
        <v>0</v>
      </c>
    </row>
    <row r="430" spans="2:15">
      <c r="B430" s="23"/>
      <c r="F430" s="109"/>
    </row>
    <row r="431" spans="2:15">
      <c r="B431" s="108" t="s">
        <v>290</v>
      </c>
      <c r="F431" s="109"/>
    </row>
    <row r="432" spans="2:15">
      <c r="B432" s="23" t="s">
        <v>291</v>
      </c>
      <c r="D432" s="51" t="s">
        <v>130</v>
      </c>
      <c r="F432" s="102">
        <f t="shared" si="85"/>
        <v>0</v>
      </c>
      <c r="G432" s="29"/>
      <c r="H432" s="98">
        <f>IF(H285&gt;0,'Berekening rekenvolumes'!H97,0)</f>
        <v>0</v>
      </c>
      <c r="I432" s="29"/>
      <c r="J432" s="98">
        <f>IF(J285&gt;0,'Berekening rekenvolumes'!J97,0)</f>
        <v>0</v>
      </c>
      <c r="K432" s="29"/>
      <c r="L432" s="29"/>
      <c r="M432" s="29"/>
      <c r="N432" s="29"/>
      <c r="O432" s="98">
        <f>IF(O285&gt;0,'Berekening rekenvolumes'!O97,0)</f>
        <v>0</v>
      </c>
    </row>
    <row r="433" spans="2:15">
      <c r="B433" s="3"/>
      <c r="F433" s="109"/>
    </row>
    <row r="434" spans="2:15">
      <c r="B434" s="3"/>
      <c r="F434" s="109"/>
    </row>
    <row r="435" spans="2:15">
      <c r="B435" s="3" t="s">
        <v>308</v>
      </c>
      <c r="F435" s="109"/>
    </row>
    <row r="436" spans="2:15">
      <c r="B436" s="3"/>
      <c r="F436" s="109"/>
    </row>
    <row r="437" spans="2:15">
      <c r="B437" s="108" t="s">
        <v>284</v>
      </c>
      <c r="F437" s="109"/>
    </row>
    <row r="438" spans="2:15">
      <c r="B438" s="23" t="s">
        <v>285</v>
      </c>
      <c r="D438" s="51" t="s">
        <v>130</v>
      </c>
      <c r="F438" s="102">
        <f t="shared" si="85"/>
        <v>62595.82235485017</v>
      </c>
      <c r="G438" s="98">
        <f>IF(G291&gt;0,'Berekening rekenvolumes'!G103,0)</f>
        <v>1621</v>
      </c>
      <c r="H438" s="98">
        <f>IF(H291&gt;0,'Berekening rekenvolumes'!H103,0)</f>
        <v>1370.6666666666667</v>
      </c>
      <c r="I438" s="98">
        <f>IF(I291&gt;0,'Berekening rekenvolumes'!I103,0)</f>
        <v>3372.5588862119498</v>
      </c>
      <c r="J438" s="98">
        <f>IF(J291&gt;0,'Berekening rekenvolumes'!J103,0)</f>
        <v>26755.346681058374</v>
      </c>
      <c r="K438" s="98">
        <f>IF(K291&gt;0,'Berekening rekenvolumes'!K103,0)</f>
        <v>17560.136363636364</v>
      </c>
      <c r="L438" s="98">
        <f>IF(L291&gt;0,'Berekening rekenvolumes'!L103,0)</f>
        <v>1394.6666666666667</v>
      </c>
      <c r="M438" s="98">
        <f>IF(M291&gt;0,'Berekening rekenvolumes'!M103,0)</f>
        <v>9701.2804239434936</v>
      </c>
      <c r="N438" s="98">
        <f>IF(N291&gt;0,'Berekening rekenvolumes'!N103,0)</f>
        <v>820.16666666666663</v>
      </c>
      <c r="O438" s="98">
        <f>IF(O291&gt;0,'Berekening rekenvolumes'!O103,0)</f>
        <v>0</v>
      </c>
    </row>
    <row r="439" spans="2:15">
      <c r="B439" s="23" t="s">
        <v>286</v>
      </c>
      <c r="D439" s="51" t="s">
        <v>130</v>
      </c>
      <c r="F439" s="102">
        <f t="shared" si="85"/>
        <v>11300.709600355782</v>
      </c>
      <c r="G439" s="98">
        <f>IF(G292&gt;0,'Berekening rekenvolumes'!G104,0)</f>
        <v>483.33333333333331</v>
      </c>
      <c r="H439" s="98">
        <f>IF(H292&gt;0,'Berekening rekenvolumes'!H104,0)</f>
        <v>235</v>
      </c>
      <c r="I439" s="98">
        <f>IF(I292&gt;0,'Berekening rekenvolumes'!I104,0)</f>
        <v>502.33315660544514</v>
      </c>
      <c r="J439" s="98">
        <f>IF(J292&gt;0,'Berekening rekenvolumes'!J104,0)</f>
        <v>5716.8951515151521</v>
      </c>
      <c r="K439" s="98">
        <f>IF(K292&gt;0,'Berekening rekenvolumes'!K104,0)</f>
        <v>2562.3333333333335</v>
      </c>
      <c r="L439" s="98">
        <f>IF(L292&gt;0,'Berekening rekenvolumes'!L104,0)</f>
        <v>8.3333333333333339</v>
      </c>
      <c r="M439" s="98">
        <f>IF(M292&gt;0,'Berekening rekenvolumes'!M104,0)</f>
        <v>1769.1479589018484</v>
      </c>
      <c r="N439" s="98">
        <f>IF(N292&gt;0,'Berekening rekenvolumes'!N104,0)</f>
        <v>23.333333333333332</v>
      </c>
      <c r="O439" s="98">
        <f>IF(O292&gt;0,'Berekening rekenvolumes'!O104,0)</f>
        <v>0</v>
      </c>
    </row>
    <row r="440" spans="2:15">
      <c r="B440" s="61" t="s">
        <v>287</v>
      </c>
      <c r="D440" s="51" t="s">
        <v>130</v>
      </c>
      <c r="F440" s="102">
        <f t="shared" si="85"/>
        <v>7922.4824220571618</v>
      </c>
      <c r="G440" s="98">
        <f>IF(G293&gt;0,'Berekening rekenvolumes'!G105,0)</f>
        <v>362</v>
      </c>
      <c r="H440" s="98">
        <f>IF(H293&gt;0,'Berekening rekenvolumes'!H105,0)</f>
        <v>296</v>
      </c>
      <c r="I440" s="98">
        <f>IF(I293&gt;0,'Berekening rekenvolumes'!I105,0)</f>
        <v>396.06910432094793</v>
      </c>
      <c r="J440" s="98">
        <f>IF(J293&gt;0,'Berekening rekenvolumes'!J105,0)</f>
        <v>1966.5660561167231</v>
      </c>
      <c r="K440" s="98">
        <f>IF(K293&gt;0,'Berekening rekenvolumes'!K105,0)</f>
        <v>2013.3333333333333</v>
      </c>
      <c r="L440" s="98">
        <f>IF(L293&gt;0,'Berekening rekenvolumes'!L105,0)</f>
        <v>142</v>
      </c>
      <c r="M440" s="98">
        <f>IF(M293&gt;0,'Berekening rekenvolumes'!M105,0)</f>
        <v>2704.8472616194899</v>
      </c>
      <c r="N440" s="98">
        <f>IF(N293&gt;0,'Berekening rekenvolumes'!N105,0)</f>
        <v>41.666666666666664</v>
      </c>
      <c r="O440" s="98">
        <f>IF(O293&gt;0,'Berekening rekenvolumes'!O105,0)</f>
        <v>0</v>
      </c>
    </row>
    <row r="441" spans="2:15">
      <c r="B441" s="61" t="s">
        <v>288</v>
      </c>
      <c r="D441" s="51" t="s">
        <v>130</v>
      </c>
      <c r="F441" s="102">
        <f t="shared" si="85"/>
        <v>5344.4797107800423</v>
      </c>
      <c r="G441" s="98">
        <f>IF(G294&gt;0,'Berekening rekenvolumes'!G106,0)</f>
        <v>113</v>
      </c>
      <c r="H441" s="98">
        <f>IF(H294&gt;0,'Berekening rekenvolumes'!H106,0)</f>
        <v>94</v>
      </c>
      <c r="I441" s="98">
        <f>IF(I294&gt;0,'Berekening rekenvolumes'!I106,0)</f>
        <v>322.89908188323778</v>
      </c>
      <c r="J441" s="98">
        <f>IF(J294&gt;0,'Berekening rekenvolumes'!J106,0)</f>
        <v>932.55115600448937</v>
      </c>
      <c r="K441" s="98">
        <f>IF(K294&gt;0,'Berekening rekenvolumes'!K106,0)</f>
        <v>2318.3333333333335</v>
      </c>
      <c r="L441" s="98">
        <f>IF(L294&gt;0,'Berekening rekenvolumes'!L106,0)</f>
        <v>120</v>
      </c>
      <c r="M441" s="98">
        <f>IF(M294&gt;0,'Berekening rekenvolumes'!M106,0)</f>
        <v>1369.612270187383</v>
      </c>
      <c r="N441" s="98">
        <f>IF(N294&gt;0,'Berekening rekenvolumes'!N106,0)</f>
        <v>74.083869371598212</v>
      </c>
      <c r="O441" s="98">
        <f>IF(O294&gt;0,'Berekening rekenvolumes'!O106,0)</f>
        <v>0</v>
      </c>
    </row>
    <row r="442" spans="2:15">
      <c r="B442" s="23"/>
      <c r="F442" s="109"/>
    </row>
    <row r="443" spans="2:15">
      <c r="B443" s="108" t="s">
        <v>289</v>
      </c>
      <c r="F443" s="109"/>
    </row>
    <row r="444" spans="2:15">
      <c r="B444" s="23" t="s">
        <v>285</v>
      </c>
      <c r="D444" s="51" t="s">
        <v>130</v>
      </c>
      <c r="F444" s="102">
        <f t="shared" si="85"/>
        <v>0</v>
      </c>
      <c r="G444" s="98">
        <f>IF(G297&gt;0,'Berekening rekenvolumes'!G109,0)</f>
        <v>0</v>
      </c>
      <c r="H444" s="98">
        <f>IF(H297&gt;0,'Berekening rekenvolumes'!H109,0)</f>
        <v>0</v>
      </c>
      <c r="I444" s="98">
        <f>IF(I297&gt;0,'Berekening rekenvolumes'!I109,0)</f>
        <v>0</v>
      </c>
      <c r="J444" s="98">
        <f>IF(J297&gt;0,'Berekening rekenvolumes'!J109,0)</f>
        <v>0</v>
      </c>
      <c r="K444" s="98">
        <f>IF(K297&gt;0,'Berekening rekenvolumes'!K109,0)</f>
        <v>0</v>
      </c>
      <c r="L444" s="98">
        <f>IF(L297&gt;0,'Berekening rekenvolumes'!L109,0)</f>
        <v>0</v>
      </c>
      <c r="M444" s="98">
        <f>IF(M297&gt;0,'Berekening rekenvolumes'!M109,0)</f>
        <v>0</v>
      </c>
      <c r="N444" s="98">
        <f>IF(N297&gt;0,'Berekening rekenvolumes'!N109,0)</f>
        <v>0</v>
      </c>
      <c r="O444" s="98">
        <f>IF(O297&gt;0,'Berekening rekenvolumes'!O109,0)</f>
        <v>0</v>
      </c>
    </row>
    <row r="445" spans="2:15">
      <c r="B445" s="23" t="s">
        <v>286</v>
      </c>
      <c r="D445" s="51" t="s">
        <v>130</v>
      </c>
      <c r="F445" s="102">
        <f t="shared" si="85"/>
        <v>0</v>
      </c>
      <c r="G445" s="98">
        <f>IF(G298&gt;0,'Berekening rekenvolumes'!G110,0)</f>
        <v>0</v>
      </c>
      <c r="H445" s="98">
        <f>IF(H298&gt;0,'Berekening rekenvolumes'!H110,0)</f>
        <v>0</v>
      </c>
      <c r="I445" s="98">
        <f>IF(I298&gt;0,'Berekening rekenvolumes'!I110,0)</f>
        <v>0</v>
      </c>
      <c r="J445" s="98">
        <f>IF(J298&gt;0,'Berekening rekenvolumes'!J110,0)</f>
        <v>0</v>
      </c>
      <c r="K445" s="98">
        <f>IF(K298&gt;0,'Berekening rekenvolumes'!K110,0)</f>
        <v>0</v>
      </c>
      <c r="L445" s="98">
        <f>IF(L298&gt;0,'Berekening rekenvolumes'!L110,0)</f>
        <v>0</v>
      </c>
      <c r="M445" s="98">
        <f>IF(M298&gt;0,'Berekening rekenvolumes'!M110,0)</f>
        <v>0</v>
      </c>
      <c r="N445" s="98">
        <f>IF(N298&gt;0,'Berekening rekenvolumes'!N110,0)</f>
        <v>0</v>
      </c>
      <c r="O445" s="98">
        <f>IF(O298&gt;0,'Berekening rekenvolumes'!O110,0)</f>
        <v>0</v>
      </c>
    </row>
    <row r="446" spans="2:15">
      <c r="B446" s="61" t="s">
        <v>287</v>
      </c>
      <c r="D446" s="51" t="s">
        <v>130</v>
      </c>
      <c r="F446" s="102">
        <f t="shared" si="85"/>
        <v>0</v>
      </c>
      <c r="G446" s="98">
        <f>IF(G299&gt;0,'Berekening rekenvolumes'!G111,0)</f>
        <v>0</v>
      </c>
      <c r="H446" s="98">
        <f>IF(H299&gt;0,'Berekening rekenvolumes'!H111,0)</f>
        <v>0</v>
      </c>
      <c r="I446" s="98">
        <f>IF(I299&gt;0,'Berekening rekenvolumes'!I111,0)</f>
        <v>0</v>
      </c>
      <c r="J446" s="98">
        <f>IF(J299&gt;0,'Berekening rekenvolumes'!J111,0)</f>
        <v>0</v>
      </c>
      <c r="K446" s="98">
        <f>IF(K299&gt;0,'Berekening rekenvolumes'!K111,0)</f>
        <v>0</v>
      </c>
      <c r="L446" s="98">
        <f>IF(L299&gt;0,'Berekening rekenvolumes'!L111,0)</f>
        <v>0</v>
      </c>
      <c r="M446" s="98">
        <f>IF(M299&gt;0,'Berekening rekenvolumes'!M111,0)</f>
        <v>0</v>
      </c>
      <c r="N446" s="98">
        <f>IF(N299&gt;0,'Berekening rekenvolumes'!N111,0)</f>
        <v>0</v>
      </c>
      <c r="O446" s="98">
        <f>IF(O299&gt;0,'Berekening rekenvolumes'!O111,0)</f>
        <v>0</v>
      </c>
    </row>
    <row r="447" spans="2:15">
      <c r="B447" s="61" t="s">
        <v>288</v>
      </c>
      <c r="D447" s="51" t="s">
        <v>130</v>
      </c>
      <c r="F447" s="102">
        <f t="shared" si="85"/>
        <v>512</v>
      </c>
      <c r="G447" s="98">
        <f>IF(G300&gt;0,'Berekening rekenvolumes'!G112,0)</f>
        <v>86.333333333333329</v>
      </c>
      <c r="H447" s="98">
        <f>IF(H300&gt;0,'Berekening rekenvolumes'!H112,0)</f>
        <v>0</v>
      </c>
      <c r="I447" s="98">
        <f>IF(I300&gt;0,'Berekening rekenvolumes'!I112,0)</f>
        <v>0</v>
      </c>
      <c r="J447" s="98">
        <f>IF(J300&gt;0,'Berekening rekenvolumes'!J112,0)</f>
        <v>0</v>
      </c>
      <c r="K447" s="98">
        <f>IF(K300&gt;0,'Berekening rekenvolumes'!K112,0)</f>
        <v>425.66666666666669</v>
      </c>
      <c r="L447" s="98">
        <f>IF(L300&gt;0,'Berekening rekenvolumes'!L112,0)</f>
        <v>0</v>
      </c>
      <c r="M447" s="98">
        <f>IF(M300&gt;0,'Berekening rekenvolumes'!M112,0)</f>
        <v>0</v>
      </c>
      <c r="N447" s="98">
        <f>IF(N300&gt;0,'Berekening rekenvolumes'!N112,0)</f>
        <v>0</v>
      </c>
      <c r="O447" s="98">
        <f>IF(O300&gt;0,'Berekening rekenvolumes'!O112,0)</f>
        <v>0</v>
      </c>
    </row>
    <row r="448" spans="2:15">
      <c r="B448" s="23"/>
      <c r="F448" s="109"/>
    </row>
    <row r="449" spans="2:15">
      <c r="B449" s="108" t="s">
        <v>290</v>
      </c>
      <c r="F449" s="109"/>
    </row>
    <row r="450" spans="2:15">
      <c r="B450" s="23" t="s">
        <v>291</v>
      </c>
      <c r="D450" s="51" t="s">
        <v>130</v>
      </c>
      <c r="F450" s="102">
        <f t="shared" si="85"/>
        <v>0</v>
      </c>
      <c r="G450" s="29"/>
      <c r="H450" s="98">
        <f>IF(H303&gt;0,'Berekening rekenvolumes'!H115,0)</f>
        <v>0</v>
      </c>
      <c r="I450" s="29"/>
      <c r="J450" s="98">
        <f>IF(J303&gt;0,'Berekening rekenvolumes'!J115,0)</f>
        <v>0</v>
      </c>
      <c r="K450" s="29"/>
      <c r="L450" s="29"/>
      <c r="M450" s="29"/>
      <c r="N450" s="29"/>
      <c r="O450" s="98">
        <f>IF(O303&gt;0,'Berekening rekenvolumes'!O115,0)</f>
        <v>0</v>
      </c>
    </row>
    <row r="451" spans="2:15">
      <c r="B451" s="3"/>
      <c r="F451" s="109"/>
    </row>
    <row r="452" spans="2:15">
      <c r="B452" s="3"/>
      <c r="F452" s="109"/>
    </row>
    <row r="453" spans="2:15">
      <c r="B453" s="3" t="s">
        <v>309</v>
      </c>
      <c r="F453" s="109"/>
    </row>
    <row r="454" spans="2:15">
      <c r="B454" s="3"/>
      <c r="F454" s="109"/>
    </row>
    <row r="455" spans="2:15">
      <c r="B455" s="108" t="s">
        <v>284</v>
      </c>
      <c r="F455" s="109"/>
    </row>
    <row r="456" spans="2:15">
      <c r="B456" s="61" t="s">
        <v>292</v>
      </c>
      <c r="D456" s="51" t="s">
        <v>130</v>
      </c>
      <c r="F456" s="102">
        <f t="shared" si="85"/>
        <v>99.46367339171988</v>
      </c>
      <c r="G456" s="98">
        <f>IF(G309&gt;0,'Berekening rekenvolumes'!G121,0)</f>
        <v>3.6666666666666665</v>
      </c>
      <c r="H456" s="98">
        <f>IF(H309&gt;0,'Berekening rekenvolumes'!H121,0)</f>
        <v>1.6666666666666667</v>
      </c>
      <c r="I456" s="98">
        <f>IF(I309&gt;0,'Berekening rekenvolumes'!I121,0)</f>
        <v>4.3020963811571811</v>
      </c>
      <c r="J456" s="98">
        <f>IF(J309&gt;0,'Berekening rekenvolumes'!J121,0)</f>
        <v>44.138016722990187</v>
      </c>
      <c r="K456" s="98">
        <f>IF(K309&gt;0,'Berekening rekenvolumes'!K121,0)</f>
        <v>0.97660032275416897</v>
      </c>
      <c r="L456" s="98">
        <f>IF(L309&gt;0,'Berekening rekenvolumes'!L121,0)</f>
        <v>0.66666666666666663</v>
      </c>
      <c r="M456" s="98">
        <f>IF(M309&gt;0,'Berekening rekenvolumes'!M121,0)</f>
        <v>43.380293298151678</v>
      </c>
      <c r="N456" s="98">
        <f>IF(N309&gt;0,'Berekening rekenvolumes'!N121,0)</f>
        <v>0.66666666666666663</v>
      </c>
      <c r="O456" s="98">
        <f>IF(O309&gt;0,'Berekening rekenvolumes'!O121,0)</f>
        <v>0</v>
      </c>
    </row>
    <row r="457" spans="2:15">
      <c r="B457" s="61" t="s">
        <v>293</v>
      </c>
      <c r="D457" s="51" t="s">
        <v>130</v>
      </c>
      <c r="F457" s="102">
        <f t="shared" si="85"/>
        <v>184.02251803922601</v>
      </c>
      <c r="G457" s="98">
        <f>IF(G310&gt;0,'Berekening rekenvolumes'!G122,0)</f>
        <v>1.6666666666666667</v>
      </c>
      <c r="H457" s="98">
        <f>IF(H310&gt;0,'Berekening rekenvolumes'!H122,0)</f>
        <v>2</v>
      </c>
      <c r="I457" s="98">
        <f>IF(I310&gt;0,'Berekening rekenvolumes'!I122,0)</f>
        <v>6.6276394328919395</v>
      </c>
      <c r="J457" s="98">
        <f>IF(J310&gt;0,'Berekening rekenvolumes'!J122,0)</f>
        <v>60.598659754342741</v>
      </c>
      <c r="K457" s="98">
        <f>IF(K310&gt;0,'Berekening rekenvolumes'!K122,0)</f>
        <v>74</v>
      </c>
      <c r="L457" s="98">
        <f>IF(L310&gt;0,'Berekening rekenvolumes'!L122,0)</f>
        <v>2</v>
      </c>
      <c r="M457" s="98">
        <f>IF(M310&gt;0,'Berekening rekenvolumes'!M122,0)</f>
        <v>36.462885518658041</v>
      </c>
      <c r="N457" s="98">
        <f>IF(N310&gt;0,'Berekening rekenvolumes'!N122,0)</f>
        <v>0.66666666666666663</v>
      </c>
      <c r="O457" s="98">
        <f>IF(O310&gt;0,'Berekening rekenvolumes'!O122,0)</f>
        <v>0</v>
      </c>
    </row>
    <row r="458" spans="2:15">
      <c r="B458" s="61" t="s">
        <v>294</v>
      </c>
      <c r="D458" s="51" t="s">
        <v>130</v>
      </c>
      <c r="F458" s="102">
        <f t="shared" si="85"/>
        <v>70.189223475092504</v>
      </c>
      <c r="G458" s="98">
        <f>IF(G311&gt;0,'Berekening rekenvolumes'!G123,0)</f>
        <v>0.66666666666666663</v>
      </c>
      <c r="H458" s="98">
        <f>IF(H311&gt;0,'Berekening rekenvolumes'!H123,0)</f>
        <v>1.3333333333333333</v>
      </c>
      <c r="I458" s="98">
        <f>IF(I311&gt;0,'Berekening rekenvolumes'!I123,0)</f>
        <v>1.9843554813666151</v>
      </c>
      <c r="J458" s="98">
        <f>IF(J311&gt;0,'Berekening rekenvolumes'!J123,0)</f>
        <v>26.961346216325563</v>
      </c>
      <c r="K458" s="98">
        <f>IF(K311&gt;0,'Berekening rekenvolumes'!K123,0)</f>
        <v>21.666666666666668</v>
      </c>
      <c r="L458" s="98">
        <f>IF(L311&gt;0,'Berekening rekenvolumes'!L123,0)</f>
        <v>0</v>
      </c>
      <c r="M458" s="98">
        <f>IF(M311&gt;0,'Berekening rekenvolumes'!M123,0)</f>
        <v>16.576855110733661</v>
      </c>
      <c r="N458" s="98">
        <f>IF(N311&gt;0,'Berekening rekenvolumes'!N123,0)</f>
        <v>1</v>
      </c>
      <c r="O458" s="98">
        <f>IF(O311&gt;0,'Berekening rekenvolumes'!O123,0)</f>
        <v>0</v>
      </c>
    </row>
    <row r="459" spans="2:15">
      <c r="B459" s="61" t="s">
        <v>295</v>
      </c>
      <c r="D459" s="51" t="s">
        <v>130</v>
      </c>
      <c r="F459" s="102">
        <f t="shared" si="85"/>
        <v>22.630938239140189</v>
      </c>
      <c r="G459" s="98">
        <f>IF(G312&gt;0,'Berekening rekenvolumes'!G124,0)</f>
        <v>0</v>
      </c>
      <c r="H459" s="98">
        <f>IF(H312&gt;0,'Berekening rekenvolumes'!H124,0)</f>
        <v>0</v>
      </c>
      <c r="I459" s="98">
        <f>IF(I312&gt;0,'Berekening rekenvolumes'!I124,0)</f>
        <v>1</v>
      </c>
      <c r="J459" s="98">
        <f>IF(J312&gt;0,'Berekening rekenvolumes'!J124,0)</f>
        <v>12.964271572473523</v>
      </c>
      <c r="K459" s="98">
        <f>IF(K312&gt;0,'Berekening rekenvolumes'!K124,0)</f>
        <v>7.333333333333333</v>
      </c>
      <c r="L459" s="98">
        <f>IF(L312&gt;0,'Berekening rekenvolumes'!L124,0)</f>
        <v>0</v>
      </c>
      <c r="M459" s="98">
        <f>IF(M312&gt;0,'Berekening rekenvolumes'!M124,0)</f>
        <v>1</v>
      </c>
      <c r="N459" s="98">
        <f>IF(N312&gt;0,'Berekening rekenvolumes'!N124,0)</f>
        <v>0.33333333333333331</v>
      </c>
      <c r="O459" s="98">
        <f>IF(O312&gt;0,'Berekening rekenvolumes'!O124,0)</f>
        <v>0</v>
      </c>
    </row>
    <row r="460" spans="2:15">
      <c r="B460" s="26" t="s">
        <v>296</v>
      </c>
      <c r="D460" s="51" t="s">
        <v>130</v>
      </c>
      <c r="F460" s="102">
        <f t="shared" si="85"/>
        <v>14.179744796149514</v>
      </c>
      <c r="G460" s="98">
        <f>IF(G313&gt;0,'Berekening rekenvolumes'!G125,0)</f>
        <v>0</v>
      </c>
      <c r="H460" s="98">
        <f>IF(H313&gt;0,'Berekening rekenvolumes'!H125,0)</f>
        <v>0.66666666666666663</v>
      </c>
      <c r="I460" s="98">
        <f>IF(I313&gt;0,'Berekening rekenvolumes'!I125,0)</f>
        <v>0</v>
      </c>
      <c r="J460" s="98">
        <f>IF(J313&gt;0,'Berekening rekenvolumes'!J125,0)</f>
        <v>6.013114880028958</v>
      </c>
      <c r="K460" s="98">
        <f>IF(K313&gt;0,'Berekening rekenvolumes'!K125,0)</f>
        <v>7</v>
      </c>
      <c r="L460" s="98">
        <f>IF(L313&gt;0,'Berekening rekenvolumes'!L125,0)</f>
        <v>0</v>
      </c>
      <c r="M460" s="98">
        <f>IF(M313&gt;0,'Berekening rekenvolumes'!M125,0)</f>
        <v>0.16662991612055356</v>
      </c>
      <c r="N460" s="98">
        <f>IF(N313&gt;0,'Berekening rekenvolumes'!N125,0)</f>
        <v>0.33333333333333331</v>
      </c>
      <c r="O460" s="98">
        <f>IF(O313&gt;0,'Berekening rekenvolumes'!O125,0)</f>
        <v>0</v>
      </c>
    </row>
    <row r="461" spans="2:15">
      <c r="B461" s="61" t="s">
        <v>297</v>
      </c>
      <c r="D461" s="51" t="s">
        <v>130</v>
      </c>
      <c r="F461" s="102">
        <f t="shared" si="85"/>
        <v>2.6666666666666665</v>
      </c>
      <c r="G461" s="98">
        <f>IF(G314&gt;0,'Berekening rekenvolumes'!G126,0)</f>
        <v>0</v>
      </c>
      <c r="H461" s="98">
        <f>IF(H314&gt;0,'Berekening rekenvolumes'!H126,0)</f>
        <v>0</v>
      </c>
      <c r="I461" s="98">
        <f>IF(I314&gt;0,'Berekening rekenvolumes'!I126,0)</f>
        <v>0</v>
      </c>
      <c r="J461" s="98">
        <f>IF(J314&gt;0,'Berekening rekenvolumes'!J126,0)</f>
        <v>0.66666666666666663</v>
      </c>
      <c r="K461" s="98">
        <f>IF(K314&gt;0,'Berekening rekenvolumes'!K126,0)</f>
        <v>0.66666666666666663</v>
      </c>
      <c r="L461" s="98">
        <f>IF(L314&gt;0,'Berekening rekenvolumes'!L126,0)</f>
        <v>0</v>
      </c>
      <c r="M461" s="98">
        <f>IF(M314&gt;0,'Berekening rekenvolumes'!M126,0)</f>
        <v>0</v>
      </c>
      <c r="N461" s="98">
        <f>IF(N314&gt;0,'Berekening rekenvolumes'!N126,0)</f>
        <v>1.3333333333333333</v>
      </c>
      <c r="O461" s="98">
        <f>IF(O314&gt;0,'Berekening rekenvolumes'!O126,0)</f>
        <v>0</v>
      </c>
    </row>
    <row r="462" spans="2:15">
      <c r="B462" s="61" t="s">
        <v>298</v>
      </c>
      <c r="D462" s="51" t="s">
        <v>130</v>
      </c>
      <c r="F462" s="102">
        <f t="shared" si="85"/>
        <v>0</v>
      </c>
      <c r="G462" s="98">
        <f>IF(G315&gt;0,'Berekening rekenvolumes'!G127,0)</f>
        <v>0</v>
      </c>
      <c r="H462" s="98">
        <f>IF(H315&gt;0,'Berekening rekenvolumes'!H127,0)</f>
        <v>0</v>
      </c>
      <c r="I462" s="98">
        <f>IF(I315&gt;0,'Berekening rekenvolumes'!I127,0)</f>
        <v>0</v>
      </c>
      <c r="J462" s="98">
        <f>IF(J315&gt;0,'Berekening rekenvolumes'!J127,0)</f>
        <v>0</v>
      </c>
      <c r="K462" s="98">
        <f>IF(K315&gt;0,'Berekening rekenvolumes'!K127,0)</f>
        <v>0</v>
      </c>
      <c r="L462" s="98">
        <f>IF(L315&gt;0,'Berekening rekenvolumes'!L127,0)</f>
        <v>0</v>
      </c>
      <c r="M462" s="98">
        <f>IF(M315&gt;0,'Berekening rekenvolumes'!M127,0)</f>
        <v>0</v>
      </c>
      <c r="N462" s="98">
        <f>IF(N315&gt;0,'Berekening rekenvolumes'!N127,0)</f>
        <v>0</v>
      </c>
      <c r="O462" s="98">
        <f>IF(O315&gt;0,'Berekening rekenvolumes'!O127,0)</f>
        <v>0</v>
      </c>
    </row>
    <row r="463" spans="2:15">
      <c r="B463" s="61" t="s">
        <v>299</v>
      </c>
      <c r="D463" s="51" t="s">
        <v>130</v>
      </c>
      <c r="F463" s="102">
        <f t="shared" si="85"/>
        <v>1.3333333333333333</v>
      </c>
      <c r="G463" s="98">
        <f>IF(G316&gt;0,'Berekening rekenvolumes'!G128,0)</f>
        <v>0</v>
      </c>
      <c r="H463" s="98">
        <f>IF(H316&gt;0,'Berekening rekenvolumes'!H128,0)</f>
        <v>0</v>
      </c>
      <c r="I463" s="98">
        <f>IF(I316&gt;0,'Berekening rekenvolumes'!I128,0)</f>
        <v>0</v>
      </c>
      <c r="J463" s="98">
        <f>IF(J316&gt;0,'Berekening rekenvolumes'!J128,0)</f>
        <v>1.3333333333333333</v>
      </c>
      <c r="K463" s="98">
        <f>IF(K316&gt;0,'Berekening rekenvolumes'!K128,0)</f>
        <v>0</v>
      </c>
      <c r="L463" s="98">
        <f>IF(L316&gt;0,'Berekening rekenvolumes'!L128,0)</f>
        <v>0</v>
      </c>
      <c r="M463" s="98">
        <f>IF(M316&gt;0,'Berekening rekenvolumes'!M128,0)</f>
        <v>0</v>
      </c>
      <c r="N463" s="98">
        <f>IF(N316&gt;0,'Berekening rekenvolumes'!N128,0)</f>
        <v>0</v>
      </c>
      <c r="O463" s="98">
        <f>IF(O316&gt;0,'Berekening rekenvolumes'!O128,0)</f>
        <v>0</v>
      </c>
    </row>
    <row r="464" spans="2:15">
      <c r="B464" s="23" t="s">
        <v>300</v>
      </c>
      <c r="D464" s="51" t="s">
        <v>130</v>
      </c>
      <c r="F464" s="102">
        <f t="shared" si="85"/>
        <v>0</v>
      </c>
      <c r="G464" s="98">
        <f>IF(G317&gt;0,'Berekening rekenvolumes'!G129,0)</f>
        <v>0</v>
      </c>
      <c r="H464" s="98">
        <f>IF(H317&gt;0,'Berekening rekenvolumes'!H129,0)</f>
        <v>0</v>
      </c>
      <c r="I464" s="98">
        <f>IF(I317&gt;0,'Berekening rekenvolumes'!I129,0)</f>
        <v>0</v>
      </c>
      <c r="J464" s="98">
        <f>IF(J317&gt;0,'Berekening rekenvolumes'!J129,0)</f>
        <v>0</v>
      </c>
      <c r="K464" s="98">
        <f>IF(K317&gt;0,'Berekening rekenvolumes'!K129,0)</f>
        <v>0</v>
      </c>
      <c r="L464" s="98">
        <f>IF(L317&gt;0,'Berekening rekenvolumes'!L129,0)</f>
        <v>0</v>
      </c>
      <c r="M464" s="98">
        <f>IF(M317&gt;0,'Berekening rekenvolumes'!M129,0)</f>
        <v>0</v>
      </c>
      <c r="N464" s="98">
        <f>IF(N317&gt;0,'Berekening rekenvolumes'!N129,0)</f>
        <v>0</v>
      </c>
      <c r="O464" s="98">
        <f>IF(O317&gt;0,'Berekening rekenvolumes'!O129,0)</f>
        <v>0</v>
      </c>
    </row>
    <row r="465" spans="2:15">
      <c r="B465" s="23" t="s">
        <v>301</v>
      </c>
      <c r="D465" s="51" t="s">
        <v>130</v>
      </c>
      <c r="F465" s="102">
        <f t="shared" si="85"/>
        <v>0</v>
      </c>
      <c r="G465" s="98">
        <f>IF(G318&gt;0,'Berekening rekenvolumes'!G130,0)</f>
        <v>0</v>
      </c>
      <c r="H465" s="98">
        <f>IF(H318&gt;0,'Berekening rekenvolumes'!H130,0)</f>
        <v>0</v>
      </c>
      <c r="I465" s="98">
        <f>IF(I318&gt;0,'Berekening rekenvolumes'!I130,0)</f>
        <v>0</v>
      </c>
      <c r="J465" s="98">
        <f>IF(J318&gt;0,'Berekening rekenvolumes'!J130,0)</f>
        <v>0</v>
      </c>
      <c r="K465" s="98">
        <f>IF(K318&gt;0,'Berekening rekenvolumes'!K130,0)</f>
        <v>0</v>
      </c>
      <c r="L465" s="98">
        <f>IF(L318&gt;0,'Berekening rekenvolumes'!L130,0)</f>
        <v>0</v>
      </c>
      <c r="M465" s="98">
        <f>IF(M318&gt;0,'Berekening rekenvolumes'!M130,0)</f>
        <v>0</v>
      </c>
      <c r="N465" s="98">
        <f>IF(N318&gt;0,'Berekening rekenvolumes'!N130,0)</f>
        <v>0</v>
      </c>
      <c r="O465" s="98">
        <f>IF(O318&gt;0,'Berekening rekenvolumes'!O130,0)</f>
        <v>0</v>
      </c>
    </row>
    <row r="466" spans="2:15">
      <c r="B466" s="23"/>
      <c r="F466" s="109"/>
    </row>
    <row r="467" spans="2:15">
      <c r="B467" s="108" t="s">
        <v>289</v>
      </c>
      <c r="F467" s="109"/>
    </row>
    <row r="468" spans="2:15">
      <c r="B468" s="61" t="s">
        <v>292</v>
      </c>
      <c r="D468" s="51" t="s">
        <v>130</v>
      </c>
      <c r="F468" s="102">
        <f t="shared" si="85"/>
        <v>9.1427857644176243</v>
      </c>
      <c r="G468" s="98">
        <f>IF(G321&gt;0,'Berekening rekenvolumes'!G133,0)</f>
        <v>0</v>
      </c>
      <c r="H468" s="98">
        <f>IF(H321&gt;0,'Berekening rekenvolumes'!H133,0)</f>
        <v>0</v>
      </c>
      <c r="I468" s="98">
        <f>IF(I321&gt;0,'Berekening rekenvolumes'!I133,0)</f>
        <v>0</v>
      </c>
      <c r="J468" s="98">
        <f>IF(J321&gt;0,'Berekening rekenvolumes'!J133,0)</f>
        <v>2.3333333333333335</v>
      </c>
      <c r="K468" s="98">
        <f>IF(K321&gt;0,'Berekening rekenvolumes'!K133,0)</f>
        <v>0.33333333333333331</v>
      </c>
      <c r="L468" s="98">
        <f>IF(L321&gt;0,'Berekening rekenvolumes'!L133,0)</f>
        <v>0</v>
      </c>
      <c r="M468" s="98">
        <f>IF(M321&gt;0,'Berekening rekenvolumes'!M133,0)</f>
        <v>6.4761190977509564</v>
      </c>
      <c r="N468" s="98">
        <f>IF(N321&gt;0,'Berekening rekenvolumes'!N133,0)</f>
        <v>0</v>
      </c>
      <c r="O468" s="98">
        <f>IF(O321&gt;0,'Berekening rekenvolumes'!O133,0)</f>
        <v>0</v>
      </c>
    </row>
    <row r="469" spans="2:15">
      <c r="B469" s="61" t="s">
        <v>293</v>
      </c>
      <c r="D469" s="51" t="s">
        <v>130</v>
      </c>
      <c r="F469" s="102">
        <f t="shared" si="85"/>
        <v>13.613099777384546</v>
      </c>
      <c r="G469" s="98">
        <f>IF(G322&gt;0,'Berekening rekenvolumes'!G134,0)</f>
        <v>0.33333333333333331</v>
      </c>
      <c r="H469" s="98">
        <f>IF(H322&gt;0,'Berekening rekenvolumes'!H134,0)</f>
        <v>0.33333333333333331</v>
      </c>
      <c r="I469" s="98">
        <f>IF(I322&gt;0,'Berekening rekenvolumes'!I134,0)</f>
        <v>0.33333333333333331</v>
      </c>
      <c r="J469" s="98">
        <f>IF(J322&gt;0,'Berekening rekenvolumes'!J134,0)</f>
        <v>8.6666666666666661</v>
      </c>
      <c r="K469" s="98">
        <f>IF(K322&gt;0,'Berekening rekenvolumes'!K134,0)</f>
        <v>0</v>
      </c>
      <c r="L469" s="98">
        <f>IF(L322&gt;0,'Berekening rekenvolumes'!L134,0)</f>
        <v>0</v>
      </c>
      <c r="M469" s="98">
        <f>IF(M322&gt;0,'Berekening rekenvolumes'!M134,0)</f>
        <v>3.9464331107178801</v>
      </c>
      <c r="N469" s="98">
        <f>IF(N322&gt;0,'Berekening rekenvolumes'!N134,0)</f>
        <v>0</v>
      </c>
      <c r="O469" s="98">
        <f>IF(O322&gt;0,'Berekening rekenvolumes'!O134,0)</f>
        <v>0</v>
      </c>
    </row>
    <row r="470" spans="2:15">
      <c r="B470" s="61" t="s">
        <v>294</v>
      </c>
      <c r="D470" s="51" t="s">
        <v>130</v>
      </c>
      <c r="F470" s="102">
        <f t="shared" si="85"/>
        <v>14.597791902413366</v>
      </c>
      <c r="G470" s="98">
        <f>IF(G323&gt;0,'Berekening rekenvolumes'!G135,0)</f>
        <v>0</v>
      </c>
      <c r="H470" s="98">
        <f>IF(H323&gt;0,'Berekening rekenvolumes'!H135,0)</f>
        <v>0</v>
      </c>
      <c r="I470" s="98">
        <f>IF(I323&gt;0,'Berekening rekenvolumes'!I135,0)</f>
        <v>0.33333333333333331</v>
      </c>
      <c r="J470" s="98">
        <f>IF(J323&gt;0,'Berekening rekenvolumes'!J135,0)</f>
        <v>6.333333333333333</v>
      </c>
      <c r="K470" s="98">
        <f>IF(K323&gt;0,'Berekening rekenvolumes'!K135,0)</f>
        <v>1.3333333333333333</v>
      </c>
      <c r="L470" s="98">
        <f>IF(L323&gt;0,'Berekening rekenvolumes'!L135,0)</f>
        <v>0</v>
      </c>
      <c r="M470" s="98">
        <f>IF(M323&gt;0,'Berekening rekenvolumes'!M135,0)</f>
        <v>6.5977919024133662</v>
      </c>
      <c r="N470" s="98">
        <f>IF(N323&gt;0,'Berekening rekenvolumes'!N135,0)</f>
        <v>0</v>
      </c>
      <c r="O470" s="98">
        <f>IF(O323&gt;0,'Berekening rekenvolumes'!O135,0)</f>
        <v>0</v>
      </c>
    </row>
    <row r="471" spans="2:15">
      <c r="B471" s="61" t="s">
        <v>295</v>
      </c>
      <c r="D471" s="51" t="s">
        <v>130</v>
      </c>
      <c r="F471" s="102">
        <f t="shared" si="85"/>
        <v>20.541038448257076</v>
      </c>
      <c r="G471" s="98">
        <f>IF(G324&gt;0,'Berekening rekenvolumes'!G136,0)</f>
        <v>0</v>
      </c>
      <c r="H471" s="98">
        <f>IF(H324&gt;0,'Berekening rekenvolumes'!H136,0)</f>
        <v>0.33333333333333331</v>
      </c>
      <c r="I471" s="98">
        <f>IF(I324&gt;0,'Berekening rekenvolumes'!I136,0)</f>
        <v>0.66666666666666663</v>
      </c>
      <c r="J471" s="98">
        <f>IF(J324&gt;0,'Berekening rekenvolumes'!J136,0)</f>
        <v>3.5126763367463028</v>
      </c>
      <c r="K471" s="98">
        <f>IF(K324&gt;0,'Berekening rekenvolumes'!K136,0)</f>
        <v>1.6666666666666667</v>
      </c>
      <c r="L471" s="98">
        <f>IF(L324&gt;0,'Berekening rekenvolumes'!L136,0)</f>
        <v>0.33333333333333331</v>
      </c>
      <c r="M471" s="98">
        <f>IF(M324&gt;0,'Berekening rekenvolumes'!M136,0)</f>
        <v>14.028362111510775</v>
      </c>
      <c r="N471" s="98">
        <f>IF(N324&gt;0,'Berekening rekenvolumes'!N136,0)</f>
        <v>0</v>
      </c>
      <c r="O471" s="98">
        <f>IF(O324&gt;0,'Berekening rekenvolumes'!O136,0)</f>
        <v>0</v>
      </c>
    </row>
    <row r="472" spans="2:15">
      <c r="B472" s="26" t="s">
        <v>296</v>
      </c>
      <c r="D472" s="51" t="s">
        <v>130</v>
      </c>
      <c r="F472" s="102">
        <f t="shared" si="85"/>
        <v>7.1644408971541695</v>
      </c>
      <c r="G472" s="98">
        <f>IF(G325&gt;0,'Berekening rekenvolumes'!G137,0)</f>
        <v>0</v>
      </c>
      <c r="H472" s="98">
        <f>IF(H325&gt;0,'Berekening rekenvolumes'!H137,0)</f>
        <v>0</v>
      </c>
      <c r="I472" s="98">
        <f>IF(I325&gt;0,'Berekening rekenvolumes'!I137,0)</f>
        <v>0</v>
      </c>
      <c r="J472" s="98">
        <f>IF(J325&gt;0,'Berekening rekenvolumes'!J137,0)</f>
        <v>3.6666666666666665</v>
      </c>
      <c r="K472" s="98">
        <f>IF(K325&gt;0,'Berekening rekenvolumes'!K137,0)</f>
        <v>1</v>
      </c>
      <c r="L472" s="98">
        <f>IF(L325&gt;0,'Berekening rekenvolumes'!L137,0)</f>
        <v>0.66666666666666663</v>
      </c>
      <c r="M472" s="98">
        <f>IF(M325&gt;0,'Berekening rekenvolumes'!M137,0)</f>
        <v>1.8311075638208365</v>
      </c>
      <c r="N472" s="98">
        <f>IF(N325&gt;0,'Berekening rekenvolumes'!N137,0)</f>
        <v>0</v>
      </c>
      <c r="O472" s="98">
        <f>IF(O325&gt;0,'Berekening rekenvolumes'!O137,0)</f>
        <v>0</v>
      </c>
    </row>
    <row r="473" spans="2:15">
      <c r="B473" s="61" t="s">
        <v>297</v>
      </c>
      <c r="D473" s="51" t="s">
        <v>130</v>
      </c>
      <c r="F473" s="102">
        <f t="shared" ref="F473:F476" si="86">SUM(G473:O473)</f>
        <v>8.3384296285924258</v>
      </c>
      <c r="G473" s="98">
        <f>IF(G326&gt;0,'Berekening rekenvolumes'!G138,0)</f>
        <v>0</v>
      </c>
      <c r="H473" s="98">
        <f>IF(H326&gt;0,'Berekening rekenvolumes'!H138,0)</f>
        <v>0</v>
      </c>
      <c r="I473" s="98">
        <f>IF(I326&gt;0,'Berekening rekenvolumes'!I138,0)</f>
        <v>0</v>
      </c>
      <c r="J473" s="98">
        <f>IF(J326&gt;0,'Berekening rekenvolumes'!J138,0)</f>
        <v>2.7153988478812732</v>
      </c>
      <c r="K473" s="98">
        <f>IF(K326&gt;0,'Berekening rekenvolumes'!K138,0)</f>
        <v>2.3333333333333335</v>
      </c>
      <c r="L473" s="98">
        <f>IF(L326&gt;0,'Berekening rekenvolumes'!L138,0)</f>
        <v>0</v>
      </c>
      <c r="M473" s="98">
        <f>IF(M326&gt;0,'Berekening rekenvolumes'!M138,0)</f>
        <v>3.2896974473778187</v>
      </c>
      <c r="N473" s="98">
        <f>IF(N326&gt;0,'Berekening rekenvolumes'!N138,0)</f>
        <v>0</v>
      </c>
      <c r="O473" s="98">
        <f>IF(O326&gt;0,'Berekening rekenvolumes'!O138,0)</f>
        <v>0</v>
      </c>
    </row>
    <row r="474" spans="2:15">
      <c r="B474" s="61" t="s">
        <v>298</v>
      </c>
      <c r="D474" s="51" t="s">
        <v>130</v>
      </c>
      <c r="F474" s="102">
        <f t="shared" si="86"/>
        <v>8.6906489075099866</v>
      </c>
      <c r="G474" s="98">
        <f>IF(G327&gt;0,'Berekening rekenvolumes'!G139,0)</f>
        <v>0</v>
      </c>
      <c r="H474" s="98">
        <f>IF(H327&gt;0,'Berekening rekenvolumes'!H139,0)</f>
        <v>0</v>
      </c>
      <c r="I474" s="98">
        <f>IF(I327&gt;0,'Berekening rekenvolumes'!I139,0)</f>
        <v>0.66666666666666663</v>
      </c>
      <c r="J474" s="98">
        <f>IF(J327&gt;0,'Berekening rekenvolumes'!J139,0)</f>
        <v>5.666666666666667</v>
      </c>
      <c r="K474" s="98">
        <f>IF(K327&gt;0,'Berekening rekenvolumes'!K139,0)</f>
        <v>0.66666666666666663</v>
      </c>
      <c r="L474" s="98">
        <f>IF(L327&gt;0,'Berekening rekenvolumes'!L139,0)</f>
        <v>0.66666666666666663</v>
      </c>
      <c r="M474" s="98">
        <f>IF(M327&gt;0,'Berekening rekenvolumes'!M139,0)</f>
        <v>1.0239822408433188</v>
      </c>
      <c r="N474" s="98">
        <f>IF(N327&gt;0,'Berekening rekenvolumes'!N139,0)</f>
        <v>0</v>
      </c>
      <c r="O474" s="98">
        <f>IF(O327&gt;0,'Berekening rekenvolumes'!O139,0)</f>
        <v>0</v>
      </c>
    </row>
    <row r="475" spans="2:15">
      <c r="B475" s="61" t="s">
        <v>299</v>
      </c>
      <c r="D475" s="51" t="s">
        <v>130</v>
      </c>
      <c r="F475" s="102">
        <f t="shared" si="86"/>
        <v>3.1648344292627528</v>
      </c>
      <c r="G475" s="98">
        <f>IF(G328&gt;0,'Berekening rekenvolumes'!G140,0)</f>
        <v>0</v>
      </c>
      <c r="H475" s="98">
        <f>IF(H328&gt;0,'Berekening rekenvolumes'!H140,0)</f>
        <v>0</v>
      </c>
      <c r="I475" s="98">
        <f>IF(I328&gt;0,'Berekening rekenvolumes'!I140,0)</f>
        <v>0</v>
      </c>
      <c r="J475" s="98">
        <f>IF(J328&gt;0,'Berekening rekenvolumes'!J140,0)</f>
        <v>0.66666666666666663</v>
      </c>
      <c r="K475" s="98">
        <f>IF(K328&gt;0,'Berekening rekenvolumes'!K140,0)</f>
        <v>0</v>
      </c>
      <c r="L475" s="98">
        <f>IF(L328&gt;0,'Berekening rekenvolumes'!L140,0)</f>
        <v>0</v>
      </c>
      <c r="M475" s="98">
        <f>IF(M328&gt;0,'Berekening rekenvolumes'!M140,0)</f>
        <v>1.4981677625960863</v>
      </c>
      <c r="N475" s="98">
        <f>IF(N328&gt;0,'Berekening rekenvolumes'!N140,0)</f>
        <v>1</v>
      </c>
      <c r="O475" s="98">
        <f>IF(O328&gt;0,'Berekening rekenvolumes'!O140,0)</f>
        <v>0</v>
      </c>
    </row>
    <row r="476" spans="2:15">
      <c r="B476" s="23" t="s">
        <v>300</v>
      </c>
      <c r="D476" s="51" t="s">
        <v>130</v>
      </c>
      <c r="F476" s="102">
        <f t="shared" si="86"/>
        <v>1.3333333333333333</v>
      </c>
      <c r="G476" s="98">
        <f>IF(G329&gt;0,'Berekening rekenvolumes'!G141,0)</f>
        <v>0</v>
      </c>
      <c r="H476" s="98">
        <f>IF(H329&gt;0,'Berekening rekenvolumes'!H141,0)</f>
        <v>0</v>
      </c>
      <c r="I476" s="98">
        <f>IF(I329&gt;0,'Berekening rekenvolumes'!I141,0)</f>
        <v>0</v>
      </c>
      <c r="J476" s="98">
        <f>IF(J329&gt;0,'Berekening rekenvolumes'!J141,0)</f>
        <v>1.3333333333333333</v>
      </c>
      <c r="K476" s="98">
        <f>IF(K329&gt;0,'Berekening rekenvolumes'!K141,0)</f>
        <v>0</v>
      </c>
      <c r="L476" s="98">
        <f>IF(L329&gt;0,'Berekening rekenvolumes'!L141,0)</f>
        <v>0</v>
      </c>
      <c r="M476" s="98">
        <f>IF(M329&gt;0,'Berekening rekenvolumes'!M141,0)</f>
        <v>0</v>
      </c>
      <c r="N476" s="98">
        <f>IF(N329&gt;0,'Berekening rekenvolumes'!N141,0)</f>
        <v>0</v>
      </c>
      <c r="O476" s="98">
        <f>IF(O329&gt;0,'Berekening rekenvolumes'!O141,0)</f>
        <v>0</v>
      </c>
    </row>
    <row r="477" spans="2:15">
      <c r="B477" s="23" t="s">
        <v>301</v>
      </c>
      <c r="D477" s="51" t="s">
        <v>130</v>
      </c>
      <c r="F477" s="102">
        <f>SUM(G477:O477)</f>
        <v>1.9698351307316317</v>
      </c>
      <c r="G477" s="98">
        <f>IF(G330&gt;0,'Berekening rekenvolumes'!G142,0)</f>
        <v>0</v>
      </c>
      <c r="H477" s="98">
        <f>IF(H330&gt;0,'Berekening rekenvolumes'!H142,0)</f>
        <v>0</v>
      </c>
      <c r="I477" s="98">
        <f>IF(I330&gt;0,'Berekening rekenvolumes'!I142,0)</f>
        <v>0</v>
      </c>
      <c r="J477" s="98">
        <f>IF(J330&gt;0,'Berekening rekenvolumes'!J142,0)</f>
        <v>1.6365017973982985</v>
      </c>
      <c r="K477" s="98">
        <f>IF(K330&gt;0,'Berekening rekenvolumes'!K142,0)</f>
        <v>0</v>
      </c>
      <c r="L477" s="98">
        <f>IF(L330&gt;0,'Berekening rekenvolumes'!L142,0)</f>
        <v>0</v>
      </c>
      <c r="M477" s="98">
        <f>IF(M330&gt;0,'Berekening rekenvolumes'!M142,0)</f>
        <v>0</v>
      </c>
      <c r="N477" s="98">
        <f>IF(N330&gt;0,'Berekening rekenvolumes'!N142,0)</f>
        <v>0.33333333333333331</v>
      </c>
      <c r="O477" s="98">
        <f>IF(O330&gt;0,'Berekening rekenvolumes'!O142,0)</f>
        <v>0</v>
      </c>
    </row>
    <row r="478" spans="2:15">
      <c r="B478" s="23"/>
      <c r="F478" s="50"/>
    </row>
    <row r="479" spans="2:15">
      <c r="B479" s="108" t="s">
        <v>290</v>
      </c>
      <c r="F479" s="50"/>
    </row>
    <row r="480" spans="2:15">
      <c r="B480" s="23" t="s">
        <v>302</v>
      </c>
      <c r="D480" s="51" t="s">
        <v>130</v>
      </c>
      <c r="F480" s="102">
        <f>SUM(G480:O480)</f>
        <v>0</v>
      </c>
      <c r="G480" s="29"/>
      <c r="H480" s="98">
        <f>IF(H333&gt;0,'Berekening rekenvolumes'!H145,0)</f>
        <v>0</v>
      </c>
      <c r="I480" s="29"/>
      <c r="J480" s="98">
        <f>IF(J333&gt;0,'Berekening rekenvolumes'!J145,0)</f>
        <v>0</v>
      </c>
      <c r="K480" s="29"/>
      <c r="L480" s="29"/>
      <c r="M480" s="29"/>
      <c r="N480" s="29"/>
      <c r="O480" s="98">
        <f>IF(O333&gt;0,'Berekening rekenvolumes'!O145,0)</f>
        <v>0</v>
      </c>
    </row>
    <row r="481" spans="2:17" s="56" customFormat="1">
      <c r="B481"/>
      <c r="C481" s="58"/>
      <c r="D481" s="57"/>
      <c r="E481" s="59"/>
      <c r="F481" s="59"/>
      <c r="G481" s="60"/>
      <c r="H481" s="60"/>
      <c r="I481" s="60"/>
      <c r="J481" s="60"/>
      <c r="K481" s="60"/>
      <c r="L481" s="60"/>
      <c r="M481" s="60"/>
      <c r="N481" s="60"/>
      <c r="O481" s="57"/>
    </row>
    <row r="483" spans="2:17" s="2" customFormat="1">
      <c r="B483" s="2" t="s">
        <v>366</v>
      </c>
      <c r="F483" s="49"/>
    </row>
    <row r="484" spans="2:17">
      <c r="F484" s="47"/>
    </row>
    <row r="485" spans="2:17">
      <c r="B485" s="27" t="s">
        <v>333</v>
      </c>
      <c r="F485" s="47"/>
    </row>
    <row r="486" spans="2:17">
      <c r="B486" s="27" t="s">
        <v>334</v>
      </c>
      <c r="F486" s="47"/>
    </row>
    <row r="487" spans="2:17">
      <c r="F487" s="47"/>
    </row>
    <row r="488" spans="2:17">
      <c r="B488" s="22" t="s">
        <v>207</v>
      </c>
      <c r="F488" s="47"/>
      <c r="H488" s="90"/>
    </row>
    <row r="489" spans="2:17">
      <c r="F489" s="50"/>
    </row>
    <row r="490" spans="2:17">
      <c r="B490" s="103" t="s">
        <v>265</v>
      </c>
    </row>
    <row r="491" spans="2:17">
      <c r="B491" s="89" t="s">
        <v>201</v>
      </c>
      <c r="F491" s="106">
        <f>SUMPRODUCT(G198:O198,G345:O345)/F345</f>
        <v>18</v>
      </c>
      <c r="Q491" s="51" t="s">
        <v>980</v>
      </c>
    </row>
    <row r="492" spans="2:17">
      <c r="B492" s="90" t="s">
        <v>202</v>
      </c>
      <c r="F492" s="106">
        <f>SUMPRODUCT(G199:O199,G346:O346)/F346</f>
        <v>29.759861300363138</v>
      </c>
    </row>
    <row r="493" spans="2:17">
      <c r="B493" s="90"/>
      <c r="F493" s="82"/>
    </row>
    <row r="494" spans="2:17">
      <c r="B494" s="91" t="s">
        <v>266</v>
      </c>
      <c r="F494" s="82"/>
    </row>
    <row r="495" spans="2:17">
      <c r="B495" s="89" t="s">
        <v>201</v>
      </c>
      <c r="F495" s="106">
        <f>SUMPRODUCT(G202:O202,G349:O349)/F349</f>
        <v>18.000000000000004</v>
      </c>
    </row>
    <row r="496" spans="2:17">
      <c r="B496" s="90" t="s">
        <v>202</v>
      </c>
      <c r="F496" s="106">
        <f>SUMPRODUCT(G203:O203,G350:O350)/F350</f>
        <v>29.606396505709927</v>
      </c>
    </row>
    <row r="497" spans="2:17">
      <c r="B497" s="104"/>
      <c r="F497" s="82"/>
    </row>
    <row r="498" spans="2:17">
      <c r="B498" s="88" t="s">
        <v>204</v>
      </c>
      <c r="F498" s="82"/>
    </row>
    <row r="499" spans="2:17">
      <c r="B499" s="89" t="s">
        <v>201</v>
      </c>
      <c r="F499" s="116">
        <f>(SUMPRODUCT(G206:O206,G353:O353)+H213*H360)/(F353+H360)</f>
        <v>777.90363674669175</v>
      </c>
    </row>
    <row r="500" spans="2:17">
      <c r="B500" s="90" t="s">
        <v>262</v>
      </c>
      <c r="F500" s="106">
        <f>SUMPRODUCT(G207:O207,G354:O354)/F354</f>
        <v>29.682929362048824</v>
      </c>
    </row>
    <row r="501" spans="2:17">
      <c r="B501" s="89" t="s">
        <v>263</v>
      </c>
      <c r="F501" s="106">
        <f>SUMPRODUCT(G208:O208,G355:O355)/F355</f>
        <v>18.289815987345882</v>
      </c>
    </row>
    <row r="502" spans="2:17">
      <c r="B502" s="90" t="s">
        <v>264</v>
      </c>
      <c r="F502" s="106">
        <f>SUMPRODUCT(G209:O209,G356:O356)/F356</f>
        <v>28.299897599379406</v>
      </c>
    </row>
    <row r="503" spans="2:17">
      <c r="B503" s="90" t="s">
        <v>205</v>
      </c>
      <c r="F503" s="116">
        <f>(SUMPRODUCT(G210:O210,G357:O357)+H214*H361)/(F357+H361)</f>
        <v>25.987813513353057</v>
      </c>
    </row>
    <row r="504" spans="2:17">
      <c r="B504" s="105"/>
      <c r="F504" s="82"/>
    </row>
    <row r="505" spans="2:17">
      <c r="B505" s="88" t="s">
        <v>206</v>
      </c>
      <c r="F505" s="82"/>
    </row>
    <row r="506" spans="2:17">
      <c r="B506" s="89" t="s">
        <v>201</v>
      </c>
      <c r="F506" s="120"/>
      <c r="H506" s="116">
        <f>F499</f>
        <v>777.90363674669175</v>
      </c>
      <c r="J506" s="110">
        <f>J213</f>
        <v>1044</v>
      </c>
      <c r="O506" s="110">
        <f>O213</f>
        <v>830</v>
      </c>
      <c r="Q506" s="51" t="s">
        <v>981</v>
      </c>
    </row>
    <row r="507" spans="2:17">
      <c r="B507" s="90" t="s">
        <v>202</v>
      </c>
      <c r="F507" s="120"/>
      <c r="H507" s="116">
        <f>F503</f>
        <v>25.987813513353057</v>
      </c>
      <c r="J507" s="110">
        <f>J214</f>
        <v>14</v>
      </c>
      <c r="O507" s="110">
        <f>O214</f>
        <v>9.9030000000000005</v>
      </c>
    </row>
    <row r="508" spans="2:17">
      <c r="B508" s="22"/>
      <c r="F508" s="82"/>
    </row>
    <row r="509" spans="2:17">
      <c r="B509" s="22"/>
      <c r="F509" s="82"/>
    </row>
    <row r="510" spans="2:17">
      <c r="F510" s="82"/>
    </row>
    <row r="511" spans="2:17">
      <c r="B511" s="22" t="s">
        <v>208</v>
      </c>
      <c r="F511" s="82"/>
    </row>
    <row r="512" spans="2:17">
      <c r="F512" s="82"/>
    </row>
    <row r="513" spans="2:17">
      <c r="B513" s="3" t="s">
        <v>306</v>
      </c>
      <c r="F513" s="82"/>
    </row>
    <row r="514" spans="2:17">
      <c r="B514" s="3"/>
      <c r="F514" s="82"/>
    </row>
    <row r="515" spans="2:17">
      <c r="B515" s="108" t="s">
        <v>284</v>
      </c>
      <c r="F515" s="82"/>
    </row>
    <row r="516" spans="2:17">
      <c r="B516" s="23" t="s">
        <v>285</v>
      </c>
      <c r="F516" s="115">
        <f>SUMPRODUCT(G223:O223,G370:O370)/F370</f>
        <v>23.68890349812623</v>
      </c>
      <c r="Q516" s="51" t="s">
        <v>982</v>
      </c>
    </row>
    <row r="517" spans="2:17">
      <c r="B517" s="23" t="s">
        <v>286</v>
      </c>
      <c r="F517" s="115">
        <f>SUMPRODUCT(G224:O224,G371:O371)/F371</f>
        <v>44.363556129821497</v>
      </c>
    </row>
    <row r="518" spans="2:17">
      <c r="B518" s="61" t="s">
        <v>287</v>
      </c>
      <c r="F518" s="115">
        <f>SUMPRODUCT(G225:O225,G372:O372)/F372</f>
        <v>45.609421182883125</v>
      </c>
    </row>
    <row r="519" spans="2:17">
      <c r="B519" s="61" t="s">
        <v>288</v>
      </c>
      <c r="F519" s="115">
        <f>SUMPRODUCT(G226:O226,G373:O373)/F373</f>
        <v>67.340996855671861</v>
      </c>
    </row>
    <row r="520" spans="2:17">
      <c r="B520" s="23"/>
      <c r="F520" s="82"/>
    </row>
    <row r="521" spans="2:17">
      <c r="B521" s="108" t="s">
        <v>289</v>
      </c>
      <c r="F521" s="82"/>
    </row>
    <row r="522" spans="2:17">
      <c r="B522" s="23" t="s">
        <v>285</v>
      </c>
      <c r="F522" s="116">
        <f>AVERAGE(I229,K229)</f>
        <v>24.602038295308578</v>
      </c>
    </row>
    <row r="523" spans="2:17">
      <c r="B523" s="23" t="s">
        <v>286</v>
      </c>
      <c r="F523" s="115">
        <f>SUMPRODUCT(G230:O230,G377:O377)/F377</f>
        <v>43.000453808035026</v>
      </c>
    </row>
    <row r="524" spans="2:17">
      <c r="B524" s="61" t="s">
        <v>287</v>
      </c>
      <c r="F524" s="115">
        <f>SUMPRODUCT(G231:O231,G378:O378)/F378</f>
        <v>57.781505716488702</v>
      </c>
    </row>
    <row r="525" spans="2:17">
      <c r="B525" s="61" t="s">
        <v>288</v>
      </c>
      <c r="F525" s="115">
        <f>SUMPRODUCT(G232:O232,G379:O379)/F379</f>
        <v>78.536731345702975</v>
      </c>
    </row>
    <row r="526" spans="2:17">
      <c r="B526" s="23"/>
      <c r="F526" s="82"/>
    </row>
    <row r="527" spans="2:17">
      <c r="B527" s="108" t="s">
        <v>290</v>
      </c>
      <c r="F527" s="82"/>
    </row>
    <row r="528" spans="2:17">
      <c r="B528" s="23" t="s">
        <v>291</v>
      </c>
      <c r="F528" s="120" t="s">
        <v>342</v>
      </c>
    </row>
    <row r="529" spans="2:17">
      <c r="B529" s="3"/>
      <c r="F529" s="82"/>
    </row>
    <row r="530" spans="2:17">
      <c r="B530" s="3"/>
      <c r="F530" s="82"/>
    </row>
    <row r="531" spans="2:17">
      <c r="B531" s="3" t="s">
        <v>305</v>
      </c>
      <c r="F531" s="82"/>
    </row>
    <row r="532" spans="2:17">
      <c r="B532" s="3"/>
      <c r="F532" s="82"/>
    </row>
    <row r="533" spans="2:17">
      <c r="B533" s="108" t="s">
        <v>284</v>
      </c>
      <c r="F533" s="82"/>
    </row>
    <row r="534" spans="2:17">
      <c r="B534" s="61" t="s">
        <v>292</v>
      </c>
      <c r="F534" s="115">
        <f t="shared" ref="F534:F543" si="87">SUMPRODUCT(G241:O241,G388:O388)/F388</f>
        <v>66.153875222933195</v>
      </c>
      <c r="Q534" s="51" t="s">
        <v>982</v>
      </c>
    </row>
    <row r="535" spans="2:17">
      <c r="B535" s="61" t="s">
        <v>293</v>
      </c>
      <c r="F535" s="115">
        <f t="shared" si="87"/>
        <v>86.384027339302193</v>
      </c>
    </row>
    <row r="536" spans="2:17">
      <c r="B536" s="61" t="s">
        <v>294</v>
      </c>
      <c r="F536" s="115">
        <f t="shared" si="87"/>
        <v>144.10064444049411</v>
      </c>
    </row>
    <row r="537" spans="2:17">
      <c r="B537" s="61" t="s">
        <v>295</v>
      </c>
      <c r="F537" s="115">
        <f t="shared" si="87"/>
        <v>197.54365944821532</v>
      </c>
    </row>
    <row r="538" spans="2:17">
      <c r="B538" s="26" t="s">
        <v>296</v>
      </c>
      <c r="F538" s="115">
        <f t="shared" si="87"/>
        <v>172.4020190860204</v>
      </c>
    </row>
    <row r="539" spans="2:17">
      <c r="B539" s="61" t="s">
        <v>297</v>
      </c>
      <c r="F539" s="115">
        <f t="shared" si="87"/>
        <v>196.0737450297411</v>
      </c>
    </row>
    <row r="540" spans="2:17">
      <c r="B540" s="61" t="s">
        <v>298</v>
      </c>
      <c r="F540" s="115">
        <f t="shared" si="87"/>
        <v>190.00007317352797</v>
      </c>
    </row>
    <row r="541" spans="2:17">
      <c r="B541" s="61" t="s">
        <v>299</v>
      </c>
      <c r="F541" s="115">
        <f t="shared" si="87"/>
        <v>186.31645892676639</v>
      </c>
    </row>
    <row r="542" spans="2:17">
      <c r="B542" s="23" t="s">
        <v>300</v>
      </c>
      <c r="F542" s="115">
        <f t="shared" si="87"/>
        <v>223.18343449465559</v>
      </c>
    </row>
    <row r="543" spans="2:17">
      <c r="B543" s="23" t="s">
        <v>301</v>
      </c>
      <c r="F543" s="115">
        <f t="shared" si="87"/>
        <v>220.84676318060701</v>
      </c>
    </row>
    <row r="544" spans="2:17">
      <c r="B544" s="23"/>
      <c r="F544" s="82"/>
    </row>
    <row r="545" spans="2:17">
      <c r="B545" s="108" t="s">
        <v>289</v>
      </c>
      <c r="F545" s="82"/>
    </row>
    <row r="546" spans="2:17">
      <c r="B546" s="61" t="s">
        <v>292</v>
      </c>
      <c r="F546" s="115">
        <f t="shared" ref="F546:F554" si="88">SUMPRODUCT(G253:O253,G400:O400)/F400</f>
        <v>77.538464443841008</v>
      </c>
    </row>
    <row r="547" spans="2:17">
      <c r="B547" s="61" t="s">
        <v>293</v>
      </c>
      <c r="F547" s="115">
        <f t="shared" si="88"/>
        <v>96.694599943113374</v>
      </c>
    </row>
    <row r="548" spans="2:17">
      <c r="B548" s="61" t="s">
        <v>294</v>
      </c>
      <c r="F548" s="115">
        <f t="shared" si="88"/>
        <v>160.73631048092943</v>
      </c>
    </row>
    <row r="549" spans="2:17">
      <c r="B549" s="61" t="s">
        <v>295</v>
      </c>
      <c r="F549" s="115">
        <f t="shared" si="88"/>
        <v>197.91671947642894</v>
      </c>
    </row>
    <row r="550" spans="2:17">
      <c r="B550" s="26" t="s">
        <v>296</v>
      </c>
      <c r="F550" s="115">
        <f t="shared" si="88"/>
        <v>221.72651233932183</v>
      </c>
    </row>
    <row r="551" spans="2:17">
      <c r="B551" s="61" t="s">
        <v>297</v>
      </c>
      <c r="F551" s="115">
        <f t="shared" si="88"/>
        <v>277.99387473665888</v>
      </c>
    </row>
    <row r="552" spans="2:17">
      <c r="B552" s="61" t="s">
        <v>298</v>
      </c>
      <c r="F552" s="115">
        <f t="shared" si="88"/>
        <v>253.66886562947602</v>
      </c>
    </row>
    <row r="553" spans="2:17">
      <c r="B553" s="61" t="s">
        <v>299</v>
      </c>
      <c r="F553" s="115">
        <f t="shared" si="88"/>
        <v>317.78072816362493</v>
      </c>
    </row>
    <row r="554" spans="2:17">
      <c r="B554" s="23" t="s">
        <v>300</v>
      </c>
      <c r="F554" s="115">
        <f t="shared" si="88"/>
        <v>255.55315697972679</v>
      </c>
    </row>
    <row r="555" spans="2:17">
      <c r="B555" s="23" t="s">
        <v>301</v>
      </c>
      <c r="F555" s="116">
        <f>(SUMPRODUCT(G262:O262,G409:O409)+H265*H412)/(F409+H412)</f>
        <v>331.32519204987778</v>
      </c>
    </row>
    <row r="556" spans="2:17">
      <c r="B556" s="23"/>
      <c r="F556" s="82"/>
    </row>
    <row r="557" spans="2:17">
      <c r="B557" s="108" t="s">
        <v>290</v>
      </c>
      <c r="F557" s="82"/>
    </row>
    <row r="558" spans="2:17">
      <c r="B558" s="23" t="s">
        <v>302</v>
      </c>
      <c r="F558" s="120"/>
      <c r="H558" s="116">
        <f>F555</f>
        <v>331.32519204987778</v>
      </c>
      <c r="J558" s="110">
        <f>J265</f>
        <v>171689.08465899076</v>
      </c>
      <c r="O558" s="110">
        <f>O265</f>
        <v>0</v>
      </c>
      <c r="Q558" s="51" t="s">
        <v>981</v>
      </c>
    </row>
    <row r="559" spans="2:17">
      <c r="B559" s="22"/>
      <c r="F559" s="82"/>
    </row>
    <row r="560" spans="2:17">
      <c r="B560" s="22"/>
      <c r="F560" s="82"/>
    </row>
    <row r="561" spans="2:17">
      <c r="B561" s="22"/>
      <c r="F561" s="82"/>
    </row>
    <row r="562" spans="2:17">
      <c r="B562" s="22"/>
      <c r="F562" s="82"/>
    </row>
    <row r="563" spans="2:17">
      <c r="B563" s="3" t="s">
        <v>307</v>
      </c>
      <c r="F563" s="82"/>
    </row>
    <row r="564" spans="2:17">
      <c r="B564" s="3"/>
      <c r="F564" s="82"/>
    </row>
    <row r="565" spans="2:17">
      <c r="B565" s="108" t="s">
        <v>284</v>
      </c>
      <c r="F565" s="82"/>
    </row>
    <row r="566" spans="2:17">
      <c r="B566" s="23" t="s">
        <v>285</v>
      </c>
      <c r="F566" s="115">
        <f>SUMPRODUCT(G273:O273,G420:O420)/F420</f>
        <v>1005.4897224949591</v>
      </c>
      <c r="Q566" s="51" t="s">
        <v>982</v>
      </c>
    </row>
    <row r="567" spans="2:17">
      <c r="B567" s="23" t="s">
        <v>286</v>
      </c>
      <c r="F567" s="115">
        <f>SUMPRODUCT(G274:O274,G421:O421)/F421</f>
        <v>2048.6081372947979</v>
      </c>
    </row>
    <row r="568" spans="2:17">
      <c r="B568" s="61" t="s">
        <v>287</v>
      </c>
      <c r="F568" s="115">
        <f>SUMPRODUCT(G275:O275,G422:O422)/F422</f>
        <v>2059.7946565741281</v>
      </c>
    </row>
    <row r="569" spans="2:17">
      <c r="B569" s="61" t="s">
        <v>288</v>
      </c>
      <c r="F569" s="115">
        <f>SUMPRODUCT(G276:O276,G423:O423)/F423</f>
        <v>2975.8383883097581</v>
      </c>
    </row>
    <row r="570" spans="2:17">
      <c r="B570" s="23"/>
      <c r="F570" s="82"/>
    </row>
    <row r="571" spans="2:17">
      <c r="B571" s="108" t="s">
        <v>289</v>
      </c>
      <c r="F571" s="82"/>
    </row>
    <row r="572" spans="2:17">
      <c r="B572" s="23" t="s">
        <v>285</v>
      </c>
      <c r="F572" s="116">
        <f>AVERAGE(I279,K279)</f>
        <v>879.55473698253456</v>
      </c>
    </row>
    <row r="573" spans="2:17">
      <c r="B573" s="23" t="s">
        <v>286</v>
      </c>
      <c r="F573" s="116">
        <f>AVERAGE(I280,K280)</f>
        <v>1927.6553897475517</v>
      </c>
    </row>
    <row r="574" spans="2:17">
      <c r="B574" s="61" t="s">
        <v>287</v>
      </c>
      <c r="F574" s="116">
        <f>AVERAGE(I281,K281)</f>
        <v>1927.6553897475517</v>
      </c>
    </row>
    <row r="575" spans="2:17">
      <c r="B575" s="61" t="s">
        <v>288</v>
      </c>
      <c r="F575" s="116">
        <f>AVERAGE(I282,K282)</f>
        <v>2580.5937693754881</v>
      </c>
    </row>
    <row r="576" spans="2:17">
      <c r="B576" s="23"/>
      <c r="F576" s="82"/>
    </row>
    <row r="577" spans="2:17">
      <c r="B577" s="108" t="s">
        <v>290</v>
      </c>
      <c r="F577" s="82"/>
    </row>
    <row r="578" spans="2:17">
      <c r="B578" s="23" t="s">
        <v>291</v>
      </c>
      <c r="F578" s="120" t="s">
        <v>342</v>
      </c>
    </row>
    <row r="579" spans="2:17">
      <c r="B579" s="3"/>
      <c r="F579" s="82"/>
    </row>
    <row r="580" spans="2:17">
      <c r="B580" s="3"/>
      <c r="F580" s="82"/>
    </row>
    <row r="581" spans="2:17">
      <c r="B581" s="3" t="s">
        <v>308</v>
      </c>
      <c r="F581" s="82"/>
    </row>
    <row r="582" spans="2:17">
      <c r="B582" s="3"/>
      <c r="F582" s="82"/>
    </row>
    <row r="583" spans="2:17">
      <c r="B583" s="108" t="s">
        <v>284</v>
      </c>
      <c r="F583" s="82"/>
    </row>
    <row r="584" spans="2:17">
      <c r="B584" s="23" t="s">
        <v>285</v>
      </c>
      <c r="F584" s="115">
        <f>SUMPRODUCT(G291:O291,G438:O438)/F438</f>
        <v>34.86684335098029</v>
      </c>
      <c r="Q584" s="51" t="s">
        <v>982</v>
      </c>
    </row>
    <row r="585" spans="2:17">
      <c r="B585" s="23" t="s">
        <v>286</v>
      </c>
      <c r="F585" s="115">
        <f>SUMPRODUCT(G292:O292,G439:O439)/F439</f>
        <v>39.488621531504094</v>
      </c>
    </row>
    <row r="586" spans="2:17">
      <c r="B586" s="61" t="s">
        <v>287</v>
      </c>
      <c r="F586" s="115">
        <f>SUMPRODUCT(G293:O293,G440:O440)/F440</f>
        <v>42.922538169209822</v>
      </c>
    </row>
    <row r="587" spans="2:17">
      <c r="B587" s="61" t="s">
        <v>288</v>
      </c>
      <c r="F587" s="115">
        <f>SUMPRODUCT(G294:O294,G441:O441)/F441</f>
        <v>45.225078677867145</v>
      </c>
    </row>
    <row r="588" spans="2:17">
      <c r="B588" s="23"/>
      <c r="F588" s="82"/>
    </row>
    <row r="589" spans="2:17">
      <c r="B589" s="108" t="s">
        <v>289</v>
      </c>
      <c r="F589" s="82"/>
    </row>
    <row r="590" spans="2:17">
      <c r="B590" s="23" t="s">
        <v>285</v>
      </c>
      <c r="F590" s="116">
        <f>AVERAGE(G297,I297,K297)</f>
        <v>29.157971312958313</v>
      </c>
    </row>
    <row r="591" spans="2:17">
      <c r="B591" s="23" t="s">
        <v>286</v>
      </c>
      <c r="F591" s="116">
        <f>AVERAGE(G298,I298,K298)</f>
        <v>32.528889628607963</v>
      </c>
    </row>
    <row r="592" spans="2:17">
      <c r="B592" s="61" t="s">
        <v>287</v>
      </c>
      <c r="F592" s="116">
        <f>AVERAGE(G299,I299,K299)</f>
        <v>33.926357165627984</v>
      </c>
    </row>
    <row r="593" spans="2:17">
      <c r="B593" s="61" t="s">
        <v>288</v>
      </c>
      <c r="F593" s="115">
        <f t="shared" ref="F593" si="89">SUMPRODUCT(G300:O300,G447:O447)/F447</f>
        <v>41.82258541450458</v>
      </c>
    </row>
    <row r="594" spans="2:17">
      <c r="B594" s="23"/>
      <c r="F594" s="82"/>
    </row>
    <row r="595" spans="2:17">
      <c r="B595" s="108" t="s">
        <v>290</v>
      </c>
      <c r="F595" s="82"/>
    </row>
    <row r="596" spans="2:17">
      <c r="B596" s="23" t="s">
        <v>291</v>
      </c>
      <c r="F596" s="120" t="s">
        <v>342</v>
      </c>
    </row>
    <row r="597" spans="2:17">
      <c r="B597" s="3"/>
      <c r="F597" s="82"/>
    </row>
    <row r="598" spans="2:17">
      <c r="B598" s="3"/>
      <c r="F598" s="82"/>
    </row>
    <row r="599" spans="2:17">
      <c r="B599" s="3" t="s">
        <v>309</v>
      </c>
      <c r="F599" s="82"/>
    </row>
    <row r="600" spans="2:17">
      <c r="B600" s="3"/>
      <c r="F600" s="82"/>
    </row>
    <row r="601" spans="2:17">
      <c r="B601" s="108" t="s">
        <v>284</v>
      </c>
      <c r="F601" s="82"/>
    </row>
    <row r="602" spans="2:17">
      <c r="B602" s="61" t="s">
        <v>292</v>
      </c>
      <c r="F602" s="115">
        <f t="shared" ref="F602:F607" si="90">SUMPRODUCT(G309:O309,G456:O456)/F456</f>
        <v>1885.8748308401935</v>
      </c>
      <c r="Q602" s="51" t="s">
        <v>982</v>
      </c>
    </row>
    <row r="603" spans="2:17">
      <c r="B603" s="61" t="s">
        <v>293</v>
      </c>
      <c r="F603" s="115">
        <f t="shared" si="90"/>
        <v>2241.0108773397815</v>
      </c>
    </row>
    <row r="604" spans="2:17">
      <c r="B604" s="61" t="s">
        <v>294</v>
      </c>
      <c r="F604" s="115">
        <f t="shared" si="90"/>
        <v>3380.0588434850874</v>
      </c>
    </row>
    <row r="605" spans="2:17">
      <c r="B605" s="61" t="s">
        <v>295</v>
      </c>
      <c r="F605" s="115">
        <f t="shared" si="90"/>
        <v>3938.16823315903</v>
      </c>
    </row>
    <row r="606" spans="2:17">
      <c r="B606" s="26" t="s">
        <v>296</v>
      </c>
      <c r="F606" s="115">
        <f t="shared" si="90"/>
        <v>4263.2650697057916</v>
      </c>
    </row>
    <row r="607" spans="2:17">
      <c r="B607" s="61" t="s">
        <v>297</v>
      </c>
      <c r="F607" s="115">
        <f t="shared" si="90"/>
        <v>6476.3059963302167</v>
      </c>
    </row>
    <row r="608" spans="2:17">
      <c r="B608" s="61" t="s">
        <v>298</v>
      </c>
      <c r="F608" s="116">
        <f>AVERAGE(H315,I315,J315,K315,L315,N315)</f>
        <v>7017.2864530767574</v>
      </c>
    </row>
    <row r="609" spans="2:6">
      <c r="B609" s="61" t="s">
        <v>299</v>
      </c>
      <c r="F609" s="115">
        <f t="shared" ref="F609" si="91">SUMPRODUCT(G316:O316,G463:O463)/F463</f>
        <v>3654.188762342897</v>
      </c>
    </row>
    <row r="610" spans="2:6">
      <c r="B610" s="23" t="s">
        <v>300</v>
      </c>
      <c r="F610" s="116">
        <f>AVERAGE(I317,J317,K317,L317,N317)</f>
        <v>8170.5252927190304</v>
      </c>
    </row>
    <row r="611" spans="2:6">
      <c r="B611" s="23" t="s">
        <v>301</v>
      </c>
      <c r="F611" s="116">
        <f>AVERAGE(I318,K318,N318)</f>
        <v>9439.303065806309</v>
      </c>
    </row>
    <row r="612" spans="2:6">
      <c r="B612" s="23"/>
      <c r="F612" s="82"/>
    </row>
    <row r="613" spans="2:6">
      <c r="B613" s="108" t="s">
        <v>289</v>
      </c>
      <c r="F613" s="82"/>
    </row>
    <row r="614" spans="2:6">
      <c r="B614" s="61" t="s">
        <v>292</v>
      </c>
      <c r="F614" s="115">
        <f t="shared" ref="F614:F620" si="92">SUMPRODUCT(G321:O321,G468:O468)/F468</f>
        <v>2553.7323156914817</v>
      </c>
    </row>
    <row r="615" spans="2:6">
      <c r="B615" s="61" t="s">
        <v>293</v>
      </c>
      <c r="F615" s="115">
        <f t="shared" si="92"/>
        <v>2829.4945910120282</v>
      </c>
    </row>
    <row r="616" spans="2:6">
      <c r="B616" s="61" t="s">
        <v>294</v>
      </c>
      <c r="F616" s="115">
        <f t="shared" si="92"/>
        <v>3330.6653420617617</v>
      </c>
    </row>
    <row r="617" spans="2:6">
      <c r="B617" s="61" t="s">
        <v>295</v>
      </c>
      <c r="F617" s="115">
        <f t="shared" si="92"/>
        <v>3678.2127075942349</v>
      </c>
    </row>
    <row r="618" spans="2:6">
      <c r="B618" s="26" t="s">
        <v>296</v>
      </c>
      <c r="F618" s="115">
        <f t="shared" si="92"/>
        <v>4251.7284254365622</v>
      </c>
    </row>
    <row r="619" spans="2:6">
      <c r="B619" s="61" t="s">
        <v>297</v>
      </c>
      <c r="F619" s="115">
        <f t="shared" si="92"/>
        <v>3828.3676868801549</v>
      </c>
    </row>
    <row r="620" spans="2:6">
      <c r="B620" s="61" t="s">
        <v>298</v>
      </c>
      <c r="F620" s="115">
        <f t="shared" si="92"/>
        <v>4757.4511208671884</v>
      </c>
    </row>
    <row r="621" spans="2:6">
      <c r="B621" s="61" t="s">
        <v>299</v>
      </c>
      <c r="F621" s="115">
        <f t="shared" ref="F621" si="93">SUMPRODUCT(G328:O328,G475:O475)/F475</f>
        <v>5163.9910148324689</v>
      </c>
    </row>
    <row r="622" spans="2:6">
      <c r="B622" s="23" t="s">
        <v>300</v>
      </c>
      <c r="F622" s="116">
        <f>AVERAGE(I329,J329,K329,M329,N329)</f>
        <v>6785.0098800798178</v>
      </c>
    </row>
    <row r="623" spans="2:6">
      <c r="B623" s="23" t="s">
        <v>301</v>
      </c>
      <c r="F623" s="116">
        <f>(SUMPRODUCT(G330:O330,G477:O477)+H333*H480)/(F477+H480)</f>
        <v>4509.4423136973992</v>
      </c>
    </row>
    <row r="624" spans="2:6">
      <c r="B624" s="23"/>
      <c r="F624" s="82"/>
    </row>
    <row r="625" spans="2:17">
      <c r="B625" s="108" t="s">
        <v>290</v>
      </c>
      <c r="F625" s="82"/>
    </row>
    <row r="626" spans="2:17">
      <c r="B626" s="23" t="s">
        <v>302</v>
      </c>
      <c r="F626" s="120"/>
      <c r="H626" s="116">
        <f>F623</f>
        <v>4509.4423136973992</v>
      </c>
      <c r="J626" s="110">
        <f>J333</f>
        <v>0</v>
      </c>
      <c r="O626" s="110">
        <f>O333</f>
        <v>0</v>
      </c>
      <c r="Q626" s="51" t="s">
        <v>981</v>
      </c>
    </row>
    <row r="629" spans="2:17" s="2" customFormat="1">
      <c r="B629" s="2" t="s">
        <v>520</v>
      </c>
      <c r="F629" s="49"/>
    </row>
    <row r="631" spans="2:17">
      <c r="B631" s="27" t="s">
        <v>521</v>
      </c>
    </row>
    <row r="632" spans="2:17">
      <c r="B632" s="27" t="s">
        <v>823</v>
      </c>
    </row>
    <row r="633" spans="2:17">
      <c r="B633" s="27" t="s">
        <v>522</v>
      </c>
    </row>
    <row r="634" spans="2:17">
      <c r="B634" s="51"/>
    </row>
    <row r="636" spans="2:17">
      <c r="B636" s="3" t="s">
        <v>51</v>
      </c>
    </row>
    <row r="638" spans="2:17">
      <c r="B638" s="3" t="s">
        <v>44</v>
      </c>
      <c r="G638" t="s">
        <v>70</v>
      </c>
      <c r="H638" t="s">
        <v>71</v>
      </c>
      <c r="I638" t="s">
        <v>72</v>
      </c>
    </row>
    <row r="639" spans="2:17">
      <c r="B639" t="s">
        <v>76</v>
      </c>
      <c r="D639" t="s">
        <v>135</v>
      </c>
      <c r="F639" s="28" t="s">
        <v>73</v>
      </c>
      <c r="G639" s="71">
        <f>CPI!P41</f>
        <v>1.4999999999999999E-2</v>
      </c>
      <c r="H639" s="72"/>
      <c r="I639" s="72"/>
    </row>
    <row r="640" spans="2:17">
      <c r="B640" t="s">
        <v>77</v>
      </c>
      <c r="D640" t="s">
        <v>135</v>
      </c>
      <c r="F640" s="28" t="s">
        <v>74</v>
      </c>
      <c r="G640" s="71">
        <f>CPI!P42</f>
        <v>4.1389999999999816E-2</v>
      </c>
      <c r="H640" s="71">
        <f>CPI!Q42</f>
        <v>2.5999999999999999E-2</v>
      </c>
      <c r="I640" s="72"/>
    </row>
    <row r="641" spans="2:15">
      <c r="B641" t="s">
        <v>78</v>
      </c>
      <c r="D641" t="s">
        <v>135</v>
      </c>
      <c r="F641" s="28" t="s">
        <v>75</v>
      </c>
      <c r="G641" s="71">
        <f>CPI!P43</f>
        <v>6.5341969999999749E-2</v>
      </c>
      <c r="H641" s="71">
        <f>CPI!Q43</f>
        <v>4.9598000000000031E-2</v>
      </c>
      <c r="I641" s="71">
        <f>CPI!R43</f>
        <v>2.3E-2</v>
      </c>
    </row>
    <row r="642" spans="2:15">
      <c r="E642" s="28"/>
      <c r="F642" s="159"/>
      <c r="G642" s="54"/>
      <c r="H642" s="54"/>
      <c r="I642" s="54"/>
      <c r="J642" s="54"/>
      <c r="K642" s="54"/>
      <c r="L642" s="54"/>
      <c r="M642" s="54"/>
      <c r="N642" s="54"/>
      <c r="O642" s="54"/>
    </row>
    <row r="643" spans="2:15">
      <c r="B643" t="s">
        <v>42</v>
      </c>
      <c r="D643" t="s">
        <v>135</v>
      </c>
      <c r="E643" s="28"/>
      <c r="F643" s="33">
        <f>Productiviteitsverandering!F51</f>
        <v>7.7145491791583698E-3</v>
      </c>
    </row>
    <row r="645" spans="2:15">
      <c r="B645" s="3" t="s">
        <v>475</v>
      </c>
      <c r="G645" s="13"/>
    </row>
    <row r="646" spans="2:15">
      <c r="B646" s="51" t="s">
        <v>472</v>
      </c>
      <c r="D646" t="s">
        <v>183</v>
      </c>
      <c r="F646" s="158">
        <f>'Genormaliseerde totale kosten'!F172</f>
        <v>834316905.1174382</v>
      </c>
      <c r="G646" s="29"/>
      <c r="H646" s="28"/>
      <c r="I646" s="11"/>
    </row>
    <row r="647" spans="2:15">
      <c r="B647" s="51" t="s">
        <v>473</v>
      </c>
      <c r="D647" t="s">
        <v>184</v>
      </c>
      <c r="F647" s="158">
        <f>'Genormaliseerde totale kosten'!F173</f>
        <v>854830798.07478654</v>
      </c>
    </row>
    <row r="648" spans="2:15">
      <c r="B648" s="51" t="s">
        <v>474</v>
      </c>
      <c r="D648" t="s">
        <v>185</v>
      </c>
      <c r="F648" s="158">
        <f>'Genormaliseerde totale kosten'!F174</f>
        <v>904398090.85363507</v>
      </c>
    </row>
    <row r="651" spans="2:15">
      <c r="B651" s="3" t="s">
        <v>355</v>
      </c>
    </row>
    <row r="653" spans="2:15">
      <c r="B653" s="3" t="s">
        <v>479</v>
      </c>
    </row>
    <row r="654" spans="2:15">
      <c r="B654" s="51" t="s">
        <v>476</v>
      </c>
      <c r="D654" s="51" t="s">
        <v>186</v>
      </c>
      <c r="F654" s="157">
        <f>F646*(1+G641)*(1-F643)^3</f>
        <v>868420268.52488101</v>
      </c>
    </row>
    <row r="655" spans="2:15">
      <c r="B655" s="51" t="s">
        <v>477</v>
      </c>
      <c r="D655" s="51" t="s">
        <v>186</v>
      </c>
      <c r="F655" s="157">
        <f>F647*(1+H641)*(1-F643)^2</f>
        <v>883438664.1072489</v>
      </c>
    </row>
    <row r="656" spans="2:15">
      <c r="B656" s="51" t="s">
        <v>478</v>
      </c>
      <c r="D656" s="51" t="s">
        <v>186</v>
      </c>
      <c r="F656" s="157">
        <f>F648*(1+I641)*(1-F643)</f>
        <v>918061751.85220456</v>
      </c>
    </row>
    <row r="657" spans="1:17">
      <c r="B657" s="51" t="s">
        <v>480</v>
      </c>
      <c r="D657" s="51" t="s">
        <v>186</v>
      </c>
      <c r="F657" s="136">
        <f>AVERAGE(F654:F656)</f>
        <v>889973561.49477816</v>
      </c>
      <c r="Q657" s="51" t="s">
        <v>581</v>
      </c>
    </row>
    <row r="659" spans="1:17">
      <c r="B659" s="3" t="s">
        <v>524</v>
      </c>
    </row>
    <row r="660" spans="1:17">
      <c r="B660" s="51" t="s">
        <v>525</v>
      </c>
      <c r="D660" s="51" t="s">
        <v>130</v>
      </c>
      <c r="F660" s="150">
        <f>'Standaardisatie Output'!F89</f>
        <v>1177933204.6683049</v>
      </c>
    </row>
    <row r="663" spans="1:17" s="2" customFormat="1">
      <c r="B663" s="2" t="s">
        <v>349</v>
      </c>
      <c r="F663" s="49"/>
    </row>
    <row r="665" spans="1:17">
      <c r="B665" s="3" t="s">
        <v>51</v>
      </c>
    </row>
    <row r="667" spans="1:17">
      <c r="A667" s="179"/>
      <c r="B667" s="55" t="s">
        <v>721</v>
      </c>
      <c r="C667" s="78"/>
      <c r="D667" s="78"/>
      <c r="E667" s="29"/>
      <c r="F667" s="29"/>
      <c r="G667" s="29"/>
      <c r="H667" s="28"/>
      <c r="I667" s="78"/>
    </row>
    <row r="668" spans="1:17">
      <c r="B668" s="78" t="s">
        <v>345</v>
      </c>
      <c r="C668" s="78"/>
      <c r="D668" s="206" t="s">
        <v>135</v>
      </c>
      <c r="F668" s="207">
        <f>'Berekeningen netverliezen'!F46</f>
        <v>0.6642055208360651</v>
      </c>
      <c r="G668" s="179"/>
      <c r="H668" s="28"/>
      <c r="I668" s="78"/>
    </row>
    <row r="669" spans="1:17">
      <c r="B669" s="78" t="s">
        <v>346</v>
      </c>
      <c r="C669" s="78"/>
      <c r="D669" s="206" t="s">
        <v>135</v>
      </c>
      <c r="F669" s="207">
        <f>'Berekeningen netverliezen'!F47</f>
        <v>0.33579447916393484</v>
      </c>
      <c r="G669" s="179"/>
      <c r="H669" s="28"/>
      <c r="I669" s="78"/>
    </row>
    <row r="670" spans="1:17">
      <c r="B670" s="259"/>
      <c r="C670" s="28"/>
      <c r="D670" s="28"/>
    </row>
    <row r="671" spans="1:17">
      <c r="A671" s="179"/>
      <c r="B671" s="55" t="s">
        <v>722</v>
      </c>
      <c r="C671" s="28"/>
      <c r="D671" s="28"/>
    </row>
    <row r="672" spans="1:17">
      <c r="B672" s="78" t="s">
        <v>645</v>
      </c>
      <c r="C672" s="78"/>
      <c r="D672" s="78" t="s">
        <v>592</v>
      </c>
      <c r="F672" s="111">
        <f>'Berekeningen netverliezen'!F39</f>
        <v>8539358544.1739693</v>
      </c>
      <c r="G672" s="208"/>
    </row>
    <row r="673" spans="2:15">
      <c r="B673" s="78" t="s">
        <v>723</v>
      </c>
      <c r="C673" s="78"/>
      <c r="D673" s="78" t="s">
        <v>592</v>
      </c>
      <c r="F673" s="98">
        <f>F668*F672</f>
        <v>5671889089.4389734</v>
      </c>
      <c r="G673" s="208"/>
    </row>
    <row r="674" spans="2:15">
      <c r="B674" s="78" t="s">
        <v>724</v>
      </c>
      <c r="C674" s="78"/>
      <c r="D674" s="78" t="s">
        <v>592</v>
      </c>
      <c r="F674" s="98">
        <f>F669*F672</f>
        <v>2867469454.7349949</v>
      </c>
    </row>
    <row r="675" spans="2:15">
      <c r="B675" s="78"/>
      <c r="C675" s="78"/>
      <c r="D675" s="28"/>
    </row>
    <row r="676" spans="2:15">
      <c r="B676" s="3" t="s">
        <v>343</v>
      </c>
      <c r="G676" s="51"/>
    </row>
    <row r="677" spans="2:15">
      <c r="B677" s="51" t="s">
        <v>344</v>
      </c>
      <c r="C677" s="51"/>
      <c r="D677" s="51" t="s">
        <v>186</v>
      </c>
      <c r="F677" s="111">
        <f>'Berekeningen netverliezen'!F88</f>
        <v>0</v>
      </c>
      <c r="G677" s="179"/>
      <c r="H677" s="28"/>
      <c r="I677" s="78"/>
    </row>
    <row r="679" spans="2:15">
      <c r="B679" s="3" t="s">
        <v>354</v>
      </c>
    </row>
    <row r="680" spans="2:15">
      <c r="B680" s="13" t="s">
        <v>347</v>
      </c>
      <c r="D680" s="13" t="s">
        <v>130</v>
      </c>
      <c r="F680" s="111">
        <f>F346</f>
        <v>22616181.448834509</v>
      </c>
    </row>
    <row r="681" spans="2:15">
      <c r="B681" s="13" t="s">
        <v>232</v>
      </c>
      <c r="D681" s="13" t="s">
        <v>130</v>
      </c>
      <c r="F681" s="111">
        <f>F350</f>
        <v>2341606.4157511177</v>
      </c>
    </row>
    <row r="682" spans="2:15">
      <c r="B682" s="13" t="s">
        <v>346</v>
      </c>
      <c r="D682" s="13" t="s">
        <v>130</v>
      </c>
      <c r="F682" s="111">
        <f>F357</f>
        <v>2666085.8964337953</v>
      </c>
    </row>
    <row r="683" spans="2:15">
      <c r="B683" s="11" t="s">
        <v>348</v>
      </c>
      <c r="D683" s="13" t="s">
        <v>130</v>
      </c>
      <c r="F683" s="54"/>
      <c r="H683" s="111">
        <f>H361</f>
        <v>76157.666666666672</v>
      </c>
      <c r="J683" s="111">
        <f>J361</f>
        <v>60000</v>
      </c>
      <c r="O683" s="111">
        <f>O361</f>
        <v>650141.79210000008</v>
      </c>
    </row>
    <row r="686" spans="2:15">
      <c r="B686" s="3" t="s">
        <v>355</v>
      </c>
    </row>
    <row r="688" spans="2:15">
      <c r="B688" s="3" t="s">
        <v>661</v>
      </c>
    </row>
    <row r="689" spans="2:17">
      <c r="B689" s="13" t="s">
        <v>345</v>
      </c>
      <c r="D689" s="13" t="s">
        <v>358</v>
      </c>
      <c r="F689" s="106">
        <f>F673/(F680+F681)</f>
        <v>227.25928757040276</v>
      </c>
    </row>
    <row r="690" spans="2:17">
      <c r="B690" s="13" t="s">
        <v>346</v>
      </c>
      <c r="D690" s="13" t="s">
        <v>358</v>
      </c>
      <c r="F690" s="106">
        <f>F674/F682</f>
        <v>1075.5352851048699</v>
      </c>
    </row>
    <row r="691" spans="2:17">
      <c r="B691" s="13" t="s">
        <v>352</v>
      </c>
      <c r="D691" s="13" t="s">
        <v>357</v>
      </c>
      <c r="F691" s="119">
        <f>F690/F689</f>
        <v>4.7326351173730545</v>
      </c>
      <c r="Q691" s="51" t="s">
        <v>975</v>
      </c>
    </row>
    <row r="693" spans="2:17">
      <c r="B693" s="3" t="s">
        <v>356</v>
      </c>
    </row>
    <row r="694" spans="2:17">
      <c r="B694" s="27" t="s">
        <v>526</v>
      </c>
    </row>
    <row r="695" spans="2:17">
      <c r="B695" s="51" t="s">
        <v>345</v>
      </c>
      <c r="D695" s="13" t="s">
        <v>358</v>
      </c>
      <c r="F695" s="107">
        <f>F680+F681</f>
        <v>24957787.864585627</v>
      </c>
    </row>
    <row r="696" spans="2:17">
      <c r="B696" s="13" t="s">
        <v>346</v>
      </c>
      <c r="D696" s="13" t="s">
        <v>358</v>
      </c>
      <c r="F696" s="107">
        <f>F691*F682</f>
        <v>12617611.7393956</v>
      </c>
    </row>
    <row r="697" spans="2:17">
      <c r="B697" s="13" t="s">
        <v>104</v>
      </c>
      <c r="D697" s="13" t="s">
        <v>358</v>
      </c>
      <c r="F697" s="107">
        <f>SUM(F695:F696)</f>
        <v>37575399.603981227</v>
      </c>
    </row>
    <row r="698" spans="2:17">
      <c r="G698" s="28"/>
      <c r="H698" s="28"/>
      <c r="I698" s="28"/>
      <c r="J698" s="28"/>
    </row>
    <row r="699" spans="2:17">
      <c r="B699" s="3" t="s">
        <v>350</v>
      </c>
      <c r="G699" s="78"/>
      <c r="H699" s="28"/>
      <c r="I699" s="28"/>
      <c r="J699" s="78"/>
    </row>
    <row r="700" spans="2:17">
      <c r="B700" s="51" t="s">
        <v>481</v>
      </c>
      <c r="C700" s="89"/>
      <c r="D700" s="51" t="s">
        <v>186</v>
      </c>
      <c r="F700" s="97">
        <f>F657</f>
        <v>889973561.49477816</v>
      </c>
      <c r="G700" s="29"/>
      <c r="H700" s="28"/>
      <c r="I700" s="11"/>
      <c r="J700" s="28"/>
    </row>
    <row r="701" spans="2:17">
      <c r="B701" s="51" t="s">
        <v>482</v>
      </c>
      <c r="C701" s="89"/>
      <c r="D701" s="13" t="s">
        <v>130</v>
      </c>
      <c r="F701" s="97">
        <f>F660</f>
        <v>1177933204.6683049</v>
      </c>
      <c r="G701" s="208"/>
      <c r="H701" s="28"/>
      <c r="I701" s="28"/>
      <c r="J701" s="28"/>
    </row>
    <row r="702" spans="2:17">
      <c r="F702" s="78"/>
    </row>
    <row r="703" spans="2:17">
      <c r="B703" s="13" t="s">
        <v>351</v>
      </c>
      <c r="D703" s="13" t="s">
        <v>130</v>
      </c>
      <c r="F703" s="107">
        <f>F677/(F700/F701)</f>
        <v>0</v>
      </c>
      <c r="Q703" s="51" t="s">
        <v>588</v>
      </c>
    </row>
    <row r="705" spans="2:17">
      <c r="B705" s="3" t="s">
        <v>353</v>
      </c>
    </row>
    <row r="706" spans="2:17">
      <c r="B706" s="13" t="s">
        <v>347</v>
      </c>
      <c r="D706" s="51" t="s">
        <v>186</v>
      </c>
      <c r="F706" s="119">
        <f>F703/F697</f>
        <v>0</v>
      </c>
      <c r="I706" s="11"/>
      <c r="Q706" s="51" t="s">
        <v>974</v>
      </c>
    </row>
    <row r="707" spans="2:17">
      <c r="B707" s="13" t="s">
        <v>232</v>
      </c>
      <c r="D707" s="51" t="s">
        <v>186</v>
      </c>
      <c r="F707" s="128">
        <f>F706</f>
        <v>0</v>
      </c>
      <c r="Q707" s="51" t="s">
        <v>974</v>
      </c>
    </row>
    <row r="708" spans="2:17">
      <c r="B708" s="13" t="s">
        <v>346</v>
      </c>
      <c r="D708" s="51" t="s">
        <v>186</v>
      </c>
      <c r="F708" s="119">
        <f>F706*F691</f>
        <v>0</v>
      </c>
      <c r="Q708" s="51" t="s">
        <v>972</v>
      </c>
    </row>
    <row r="709" spans="2:17">
      <c r="B709" s="13" t="s">
        <v>348</v>
      </c>
      <c r="D709" s="51" t="s">
        <v>186</v>
      </c>
      <c r="H709" s="128">
        <f>F708</f>
        <v>0</v>
      </c>
      <c r="J709" s="128">
        <f>F708</f>
        <v>0</v>
      </c>
      <c r="O709" s="128">
        <f>F708</f>
        <v>0</v>
      </c>
      <c r="Q709" s="51" t="s">
        <v>973</v>
      </c>
    </row>
    <row r="711" spans="2:17">
      <c r="B711" s="51" t="s">
        <v>646</v>
      </c>
      <c r="D711" s="51" t="s">
        <v>186</v>
      </c>
      <c r="H711" s="209">
        <f>H507+H709</f>
        <v>25.987813513353057</v>
      </c>
      <c r="J711" s="209">
        <f>J507+J709</f>
        <v>14</v>
      </c>
      <c r="O711" s="209">
        <f>O507+O709</f>
        <v>9.9030000000000005</v>
      </c>
    </row>
    <row r="713" spans="2:17">
      <c r="B713" s="13"/>
    </row>
    <row r="714" spans="2:17" s="2" customFormat="1">
      <c r="B714" s="2" t="s">
        <v>359</v>
      </c>
      <c r="F714" s="49"/>
    </row>
    <row r="715" spans="2:17">
      <c r="B715" s="13"/>
    </row>
    <row r="716" spans="2:17">
      <c r="B716" s="3" t="s">
        <v>360</v>
      </c>
    </row>
    <row r="717" spans="2:17">
      <c r="B717" s="51" t="s">
        <v>651</v>
      </c>
      <c r="D717" s="51" t="s">
        <v>186</v>
      </c>
      <c r="F717" s="107">
        <f>F669*F677</f>
        <v>0</v>
      </c>
      <c r="G717" s="179"/>
    </row>
    <row r="718" spans="2:17">
      <c r="B718" s="51" t="s">
        <v>652</v>
      </c>
      <c r="D718" s="51" t="s">
        <v>130</v>
      </c>
      <c r="F718" s="107">
        <f>'Berekening rekenvolumes'!F22</f>
        <v>2666085.8964337953</v>
      </c>
      <c r="G718" s="208"/>
    </row>
    <row r="719" spans="2:17">
      <c r="B719" s="51" t="s">
        <v>647</v>
      </c>
      <c r="D719" s="51" t="s">
        <v>130</v>
      </c>
      <c r="F719" s="107">
        <f>(F503+F708)*F718</f>
        <v>69285743.08710219</v>
      </c>
      <c r="G719" s="179"/>
      <c r="I719" s="179"/>
    </row>
    <row r="720" spans="2:17">
      <c r="B720" s="51" t="s">
        <v>648</v>
      </c>
      <c r="F720" s="119">
        <f>F717/F719</f>
        <v>0</v>
      </c>
      <c r="G720" s="208"/>
    </row>
    <row r="721" spans="2:17">
      <c r="B721" s="51"/>
      <c r="D721" s="51"/>
      <c r="G721" s="179"/>
    </row>
    <row r="722" spans="2:17">
      <c r="B722" s="51" t="s">
        <v>649</v>
      </c>
      <c r="D722" s="51" t="s">
        <v>130</v>
      </c>
      <c r="F722" s="51"/>
      <c r="G722" s="51"/>
      <c r="H722" s="107">
        <f>H683*H711</f>
        <v>1979171.2389454378</v>
      </c>
      <c r="I722" s="210"/>
      <c r="J722" s="107">
        <f>J683*J711</f>
        <v>840000</v>
      </c>
      <c r="K722" s="208"/>
      <c r="O722" s="107">
        <f>O683*O711</f>
        <v>6438354.167166301</v>
      </c>
    </row>
    <row r="723" spans="2:17">
      <c r="B723" s="51" t="s">
        <v>650</v>
      </c>
      <c r="D723" s="51" t="s">
        <v>186</v>
      </c>
      <c r="F723" s="196">
        <f>SUM(G723:O723)</f>
        <v>0</v>
      </c>
      <c r="G723" s="51"/>
      <c r="H723" s="107">
        <f>H722*$F720</f>
        <v>0</v>
      </c>
      <c r="J723" s="107">
        <f>J722*$F720</f>
        <v>0</v>
      </c>
      <c r="O723" s="107">
        <f>O722*$F720</f>
        <v>0</v>
      </c>
      <c r="Q723" s="51" t="s">
        <v>589</v>
      </c>
    </row>
    <row r="724" spans="2:17">
      <c r="B724" s="51"/>
      <c r="F724" s="51"/>
      <c r="G724" s="51"/>
    </row>
    <row r="726" spans="2:17" s="2" customFormat="1">
      <c r="B726" s="2" t="s">
        <v>367</v>
      </c>
      <c r="F726" s="49"/>
    </row>
    <row r="727" spans="2:17">
      <c r="B727" s="13"/>
    </row>
    <row r="728" spans="2:17">
      <c r="B728" s="22" t="s">
        <v>339</v>
      </c>
      <c r="C728" s="28"/>
      <c r="F728" s="82"/>
    </row>
    <row r="729" spans="2:17">
      <c r="B729" s="22"/>
      <c r="C729" s="28"/>
      <c r="F729" s="82"/>
    </row>
    <row r="730" spans="2:17">
      <c r="B730" s="129" t="s">
        <v>368</v>
      </c>
      <c r="C730" s="28"/>
      <c r="D730" s="51" t="s">
        <v>130</v>
      </c>
      <c r="F730" s="98">
        <f>SUMPRODUCT(J506:J507,'Berekening rekenvolumes'!J25:J26)+'Berekening wegingsfactoren'!J558*'Berekening rekenvolumes'!J77+'Berekening wegingsfactoren'!J626*'Berekening rekenvolumes'!J145</f>
        <v>1356111.2539769723</v>
      </c>
    </row>
    <row r="731" spans="2:17">
      <c r="B731" s="129" t="s">
        <v>370</v>
      </c>
      <c r="C731" s="28"/>
      <c r="D731" s="51" t="s">
        <v>130</v>
      </c>
      <c r="F731" s="98">
        <f>J709*J683</f>
        <v>0</v>
      </c>
    </row>
    <row r="732" spans="2:17">
      <c r="B732" s="129" t="s">
        <v>369</v>
      </c>
      <c r="C732" s="122"/>
      <c r="D732" s="51" t="s">
        <v>130</v>
      </c>
      <c r="F732" s="98">
        <f>SUMPRODUCT(O506:O507,'Berekening rekenvolumes'!O25:O26)+'Berekening wegingsfactoren'!O558*'Berekening rekenvolumes'!O77+'Berekening wegingsfactoren'!O626*'Berekening rekenvolumes'!O145</f>
        <v>6440014.167166301</v>
      </c>
    </row>
    <row r="733" spans="2:17">
      <c r="B733" s="129" t="s">
        <v>371</v>
      </c>
      <c r="C733" s="122"/>
      <c r="D733" s="51" t="s">
        <v>130</v>
      </c>
      <c r="F733" s="98">
        <f>O709*O683</f>
        <v>0</v>
      </c>
    </row>
    <row r="734" spans="2:17">
      <c r="B734" s="129" t="s">
        <v>822</v>
      </c>
      <c r="C734" s="122"/>
      <c r="D734" s="51" t="s">
        <v>130</v>
      </c>
      <c r="F734" s="98">
        <f>SUM(F730:F733)</f>
        <v>7796125.4211432729</v>
      </c>
      <c r="Q734" s="51" t="s">
        <v>978</v>
      </c>
    </row>
    <row r="735" spans="2:17">
      <c r="B735" s="89"/>
      <c r="C735" s="122"/>
      <c r="F735" s="118"/>
      <c r="G735" s="11"/>
    </row>
    <row r="736" spans="2:17">
      <c r="B736" s="130" t="s">
        <v>372</v>
      </c>
      <c r="C736" s="122"/>
      <c r="D736" s="51" t="s">
        <v>186</v>
      </c>
      <c r="F736" s="97">
        <f>AVERAGE('Genormaliseerde totale kosten'!J48*(1+G641),'Genormaliseerde totale kosten'!J93*(1+H641),'Genormaliseerde totale kosten'!J138*(1+I641))</f>
        <v>138119.11392482475</v>
      </c>
      <c r="G736" s="29"/>
      <c r="K736" s="29"/>
    </row>
    <row r="737" spans="2:17">
      <c r="B737" s="130" t="s">
        <v>375</v>
      </c>
      <c r="C737" s="122"/>
      <c r="D737" s="51" t="s">
        <v>186</v>
      </c>
      <c r="F737" s="97">
        <f>J723</f>
        <v>0</v>
      </c>
      <c r="G737" s="29"/>
    </row>
    <row r="738" spans="2:17">
      <c r="B738" s="130" t="s">
        <v>373</v>
      </c>
      <c r="C738" s="122"/>
      <c r="D738" s="51" t="s">
        <v>186</v>
      </c>
      <c r="F738" s="97">
        <f>AVERAGE('Genormaliseerde totale kosten'!O48*(1+G641),'Genormaliseerde totale kosten'!O93*(1+H641),'Genormaliseerde totale kosten'!O138*(1+I641))</f>
        <v>4397978.741419402</v>
      </c>
      <c r="G738" s="29"/>
    </row>
    <row r="739" spans="2:17">
      <c r="B739" s="130" t="s">
        <v>376</v>
      </c>
      <c r="C739" s="122"/>
      <c r="D739" s="51" t="s">
        <v>186</v>
      </c>
      <c r="F739" s="97">
        <f>O723</f>
        <v>0</v>
      </c>
      <c r="G739" s="29"/>
    </row>
    <row r="740" spans="2:17">
      <c r="B740" s="89" t="s">
        <v>338</v>
      </c>
      <c r="C740" s="122"/>
      <c r="F740" s="98">
        <f>SUM(F736:F739)</f>
        <v>4536097.8553442266</v>
      </c>
      <c r="G740" s="29"/>
    </row>
    <row r="741" spans="2:17">
      <c r="B741" s="89"/>
      <c r="C741" s="122"/>
      <c r="F741" s="29"/>
      <c r="G741" s="29"/>
    </row>
    <row r="742" spans="2:17">
      <c r="B742" s="89" t="s">
        <v>340</v>
      </c>
      <c r="C742" s="122"/>
      <c r="F742" s="29"/>
      <c r="G742" s="29"/>
    </row>
    <row r="743" spans="2:17">
      <c r="B743" s="130" t="s">
        <v>449</v>
      </c>
      <c r="C743" s="137"/>
      <c r="D743" s="51" t="s">
        <v>186</v>
      </c>
      <c r="F743" s="98">
        <f>F700+F677</f>
        <v>889973561.49477816</v>
      </c>
      <c r="G743" s="29"/>
      <c r="H743" s="29"/>
    </row>
    <row r="744" spans="2:17">
      <c r="B744" s="130" t="s">
        <v>450</v>
      </c>
      <c r="C744" s="137"/>
      <c r="D744" s="51" t="s">
        <v>130</v>
      </c>
      <c r="F744" s="98">
        <f>F701+F703</f>
        <v>1177933204.6683049</v>
      </c>
      <c r="G744" s="29"/>
      <c r="H744" s="29"/>
    </row>
    <row r="745" spans="2:17">
      <c r="B745" s="89"/>
      <c r="C745" s="122"/>
      <c r="F745" s="112"/>
      <c r="H745" s="28"/>
    </row>
    <row r="746" spans="2:17">
      <c r="B746" s="129" t="s">
        <v>821</v>
      </c>
      <c r="C746" s="122"/>
      <c r="D746" s="51" t="s">
        <v>130</v>
      </c>
      <c r="F746" s="98">
        <f>F740*(F744/F743)</f>
        <v>6003796.6458917111</v>
      </c>
      <c r="H746" s="28"/>
      <c r="Q746" s="51" t="s">
        <v>580</v>
      </c>
    </row>
    <row r="747" spans="2:17">
      <c r="B747" s="117" t="s">
        <v>341</v>
      </c>
      <c r="C747" s="28"/>
      <c r="D747" s="51" t="s">
        <v>357</v>
      </c>
      <c r="F747" s="138">
        <f>F746/F734</f>
        <v>0.77010005888428568</v>
      </c>
      <c r="H747" s="28"/>
      <c r="Q747" s="51" t="s">
        <v>976</v>
      </c>
    </row>
    <row r="750" spans="2:17" s="2" customFormat="1">
      <c r="B750" s="2" t="s">
        <v>377</v>
      </c>
      <c r="F750" s="49"/>
    </row>
    <row r="751" spans="2:17">
      <c r="F751" s="47"/>
    </row>
    <row r="752" spans="2:17">
      <c r="B752" s="52" t="s">
        <v>207</v>
      </c>
      <c r="F752" s="47"/>
      <c r="H752" s="90"/>
    </row>
    <row r="753" spans="2:17">
      <c r="B753" s="28"/>
      <c r="F753" s="50"/>
    </row>
    <row r="754" spans="2:17">
      <c r="B754" s="121" t="s">
        <v>265</v>
      </c>
    </row>
    <row r="755" spans="2:17">
      <c r="B755" s="122" t="s">
        <v>201</v>
      </c>
      <c r="F755" s="115">
        <f>F491</f>
        <v>18</v>
      </c>
      <c r="Q755" s="51" t="s">
        <v>582</v>
      </c>
    </row>
    <row r="756" spans="2:17">
      <c r="B756" s="123" t="s">
        <v>202</v>
      </c>
      <c r="F756" s="115">
        <f>F492+F706</f>
        <v>29.759861300363138</v>
      </c>
      <c r="Q756" s="51" t="s">
        <v>583</v>
      </c>
    </row>
    <row r="757" spans="2:17">
      <c r="B757" s="123"/>
      <c r="F757" s="82"/>
    </row>
    <row r="758" spans="2:17">
      <c r="B758" s="124" t="s">
        <v>266</v>
      </c>
      <c r="F758" s="82"/>
    </row>
    <row r="759" spans="2:17">
      <c r="B759" s="122" t="s">
        <v>201</v>
      </c>
      <c r="F759" s="115">
        <f>F495</f>
        <v>18.000000000000004</v>
      </c>
      <c r="Q759" s="51" t="s">
        <v>582</v>
      </c>
    </row>
    <row r="760" spans="2:17">
      <c r="B760" s="123" t="s">
        <v>202</v>
      </c>
      <c r="F760" s="115">
        <f>F496+F707</f>
        <v>29.606396505709927</v>
      </c>
      <c r="Q760" s="51" t="s">
        <v>583</v>
      </c>
    </row>
    <row r="761" spans="2:17">
      <c r="B761" s="125"/>
      <c r="F761" s="82"/>
    </row>
    <row r="762" spans="2:17">
      <c r="B762" s="126" t="s">
        <v>204</v>
      </c>
      <c r="F762" s="82"/>
    </row>
    <row r="763" spans="2:17">
      <c r="B763" s="122" t="s">
        <v>201</v>
      </c>
      <c r="F763" s="115">
        <f>F499</f>
        <v>777.90363674669175</v>
      </c>
      <c r="Q763" s="51" t="s">
        <v>582</v>
      </c>
    </row>
    <row r="764" spans="2:17">
      <c r="B764" s="123" t="s">
        <v>361</v>
      </c>
      <c r="F764" s="160">
        <f>F500</f>
        <v>29.682929362048824</v>
      </c>
    </row>
    <row r="765" spans="2:17">
      <c r="B765" s="89" t="s">
        <v>362</v>
      </c>
      <c r="F765" s="160">
        <f>F501</f>
        <v>18.289815987345882</v>
      </c>
    </row>
    <row r="766" spans="2:17">
      <c r="B766" s="90" t="s">
        <v>363</v>
      </c>
      <c r="F766" s="160">
        <f>F502</f>
        <v>28.299897599379406</v>
      </c>
    </row>
    <row r="767" spans="2:17">
      <c r="B767" s="90" t="s">
        <v>205</v>
      </c>
      <c r="F767" s="115">
        <f>F503+F708</f>
        <v>25.987813513353057</v>
      </c>
      <c r="Q767" s="51" t="s">
        <v>583</v>
      </c>
    </row>
    <row r="768" spans="2:17">
      <c r="B768" s="105"/>
      <c r="F768" s="82"/>
    </row>
    <row r="769" spans="2:17">
      <c r="B769" s="88" t="s">
        <v>206</v>
      </c>
      <c r="F769" s="82"/>
    </row>
    <row r="770" spans="2:17">
      <c r="B770" s="89" t="s">
        <v>201</v>
      </c>
      <c r="F770" s="120"/>
      <c r="H770" s="116">
        <f>H506</f>
        <v>777.90363674669175</v>
      </c>
      <c r="J770" s="115">
        <f>J506*$F$747</f>
        <v>803.98446147519428</v>
      </c>
      <c r="O770" s="115">
        <f>O506*$F$747</f>
        <v>639.18304887395709</v>
      </c>
      <c r="Q770" s="51" t="s">
        <v>976</v>
      </c>
    </row>
    <row r="771" spans="2:17">
      <c r="B771" s="90" t="s">
        <v>202</v>
      </c>
      <c r="F771" s="120"/>
      <c r="H771" s="116">
        <f>H507+H709</f>
        <v>25.987813513353057</v>
      </c>
      <c r="J771" s="115">
        <f>(J507+J709)*$F$747</f>
        <v>10.78140082438</v>
      </c>
      <c r="O771" s="115">
        <f>(O507+O709)*$F$747</f>
        <v>7.6263008831310817</v>
      </c>
      <c r="Q771" s="51" t="s">
        <v>977</v>
      </c>
    </row>
    <row r="772" spans="2:17">
      <c r="B772" s="22"/>
      <c r="F772" s="82"/>
    </row>
    <row r="774" spans="2:17">
      <c r="B774" s="3" t="s">
        <v>374</v>
      </c>
    </row>
    <row r="776" spans="2:17">
      <c r="B776" s="117" t="s">
        <v>336</v>
      </c>
    </row>
    <row r="777" spans="2:17">
      <c r="B777" s="117" t="s">
        <v>335</v>
      </c>
      <c r="H777" s="116">
        <f>H558</f>
        <v>331.32519204987778</v>
      </c>
      <c r="J777" s="115">
        <f>J558*$F$747</f>
        <v>132217.77420567788</v>
      </c>
      <c r="O777" s="115">
        <f>O558*$F$747</f>
        <v>0</v>
      </c>
      <c r="Q777" s="51" t="s">
        <v>976</v>
      </c>
    </row>
    <row r="778" spans="2:17">
      <c r="B778" s="117" t="s">
        <v>337</v>
      </c>
      <c r="F778" s="61"/>
      <c r="G778" s="61"/>
      <c r="H778" s="116">
        <f>H626</f>
        <v>4509.4423136973992</v>
      </c>
      <c r="I778" s="61"/>
      <c r="J778" s="115">
        <f>J626*$F$747</f>
        <v>0</v>
      </c>
      <c r="K778" s="61"/>
      <c r="L778" s="61"/>
      <c r="M778" s="61"/>
      <c r="N778" s="61"/>
      <c r="O778" s="115">
        <f>O626*$F$747</f>
        <v>0</v>
      </c>
      <c r="P778" s="61"/>
      <c r="Q778" s="51" t="s">
        <v>977</v>
      </c>
    </row>
    <row r="779" spans="2:17">
      <c r="F779" s="61"/>
      <c r="G779" s="61"/>
      <c r="H779" s="61"/>
      <c r="I779" s="61"/>
      <c r="J779" s="61"/>
      <c r="K779" s="61"/>
      <c r="L779" s="61"/>
      <c r="M779" s="61"/>
      <c r="N779" s="61"/>
      <c r="O779" s="61"/>
      <c r="P779" s="61"/>
    </row>
    <row r="780" spans="2:17">
      <c r="F780" s="61"/>
      <c r="G780" s="61"/>
      <c r="H780" s="61"/>
      <c r="I780" s="61"/>
      <c r="J780" s="61"/>
      <c r="K780" s="61"/>
      <c r="L780" s="61"/>
      <c r="M780" s="61"/>
      <c r="N780" s="61"/>
      <c r="O780" s="61"/>
      <c r="P780" s="61"/>
    </row>
    <row r="781" spans="2:17">
      <c r="F781" s="61"/>
      <c r="G781" s="61"/>
      <c r="H781" s="61"/>
      <c r="I781" s="61"/>
      <c r="J781" s="61"/>
      <c r="K781" s="61"/>
      <c r="L781" s="61"/>
      <c r="M781" s="61"/>
      <c r="N781" s="61"/>
      <c r="O781" s="61"/>
      <c r="P781" s="61"/>
    </row>
    <row r="782" spans="2:17">
      <c r="F782" s="61"/>
      <c r="G782" s="61"/>
      <c r="H782" s="61"/>
      <c r="I782" s="61"/>
      <c r="J782" s="61"/>
      <c r="K782" s="61"/>
      <c r="L782" s="61"/>
      <c r="M782" s="61"/>
      <c r="N782" s="61"/>
      <c r="O782" s="61"/>
      <c r="P782" s="61"/>
    </row>
    <row r="783" spans="2:17">
      <c r="F783" s="61"/>
      <c r="G783" s="52"/>
      <c r="H783" s="52"/>
      <c r="I783" s="52"/>
      <c r="J783" s="52"/>
      <c r="K783" s="52"/>
      <c r="L783" s="52"/>
      <c r="M783" s="52"/>
      <c r="N783" s="52"/>
      <c r="O783" s="52"/>
      <c r="P783" s="61"/>
    </row>
    <row r="784" spans="2:17">
      <c r="F784" s="61"/>
      <c r="G784" s="127"/>
      <c r="H784" s="127"/>
      <c r="I784" s="127"/>
      <c r="J784" s="127"/>
      <c r="K784" s="127"/>
      <c r="L784" s="127"/>
      <c r="M784" s="127"/>
      <c r="N784" s="127"/>
      <c r="O784" s="61"/>
      <c r="P784" s="61"/>
    </row>
    <row r="785" spans="6:16">
      <c r="F785" s="61"/>
      <c r="G785" s="61"/>
      <c r="H785" s="61"/>
      <c r="I785" s="61"/>
      <c r="J785" s="61"/>
      <c r="K785" s="61"/>
      <c r="L785" s="61"/>
      <c r="M785" s="61"/>
      <c r="N785" s="61"/>
      <c r="O785" s="61"/>
      <c r="P785" s="61"/>
    </row>
  </sheetData>
  <phoneticPr fontId="4" type="noConversion"/>
  <pageMargins left="0.75" right="0.75" top="1" bottom="1" header="0.5" footer="0.5"/>
  <pageSetup paperSize="9" scale="10" orientation="landscape"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99"/>
  </sheetPr>
  <dimension ref="B1:Q133"/>
  <sheetViews>
    <sheetView showGridLines="0" zoomScale="85" zoomScaleNormal="85" workbookViewId="0"/>
  </sheetViews>
  <sheetFormatPr defaultRowHeight="12.75"/>
  <cols>
    <col min="1" max="1" width="2.5703125" customWidth="1"/>
    <col min="2" max="2" width="53.28515625" customWidth="1"/>
    <col min="3" max="3" width="2.5703125" customWidth="1"/>
    <col min="4" max="4" width="14.5703125" customWidth="1"/>
    <col min="5" max="5" width="2.5703125" customWidth="1"/>
    <col min="6" max="6" width="21.42578125" customWidth="1"/>
    <col min="7" max="15" width="14.85546875" customWidth="1"/>
    <col min="16" max="16" width="10.7109375" customWidth="1"/>
    <col min="17" max="17" width="21.42578125" customWidth="1"/>
  </cols>
  <sheetData>
    <row r="1" spans="2:17" ht="12" customHeight="1"/>
    <row r="2" spans="2:17" s="1" customFormat="1" ht="18">
      <c r="B2" s="1" t="s">
        <v>133</v>
      </c>
      <c r="F2" s="5" t="s">
        <v>105</v>
      </c>
      <c r="G2" s="5" t="s">
        <v>96</v>
      </c>
      <c r="H2" s="5" t="s">
        <v>97</v>
      </c>
      <c r="I2" s="5" t="s">
        <v>98</v>
      </c>
      <c r="J2" s="5" t="s">
        <v>99</v>
      </c>
      <c r="K2" s="5" t="s">
        <v>100</v>
      </c>
      <c r="L2" s="5" t="s">
        <v>101</v>
      </c>
      <c r="M2" s="5" t="s">
        <v>102</v>
      </c>
      <c r="N2" s="5" t="s">
        <v>103</v>
      </c>
      <c r="O2" s="5" t="s">
        <v>197</v>
      </c>
      <c r="Q2" s="5" t="s">
        <v>567</v>
      </c>
    </row>
    <row r="4" spans="2:17">
      <c r="B4" s="51" t="s">
        <v>559</v>
      </c>
    </row>
    <row r="5" spans="2:17">
      <c r="B5" s="51" t="s">
        <v>558</v>
      </c>
    </row>
    <row r="6" spans="2:17">
      <c r="B6" s="4"/>
    </row>
    <row r="7" spans="2:17">
      <c r="B7" s="4"/>
    </row>
    <row r="8" spans="2:17">
      <c r="B8" s="4"/>
    </row>
    <row r="9" spans="2:17" s="9" customFormat="1">
      <c r="B9" s="2" t="s">
        <v>493</v>
      </c>
    </row>
    <row r="11" spans="2:17">
      <c r="B11" s="27" t="s">
        <v>498</v>
      </c>
    </row>
    <row r="13" spans="2:17">
      <c r="B13" s="3" t="s">
        <v>494</v>
      </c>
    </row>
    <row r="15" spans="2:17">
      <c r="B15" s="88" t="s">
        <v>200</v>
      </c>
    </row>
    <row r="16" spans="2:17">
      <c r="B16" s="89" t="s">
        <v>201</v>
      </c>
      <c r="D16" s="51" t="s">
        <v>130</v>
      </c>
      <c r="F16" s="107">
        <f>SUM(G16:O16)</f>
        <v>123948347.55854531</v>
      </c>
      <c r="G16" s="98">
        <f>'Berekening wegingsfactoren'!$F$491*'Aggregatie Volumes TD'!G72</f>
        <v>2430720</v>
      </c>
      <c r="H16" s="98">
        <f>'Berekening wegingsfactoren'!$F$491*'Aggregatie Volumes TD'!H72</f>
        <v>3314916</v>
      </c>
      <c r="I16" s="98">
        <f>'Berekening wegingsfactoren'!$F$491*'Aggregatie Volumes TD'!I72</f>
        <v>6883508.0758779002</v>
      </c>
      <c r="J16" s="98">
        <f>'Berekening wegingsfactoren'!$F$491*'Aggregatie Volumes TD'!J72</f>
        <v>35991890.999999993</v>
      </c>
      <c r="K16" s="98">
        <f>'Berekening wegingsfactoren'!$F$491*'Aggregatie Volumes TD'!K72</f>
        <v>39190223.708541185</v>
      </c>
      <c r="L16" s="98">
        <f>'Berekening wegingsfactoren'!$F$491*'Aggregatie Volumes TD'!L72</f>
        <v>1799280</v>
      </c>
      <c r="M16" s="98">
        <f>'Berekening wegingsfactoren'!$F$491*'Aggregatie Volumes TD'!M72</f>
        <v>33456766.908575166</v>
      </c>
      <c r="N16" s="98">
        <f>'Berekening wegingsfactoren'!$F$491*'Aggregatie Volumes TD'!N72</f>
        <v>881041.86555106903</v>
      </c>
      <c r="O16" s="98">
        <f>'Berekening wegingsfactoren'!$F$491*'Aggregatie Volumes TD'!O72</f>
        <v>0</v>
      </c>
    </row>
    <row r="17" spans="2:15">
      <c r="B17" s="90" t="s">
        <v>202</v>
      </c>
      <c r="D17" s="51" t="s">
        <v>130</v>
      </c>
      <c r="F17" s="107">
        <f>SUM(G17:O17)</f>
        <v>667715975.89671874</v>
      </c>
      <c r="G17" s="98">
        <f>'Berekening wegingsfactoren'!$F$492*'Aggregatie Volumes TD'!G73</f>
        <v>13918434.171358787</v>
      </c>
      <c r="H17" s="98">
        <f>'Berekening wegingsfactoren'!$F$492*'Aggregatie Volumes TD'!H73</f>
        <v>17977147.295207575</v>
      </c>
      <c r="I17" s="98">
        <f>'Berekening wegingsfactoren'!$F$492*'Aggregatie Volumes TD'!I73</f>
        <v>39204966.390835397</v>
      </c>
      <c r="J17" s="98">
        <f>'Berekening wegingsfactoren'!$F$492*'Aggregatie Volumes TD'!J73</f>
        <v>199765194.32878211</v>
      </c>
      <c r="K17" s="98">
        <f>'Berekening wegingsfactoren'!$F$492*'Aggregatie Volumes TD'!K73</f>
        <v>208590516.01516578</v>
      </c>
      <c r="L17" s="98">
        <f>'Berekening wegingsfactoren'!$F$492*'Aggregatie Volumes TD'!L73</f>
        <v>10132682.215339592</v>
      </c>
      <c r="M17" s="98">
        <f>'Berekening wegingsfactoren'!$F$492*'Aggregatie Volumes TD'!M73</f>
        <v>173316031.04102269</v>
      </c>
      <c r="N17" s="98">
        <f>'Berekening wegingsfactoren'!$F$492*'Aggregatie Volumes TD'!N73</f>
        <v>4811004.4390068483</v>
      </c>
      <c r="O17" s="98">
        <f>'Berekening wegingsfactoren'!$F$492*'Aggregatie Volumes TD'!O73</f>
        <v>0</v>
      </c>
    </row>
    <row r="18" spans="2:15">
      <c r="B18" s="90"/>
    </row>
    <row r="19" spans="2:15">
      <c r="B19" s="91" t="s">
        <v>203</v>
      </c>
    </row>
    <row r="20" spans="2:15">
      <c r="B20" s="89" t="s">
        <v>201</v>
      </c>
      <c r="D20" s="51" t="s">
        <v>130</v>
      </c>
      <c r="F20" s="107">
        <f>SUM(G20:O20)</f>
        <v>558432.62962624768</v>
      </c>
      <c r="G20" s="98">
        <f>'Berekening wegingsfactoren'!$F$495*'Aggregatie Volumes TD'!G76</f>
        <v>9630.0000000000018</v>
      </c>
      <c r="H20" s="98">
        <f>'Berekening wegingsfactoren'!$F$495*'Aggregatie Volumes TD'!H76</f>
        <v>10476.000000000002</v>
      </c>
      <c r="I20" s="98">
        <f>'Berekening wegingsfactoren'!$F$495*'Aggregatie Volumes TD'!I76</f>
        <v>31042.627140739005</v>
      </c>
      <c r="J20" s="98">
        <f>'Berekening wegingsfactoren'!$F$495*'Aggregatie Volumes TD'!J76</f>
        <v>155767.89445969721</v>
      </c>
      <c r="K20" s="98">
        <f>'Berekening wegingsfactoren'!$F$495*'Aggregatie Volumes TD'!K76</f>
        <v>180988.90732420833</v>
      </c>
      <c r="L20" s="98">
        <f>'Berekening wegingsfactoren'!$F$495*'Aggregatie Volumes TD'!L76</f>
        <v>6660.0000000000009</v>
      </c>
      <c r="M20" s="98">
        <f>'Berekening wegingsfactoren'!$F$495*'Aggregatie Volumes TD'!M76</f>
        <v>149552.76190874816</v>
      </c>
      <c r="N20" s="98">
        <f>'Berekening wegingsfactoren'!$F$495*'Aggregatie Volumes TD'!N76</f>
        <v>14314.43879285499</v>
      </c>
      <c r="O20" s="98">
        <f>'Berekening wegingsfactoren'!$F$495*'Aggregatie Volumes TD'!O76</f>
        <v>0</v>
      </c>
    </row>
    <row r="21" spans="2:15">
      <c r="B21" s="90" t="s">
        <v>202</v>
      </c>
      <c r="D21" s="51" t="s">
        <v>130</v>
      </c>
      <c r="F21" s="107">
        <f>SUM(G21:O21)</f>
        <v>73886537.182842627</v>
      </c>
      <c r="G21" s="98">
        <f>'Berekening wegingsfactoren'!$F$496*'Aggregatie Volumes TD'!G77</f>
        <v>1105206.7815581516</v>
      </c>
      <c r="H21" s="98">
        <f>'Berekening wegingsfactoren'!$F$496*'Aggregatie Volumes TD'!H77</f>
        <v>1233254.446445347</v>
      </c>
      <c r="I21" s="98">
        <f>'Berekening wegingsfactoren'!$F$496*'Aggregatie Volumes TD'!I77</f>
        <v>3391956.5410370114</v>
      </c>
      <c r="J21" s="98">
        <f>'Berekening wegingsfactoren'!$F$496*'Aggregatie Volumes TD'!J77</f>
        <v>20144269.730169777</v>
      </c>
      <c r="K21" s="98">
        <f>'Berekening wegingsfactoren'!$F$496*'Aggregatie Volumes TD'!K77</f>
        <v>22264886.571108907</v>
      </c>
      <c r="L21" s="98">
        <f>'Berekening wegingsfactoren'!$F$496*'Aggregatie Volumes TD'!L77</f>
        <v>725652.77835495037</v>
      </c>
      <c r="M21" s="98">
        <f>'Berekening wegingsfactoren'!$F$496*'Aggregatie Volumes TD'!M77</f>
        <v>22238205.391904175</v>
      </c>
      <c r="N21" s="98">
        <f>'Berekening wegingsfactoren'!$F$496*'Aggregatie Volumes TD'!N77</f>
        <v>2783104.9422642984</v>
      </c>
      <c r="O21" s="98">
        <f>'Berekening wegingsfactoren'!$F$496*'Aggregatie Volumes TD'!O77</f>
        <v>0</v>
      </c>
    </row>
    <row r="22" spans="2:15">
      <c r="B22" s="90"/>
    </row>
    <row r="23" spans="2:15">
      <c r="B23" s="88" t="s">
        <v>204</v>
      </c>
    </row>
    <row r="24" spans="2:15">
      <c r="B24" s="89" t="s">
        <v>201</v>
      </c>
      <c r="D24" s="51" t="s">
        <v>130</v>
      </c>
      <c r="F24" s="107">
        <f>SUM(G24:O24)</f>
        <v>6824198.9316839147</v>
      </c>
      <c r="G24" s="98">
        <f>'Berekening wegingsfactoren'!$F$499*'Aggregatie Volumes TD'!G80</f>
        <v>77790.363674669177</v>
      </c>
      <c r="H24" s="98">
        <f>'Berekening wegingsfactoren'!$F$499*'Aggregatie Volumes TD'!H80</f>
        <v>136133.13643067106</v>
      </c>
      <c r="I24" s="98">
        <f>'Berekening wegingsfactoren'!$F$499*'Aggregatie Volumes TD'!I80</f>
        <v>390305.79103523045</v>
      </c>
      <c r="J24" s="98">
        <f>'Berekening wegingsfactoren'!$F$499*'Aggregatie Volumes TD'!J80</f>
        <v>1777859.3624059253</v>
      </c>
      <c r="K24" s="98">
        <f>'Berekening wegingsfactoren'!$F$499*'Aggregatie Volumes TD'!K80</f>
        <v>1942697.0761478301</v>
      </c>
      <c r="L24" s="98">
        <f>'Berekening wegingsfactoren'!$F$499*'Aggregatie Volumes TD'!L80</f>
        <v>70641.429252967078</v>
      </c>
      <c r="M24" s="98">
        <f>'Berekening wegingsfactoren'!$F$499*'Aggregatie Volumes TD'!M80</f>
        <v>1642720.3213435668</v>
      </c>
      <c r="N24" s="98">
        <f>'Berekening wegingsfactoren'!$F$499*'Aggregatie Volumes TD'!N80</f>
        <v>786051.4513930548</v>
      </c>
      <c r="O24" s="98">
        <f>'Berekening wegingsfactoren'!$F$499*'Aggregatie Volumes TD'!O80</f>
        <v>0</v>
      </c>
    </row>
    <row r="25" spans="2:15">
      <c r="B25" s="89" t="s">
        <v>205</v>
      </c>
      <c r="D25" s="51" t="s">
        <v>130</v>
      </c>
      <c r="F25" s="107">
        <f>SUM(G25:O25)</f>
        <v>69593920.661046833</v>
      </c>
      <c r="G25" s="98">
        <f>'Berekening wegingsfactoren'!$F$503*'Aggregatie Volumes TD'!G84</f>
        <v>811105.64756526228</v>
      </c>
      <c r="H25" s="98">
        <f>'Berekening wegingsfactoren'!$F$503*'Aggregatie Volumes TD'!H84</f>
        <v>1278444.4979758903</v>
      </c>
      <c r="I25" s="98">
        <f>'Berekening wegingsfactoren'!$F$503*'Aggregatie Volumes TD'!I84</f>
        <v>4088669.2533176108</v>
      </c>
      <c r="J25" s="98">
        <f>'Berekening wegingsfactoren'!$F$503*'Aggregatie Volumes TD'!J84</f>
        <v>19295808.131465908</v>
      </c>
      <c r="K25" s="98">
        <f>'Berekening wegingsfactoren'!$F$503*'Aggregatie Volumes TD'!K84</f>
        <v>17307908.766598362</v>
      </c>
      <c r="L25" s="98">
        <f>'Berekening wegingsfactoren'!$F$503*'Aggregatie Volumes TD'!L84</f>
        <v>778689.33247043984</v>
      </c>
      <c r="M25" s="98">
        <f>'Berekening wegingsfactoren'!$F$503*'Aggregatie Volumes TD'!M84</f>
        <v>17228498.106901105</v>
      </c>
      <c r="N25" s="98">
        <f>'Berekening wegingsfactoren'!$F$503*'Aggregatie Volumes TD'!N84</f>
        <v>8804796.9247522503</v>
      </c>
      <c r="O25" s="98">
        <f>'Berekening wegingsfactoren'!$F$503*'Aggregatie Volumes TD'!O84</f>
        <v>0</v>
      </c>
    </row>
    <row r="26" spans="2:15">
      <c r="B26" s="92"/>
    </row>
    <row r="27" spans="2:15">
      <c r="B27" s="88" t="s">
        <v>213</v>
      </c>
      <c r="D27" s="51" t="s">
        <v>130</v>
      </c>
      <c r="F27" s="150">
        <f>SUM(G27:O27)</f>
        <v>942527412.86046362</v>
      </c>
      <c r="G27" s="98">
        <f t="shared" ref="G27:O27" si="0">SUM(G16:G17,G20:G21,G24:G25)</f>
        <v>18352886.96415687</v>
      </c>
      <c r="H27" s="98">
        <f t="shared" si="0"/>
        <v>23950371.37605948</v>
      </c>
      <c r="I27" s="98">
        <f t="shared" si="0"/>
        <v>53990448.679243878</v>
      </c>
      <c r="J27" s="98">
        <f t="shared" si="0"/>
        <v>277130790.44728339</v>
      </c>
      <c r="K27" s="98">
        <f t="shared" si="0"/>
        <v>289477221.04488629</v>
      </c>
      <c r="L27" s="98">
        <f t="shared" si="0"/>
        <v>13513605.755417949</v>
      </c>
      <c r="M27" s="98">
        <f t="shared" si="0"/>
        <v>248031774.53165546</v>
      </c>
      <c r="N27" s="98">
        <f t="shared" si="0"/>
        <v>18080314.061760373</v>
      </c>
      <c r="O27" s="98">
        <f t="shared" si="0"/>
        <v>0</v>
      </c>
    </row>
    <row r="30" spans="2:15">
      <c r="B30" s="3" t="s">
        <v>495</v>
      </c>
    </row>
    <row r="32" spans="2:15">
      <c r="B32" s="88" t="s">
        <v>200</v>
      </c>
    </row>
    <row r="33" spans="2:15">
      <c r="B33" s="89" t="s">
        <v>201</v>
      </c>
      <c r="D33" s="51" t="s">
        <v>130</v>
      </c>
      <c r="F33" s="107">
        <f>SUM(G33:O33)</f>
        <v>124832179.65290424</v>
      </c>
      <c r="G33" s="98">
        <f>'Berekening wegingsfactoren'!$F$491*'Aggregatie Volumes TD'!G136</f>
        <v>2449830.461538461</v>
      </c>
      <c r="H33" s="98">
        <f>'Berekening wegingsfactoren'!$F$491*'Aggregatie Volumes TD'!H136</f>
        <v>3327669</v>
      </c>
      <c r="I33" s="98">
        <f>'Berekening wegingsfactoren'!$F$491*'Aggregatie Volumes TD'!I136</f>
        <v>6957648</v>
      </c>
      <c r="J33" s="98">
        <f>'Berekening wegingsfactoren'!$F$491*'Aggregatie Volumes TD'!J136</f>
        <v>36166406.565111108</v>
      </c>
      <c r="K33" s="98">
        <f>'Berekening wegingsfactoren'!$F$491*'Aggregatie Volumes TD'!K136</f>
        <v>39502264.5</v>
      </c>
      <c r="L33" s="98">
        <f>'Berekening wegingsfactoren'!$F$491*'Aggregatie Volumes TD'!L136</f>
        <v>1810450.8</v>
      </c>
      <c r="M33" s="98">
        <f>'Berekening wegingsfactoren'!$F$491*'Aggregatie Volumes TD'!M136</f>
        <v>33728361.492530175</v>
      </c>
      <c r="N33" s="98">
        <f>'Berekening wegingsfactoren'!$F$491*'Aggregatie Volumes TD'!N136</f>
        <v>889548.83372449817</v>
      </c>
      <c r="O33" s="98">
        <f>'Berekening wegingsfactoren'!$F$491*'Aggregatie Volumes TD'!O136</f>
        <v>0</v>
      </c>
    </row>
    <row r="34" spans="2:15">
      <c r="B34" s="90" t="s">
        <v>202</v>
      </c>
      <c r="D34" s="51" t="s">
        <v>130</v>
      </c>
      <c r="F34" s="107">
        <f>SUM(G34:O34)</f>
        <v>670511149.38575912</v>
      </c>
      <c r="G34" s="98">
        <f>'Berekening wegingsfactoren'!$F$492*'Aggregatie Volumes TD'!G137</f>
        <v>14095640.41008185</v>
      </c>
      <c r="H34" s="98">
        <f>'Berekening wegingsfactoren'!$F$492*'Aggregatie Volumes TD'!H137</f>
        <v>18057708.479741879</v>
      </c>
      <c r="I34" s="98">
        <f>'Berekening wegingsfactoren'!$F$492*'Aggregatie Volumes TD'!I137</f>
        <v>39317017.558015004</v>
      </c>
      <c r="J34" s="98">
        <f>'Berekening wegingsfactoren'!$F$492*'Aggregatie Volumes TD'!J137</f>
        <v>200501000.54640651</v>
      </c>
      <c r="K34" s="98">
        <f>'Berekening wegingsfactoren'!$F$492*'Aggregatie Volumes TD'!K137</f>
        <v>208705909.47687656</v>
      </c>
      <c r="L34" s="98">
        <f>'Berekening wegingsfactoren'!$F$492*'Aggregatie Volumes TD'!L137</f>
        <v>10177887.444654843</v>
      </c>
      <c r="M34" s="98">
        <f>'Berekening wegingsfactoren'!$F$492*'Aggregatie Volumes TD'!M137</f>
        <v>174808877.67144018</v>
      </c>
      <c r="N34" s="98">
        <f>'Berekening wegingsfactoren'!$F$492*'Aggregatie Volumes TD'!N137</f>
        <v>4847107.7985422127</v>
      </c>
      <c r="O34" s="98">
        <f>'Berekening wegingsfactoren'!$F$492*'Aggregatie Volumes TD'!O137</f>
        <v>0</v>
      </c>
    </row>
    <row r="35" spans="2:15">
      <c r="B35" s="90"/>
    </row>
    <row r="36" spans="2:15">
      <c r="B36" s="91" t="s">
        <v>203</v>
      </c>
    </row>
    <row r="37" spans="2:15">
      <c r="B37" s="89" t="s">
        <v>201</v>
      </c>
      <c r="D37" s="51" t="s">
        <v>130</v>
      </c>
      <c r="F37" s="107">
        <f>SUM(G37:O37)</f>
        <v>557378.9288916511</v>
      </c>
      <c r="G37" s="98">
        <f>'Berekening wegingsfactoren'!$F$495*'Aggregatie Volumes TD'!G140</f>
        <v>9175.8461538461561</v>
      </c>
      <c r="H37" s="98">
        <f>'Berekening wegingsfactoren'!$F$495*'Aggregatie Volumes TD'!H140</f>
        <v>10116.000000000002</v>
      </c>
      <c r="I37" s="98">
        <f>'Berekening wegingsfactoren'!$F$495*'Aggregatie Volumes TD'!I140</f>
        <v>30384.000000000007</v>
      </c>
      <c r="J37" s="98">
        <f>'Berekening wegingsfactoren'!$F$495*'Aggregatie Volumes TD'!J140</f>
        <v>153304.76483904541</v>
      </c>
      <c r="K37" s="98">
        <f>'Berekening wegingsfactoren'!$F$495*'Aggregatie Volumes TD'!K140</f>
        <v>178321.50000000003</v>
      </c>
      <c r="L37" s="98">
        <f>'Berekening wegingsfactoren'!$F$495*'Aggregatie Volumes TD'!L140</f>
        <v>6411.6000000000022</v>
      </c>
      <c r="M37" s="98">
        <f>'Berekening wegingsfactoren'!$F$495*'Aggregatie Volumes TD'!M140</f>
        <v>156402.85017888265</v>
      </c>
      <c r="N37" s="98">
        <f>'Berekening wegingsfactoren'!$F$495*'Aggregatie Volumes TD'!N140</f>
        <v>13262.367719876815</v>
      </c>
      <c r="O37" s="98">
        <f>'Berekening wegingsfactoren'!$F$495*'Aggregatie Volumes TD'!O140</f>
        <v>0</v>
      </c>
    </row>
    <row r="38" spans="2:15">
      <c r="B38" s="90" t="s">
        <v>202</v>
      </c>
      <c r="D38" s="51" t="s">
        <v>130</v>
      </c>
      <c r="F38" s="107">
        <f>SUM(G38:O38)</f>
        <v>72151597.38920781</v>
      </c>
      <c r="G38" s="98">
        <f>'Berekening wegingsfactoren'!$F$496*'Aggregatie Volumes TD'!G141</f>
        <v>1027694.9580910872</v>
      </c>
      <c r="H38" s="98">
        <f>'Berekening wegingsfactoren'!$F$496*'Aggregatie Volumes TD'!H141</f>
        <v>1184996.0201410397</v>
      </c>
      <c r="I38" s="98">
        <f>'Berekening wegingsfactoren'!$F$496*'Aggregatie Volumes TD'!I141</f>
        <v>3282017.0846404741</v>
      </c>
      <c r="J38" s="98">
        <f>'Berekening wegingsfactoren'!$F$496*'Aggregatie Volumes TD'!J141</f>
        <v>19579977.62623173</v>
      </c>
      <c r="K38" s="98">
        <f>'Berekening wegingsfactoren'!$F$496*'Aggregatie Volumes TD'!K141</f>
        <v>21685982.288515512</v>
      </c>
      <c r="L38" s="98">
        <f>'Berekening wegingsfactoren'!$F$496*'Aggregatie Volumes TD'!L141</f>
        <v>709783.74982788984</v>
      </c>
      <c r="M38" s="98">
        <f>'Berekening wegingsfactoren'!$F$496*'Aggregatie Volumes TD'!M141</f>
        <v>22127208.087380599</v>
      </c>
      <c r="N38" s="98">
        <f>'Berekening wegingsfactoren'!$F$496*'Aggregatie Volumes TD'!N141</f>
        <v>2553937.5743794665</v>
      </c>
      <c r="O38" s="98">
        <f>'Berekening wegingsfactoren'!$F$496*'Aggregatie Volumes TD'!O141</f>
        <v>0</v>
      </c>
    </row>
    <row r="39" spans="2:15">
      <c r="B39" s="90"/>
    </row>
    <row r="40" spans="2:15">
      <c r="B40" s="88" t="s">
        <v>204</v>
      </c>
    </row>
    <row r="41" spans="2:15">
      <c r="B41" s="89" t="s">
        <v>201</v>
      </c>
      <c r="D41" s="51" t="s">
        <v>130</v>
      </c>
      <c r="F41" s="107">
        <f>SUM(G41:O41)</f>
        <v>6798581.2465694165</v>
      </c>
      <c r="G41" s="98">
        <f>'Berekening wegingsfactoren'!$F$499*'Aggregatie Volumes TD'!G144</f>
        <v>86347.303678882789</v>
      </c>
      <c r="H41" s="98">
        <f>'Berekening wegingsfactoren'!$F$499*'Aggregatie Volumes TD'!H144</f>
        <v>141578.46188789789</v>
      </c>
      <c r="I41" s="98">
        <f>'Berekening wegingsfactoren'!$F$499*'Aggregatie Volumes TD'!I144</f>
        <v>399064.56565105286</v>
      </c>
      <c r="J41" s="98">
        <f>'Berekening wegingsfactoren'!$F$499*'Aggregatie Volumes TD'!J144</f>
        <v>1766580.9361323016</v>
      </c>
      <c r="K41" s="98">
        <f>'Berekening wegingsfactoren'!$F$499*'Aggregatie Volumes TD'!K144</f>
        <v>1964725.2852098946</v>
      </c>
      <c r="L41" s="98">
        <f>'Berekening wegingsfactoren'!$F$499*'Aggregatie Volumes TD'!L144</f>
        <v>71255.973125996956</v>
      </c>
      <c r="M41" s="98">
        <f>'Berekening wegingsfactoren'!$F$499*'Aggregatie Volumes TD'!M144</f>
        <v>1590134.0349034828</v>
      </c>
      <c r="N41" s="98">
        <f>'Berekening wegingsfactoren'!$F$499*'Aggregatie Volumes TD'!N144</f>
        <v>778894.68597990705</v>
      </c>
      <c r="O41" s="98">
        <f>'Berekening wegingsfactoren'!$F$499*'Aggregatie Volumes TD'!O144</f>
        <v>0</v>
      </c>
    </row>
    <row r="42" spans="2:15">
      <c r="B42" s="89" t="s">
        <v>205</v>
      </c>
      <c r="D42" s="51" t="s">
        <v>130</v>
      </c>
      <c r="F42" s="107">
        <f>SUM(G42:O42)</f>
        <v>70124061.417504802</v>
      </c>
      <c r="G42" s="98">
        <f>'Berekening wegingsfactoren'!$F$503*'Aggregatie Volumes TD'!G148</f>
        <v>762092.63127907843</v>
      </c>
      <c r="H42" s="98">
        <f>'Berekening wegingsfactoren'!$F$503*'Aggregatie Volumes TD'!H148</f>
        <v>1625694.8148563858</v>
      </c>
      <c r="I42" s="98">
        <f>'Berekening wegingsfactoren'!$F$503*'Aggregatie Volumes TD'!I148</f>
        <v>4147494.3978640381</v>
      </c>
      <c r="J42" s="98">
        <f>'Berekening wegingsfactoren'!$F$503*'Aggregatie Volumes TD'!J148</f>
        <v>19411057.988155343</v>
      </c>
      <c r="K42" s="98">
        <f>'Berekening wegingsfactoren'!$F$503*'Aggregatie Volumes TD'!K148</f>
        <v>17367547.153071724</v>
      </c>
      <c r="L42" s="98">
        <f>'Berekening wegingsfactoren'!$F$503*'Aggregatie Volumes TD'!L148</f>
        <v>784023.74710299703</v>
      </c>
      <c r="M42" s="98">
        <f>'Berekening wegingsfactoren'!$F$503*'Aggregatie Volumes TD'!M148</f>
        <v>17300182.080144167</v>
      </c>
      <c r="N42" s="98">
        <f>'Berekening wegingsfactoren'!$F$503*'Aggregatie Volumes TD'!N148</f>
        <v>8725968.6050310619</v>
      </c>
      <c r="O42" s="98">
        <f>'Berekening wegingsfactoren'!$F$503*'Aggregatie Volumes TD'!O148</f>
        <v>0</v>
      </c>
    </row>
    <row r="43" spans="2:15">
      <c r="B43" s="92"/>
    </row>
    <row r="44" spans="2:15">
      <c r="B44" s="88" t="s">
        <v>213</v>
      </c>
      <c r="D44" s="51" t="s">
        <v>130</v>
      </c>
      <c r="F44" s="150">
        <f>SUM(G44:O44)</f>
        <v>944974948.02083707</v>
      </c>
      <c r="G44" s="98">
        <f t="shared" ref="G44:O44" si="1">SUM(G33:G34,G37:G38,G41:G42)</f>
        <v>18430781.610823203</v>
      </c>
      <c r="H44" s="98">
        <f t="shared" si="1"/>
        <v>24347762.776627198</v>
      </c>
      <c r="I44" s="98">
        <f t="shared" si="1"/>
        <v>54133625.606170565</v>
      </c>
      <c r="J44" s="98">
        <f t="shared" si="1"/>
        <v>277578328.42687607</v>
      </c>
      <c r="K44" s="98">
        <f t="shared" si="1"/>
        <v>289404750.20367366</v>
      </c>
      <c r="L44" s="98">
        <f t="shared" si="1"/>
        <v>13559813.314711725</v>
      </c>
      <c r="M44" s="98">
        <f t="shared" si="1"/>
        <v>249711166.2165775</v>
      </c>
      <c r="N44" s="98">
        <f t="shared" si="1"/>
        <v>17808719.865377024</v>
      </c>
      <c r="O44" s="98">
        <f t="shared" si="1"/>
        <v>0</v>
      </c>
    </row>
    <row r="47" spans="2:15">
      <c r="B47" s="3" t="s">
        <v>496</v>
      </c>
    </row>
    <row r="49" spans="2:15">
      <c r="B49" s="88" t="s">
        <v>200</v>
      </c>
    </row>
    <row r="50" spans="2:15">
      <c r="B50" s="89" t="s">
        <v>201</v>
      </c>
      <c r="D50" s="51" t="s">
        <v>130</v>
      </c>
      <c r="F50" s="107">
        <f>SUM(G50:O50)</f>
        <v>125695819.91903646</v>
      </c>
      <c r="G50" s="98">
        <f>'Berekening wegingsfactoren'!$F$491*'Aggregatie Volumes TD'!G196</f>
        <v>2459700</v>
      </c>
      <c r="H50" s="98">
        <f>'Berekening wegingsfactoren'!$F$491*'Aggregatie Volumes TD'!H196</f>
        <v>3324438</v>
      </c>
      <c r="I50" s="98">
        <f>'Berekening wegingsfactoren'!$F$491*'Aggregatie Volumes TD'!I196</f>
        <v>7022178</v>
      </c>
      <c r="J50" s="98">
        <f>'Berekening wegingsfactoren'!$F$491*'Aggregatie Volumes TD'!J196</f>
        <v>36320955.777535833</v>
      </c>
      <c r="K50" s="98">
        <f>'Berekening wegingsfactoren'!$F$491*'Aggregatie Volumes TD'!K196</f>
        <v>39823492.5</v>
      </c>
      <c r="L50" s="98">
        <f>'Berekening wegingsfactoren'!$F$491*'Aggregatie Volumes TD'!L196</f>
        <v>1821204</v>
      </c>
      <c r="M50" s="98">
        <f>'Berekening wegingsfactoren'!$F$491*'Aggregatie Volumes TD'!M196</f>
        <v>34033517.235130385</v>
      </c>
      <c r="N50" s="98">
        <f>'Berekening wegingsfactoren'!$F$491*'Aggregatie Volumes TD'!N196</f>
        <v>890334.40637024795</v>
      </c>
      <c r="O50" s="98">
        <f>'Berekening wegingsfactoren'!$F$491*'Aggregatie Volumes TD'!O196</f>
        <v>0</v>
      </c>
    </row>
    <row r="51" spans="2:15">
      <c r="B51" s="90" t="s">
        <v>202</v>
      </c>
      <c r="D51" s="51" t="s">
        <v>130</v>
      </c>
      <c r="F51" s="107">
        <f>SUM(G51:O51)</f>
        <v>674200901.99129689</v>
      </c>
      <c r="G51" s="98">
        <f>'Berekening wegingsfactoren'!$F$492*'Aggregatie Volumes TD'!G197</f>
        <v>14258886.984634941</v>
      </c>
      <c r="H51" s="98">
        <f>'Berekening wegingsfactoren'!$F$492*'Aggregatie Volumes TD'!H197</f>
        <v>17985256.857411925</v>
      </c>
      <c r="I51" s="98">
        <f>'Berekening wegingsfactoren'!$F$492*'Aggregatie Volumes TD'!I197</f>
        <v>39518670.378186271</v>
      </c>
      <c r="J51" s="98">
        <f>'Berekening wegingsfactoren'!$F$492*'Aggregatie Volumes TD'!J197</f>
        <v>200698982.57718664</v>
      </c>
      <c r="K51" s="98">
        <f>'Berekening wegingsfactoren'!$F$492*'Aggregatie Volumes TD'!K197</f>
        <v>210422932.67642328</v>
      </c>
      <c r="L51" s="98">
        <f>'Berekening wegingsfactoren'!$F$492*'Aggregatie Volumes TD'!L197</f>
        <v>10231032.604965031</v>
      </c>
      <c r="M51" s="98">
        <f>'Berekening wegingsfactoren'!$F$492*'Aggregatie Volumes TD'!M197</f>
        <v>176234207.50344852</v>
      </c>
      <c r="N51" s="98">
        <f>'Berekening wegingsfactoren'!$F$492*'Aggregatie Volumes TD'!N197</f>
        <v>4850932.4090401707</v>
      </c>
      <c r="O51" s="98">
        <f>'Berekening wegingsfactoren'!$F$492*'Aggregatie Volumes TD'!O197</f>
        <v>0</v>
      </c>
    </row>
    <row r="52" spans="2:15">
      <c r="B52" s="90"/>
    </row>
    <row r="53" spans="2:15">
      <c r="B53" s="91" t="s">
        <v>203</v>
      </c>
    </row>
    <row r="54" spans="2:15">
      <c r="B54" s="89" t="s">
        <v>201</v>
      </c>
      <c r="D54" s="51" t="s">
        <v>130</v>
      </c>
      <c r="F54" s="107">
        <f>SUM(G54:O54)</f>
        <v>547799.18508568534</v>
      </c>
      <c r="G54" s="98">
        <f>'Berekening wegingsfactoren'!$F$495*'Aggregatie Volumes TD'!G200</f>
        <v>9288.0000000000018</v>
      </c>
      <c r="H54" s="98">
        <f>'Berekening wegingsfactoren'!$F$495*'Aggregatie Volumes TD'!H200</f>
        <v>10143.000000000002</v>
      </c>
      <c r="I54" s="98">
        <f>'Berekening wegingsfactoren'!$F$495*'Aggregatie Volumes TD'!I200</f>
        <v>30366.000000000007</v>
      </c>
      <c r="J54" s="98">
        <f>'Berekening wegingsfactoren'!$F$495*'Aggregatie Volumes TD'!J200</f>
        <v>151875.26727272727</v>
      </c>
      <c r="K54" s="98">
        <f>'Berekening wegingsfactoren'!$F$495*'Aggregatie Volumes TD'!K200</f>
        <v>176355.00000000003</v>
      </c>
      <c r="L54" s="98">
        <f>'Berekening wegingsfactoren'!$F$495*'Aggregatie Volumes TD'!L200</f>
        <v>6321.6000000000022</v>
      </c>
      <c r="M54" s="98">
        <f>'Berekening wegingsfactoren'!$F$495*'Aggregatie Volumes TD'!M200</f>
        <v>150372.88466125162</v>
      </c>
      <c r="N54" s="98">
        <f>'Berekening wegingsfactoren'!$F$495*'Aggregatie Volumes TD'!N200</f>
        <v>13077.433151706491</v>
      </c>
      <c r="O54" s="98">
        <f>'Berekening wegingsfactoren'!$F$495*'Aggregatie Volumes TD'!O200</f>
        <v>0</v>
      </c>
    </row>
    <row r="55" spans="2:15">
      <c r="B55" s="90" t="s">
        <v>202</v>
      </c>
      <c r="D55" s="51" t="s">
        <v>130</v>
      </c>
      <c r="F55" s="107">
        <f>SUM(G55:O55)</f>
        <v>69259342.850842059</v>
      </c>
      <c r="G55" s="98">
        <f>'Berekening wegingsfactoren'!$F$496*'Aggregatie Volumes TD'!G201</f>
        <v>1072195.6494542849</v>
      </c>
      <c r="H55" s="98">
        <f>'Berekening wegingsfactoren'!$F$496*'Aggregatie Volumes TD'!H201</f>
        <v>1180246.6607015822</v>
      </c>
      <c r="I55" s="98">
        <f>'Berekening wegingsfactoren'!$F$496*'Aggregatie Volumes TD'!I201</f>
        <v>3276095.8053393322</v>
      </c>
      <c r="J55" s="98">
        <f>'Berekening wegingsfactoren'!$F$496*'Aggregatie Volumes TD'!J201</f>
        <v>19049558.540922057</v>
      </c>
      <c r="K55" s="98">
        <f>'Berekening wegingsfactoren'!$F$496*'Aggregatie Volumes TD'!K201</f>
        <v>21180058.316227105</v>
      </c>
      <c r="L55" s="98">
        <f>'Berekening wegingsfactoren'!$F$496*'Aggregatie Volumes TD'!L201</f>
        <v>690598.8048921898</v>
      </c>
      <c r="M55" s="98">
        <f>'Berekening wegingsfactoren'!$F$496*'Aggregatie Volumes TD'!M201</f>
        <v>20447294.39862895</v>
      </c>
      <c r="N55" s="98">
        <f>'Berekening wegingsfactoren'!$F$496*'Aggregatie Volumes TD'!N201</f>
        <v>2363294.6746765613</v>
      </c>
      <c r="O55" s="98">
        <f>'Berekening wegingsfactoren'!$F$496*'Aggregatie Volumes TD'!O201</f>
        <v>0</v>
      </c>
    </row>
    <row r="56" spans="2:15">
      <c r="B56" s="90"/>
    </row>
    <row r="57" spans="2:15">
      <c r="B57" s="88" t="s">
        <v>204</v>
      </c>
    </row>
    <row r="58" spans="2:15">
      <c r="B58" s="89" t="s">
        <v>201</v>
      </c>
      <c r="D58" s="51" t="s">
        <v>130</v>
      </c>
      <c r="F58" s="107">
        <f>SUM(G58:O58)</f>
        <v>6858095.6739084497</v>
      </c>
      <c r="G58" s="98">
        <f>'Berekening wegingsfactoren'!$F$499*'Aggregatie Volumes TD'!G204</f>
        <v>88681.01458912286</v>
      </c>
      <c r="H58" s="98">
        <f>'Berekening wegingsfactoren'!$F$499*'Aggregatie Volumes TD'!H204</f>
        <v>142097.0643123957</v>
      </c>
      <c r="I58" s="98">
        <f>'Berekening wegingsfactoren'!$F$499*'Aggregatie Volumes TD'!I204</f>
        <v>388951.81837334589</v>
      </c>
      <c r="J58" s="98">
        <f>'Berekening wegingsfactoren'!$F$499*'Aggregatie Volumes TD'!J204</f>
        <v>1824095.4512020305</v>
      </c>
      <c r="K58" s="98">
        <f>'Berekening wegingsfactoren'!$F$499*'Aggregatie Volumes TD'!K204</f>
        <v>1988321.695524544</v>
      </c>
      <c r="L58" s="98">
        <f>'Berekening wegingsfactoren'!$F$499*'Aggregatie Volumes TD'!L204</f>
        <v>71349.321562406563</v>
      </c>
      <c r="M58" s="98">
        <f>'Berekening wegingsfactoren'!$F$499*'Aggregatie Volumes TD'!M204</f>
        <v>1604037.2989716784</v>
      </c>
      <c r="N58" s="98">
        <f>'Berekening wegingsfactoren'!$F$499*'Aggregatie Volumes TD'!N204</f>
        <v>750562.00937292527</v>
      </c>
      <c r="O58" s="98">
        <f>'Berekening wegingsfactoren'!$F$499*'Aggregatie Volumes TD'!O204</f>
        <v>0</v>
      </c>
    </row>
    <row r="59" spans="2:15">
      <c r="B59" s="89" t="s">
        <v>205</v>
      </c>
      <c r="D59" s="51" t="s">
        <v>130</v>
      </c>
      <c r="F59" s="107">
        <f>SUM(G59:O59)</f>
        <v>69031108.517155752</v>
      </c>
      <c r="G59" s="98">
        <f>'Berekening wegingsfactoren'!$F$503*'Aggregatie Volumes TD'!G208</f>
        <v>811333.04093350412</v>
      </c>
      <c r="H59" s="98">
        <f>'Berekening wegingsfactoren'!$F$503*'Aggregatie Volumes TD'!H208</f>
        <v>1561690.0087601775</v>
      </c>
      <c r="I59" s="98">
        <f>'Berekening wegingsfactoren'!$F$503*'Aggregatie Volumes TD'!I208</f>
        <v>3924207.376192465</v>
      </c>
      <c r="J59" s="98">
        <f>'Berekening wegingsfactoren'!$F$503*'Aggregatie Volumes TD'!J208</f>
        <v>19478741.359896641</v>
      </c>
      <c r="K59" s="98">
        <f>'Berekening wegingsfactoren'!$F$503*'Aggregatie Volumes TD'!K208</f>
        <v>17255093.888043009</v>
      </c>
      <c r="L59" s="98">
        <f>'Berekening wegingsfactoren'!$F$503*'Aggregatie Volumes TD'!L208</f>
        <v>793422.23986010125</v>
      </c>
      <c r="M59" s="98">
        <f>'Berekening wegingsfactoren'!$F$503*'Aggregatie Volumes TD'!M208</f>
        <v>16708281.158537734</v>
      </c>
      <c r="N59" s="98">
        <f>'Berekening wegingsfactoren'!$F$503*'Aggregatie Volumes TD'!N208</f>
        <v>8498339.4449321218</v>
      </c>
      <c r="O59" s="98">
        <f>'Berekening wegingsfactoren'!$F$503*'Aggregatie Volumes TD'!O208</f>
        <v>0</v>
      </c>
    </row>
    <row r="60" spans="2:15">
      <c r="B60" s="92"/>
    </row>
    <row r="61" spans="2:15">
      <c r="B61" s="88" t="s">
        <v>213</v>
      </c>
      <c r="D61" s="51" t="s">
        <v>130</v>
      </c>
      <c r="F61" s="150">
        <f>SUM(G61:O61)</f>
        <v>945593068.13732529</v>
      </c>
      <c r="G61" s="98">
        <f t="shared" ref="G61:O61" si="2">SUM(G50:G51,G54:G55,G58:G59)</f>
        <v>18700084.689611856</v>
      </c>
      <c r="H61" s="98">
        <f t="shared" si="2"/>
        <v>24203871.59118608</v>
      </c>
      <c r="I61" s="98">
        <f t="shared" si="2"/>
        <v>54160469.37809141</v>
      </c>
      <c r="J61" s="98">
        <f t="shared" si="2"/>
        <v>277524208.97401595</v>
      </c>
      <c r="K61" s="98">
        <f t="shared" si="2"/>
        <v>290846254.07621795</v>
      </c>
      <c r="L61" s="98">
        <f t="shared" si="2"/>
        <v>13613928.571279727</v>
      </c>
      <c r="M61" s="98">
        <f t="shared" si="2"/>
        <v>249177710.47937855</v>
      </c>
      <c r="N61" s="98">
        <f t="shared" si="2"/>
        <v>17366540.377543733</v>
      </c>
      <c r="O61" s="98">
        <f t="shared" si="2"/>
        <v>0</v>
      </c>
    </row>
    <row r="64" spans="2:15">
      <c r="B64" s="3" t="s">
        <v>497</v>
      </c>
    </row>
    <row r="66" spans="2:15">
      <c r="B66" s="88" t="s">
        <v>200</v>
      </c>
    </row>
    <row r="67" spans="2:15">
      <c r="B67" s="89" t="s">
        <v>201</v>
      </c>
      <c r="D67" s="51" t="s">
        <v>130</v>
      </c>
      <c r="F67" s="107">
        <f>SUM(G67:O67)</f>
        <v>126073562.57395442</v>
      </c>
      <c r="G67" s="98">
        <f>'Berekening wegingsfactoren'!$F$491*'Aggregatie Volumes TD'!G256</f>
        <v>2470482</v>
      </c>
      <c r="H67" s="98">
        <f>'Berekening wegingsfactoren'!$F$491*'Aggregatie Volumes TD'!H256</f>
        <v>3353640.0000000009</v>
      </c>
      <c r="I67" s="98">
        <f>'Berekening wegingsfactoren'!$F$491*'Aggregatie Volumes TD'!I256</f>
        <v>7065900</v>
      </c>
      <c r="J67" s="98">
        <f>'Berekening wegingsfactoren'!$F$491*'Aggregatie Volumes TD'!J256</f>
        <v>36519080.857544355</v>
      </c>
      <c r="K67" s="98">
        <f>'Berekening wegingsfactoren'!$F$491*'Aggregatie Volumes TD'!K256</f>
        <v>40105542.897257715</v>
      </c>
      <c r="L67" s="98">
        <f>'Berekening wegingsfactoren'!$F$491*'Aggregatie Volumes TD'!L256</f>
        <v>1830546</v>
      </c>
      <c r="M67" s="98">
        <f>'Berekening wegingsfactoren'!$F$491*'Aggregatie Volumes TD'!M256</f>
        <v>33816935.829000011</v>
      </c>
      <c r="N67" s="98">
        <f>'Berekening wegingsfactoren'!$F$491*'Aggregatie Volumes TD'!N256</f>
        <v>911434.99015233014</v>
      </c>
      <c r="O67" s="98">
        <f>'Berekening wegingsfactoren'!$F$491*'Aggregatie Volumes TD'!O256</f>
        <v>0</v>
      </c>
    </row>
    <row r="68" spans="2:15">
      <c r="B68" s="90" t="s">
        <v>202</v>
      </c>
      <c r="D68" s="51" t="s">
        <v>130</v>
      </c>
      <c r="F68" s="107">
        <f>SUM(G68:O68)</f>
        <v>674451217.80642664</v>
      </c>
      <c r="G68" s="98">
        <f>'Berekening wegingsfactoren'!$F$492*'Aggregatie Volumes TD'!G257</f>
        <v>14263994.234678103</v>
      </c>
      <c r="H68" s="98">
        <f>'Berekening wegingsfactoren'!$F$492*'Aggregatie Volumes TD'!H257</f>
        <v>18042693.389721628</v>
      </c>
      <c r="I68" s="98">
        <f>'Berekening wegingsfactoren'!$F$492*'Aggregatie Volumes TD'!I257</f>
        <v>39491276.42585928</v>
      </c>
      <c r="J68" s="98">
        <f>'Berekening wegingsfactoren'!$F$492*'Aggregatie Volumes TD'!J257</f>
        <v>200674788.20825666</v>
      </c>
      <c r="K68" s="98">
        <f>'Berekening wegingsfactoren'!$F$492*'Aggregatie Volumes TD'!K257</f>
        <v>212851995.63273424</v>
      </c>
      <c r="L68" s="98">
        <f>'Berekening wegingsfactoren'!$F$492*'Aggregatie Volumes TD'!L257</f>
        <v>10208691.877086848</v>
      </c>
      <c r="M68" s="98">
        <f>'Berekening wegingsfactoren'!$F$492*'Aggregatie Volumes TD'!M257</f>
        <v>173969290.33835569</v>
      </c>
      <c r="N68" s="98">
        <f>'Berekening wegingsfactoren'!$F$492*'Aggregatie Volumes TD'!N257</f>
        <v>4948487.6997342538</v>
      </c>
      <c r="O68" s="98">
        <f>'Berekening wegingsfactoren'!$F$492*'Aggregatie Volumes TD'!O257</f>
        <v>0</v>
      </c>
    </row>
    <row r="69" spans="2:15">
      <c r="B69" s="90"/>
    </row>
    <row r="70" spans="2:15">
      <c r="B70" s="91" t="s">
        <v>203</v>
      </c>
    </row>
    <row r="71" spans="2:15">
      <c r="B71" s="89" t="s">
        <v>201</v>
      </c>
      <c r="D71" s="51" t="s">
        <v>130</v>
      </c>
      <c r="F71" s="107">
        <f>SUM(G71:O71)</f>
        <v>534585.25301194622</v>
      </c>
      <c r="G71" s="98">
        <f>'Berekening wegingsfactoren'!$F$495*'Aggregatie Volumes TD'!G260</f>
        <v>9048.4615384615408</v>
      </c>
      <c r="H71" s="98">
        <f>'Berekening wegingsfactoren'!$F$495*'Aggregatie Volumes TD'!H260</f>
        <v>10041.015254237276</v>
      </c>
      <c r="I71" s="98">
        <f>'Berekening wegingsfactoren'!$F$495*'Aggregatie Volumes TD'!I260</f>
        <v>30204.000000000007</v>
      </c>
      <c r="J71" s="98">
        <f>'Berekening wegingsfactoren'!$F$495*'Aggregatie Volumes TD'!J260</f>
        <v>150826.3854545455</v>
      </c>
      <c r="K71" s="98">
        <f>'Berekening wegingsfactoren'!$F$495*'Aggregatie Volumes TD'!K260</f>
        <v>171950.133352484</v>
      </c>
      <c r="L71" s="98">
        <f>'Berekening wegingsfactoren'!$F$495*'Aggregatie Volumes TD'!L260</f>
        <v>6354.0000000000027</v>
      </c>
      <c r="M71" s="98">
        <f>'Berekening wegingsfactoren'!$F$495*'Aggregatie Volumes TD'!M260</f>
        <v>143276.72727272729</v>
      </c>
      <c r="N71" s="98">
        <f>'Berekening wegingsfactoren'!$F$495*'Aggregatie Volumes TD'!N260</f>
        <v>12884.53013949062</v>
      </c>
      <c r="O71" s="98">
        <f>'Berekening wegingsfactoren'!$F$495*'Aggregatie Volumes TD'!O260</f>
        <v>0</v>
      </c>
    </row>
    <row r="72" spans="2:15">
      <c r="B72" s="90" t="s">
        <v>202</v>
      </c>
      <c r="D72" s="51" t="s">
        <v>130</v>
      </c>
      <c r="F72" s="107">
        <f>SUM(G72:O72)</f>
        <v>66568643.775075704</v>
      </c>
      <c r="G72" s="98">
        <f>'Berekening wegingsfactoren'!$F$496*'Aggregatie Volumes TD'!G261</f>
        <v>1023891.6748476614</v>
      </c>
      <c r="H72" s="98">
        <f>'Berekening wegingsfactoren'!$F$496*'Aggregatie Volumes TD'!H261</f>
        <v>1154008.995405057</v>
      </c>
      <c r="I72" s="98">
        <f>'Berekening wegingsfactoren'!$F$496*'Aggregatie Volumes TD'!I261</f>
        <v>3295043.8991029863</v>
      </c>
      <c r="J72" s="98">
        <f>'Berekening wegingsfactoren'!$F$496*'Aggregatie Volumes TD'!J261</f>
        <v>18756270.138467871</v>
      </c>
      <c r="K72" s="98">
        <f>'Berekening wegingsfactoren'!$F$496*'Aggregatie Volumes TD'!K261</f>
        <v>20302473.896927338</v>
      </c>
      <c r="L72" s="98">
        <f>'Berekening wegingsfactoren'!$F$496*'Aggregatie Volumes TD'!L261</f>
        <v>711264.06965317531</v>
      </c>
      <c r="M72" s="98">
        <f>'Berekening wegingsfactoren'!$F$496*'Aggregatie Volumes TD'!M261</f>
        <v>19151516.622554496</v>
      </c>
      <c r="N72" s="98">
        <f>'Berekening wegingsfactoren'!$F$496*'Aggregatie Volumes TD'!N261</f>
        <v>2174174.4781171153</v>
      </c>
      <c r="O72" s="98">
        <f>'Berekening wegingsfactoren'!$F$496*'Aggregatie Volumes TD'!O261</f>
        <v>0</v>
      </c>
    </row>
    <row r="73" spans="2:15">
      <c r="B73" s="90"/>
    </row>
    <row r="74" spans="2:15">
      <c r="B74" s="88" t="s">
        <v>204</v>
      </c>
    </row>
    <row r="75" spans="2:15">
      <c r="B75" s="89" t="s">
        <v>201</v>
      </c>
      <c r="D75" s="51" t="s">
        <v>130</v>
      </c>
      <c r="F75" s="107">
        <f>SUM(G75:O75)</f>
        <v>6933517.1965010017</v>
      </c>
      <c r="G75" s="98">
        <f>'Berekening wegingsfactoren'!$F$499*'Aggregatie Volumes TD'!G264</f>
        <v>89458.918225869551</v>
      </c>
      <c r="H75" s="98">
        <f>'Berekening wegingsfactoren'!$F$499*'Aggregatie Volumes TD'!H264</f>
        <v>146181.05840531582</v>
      </c>
      <c r="I75" s="98">
        <f>'Berekening wegingsfactoren'!$F$499*'Aggregatie Volumes TD'!I264</f>
        <v>381172.78200587898</v>
      </c>
      <c r="J75" s="98">
        <f>'Berekening wegingsfactoren'!$F$499*'Aggregatie Volumes TD'!J264</f>
        <v>1818995.5572280553</v>
      </c>
      <c r="K75" s="98">
        <f>'Berekening wegingsfactoren'!$F$499*'Aggregatie Volumes TD'!K264</f>
        <v>2073370.2419778109</v>
      </c>
      <c r="L75" s="98">
        <f>'Berekening wegingsfactoren'!$F$499*'Aggregatie Volumes TD'!L264</f>
        <v>67288.66457858884</v>
      </c>
      <c r="M75" s="98">
        <f>'Berekening wegingsfactoren'!$F$499*'Aggregatie Volumes TD'!M264</f>
        <v>1628788.7783227093</v>
      </c>
      <c r="N75" s="98">
        <f>'Berekening wegingsfactoren'!$F$499*'Aggregatie Volumes TD'!N264</f>
        <v>728261.19575677288</v>
      </c>
      <c r="O75" s="98">
        <f>'Berekening wegingsfactoren'!$F$499*'Aggregatie Volumes TD'!O264</f>
        <v>0</v>
      </c>
    </row>
    <row r="76" spans="2:15">
      <c r="B76" s="89" t="s">
        <v>205</v>
      </c>
      <c r="D76" s="51" t="s">
        <v>130</v>
      </c>
      <c r="F76" s="107">
        <f>SUM(G76:O76)</f>
        <v>68702059.326646015</v>
      </c>
      <c r="G76" s="98">
        <f>'Berekening wegingsfactoren'!$F$503*'Aggregatie Volumes TD'!G268</f>
        <v>820677.82554268057</v>
      </c>
      <c r="H76" s="98">
        <f>'Berekening wegingsfactoren'!$F$503*'Aggregatie Volumes TD'!H268</f>
        <v>1553733.4065228393</v>
      </c>
      <c r="I76" s="98">
        <f>'Berekening wegingsfactoren'!$F$503*'Aggregatie Volumes TD'!I268</f>
        <v>3889440.1216624719</v>
      </c>
      <c r="J76" s="98">
        <f>'Berekening wegingsfactoren'!$F$503*'Aggregatie Volumes TD'!J268</f>
        <v>19315730.800814781</v>
      </c>
      <c r="K76" s="98">
        <f>'Berekening wegingsfactoren'!$F$503*'Aggregatie Volumes TD'!K268</f>
        <v>17297051.212960321</v>
      </c>
      <c r="L76" s="98">
        <f>'Berekening wegingsfactoren'!$F$503*'Aggregatie Volumes TD'!L268</f>
        <v>775268.45273034845</v>
      </c>
      <c r="M76" s="98">
        <f>'Berekening wegingsfactoren'!$F$503*'Aggregatie Volumes TD'!M268</f>
        <v>16700765.950708186</v>
      </c>
      <c r="N76" s="98">
        <f>'Berekening wegingsfactoren'!$F$503*'Aggregatie Volumes TD'!N268</f>
        <v>8349391.5557043906</v>
      </c>
      <c r="O76" s="98">
        <f>'Berekening wegingsfactoren'!$F$503*'Aggregatie Volumes TD'!O268</f>
        <v>0</v>
      </c>
    </row>
    <row r="77" spans="2:15">
      <c r="B77" s="92"/>
    </row>
    <row r="78" spans="2:15">
      <c r="B78" s="88" t="s">
        <v>213</v>
      </c>
      <c r="D78" s="51" t="s">
        <v>130</v>
      </c>
      <c r="F78" s="150">
        <f>SUM(G78:O78)</f>
        <v>943263585.93161583</v>
      </c>
      <c r="G78" s="98">
        <f t="shared" ref="G78:O78" si="3">SUM(G67:G68,G71:G72,G75:G76)</f>
        <v>18677553.114832778</v>
      </c>
      <c r="H78" s="98">
        <f t="shared" si="3"/>
        <v>24260297.865309078</v>
      </c>
      <c r="I78" s="98">
        <f t="shared" si="3"/>
        <v>54153037.228630617</v>
      </c>
      <c r="J78" s="98">
        <f t="shared" si="3"/>
        <v>277235691.9477663</v>
      </c>
      <c r="K78" s="98">
        <f t="shared" si="3"/>
        <v>292802384.01520991</v>
      </c>
      <c r="L78" s="98">
        <f t="shared" si="3"/>
        <v>13599413.064048961</v>
      </c>
      <c r="M78" s="98">
        <f t="shared" si="3"/>
        <v>245410574.24621382</v>
      </c>
      <c r="N78" s="98">
        <f t="shared" si="3"/>
        <v>17124634.449604355</v>
      </c>
      <c r="O78" s="98">
        <f t="shared" si="3"/>
        <v>0</v>
      </c>
    </row>
    <row r="81" spans="2:17" s="9" customFormat="1">
      <c r="B81" s="2" t="s">
        <v>499</v>
      </c>
    </row>
    <row r="83" spans="2:17">
      <c r="B83" s="27" t="s">
        <v>523</v>
      </c>
      <c r="D83" s="78"/>
    </row>
    <row r="84" spans="2:17">
      <c r="B84" s="27" t="s">
        <v>500</v>
      </c>
      <c r="D84" s="78"/>
    </row>
    <row r="85" spans="2:17">
      <c r="B85" s="3"/>
      <c r="D85" s="78"/>
    </row>
    <row r="86" spans="2:17">
      <c r="B86" s="3" t="s">
        <v>501</v>
      </c>
      <c r="D86" s="78"/>
    </row>
    <row r="87" spans="2:17">
      <c r="B87" s="51" t="s">
        <v>141</v>
      </c>
      <c r="D87" s="51" t="s">
        <v>130</v>
      </c>
      <c r="F87" s="98">
        <f>SUMPRODUCT('Berekening wegingsfactoren'!F491:F499,'Berekening rekenvolumes'!F10:F18)+'Berekening wegingsfactoren'!F503*'Berekening rekenvolumes'!F22</f>
        <v>944610534.02992594</v>
      </c>
      <c r="G87" s="147"/>
    </row>
    <row r="88" spans="2:17">
      <c r="B88" s="51" t="s">
        <v>440</v>
      </c>
      <c r="D88" s="51" t="s">
        <v>130</v>
      </c>
      <c r="F88" s="98">
        <f>SUMPRODUCT('Berekening wegingsfactoren'!F516:F626,'Berekening rekenvolumes'!F35:F145)</f>
        <v>233322670.63837898</v>
      </c>
    </row>
    <row r="89" spans="2:17">
      <c r="B89" s="51" t="s">
        <v>104</v>
      </c>
      <c r="D89" s="51" t="s">
        <v>130</v>
      </c>
      <c r="F89" s="150">
        <f>F87+F88</f>
        <v>1177933204.6683049</v>
      </c>
      <c r="Q89" s="78" t="s">
        <v>579</v>
      </c>
    </row>
    <row r="90" spans="2:17">
      <c r="B90" s="3"/>
      <c r="D90" s="78"/>
    </row>
    <row r="92" spans="2:17" s="9" customFormat="1">
      <c r="B92" s="2" t="s">
        <v>50</v>
      </c>
    </row>
    <row r="94" spans="2:17">
      <c r="B94" s="3" t="s">
        <v>207</v>
      </c>
      <c r="D94" s="78"/>
    </row>
    <row r="96" spans="2:17">
      <c r="B96" s="88" t="s">
        <v>200</v>
      </c>
    </row>
    <row r="97" spans="2:17">
      <c r="B97" s="89" t="s">
        <v>201</v>
      </c>
      <c r="D97" s="51" t="s">
        <v>130</v>
      </c>
      <c r="F97" s="107">
        <f>SUM(G97:O97)</f>
        <v>125533854.04863171</v>
      </c>
      <c r="G97" s="98">
        <f>'Berekening wegingsfactoren'!$F$755*'Berekening rekenvolumes'!G10</f>
        <v>2460004.1538461535</v>
      </c>
      <c r="H97" s="98">
        <f>'Berekening wegingsfactoren'!$F$755*'Berekening rekenvolumes'!H10</f>
        <v>3335249</v>
      </c>
      <c r="I97" s="98">
        <f>'Berekening wegingsfactoren'!$F$755*'Berekening rekenvolumes'!I10</f>
        <v>7015242</v>
      </c>
      <c r="J97" s="98">
        <f>'Berekening wegingsfactoren'!$F$755*'Berekening rekenvolumes'!J10</f>
        <v>36335481.066730432</v>
      </c>
      <c r="K97" s="98">
        <f>'Berekening wegingsfactoren'!$F$755*'Berekening rekenvolumes'!K10</f>
        <v>39810433.299085908</v>
      </c>
      <c r="L97" s="98">
        <f>'Berekening wegingsfactoren'!$F$755*'Berekening rekenvolumes'!L10</f>
        <v>1820733.5999999999</v>
      </c>
      <c r="M97" s="98">
        <f>'Berekening wegingsfactoren'!$F$755*'Berekening rekenvolumes'!M10</f>
        <v>33859604.852220193</v>
      </c>
      <c r="N97" s="98">
        <f>'Berekening wegingsfactoren'!$F$755*'Berekening rekenvolumes'!N10</f>
        <v>897106.07674902538</v>
      </c>
      <c r="O97" s="98">
        <f>'Berekening wegingsfactoren'!$F$755*'Berekening rekenvolumes'!O10</f>
        <v>0</v>
      </c>
      <c r="Q97" s="51" t="s">
        <v>568</v>
      </c>
    </row>
    <row r="98" spans="2:17">
      <c r="B98" s="90" t="s">
        <v>202</v>
      </c>
      <c r="D98" s="51" t="s">
        <v>130</v>
      </c>
      <c r="F98" s="107">
        <f>SUM(G98:O98)</f>
        <v>673054423.06116092</v>
      </c>
      <c r="G98" s="98">
        <f>'Berekening wegingsfactoren'!$F$756*'Berekening rekenvolumes'!G11</f>
        <v>14206173.876464965</v>
      </c>
      <c r="H98" s="98">
        <f>'Berekening wegingsfactoren'!$F$756*'Berekening rekenvolumes'!H11</f>
        <v>18028552.908958472</v>
      </c>
      <c r="I98" s="98">
        <f>'Berekening wegingsfactoren'!$F$756*'Berekening rekenvolumes'!I11</f>
        <v>39442321.454020187</v>
      </c>
      <c r="J98" s="98">
        <f>'Berekening wegingsfactoren'!$F$756*'Berekening rekenvolumes'!J11</f>
        <v>200624923.77728325</v>
      </c>
      <c r="K98" s="98">
        <f>'Berekening wegingsfactoren'!$F$756*'Berekening rekenvolumes'!K11</f>
        <v>210660279.26201135</v>
      </c>
      <c r="L98" s="98">
        <f>'Berekening wegingsfactoren'!$F$756*'Berekening rekenvolumes'!L11</f>
        <v>10205870.642235575</v>
      </c>
      <c r="M98" s="98">
        <f>'Berekening wegingsfactoren'!$F$756*'Berekening rekenvolumes'!M11</f>
        <v>175004125.17108148</v>
      </c>
      <c r="N98" s="98">
        <f>'Berekening wegingsfactoren'!$F$756*'Berekening rekenvolumes'!N11</f>
        <v>4882175.9691055454</v>
      </c>
      <c r="O98" s="98">
        <f>'Berekening wegingsfactoren'!$F$756*'Berekening rekenvolumes'!O11</f>
        <v>0</v>
      </c>
    </row>
    <row r="99" spans="2:17">
      <c r="B99" s="90"/>
    </row>
    <row r="100" spans="2:17">
      <c r="B100" s="91" t="s">
        <v>203</v>
      </c>
    </row>
    <row r="101" spans="2:17">
      <c r="B101" s="89" t="s">
        <v>201</v>
      </c>
      <c r="D101" s="51" t="s">
        <v>130</v>
      </c>
      <c r="F101" s="107">
        <f>SUM(G101:O101)</f>
        <v>546587.78899642755</v>
      </c>
      <c r="G101" s="98">
        <f>'Berekening wegingsfactoren'!$F$759*'Berekening rekenvolumes'!G14</f>
        <v>9170.7692307692323</v>
      </c>
      <c r="H101" s="98">
        <f>'Berekening wegingsfactoren'!$F$759*'Berekening rekenvolumes'!H14</f>
        <v>10100.005084745761</v>
      </c>
      <c r="I101" s="98">
        <f>'Berekening wegingsfactoren'!$F$759*'Berekening rekenvolumes'!I14</f>
        <v>30318.000000000004</v>
      </c>
      <c r="J101" s="98">
        <f>'Berekening wegingsfactoren'!$F$759*'Berekening rekenvolumes'!J14</f>
        <v>152002.13918877274</v>
      </c>
      <c r="K101" s="98">
        <f>'Berekening wegingsfactoren'!$F$759*'Berekening rekenvolumes'!K14</f>
        <v>175542.21111749468</v>
      </c>
      <c r="L101" s="98">
        <f>'Berekening wegingsfactoren'!$F$759*'Berekening rekenvolumes'!L14</f>
        <v>6362.4000000000015</v>
      </c>
      <c r="M101" s="98">
        <f>'Berekening wegingsfactoren'!$F$759*'Berekening rekenvolumes'!M14</f>
        <v>150017.48737095387</v>
      </c>
      <c r="N101" s="98">
        <f>'Berekening wegingsfactoren'!$F$759*'Berekening rekenvolumes'!N14</f>
        <v>13074.77700369131</v>
      </c>
      <c r="O101" s="98">
        <f>'Berekening wegingsfactoren'!$F$759*'Berekening rekenvolumes'!O14</f>
        <v>0</v>
      </c>
    </row>
    <row r="102" spans="2:17">
      <c r="B102" s="90" t="s">
        <v>202</v>
      </c>
      <c r="D102" s="51" t="s">
        <v>130</v>
      </c>
      <c r="F102" s="107">
        <f>SUM(G102:O102)</f>
        <v>69326528.005041853</v>
      </c>
      <c r="G102" s="98">
        <f>'Berekening wegingsfactoren'!$F$760*'Berekening rekenvolumes'!G15</f>
        <v>1041260.760797678</v>
      </c>
      <c r="H102" s="98">
        <f>'Berekening wegingsfactoren'!$F$760*'Berekening rekenvolumes'!H15</f>
        <v>1173083.8920825596</v>
      </c>
      <c r="I102" s="98">
        <f>'Berekening wegingsfactoren'!$F$760*'Berekening rekenvolumes'!I15</f>
        <v>3284385.5963609307</v>
      </c>
      <c r="J102" s="98">
        <f>'Berekening wegingsfactoren'!$F$760*'Berekening rekenvolumes'!J15</f>
        <v>19128602.101873886</v>
      </c>
      <c r="K102" s="98">
        <f>'Berekening wegingsfactoren'!$F$760*'Berekening rekenvolumes'!K15</f>
        <v>21056171.500556648</v>
      </c>
      <c r="L102" s="98">
        <f>'Berekening wegingsfactoren'!$F$760*'Berekening rekenvolumes'!L15</f>
        <v>703882.20812441828</v>
      </c>
      <c r="M102" s="98">
        <f>'Berekening wegingsfactoren'!$F$760*'Berekening rekenvolumes'!M15</f>
        <v>20575339.702854682</v>
      </c>
      <c r="N102" s="98">
        <f>'Berekening wegingsfactoren'!$F$760*'Berekening rekenvolumes'!N15</f>
        <v>2363802.2423910475</v>
      </c>
      <c r="O102" s="98">
        <f>'Berekening wegingsfactoren'!$F$760*'Berekening rekenvolumes'!O15</f>
        <v>0</v>
      </c>
    </row>
    <row r="103" spans="2:17">
      <c r="B103" s="90"/>
    </row>
    <row r="104" spans="2:17">
      <c r="B104" s="88" t="s">
        <v>204</v>
      </c>
    </row>
    <row r="105" spans="2:17">
      <c r="B105" s="89" t="s">
        <v>201</v>
      </c>
      <c r="D105" s="51" t="s">
        <v>130</v>
      </c>
      <c r="F105" s="107">
        <f>SUM(G105:O105)</f>
        <v>6863398.0389929563</v>
      </c>
      <c r="G105" s="98">
        <f>'Berekening wegingsfactoren'!$F$763*'Berekening rekenvolumes'!G18</f>
        <v>88162.412164625057</v>
      </c>
      <c r="H105" s="98">
        <f>'Berekening wegingsfactoren'!$F$763*'Berekening rekenvolumes'!H18</f>
        <v>143285.52820186981</v>
      </c>
      <c r="I105" s="98">
        <f>'Berekening wegingsfactoren'!$F$763*'Berekening rekenvolumes'!I18</f>
        <v>389729.72201009258</v>
      </c>
      <c r="J105" s="98">
        <f>'Berekening wegingsfactoren'!$F$763*'Berekening rekenvolumes'!J18</f>
        <v>1803223.9815207957</v>
      </c>
      <c r="K105" s="98">
        <f>'Berekening wegingsfactoren'!$F$763*'Berekening rekenvolumes'!K18</f>
        <v>2008805.7409040832</v>
      </c>
      <c r="L105" s="98">
        <f>'Berekening wegingsfactoren'!$F$763*'Berekening rekenvolumes'!L18</f>
        <v>69964.653088997453</v>
      </c>
      <c r="M105" s="98">
        <f>'Berekening wegingsfactoren'!$F$763*'Berekening rekenvolumes'!M18</f>
        <v>1607653.3707326236</v>
      </c>
      <c r="N105" s="98">
        <f>'Berekening wegingsfactoren'!$F$763*'Berekening rekenvolumes'!N18</f>
        <v>752572.63036986836</v>
      </c>
      <c r="O105" s="98">
        <f>'Berekening wegingsfactoren'!$F$763*'Berekening rekenvolumes'!O18</f>
        <v>0</v>
      </c>
    </row>
    <row r="106" spans="2:17">
      <c r="B106" s="89" t="s">
        <v>205</v>
      </c>
      <c r="D106" s="51" t="s">
        <v>130</v>
      </c>
      <c r="F106" s="107">
        <f>SUM(G106:O106)</f>
        <v>69285743.08710219</v>
      </c>
      <c r="G106" s="98">
        <f>'Berekening wegingsfactoren'!$F$767*'Berekening rekenvolumes'!G22</f>
        <v>798034.49925175437</v>
      </c>
      <c r="H106" s="98">
        <f>'Berekening wegingsfactoren'!$F$767*'Berekening rekenvolumes'!H22</f>
        <v>1580372.7433798006</v>
      </c>
      <c r="I106" s="98">
        <f>'Berekening wegingsfactoren'!$F$767*'Berekening rekenvolumes'!I22</f>
        <v>3987047.2985729915</v>
      </c>
      <c r="J106" s="98">
        <f>'Berekening wegingsfactoren'!$F$767*'Berekening rekenvolumes'!J22</f>
        <v>19401843.382955585</v>
      </c>
      <c r="K106" s="98">
        <f>'Berekening wegingsfactoren'!$F$767*'Berekening rekenvolumes'!K22</f>
        <v>17306564.084691685</v>
      </c>
      <c r="L106" s="98">
        <f>'Berekening wegingsfactoren'!$F$767*'Berekening rekenvolumes'!L22</f>
        <v>784238.14656448213</v>
      </c>
      <c r="M106" s="98">
        <f>'Berekening wegingsfactoren'!$F$767*'Berekening rekenvolumes'!M22</f>
        <v>16903076.396463364</v>
      </c>
      <c r="N106" s="98">
        <f>'Berekening wegingsfactoren'!$F$767*'Berekening rekenvolumes'!N22</f>
        <v>8524566.5352225248</v>
      </c>
      <c r="O106" s="98">
        <f>'Berekening wegingsfactoren'!$F$767*'Berekening rekenvolumes'!O22</f>
        <v>0</v>
      </c>
    </row>
    <row r="107" spans="2:17">
      <c r="B107" s="31"/>
    </row>
    <row r="108" spans="2:17">
      <c r="B108" s="88" t="s">
        <v>206</v>
      </c>
    </row>
    <row r="109" spans="2:17">
      <c r="B109" s="89" t="s">
        <v>201</v>
      </c>
      <c r="D109" s="51" t="s">
        <v>130</v>
      </c>
      <c r="F109" s="107">
        <f>SUM(G109:O109)</f>
        <v>5193.9651062098756</v>
      </c>
      <c r="G109" s="28"/>
      <c r="H109" s="98">
        <f>'Berekening wegingsfactoren'!$H$770*'Berekening rekenvolumes'!H25</f>
        <v>3111.614546986767</v>
      </c>
      <c r="I109" s="28"/>
      <c r="J109" s="98">
        <f>'Berekening wegingsfactoren'!$J$770*'Berekening rekenvolumes'!J25</f>
        <v>803.98446147519428</v>
      </c>
      <c r="K109" s="28"/>
      <c r="L109" s="28"/>
      <c r="M109" s="28"/>
      <c r="N109" s="28"/>
      <c r="O109" s="98">
        <f>'Berekening wegingsfactoren'!$O$770*'Berekening rekenvolumes'!O25</f>
        <v>1278.3660977479142</v>
      </c>
    </row>
    <row r="110" spans="2:17">
      <c r="B110" s="89" t="s">
        <v>202</v>
      </c>
      <c r="D110" s="51" t="s">
        <v>130</v>
      </c>
      <c r="F110" s="107">
        <f>SUM(G110:O110)</f>
        <v>7584232.2116608918</v>
      </c>
      <c r="G110" s="28"/>
      <c r="H110" s="98">
        <f>'Berekening wegingsfactoren'!$H$771*'Berekening rekenvolumes'!H26</f>
        <v>1979171.2389454378</v>
      </c>
      <c r="I110" s="28"/>
      <c r="J110" s="98">
        <f>'Berekening wegingsfactoren'!$J$771*'Berekening rekenvolumes'!J26</f>
        <v>646884.04946280003</v>
      </c>
      <c r="K110" s="28"/>
      <c r="L110" s="28"/>
      <c r="M110" s="28"/>
      <c r="N110" s="28"/>
      <c r="O110" s="98">
        <f>'Berekening wegingsfactoren'!$O$771*'Berekening rekenvolumes'!O26</f>
        <v>4958176.9232526543</v>
      </c>
    </row>
    <row r="111" spans="2:17">
      <c r="B111" s="92"/>
    </row>
    <row r="112" spans="2:17">
      <c r="B112" s="88" t="s">
        <v>213</v>
      </c>
      <c r="D112" s="51" t="s">
        <v>130</v>
      </c>
      <c r="F112" s="107">
        <f>SUM(G112:O112)</f>
        <v>952199960.20669317</v>
      </c>
      <c r="G112" s="98">
        <f>SUM(G97:G98,G101:G102,G105:G106,G109:G110)</f>
        <v>18602806.471755944</v>
      </c>
      <c r="H112" s="98">
        <f t="shared" ref="H112:O112" si="4">SUM(H97:H98,H101:H102,H105:H106,H109:H110)</f>
        <v>26252926.931199878</v>
      </c>
      <c r="I112" s="98">
        <f t="shared" si="4"/>
        <v>54149044.070964202</v>
      </c>
      <c r="J112" s="98">
        <f t="shared" si="4"/>
        <v>278093764.483477</v>
      </c>
      <c r="K112" s="98">
        <f t="shared" si="4"/>
        <v>291017796.09836721</v>
      </c>
      <c r="L112" s="98">
        <f t="shared" si="4"/>
        <v>13591051.650013473</v>
      </c>
      <c r="M112" s="98">
        <f t="shared" si="4"/>
        <v>248099816.98072332</v>
      </c>
      <c r="N112" s="98">
        <f t="shared" si="4"/>
        <v>17433298.230841704</v>
      </c>
      <c r="O112" s="98">
        <f t="shared" si="4"/>
        <v>4959455.2893504025</v>
      </c>
    </row>
    <row r="114" spans="2:15">
      <c r="F114" s="28"/>
    </row>
    <row r="115" spans="2:15">
      <c r="B115" s="3" t="s">
        <v>208</v>
      </c>
      <c r="F115" s="28"/>
    </row>
    <row r="116" spans="2:15">
      <c r="F116" s="28"/>
    </row>
    <row r="117" spans="2:15">
      <c r="B117" s="3" t="s">
        <v>484</v>
      </c>
      <c r="F117" s="28"/>
    </row>
    <row r="118" spans="2:15">
      <c r="B118" s="51" t="s">
        <v>485</v>
      </c>
      <c r="D118" s="51" t="s">
        <v>130</v>
      </c>
      <c r="F118" s="107">
        <f>SUM(G118:O118)</f>
        <v>173172801.5100331</v>
      </c>
      <c r="G118" s="98">
        <f>SUMPRODUCT('Berekening wegingsfactoren'!$F$516:$F$558,'Berekening rekenvolumes'!G35:G77)</f>
        <v>3388716.9839007752</v>
      </c>
      <c r="H118" s="98">
        <f>SUMPRODUCT('Berekening wegingsfactoren'!$F$516:$F$558,'Berekening rekenvolumes'!H35:H77)</f>
        <v>4566959.6293040039</v>
      </c>
      <c r="I118" s="98">
        <f>SUMPRODUCT('Berekening wegingsfactoren'!$F$516:$F$558,'Berekening rekenvolumes'!I35:I77)</f>
        <v>9753365.1422339305</v>
      </c>
      <c r="J118" s="98">
        <f>SUMPRODUCT('Berekening wegingsfactoren'!$F$516:$F$558,'Berekening rekenvolumes'!J35:J77)</f>
        <v>50214835.058979996</v>
      </c>
      <c r="K118" s="98">
        <f>SUMPRODUCT('Berekening wegingsfactoren'!$F$516:$F$558,'Berekening rekenvolumes'!K35:K77)</f>
        <v>54774482.946618706</v>
      </c>
      <c r="L118" s="98">
        <f>SUMPRODUCT('Berekening wegingsfactoren'!$F$516:$F$558,'Berekening rekenvolumes'!L35:L77)</f>
        <v>2504435.3853956335</v>
      </c>
      <c r="M118" s="98">
        <f>SUMPRODUCT('Berekening wegingsfactoren'!$F$516:$F$558,'Berekening rekenvolumes'!M35:M77)</f>
        <v>46452022.498280309</v>
      </c>
      <c r="N118" s="98">
        <f>SUMPRODUCT('Berekening wegingsfactoren'!$F$516:$F$558,'Berekening rekenvolumes'!N35:N77)</f>
        <v>1517983.8653197724</v>
      </c>
      <c r="O118" s="98">
        <f>SUMPRODUCT('Berekening wegingsfactoren'!$F$516:$F$558,'Berekening rekenvolumes'!O35:O77)</f>
        <v>0</v>
      </c>
    </row>
    <row r="119" spans="2:15">
      <c r="B119" s="51" t="s">
        <v>483</v>
      </c>
      <c r="D119" s="51" t="s">
        <v>130</v>
      </c>
      <c r="F119" s="107">
        <f>SUM(G119:O119)</f>
        <v>397978.62338523311</v>
      </c>
      <c r="H119" s="98">
        <f>'Berekening wegingsfactoren'!$H$777*'Berekening rekenvolumes'!H77</f>
        <v>1325.3007681995111</v>
      </c>
      <c r="J119" s="98">
        <f>'Berekening wegingsfactoren'!$J$777*'Berekening rekenvolumes'!J77</f>
        <v>396653.32261703361</v>
      </c>
      <c r="O119" s="98">
        <f>'Berekening wegingsfactoren'!$O$777*'Berekening rekenvolumes'!O77</f>
        <v>0</v>
      </c>
    </row>
    <row r="120" spans="2:15">
      <c r="F120" s="28"/>
    </row>
    <row r="121" spans="2:15">
      <c r="B121" s="3" t="s">
        <v>486</v>
      </c>
      <c r="F121" s="28"/>
    </row>
    <row r="122" spans="2:15">
      <c r="B122" s="51" t="s">
        <v>487</v>
      </c>
      <c r="D122" s="51" t="s">
        <v>130</v>
      </c>
      <c r="F122" s="107">
        <f>SUM(G122:O122)</f>
        <v>56917930.218127482</v>
      </c>
      <c r="G122" s="98">
        <f>SUMPRODUCT('Berekening wegingsfactoren'!$F$566:$F$578,'Berekening rekenvolumes'!G85:G97)+SUMPRODUCT('Berekening wegingsfactoren'!$F$602:$F$626*'Berekening rekenvolumes'!G121:G145)</f>
        <v>1169507.6502758586</v>
      </c>
      <c r="H122" s="98">
        <f>SUMPRODUCT('Berekening wegingsfactoren'!$F$566:$F$578,'Berekening rekenvolumes'!H85:H97)+SUMPRODUCT('Berekening wegingsfactoren'!$F$602:$F$626*'Berekening rekenvolumes'!H121:H145)</f>
        <v>1710778.293222256</v>
      </c>
      <c r="I122" s="98">
        <f>SUMPRODUCT('Berekening wegingsfactoren'!$F$566:$F$578,'Berekening rekenvolumes'!I85:I97)+SUMPRODUCT('Berekening wegingsfactoren'!$F$602:$F$626*'Berekening rekenvolumes'!I121:I145)</f>
        <v>3599720.0396547131</v>
      </c>
      <c r="J122" s="98">
        <f>SUMPRODUCT('Berekening wegingsfactoren'!$F$566:$F$578,'Berekening rekenvolumes'!J85:J97)+SUMPRODUCT('Berekening wegingsfactoren'!$F$602:$F$626*'Berekening rekenvolumes'!J121:J145)</f>
        <v>16167660.514865048</v>
      </c>
      <c r="K122" s="98">
        <f>SUMPRODUCT('Berekening wegingsfactoren'!$F$566:$F$578,'Berekening rekenvolumes'!K85:K97)+SUMPRODUCT('Berekening wegingsfactoren'!$F$602:$F$626*'Berekening rekenvolumes'!K121:K145)</f>
        <v>18564339.602211311</v>
      </c>
      <c r="L122" s="98">
        <f>SUMPRODUCT('Berekening wegingsfactoren'!$F$566:$F$578,'Berekening rekenvolumes'!L85:L97)+SUMPRODUCT('Berekening wegingsfactoren'!$F$602:$F$626*'Berekening rekenvolumes'!L121:L145)</f>
        <v>756123.26062583004</v>
      </c>
      <c r="M122" s="98">
        <f>SUMPRODUCT('Berekening wegingsfactoren'!$F$566:$F$578,'Berekening rekenvolumes'!M85:M97)+SUMPRODUCT('Berekening wegingsfactoren'!$F$602:$F$626*'Berekening rekenvolumes'!M121:M145)</f>
        <v>14269520.628354378</v>
      </c>
      <c r="N122" s="98">
        <f>SUMPRODUCT('Berekening wegingsfactoren'!$F$566:$F$578,'Berekening rekenvolumes'!N85:N97)+SUMPRODUCT('Berekening wegingsfactoren'!$F$602:$F$626*'Berekening rekenvolumes'!N121:N145)</f>
        <v>680280.22891808068</v>
      </c>
      <c r="O122" s="98">
        <f>SUMPRODUCT('Berekening wegingsfactoren'!$F$566:$F$578,'Berekening rekenvolumes'!O85:O97)+SUMPRODUCT('Berekening wegingsfactoren'!$F$602:$F$626*'Berekening rekenvolumes'!O121:O145)</f>
        <v>0</v>
      </c>
    </row>
    <row r="123" spans="2:15">
      <c r="B123" s="51" t="s">
        <v>488</v>
      </c>
      <c r="D123" s="51" t="s">
        <v>130</v>
      </c>
      <c r="F123" s="107">
        <f>SUM(G123:O123)</f>
        <v>0</v>
      </c>
      <c r="H123" s="98">
        <f>'Berekening wegingsfactoren'!$H$778*'Berekening rekenvolumes'!H145</f>
        <v>0</v>
      </c>
      <c r="J123" s="98">
        <f>'Berekening wegingsfactoren'!$J$778*'Berekening rekenvolumes'!J145</f>
        <v>0</v>
      </c>
      <c r="O123" s="98">
        <f>'Berekening wegingsfactoren'!$O$778*'Berekening rekenvolumes'!O145</f>
        <v>0</v>
      </c>
    </row>
    <row r="124" spans="2:15">
      <c r="F124" s="28"/>
    </row>
    <row r="125" spans="2:15">
      <c r="B125" s="3" t="s">
        <v>489</v>
      </c>
      <c r="F125" s="28"/>
    </row>
    <row r="126" spans="2:15">
      <c r="B126" s="51" t="s">
        <v>490</v>
      </c>
      <c r="D126" s="51" t="s">
        <v>130</v>
      </c>
      <c r="F126" s="107">
        <f>SUM(G126:O126)</f>
        <v>3231938.9102183962</v>
      </c>
      <c r="G126" s="98">
        <f>SUMPRODUCT('Berekening wegingsfactoren'!$F$584:$F$596,'Berekening rekenvolumes'!G103:G115)</f>
        <v>99864.396060804531</v>
      </c>
      <c r="H126" s="98">
        <f>SUMPRODUCT('Berekening wegingsfactoren'!$F$584:$F$596,'Berekening rekenvolumes'!H103:H115)</f>
        <v>74026.874706786068</v>
      </c>
      <c r="I126" s="98">
        <f>SUMPRODUCT('Berekening wegingsfactoren'!$F$584:$F$596,'Berekening rekenvolumes'!I103:I115)</f>
        <v>169030.35391246795</v>
      </c>
      <c r="J126" s="98">
        <f>SUMPRODUCT('Berekening wegingsfactoren'!$F$584:$F$596,'Berekening rekenvolumes'!J103:J115)</f>
        <v>1285211.4965104868</v>
      </c>
      <c r="K126" s="98">
        <f>SUMPRODUCT('Berekening wegingsfactoren'!$F$584:$F$596,'Berekening rekenvolumes'!K103:K115)</f>
        <v>922516.19982395764</v>
      </c>
      <c r="L126" s="98">
        <f>SUMPRODUCT('Berekening wegingsfactoren'!$F$584:$F$596,'Berekening rekenvolumes'!L103:L115)</f>
        <v>60478.705900968234</v>
      </c>
      <c r="M126" s="98">
        <f>SUMPRODUCT('Berekening wegingsfactoren'!$F$584:$F$596,'Berekening rekenvolumes'!M103:M115)</f>
        <v>586153.97153401934</v>
      </c>
      <c r="N126" s="98">
        <f>SUMPRODUCT('Berekening wegingsfactoren'!$F$584:$F$596,'Berekening rekenvolumes'!N103:N115)</f>
        <v>34656.911768905862</v>
      </c>
      <c r="O126" s="98">
        <f>SUMPRODUCT('Berekening wegingsfactoren'!$F$584:$F$596,'Berekening rekenvolumes'!O103:O115)</f>
        <v>0</v>
      </c>
    </row>
    <row r="127" spans="2:15">
      <c r="B127" s="51" t="s">
        <v>491</v>
      </c>
      <c r="D127" s="51" t="s">
        <v>130</v>
      </c>
      <c r="F127" s="107">
        <f>SUM(G127:O127)</f>
        <v>0</v>
      </c>
      <c r="H127" s="161"/>
      <c r="J127" s="161"/>
      <c r="O127" s="161"/>
    </row>
    <row r="128" spans="2:15">
      <c r="F128" s="28"/>
    </row>
    <row r="129" spans="2:15">
      <c r="B129" s="88" t="s">
        <v>214</v>
      </c>
      <c r="D129" s="51" t="s">
        <v>130</v>
      </c>
      <c r="F129" s="107">
        <f>SUM(G129:O129)</f>
        <v>233720649.2617642</v>
      </c>
      <c r="G129" s="107">
        <f>SUM(G118:G119,G122:G123,G126:G127)</f>
        <v>4658089.0302374391</v>
      </c>
      <c r="H129" s="107">
        <f t="shared" ref="H129:O129" si="5">SUM(H118:H119,H122:H123,H126:H127)</f>
        <v>6353090.0980012454</v>
      </c>
      <c r="I129" s="107">
        <f t="shared" si="5"/>
        <v>13522115.535801111</v>
      </c>
      <c r="J129" s="107">
        <f t="shared" si="5"/>
        <v>68064360.392972559</v>
      </c>
      <c r="K129" s="107">
        <f t="shared" si="5"/>
        <v>74261338.748653978</v>
      </c>
      <c r="L129" s="107">
        <f t="shared" si="5"/>
        <v>3321037.3519224315</v>
      </c>
      <c r="M129" s="107">
        <f t="shared" si="5"/>
        <v>61307697.098168708</v>
      </c>
      <c r="N129" s="107">
        <f t="shared" si="5"/>
        <v>2232921.0060067587</v>
      </c>
      <c r="O129" s="107">
        <f t="shared" si="5"/>
        <v>0</v>
      </c>
    </row>
    <row r="130" spans="2:15">
      <c r="F130" s="54"/>
    </row>
    <row r="131" spans="2:15">
      <c r="B131" s="3" t="s">
        <v>215</v>
      </c>
      <c r="D131" s="51" t="s">
        <v>130</v>
      </c>
      <c r="F131" s="150">
        <f>SUM(G131:O131)</f>
        <v>1185920609.4684575</v>
      </c>
      <c r="G131" s="150">
        <f>G112+G129</f>
        <v>23260895.501993384</v>
      </c>
      <c r="H131" s="150">
        <f t="shared" ref="H131:O131" si="6">H112+H129</f>
        <v>32606017.029201124</v>
      </c>
      <c r="I131" s="150">
        <f t="shared" si="6"/>
        <v>67671159.606765315</v>
      </c>
      <c r="J131" s="150">
        <f t="shared" si="6"/>
        <v>346158124.87644958</v>
      </c>
      <c r="K131" s="150">
        <f t="shared" si="6"/>
        <v>365279134.84702122</v>
      </c>
      <c r="L131" s="150">
        <f t="shared" si="6"/>
        <v>16912089.001935903</v>
      </c>
      <c r="M131" s="150">
        <f t="shared" si="6"/>
        <v>309407514.07889205</v>
      </c>
      <c r="N131" s="150">
        <f t="shared" si="6"/>
        <v>19666219.236848462</v>
      </c>
      <c r="O131" s="150">
        <f t="shared" si="6"/>
        <v>4959455.2893504025</v>
      </c>
    </row>
    <row r="133" spans="2:15">
      <c r="B133" s="51" t="s">
        <v>492</v>
      </c>
      <c r="D133" s="51" t="s">
        <v>130</v>
      </c>
      <c r="F133" s="107">
        <f>SUM(G133:O133)</f>
        <v>7987404.8001523353</v>
      </c>
      <c r="H133" s="98">
        <f>SUM(H109:H110,H119,H123,H127)</f>
        <v>1983608.1542606242</v>
      </c>
      <c r="J133" s="98">
        <f>SUM(J109:J110,J119,J123,J127)</f>
        <v>1044341.3565413088</v>
      </c>
      <c r="O133" s="98">
        <f>SUM(O109:O110,O119,O123,O127)</f>
        <v>4959455.2893504025</v>
      </c>
    </row>
  </sheetData>
  <phoneticPr fontId="4" type="noConversion"/>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DBE721"/>
  </sheetPr>
  <dimension ref="B1:O54"/>
  <sheetViews>
    <sheetView showGridLines="0" zoomScale="85" zoomScaleNormal="85" workbookViewId="0"/>
  </sheetViews>
  <sheetFormatPr defaultRowHeight="12.75"/>
  <cols>
    <col min="1" max="1" width="2.5703125" customWidth="1"/>
    <col min="2" max="2" width="63.140625" customWidth="1"/>
    <col min="3" max="3" width="2.5703125" customWidth="1"/>
    <col min="4" max="4" width="19.140625" customWidth="1"/>
    <col min="5" max="5" width="2.5703125" customWidth="1"/>
    <col min="6" max="13" width="17.28515625" customWidth="1"/>
    <col min="14" max="14" width="5.7109375" customWidth="1"/>
    <col min="15" max="15" width="16.140625" customWidth="1"/>
  </cols>
  <sheetData>
    <row r="1" spans="2:15" ht="12" customHeight="1"/>
    <row r="2" spans="2:15" s="1" customFormat="1" ht="18">
      <c r="B2" s="1" t="s">
        <v>88</v>
      </c>
      <c r="O2" s="5" t="s">
        <v>567</v>
      </c>
    </row>
    <row r="4" spans="2:15">
      <c r="B4" s="78" t="s">
        <v>700</v>
      </c>
    </row>
    <row r="5" spans="2:15">
      <c r="B5" s="78" t="s">
        <v>461</v>
      </c>
    </row>
    <row r="8" spans="2:15" s="2" customFormat="1">
      <c r="B8" s="2" t="s">
        <v>129</v>
      </c>
      <c r="G8" s="2">
        <v>2006</v>
      </c>
      <c r="H8" s="2">
        <v>2007</v>
      </c>
      <c r="I8" s="2">
        <v>2008</v>
      </c>
      <c r="J8" s="2">
        <v>2009</v>
      </c>
      <c r="K8" s="2">
        <v>2010</v>
      </c>
      <c r="L8" s="2">
        <v>2011</v>
      </c>
      <c r="M8" s="2">
        <v>2012</v>
      </c>
    </row>
    <row r="10" spans="2:15">
      <c r="B10" s="3" t="s">
        <v>114</v>
      </c>
      <c r="D10" s="13"/>
      <c r="E10" s="13"/>
      <c r="F10" s="13"/>
      <c r="G10" s="13"/>
    </row>
    <row r="11" spans="2:15">
      <c r="D11" s="14"/>
      <c r="E11" s="15"/>
      <c r="F11" s="15"/>
      <c r="G11" s="11"/>
      <c r="H11" s="11"/>
      <c r="I11" s="11"/>
      <c r="J11" s="13" t="s">
        <v>89</v>
      </c>
      <c r="K11" s="13" t="s">
        <v>70</v>
      </c>
      <c r="L11" s="13" t="s">
        <v>71</v>
      </c>
      <c r="M11" s="13" t="s">
        <v>72</v>
      </c>
    </row>
    <row r="12" spans="2:15">
      <c r="D12" s="11" t="s">
        <v>75</v>
      </c>
      <c r="G12" s="251"/>
      <c r="H12" s="251"/>
      <c r="I12" s="251"/>
      <c r="J12" s="40">
        <f>CPI!O43</f>
        <v>6.8537995909999649E-2</v>
      </c>
      <c r="K12" s="40">
        <f>CPI!P43</f>
        <v>6.5341969999999749E-2</v>
      </c>
      <c r="L12" s="40">
        <f>CPI!Q43</f>
        <v>4.9598000000000031E-2</v>
      </c>
      <c r="M12" s="40">
        <f>CPI!R43</f>
        <v>2.3E-2</v>
      </c>
      <c r="O12" t="s">
        <v>570</v>
      </c>
    </row>
    <row r="15" spans="2:15" s="2" customFormat="1">
      <c r="B15" s="2" t="s">
        <v>679</v>
      </c>
    </row>
    <row r="17" spans="2:15">
      <c r="B17" s="27" t="s">
        <v>701</v>
      </c>
      <c r="G17" s="3"/>
      <c r="H17" s="55"/>
      <c r="I17" s="55"/>
      <c r="J17" s="55"/>
    </row>
    <row r="18" spans="2:15">
      <c r="B18" s="27"/>
      <c r="G18" s="3"/>
      <c r="H18" s="55"/>
      <c r="I18" s="55"/>
      <c r="J18" s="55"/>
      <c r="O18" s="250"/>
    </row>
    <row r="19" spans="2:15" ht="12" customHeight="1">
      <c r="B19" t="s">
        <v>680</v>
      </c>
      <c r="D19" t="s">
        <v>135</v>
      </c>
      <c r="G19" s="495">
        <v>3.4336984622197176E-3</v>
      </c>
      <c r="H19" s="496"/>
      <c r="I19" s="496"/>
      <c r="J19" s="496"/>
      <c r="O19" s="78" t="s">
        <v>1352</v>
      </c>
    </row>
    <row r="20" spans="2:15" ht="12" customHeight="1">
      <c r="B20" t="s">
        <v>681</v>
      </c>
      <c r="D20" t="s">
        <v>135</v>
      </c>
      <c r="G20" s="496"/>
      <c r="H20" s="497">
        <f>'Aanpassing gegevens (aug. 2016)'!J204</f>
        <v>-9.6159535007804657E-3</v>
      </c>
      <c r="I20" s="496"/>
      <c r="J20" s="496"/>
      <c r="O20" s="78"/>
    </row>
    <row r="21" spans="2:15" ht="12" customHeight="1">
      <c r="B21" t="s">
        <v>682</v>
      </c>
      <c r="D21" t="s">
        <v>135</v>
      </c>
      <c r="G21" s="496"/>
      <c r="H21" s="496"/>
      <c r="I21" s="497">
        <f>'Aanpassing gegevens (aug. 2016)'!J205</f>
        <v>5.669638437281856E-3</v>
      </c>
      <c r="J21" s="496"/>
      <c r="O21" s="78"/>
    </row>
    <row r="22" spans="2:15" ht="12" customHeight="1">
      <c r="B22" t="s">
        <v>683</v>
      </c>
      <c r="D22" t="s">
        <v>135</v>
      </c>
      <c r="G22" s="496"/>
      <c r="H22" s="496"/>
      <c r="I22" s="496"/>
      <c r="J22" s="497">
        <f>'Aanpassing gegevens (aug. 2016)'!J206</f>
        <v>2.2718773518675534E-2</v>
      </c>
      <c r="O22" s="78"/>
    </row>
    <row r="23" spans="2:15" ht="12" customHeight="1">
      <c r="I23" s="63"/>
      <c r="J23" s="63"/>
      <c r="K23" s="63"/>
      <c r="L23" s="63"/>
    </row>
    <row r="25" spans="2:15" s="2" customFormat="1">
      <c r="B25" s="2" t="s">
        <v>528</v>
      </c>
    </row>
    <row r="27" spans="2:15">
      <c r="B27" s="27" t="s">
        <v>703</v>
      </c>
      <c r="G27" s="55"/>
      <c r="H27" s="55"/>
      <c r="I27" s="55"/>
    </row>
    <row r="28" spans="2:15">
      <c r="B28" s="244" t="s">
        <v>702</v>
      </c>
      <c r="G28" s="55"/>
      <c r="H28" s="55"/>
      <c r="I28" s="55"/>
    </row>
    <row r="29" spans="2:15">
      <c r="B29" s="252"/>
      <c r="G29" s="55"/>
      <c r="H29" s="55"/>
      <c r="I29" s="55"/>
      <c r="J29" s="3">
        <v>2009</v>
      </c>
      <c r="K29" s="3">
        <v>2010</v>
      </c>
      <c r="L29" s="3">
        <v>2011</v>
      </c>
      <c r="M29" s="3">
        <v>2012</v>
      </c>
    </row>
    <row r="30" spans="2:15">
      <c r="B30" s="3"/>
      <c r="G30" s="55"/>
      <c r="H30" s="55"/>
      <c r="I30" s="55"/>
    </row>
    <row r="31" spans="2:15">
      <c r="B31" s="51" t="s">
        <v>618</v>
      </c>
      <c r="G31" s="55"/>
      <c r="H31" s="55"/>
      <c r="I31" s="55"/>
      <c r="J31" s="134">
        <f>'Berekening OPEX TD'!F94</f>
        <v>302268430.01564598</v>
      </c>
      <c r="K31" s="134">
        <f>'Berekening OPEX TD'!F182</f>
        <v>267527403.24220866</v>
      </c>
      <c r="L31" s="134">
        <f>'Berekening OPEX TD'!F270</f>
        <v>270236087.42013168</v>
      </c>
      <c r="M31" s="134">
        <f>'Berekening OPEX TD'!F358</f>
        <v>269198219.12501919</v>
      </c>
    </row>
    <row r="32" spans="2:15">
      <c r="B32" s="51" t="s">
        <v>620</v>
      </c>
      <c r="G32" s="55"/>
      <c r="H32" s="55"/>
      <c r="I32" s="55"/>
      <c r="J32" s="134">
        <f>'Berekening kapitaalkosten TD'!F101</f>
        <v>502772715.63580364</v>
      </c>
      <c r="K32" s="134">
        <f>'Berekening kapitaalkosten TD'!F239</f>
        <v>507544315.15899956</v>
      </c>
      <c r="L32" s="197"/>
      <c r="M32" s="197"/>
    </row>
    <row r="33" spans="2:15">
      <c r="B33" s="51" t="s">
        <v>621</v>
      </c>
      <c r="G33" s="55"/>
      <c r="H33" s="55"/>
      <c r="I33" s="55"/>
      <c r="J33" s="197"/>
      <c r="K33" s="134">
        <f>'Berekening kapitaalkosten TD'!F240</f>
        <v>526748832.32546401</v>
      </c>
      <c r="L33" s="134">
        <f>'Berekening kapitaalkosten TD'!F383</f>
        <v>540264191.08956587</v>
      </c>
      <c r="M33" s="197"/>
    </row>
    <row r="34" spans="2:15">
      <c r="B34" s="51" t="s">
        <v>622</v>
      </c>
      <c r="G34" s="55"/>
      <c r="H34" s="55"/>
      <c r="I34" s="55"/>
      <c r="J34" s="197"/>
      <c r="K34" s="197"/>
      <c r="L34" s="134">
        <f>'Berekening kapitaalkosten TD'!F384</f>
        <v>559754013.15704811</v>
      </c>
      <c r="M34" s="134">
        <f>'Berekening kapitaalkosten TD'!F527</f>
        <v>582917325.63616467</v>
      </c>
    </row>
    <row r="35" spans="2:15">
      <c r="B35" s="51" t="s">
        <v>527</v>
      </c>
      <c r="D35" t="s">
        <v>90</v>
      </c>
      <c r="G35" s="55"/>
      <c r="H35" s="55"/>
      <c r="I35" s="55"/>
      <c r="J35" s="134">
        <f>'Data marktmodel'!H18</f>
        <v>5149000</v>
      </c>
      <c r="K35" s="134">
        <f>'Data marktmodel'!I18</f>
        <v>6309000</v>
      </c>
      <c r="L35" s="134">
        <f>'Data marktmodel'!J18</f>
        <v>6752000</v>
      </c>
      <c r="M35" s="134">
        <f>'Data marktmodel'!K18</f>
        <v>6934000</v>
      </c>
    </row>
    <row r="36" spans="2:15">
      <c r="B36" s="51"/>
      <c r="G36" s="55"/>
      <c r="H36" s="55"/>
      <c r="I36" s="55"/>
      <c r="J36" s="68"/>
      <c r="K36" s="68"/>
      <c r="L36" s="68"/>
      <c r="M36" s="68"/>
    </row>
    <row r="37" spans="2:15">
      <c r="B37" s="51" t="s">
        <v>623</v>
      </c>
      <c r="D37" t="s">
        <v>36</v>
      </c>
      <c r="G37" s="55"/>
      <c r="H37" s="55"/>
      <c r="I37" s="55"/>
      <c r="J37" s="155">
        <f>SUM(J31,J32,J35)*(1+J12)</f>
        <v>865718954.54043078</v>
      </c>
      <c r="K37" s="155">
        <f>SUM(K31,K32,K35)*(1+K12)</f>
        <v>832437673.8615582</v>
      </c>
      <c r="L37" s="197"/>
      <c r="M37" s="197"/>
    </row>
    <row r="38" spans="2:15">
      <c r="B38" s="51" t="s">
        <v>624</v>
      </c>
      <c r="D38" t="s">
        <v>36</v>
      </c>
      <c r="G38" s="55"/>
      <c r="H38" s="55"/>
      <c r="I38" s="55"/>
      <c r="J38" s="197"/>
      <c r="K38" s="155">
        <f>SUM(K31,K33,K35)*(1+K12)</f>
        <v>852897052.01257837</v>
      </c>
      <c r="L38" s="155">
        <f>SUM(L31,L33,L35)*(1+L12)</f>
        <v>857786357.01922154</v>
      </c>
      <c r="M38" s="197"/>
    </row>
    <row r="39" spans="2:15">
      <c r="B39" s="51" t="s">
        <v>625</v>
      </c>
      <c r="D39" t="s">
        <v>36</v>
      </c>
      <c r="G39" s="55"/>
      <c r="H39" s="55"/>
      <c r="I39" s="55"/>
      <c r="J39" s="197"/>
      <c r="K39" s="197"/>
      <c r="L39" s="155">
        <f>SUM(L31,L34,L35)*(1+L12)</f>
        <v>878242835.28160679</v>
      </c>
      <c r="M39" s="155">
        <f>SUM(M31,M34,M35)*(1+M12)</f>
        <v>878807684.29069102</v>
      </c>
    </row>
    <row r="40" spans="2:15">
      <c r="B40" s="51" t="s">
        <v>462</v>
      </c>
      <c r="D40" t="s">
        <v>91</v>
      </c>
      <c r="G40" s="55"/>
      <c r="H40" s="55"/>
      <c r="I40" s="55"/>
      <c r="J40" s="134">
        <f>'Standaardisatie Output'!F27</f>
        <v>942527412.86046362</v>
      </c>
      <c r="K40" s="134">
        <f>'Standaardisatie Output'!F44</f>
        <v>944974948.02083707</v>
      </c>
      <c r="L40" s="134">
        <f>'Standaardisatie Output'!F61</f>
        <v>945593068.13732529</v>
      </c>
      <c r="M40" s="134">
        <f>'Standaardisatie Output'!F78</f>
        <v>943263585.93161583</v>
      </c>
    </row>
    <row r="41" spans="2:15">
      <c r="B41" t="s">
        <v>92</v>
      </c>
      <c r="D41" t="s">
        <v>135</v>
      </c>
      <c r="G41" s="55"/>
      <c r="H41" s="55"/>
      <c r="I41" s="55"/>
      <c r="J41" s="3"/>
      <c r="K41" s="498">
        <f>1-(K37/K40)/(J37/J40)</f>
        <v>4.0933998445390918E-2</v>
      </c>
      <c r="L41" s="498">
        <f>1-(L38/L40)/(K38/K40)</f>
        <v>-5.0751527634833593E-3</v>
      </c>
      <c r="M41" s="498">
        <f>1-(M39/M40)/(L39/L40)</f>
        <v>-3.1143448211270464E-3</v>
      </c>
      <c r="O41" s="51" t="s">
        <v>970</v>
      </c>
    </row>
    <row r="42" spans="2:15">
      <c r="B42" s="3"/>
      <c r="G42" s="55"/>
      <c r="H42" s="55"/>
      <c r="I42" s="55"/>
      <c r="J42" s="3"/>
      <c r="K42" s="3"/>
      <c r="L42" s="3"/>
      <c r="M42" s="3"/>
    </row>
    <row r="43" spans="2:15">
      <c r="B43" s="3"/>
      <c r="G43" s="55"/>
      <c r="H43" s="55"/>
      <c r="I43" s="55"/>
      <c r="J43" s="3"/>
      <c r="K43" s="3"/>
      <c r="L43" s="3"/>
      <c r="M43" s="3"/>
    </row>
    <row r="44" spans="2:15" s="2" customFormat="1">
      <c r="B44" s="2" t="s">
        <v>93</v>
      </c>
    </row>
    <row r="46" spans="2:15">
      <c r="B46" s="3" t="s">
        <v>1</v>
      </c>
      <c r="G46" s="3">
        <v>2006</v>
      </c>
      <c r="H46" s="3">
        <v>2007</v>
      </c>
      <c r="I46" s="3">
        <v>2008</v>
      </c>
      <c r="J46" s="3">
        <v>2009</v>
      </c>
      <c r="K46" s="3">
        <v>2010</v>
      </c>
      <c r="L46" s="3">
        <v>2011</v>
      </c>
      <c r="M46" s="3">
        <v>2012</v>
      </c>
    </row>
    <row r="48" spans="2:15">
      <c r="B48" t="s">
        <v>92</v>
      </c>
      <c r="D48" s="51" t="s">
        <v>135</v>
      </c>
      <c r="G48" s="499">
        <f>G19</f>
        <v>3.4336984622197176E-3</v>
      </c>
      <c r="H48" s="499">
        <f>H20</f>
        <v>-9.6159535007804657E-3</v>
      </c>
      <c r="I48" s="499">
        <f>I21</f>
        <v>5.669638437281856E-3</v>
      </c>
      <c r="J48" s="499">
        <f>J22</f>
        <v>2.2718773518675534E-2</v>
      </c>
      <c r="K48" s="499">
        <f>K41</f>
        <v>4.0933998445390918E-2</v>
      </c>
      <c r="L48" s="499">
        <f t="shared" ref="L48:M48" si="0">L41</f>
        <v>-5.0751527634833593E-3</v>
      </c>
      <c r="M48" s="499">
        <f t="shared" si="0"/>
        <v>-3.1143448211270464E-3</v>
      </c>
    </row>
    <row r="49" spans="2:15">
      <c r="B49" t="s">
        <v>95</v>
      </c>
      <c r="G49" s="77">
        <f t="shared" ref="G49:M49" si="1">G48+1</f>
        <v>1.0034336984622196</v>
      </c>
      <c r="H49" s="77">
        <f t="shared" si="1"/>
        <v>0.99038404649921952</v>
      </c>
      <c r="I49" s="77">
        <f>I48+1</f>
        <v>1.0056696384372819</v>
      </c>
      <c r="J49" s="77">
        <f t="shared" si="1"/>
        <v>1.0227187735186756</v>
      </c>
      <c r="K49" s="77">
        <f t="shared" si="1"/>
        <v>1.0409339984453909</v>
      </c>
      <c r="L49" s="77">
        <f t="shared" si="1"/>
        <v>0.99492484723651664</v>
      </c>
      <c r="M49" s="77">
        <f t="shared" si="1"/>
        <v>0.99688565517887295</v>
      </c>
    </row>
    <row r="51" spans="2:15">
      <c r="B51" t="s">
        <v>94</v>
      </c>
      <c r="D51" s="51" t="s">
        <v>135</v>
      </c>
      <c r="F51" s="500">
        <f>GEOMEAN(G49:M49)-1</f>
        <v>7.7145491791583698E-3</v>
      </c>
      <c r="O51" s="51" t="s">
        <v>971</v>
      </c>
    </row>
    <row r="53" spans="2:15">
      <c r="F53" s="51"/>
    </row>
    <row r="54" spans="2:15">
      <c r="F54" s="51"/>
    </row>
  </sheetData>
  <phoneticPr fontId="4" type="noConversion"/>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AY398"/>
  <sheetViews>
    <sheetView showGridLines="0" zoomScale="85" zoomScaleNormal="85" workbookViewId="0"/>
  </sheetViews>
  <sheetFormatPr defaultRowHeight="12.75"/>
  <cols>
    <col min="1" max="16384" width="9.140625" style="258"/>
  </cols>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Q302"/>
  <sheetViews>
    <sheetView showGridLines="0" zoomScale="85" zoomScaleNormal="85" workbookViewId="0"/>
  </sheetViews>
  <sheetFormatPr defaultRowHeight="12.75"/>
  <cols>
    <col min="1" max="1" width="2.5703125" style="258" customWidth="1"/>
    <col min="2" max="2" width="53.28515625" style="258" customWidth="1"/>
    <col min="3" max="3" width="2.5703125" style="258" customWidth="1"/>
    <col min="4" max="4" width="14.5703125" style="258" customWidth="1"/>
    <col min="5" max="5" width="2.5703125" style="258" customWidth="1"/>
    <col min="6" max="6" width="21.42578125" style="258" customWidth="1"/>
    <col min="7" max="15" width="14.85546875" style="258" customWidth="1"/>
    <col min="16" max="16" width="10.7109375" style="258" customWidth="1"/>
    <col min="17" max="17" width="21.42578125" style="258" customWidth="1"/>
    <col min="18" max="16384" width="9.140625" style="258"/>
  </cols>
  <sheetData>
    <row r="1" spans="2:17" ht="12" customHeight="1"/>
    <row r="2" spans="2:17" s="1" customFormat="1" ht="18">
      <c r="B2" s="1" t="s">
        <v>133</v>
      </c>
      <c r="F2" s="5" t="s">
        <v>105</v>
      </c>
      <c r="G2" s="5" t="s">
        <v>96</v>
      </c>
      <c r="H2" s="5" t="s">
        <v>97</v>
      </c>
      <c r="I2" s="5" t="s">
        <v>98</v>
      </c>
      <c r="J2" s="5" t="s">
        <v>99</v>
      </c>
      <c r="K2" s="5" t="s">
        <v>100</v>
      </c>
      <c r="L2" s="5" t="s">
        <v>101</v>
      </c>
      <c r="M2" s="5" t="s">
        <v>102</v>
      </c>
      <c r="N2" s="5" t="s">
        <v>103</v>
      </c>
      <c r="O2" s="5" t="s">
        <v>197</v>
      </c>
      <c r="Q2" s="5" t="s">
        <v>567</v>
      </c>
    </row>
    <row r="4" spans="2:17">
      <c r="B4" s="51" t="s">
        <v>1002</v>
      </c>
    </row>
    <row r="5" spans="2:17">
      <c r="B5" s="51"/>
    </row>
    <row r="6" spans="2:17">
      <c r="B6" s="4"/>
    </row>
    <row r="7" spans="2:17" s="9" customFormat="1">
      <c r="B7" s="2" t="s">
        <v>752</v>
      </c>
    </row>
    <row r="9" spans="2:17">
      <c r="B9" s="260" t="s">
        <v>207</v>
      </c>
    </row>
    <row r="11" spans="2:17">
      <c r="B11" s="103" t="s">
        <v>265</v>
      </c>
    </row>
    <row r="12" spans="2:17">
      <c r="B12" s="89" t="s">
        <v>201</v>
      </c>
      <c r="D12" s="51" t="s">
        <v>186</v>
      </c>
      <c r="G12" s="110">
        <f>'Berekening wegingsfactoren'!G198</f>
        <v>18</v>
      </c>
      <c r="H12" s="110">
        <f>'Berekening wegingsfactoren'!H198</f>
        <v>18</v>
      </c>
      <c r="I12" s="110">
        <f>'Berekening wegingsfactoren'!I198</f>
        <v>18</v>
      </c>
      <c r="J12" s="110">
        <f>'Berekening wegingsfactoren'!J198</f>
        <v>18</v>
      </c>
      <c r="K12" s="110">
        <f>'Berekening wegingsfactoren'!K198</f>
        <v>18</v>
      </c>
      <c r="L12" s="110">
        <f>'Berekening wegingsfactoren'!L198</f>
        <v>18</v>
      </c>
      <c r="M12" s="110">
        <f>'Berekening wegingsfactoren'!M198</f>
        <v>18</v>
      </c>
      <c r="N12" s="110">
        <f>'Berekening wegingsfactoren'!N198</f>
        <v>18</v>
      </c>
      <c r="O12" s="110">
        <f>'Berekening wegingsfactoren'!O198</f>
        <v>0</v>
      </c>
    </row>
    <row r="13" spans="2:17">
      <c r="B13" s="90" t="s">
        <v>202</v>
      </c>
      <c r="D13" s="51" t="s">
        <v>186</v>
      </c>
      <c r="G13" s="110">
        <f>'Berekening wegingsfactoren'!G199</f>
        <v>30.582936513034237</v>
      </c>
      <c r="H13" s="110">
        <f>'Berekening wegingsfactoren'!H199</f>
        <v>29.477669154038288</v>
      </c>
      <c r="I13" s="110">
        <f>'Berekening wegingsfactoren'!I199</f>
        <v>28.798499999999997</v>
      </c>
      <c r="J13" s="110">
        <f>'Berekening wegingsfactoren'!J199</f>
        <v>28.748777912354932</v>
      </c>
      <c r="K13" s="110">
        <f>'Berekening wegingsfactoren'!K199</f>
        <v>30.169852115851015</v>
      </c>
      <c r="L13" s="110">
        <f>'Berekening wegingsfactoren'!L199</f>
        <v>35.929778250279192</v>
      </c>
      <c r="M13" s="110">
        <f>'Berekening wegingsfactoren'!M199</f>
        <v>30.425606215631547</v>
      </c>
      <c r="N13" s="110">
        <f>'Berekening wegingsfactoren'!N199</f>
        <v>23.27</v>
      </c>
      <c r="O13" s="110">
        <f>'Berekening wegingsfactoren'!O199</f>
        <v>0</v>
      </c>
    </row>
    <row r="14" spans="2:17">
      <c r="B14" s="90"/>
    </row>
    <row r="15" spans="2:17">
      <c r="B15" s="91" t="s">
        <v>266</v>
      </c>
    </row>
    <row r="16" spans="2:17">
      <c r="B16" s="89" t="s">
        <v>201</v>
      </c>
      <c r="D16" s="51" t="s">
        <v>186</v>
      </c>
      <c r="G16" s="110">
        <f>'Berekening wegingsfactoren'!G202</f>
        <v>18</v>
      </c>
      <c r="H16" s="110">
        <f>'Berekening wegingsfactoren'!H202</f>
        <v>18</v>
      </c>
      <c r="I16" s="110">
        <f>'Berekening wegingsfactoren'!I202</f>
        <v>18</v>
      </c>
      <c r="J16" s="110">
        <f>'Berekening wegingsfactoren'!J202</f>
        <v>18</v>
      </c>
      <c r="K16" s="110">
        <f>'Berekening wegingsfactoren'!K202</f>
        <v>18</v>
      </c>
      <c r="L16" s="110">
        <f>'Berekening wegingsfactoren'!L202</f>
        <v>18</v>
      </c>
      <c r="M16" s="110">
        <f>'Berekening wegingsfactoren'!M202</f>
        <v>18</v>
      </c>
      <c r="N16" s="110">
        <f>'Berekening wegingsfactoren'!N202</f>
        <v>18</v>
      </c>
      <c r="O16" s="110">
        <f>'Berekening wegingsfactoren'!O202</f>
        <v>0</v>
      </c>
    </row>
    <row r="17" spans="2:15">
      <c r="B17" s="90" t="s">
        <v>202</v>
      </c>
      <c r="D17" s="51" t="s">
        <v>186</v>
      </c>
      <c r="G17" s="110">
        <f>'Berekening wegingsfactoren'!G203</f>
        <v>30.582936513034237</v>
      </c>
      <c r="H17" s="110">
        <f>'Berekening wegingsfactoren'!H203</f>
        <v>29.477669154038288</v>
      </c>
      <c r="I17" s="110">
        <f>'Berekening wegingsfactoren'!I203</f>
        <v>28.798499999999997</v>
      </c>
      <c r="J17" s="110">
        <f>'Berekening wegingsfactoren'!J203</f>
        <v>28.748777912354932</v>
      </c>
      <c r="K17" s="110">
        <f>'Berekening wegingsfactoren'!K203</f>
        <v>30.169852115851015</v>
      </c>
      <c r="L17" s="110">
        <f>'Berekening wegingsfactoren'!L203</f>
        <v>35.929778250279192</v>
      </c>
      <c r="M17" s="110">
        <f>'Berekening wegingsfactoren'!M203</f>
        <v>30.425606215631547</v>
      </c>
      <c r="N17" s="110">
        <f>'Berekening wegingsfactoren'!N203</f>
        <v>23.27</v>
      </c>
      <c r="O17" s="110">
        <f>'Berekening wegingsfactoren'!O203</f>
        <v>0</v>
      </c>
    </row>
    <row r="18" spans="2:15">
      <c r="B18" s="104"/>
    </row>
    <row r="19" spans="2:15">
      <c r="B19" s="88" t="s">
        <v>204</v>
      </c>
    </row>
    <row r="20" spans="2:15">
      <c r="B20" s="89" t="s">
        <v>201</v>
      </c>
      <c r="D20" s="51" t="s">
        <v>186</v>
      </c>
      <c r="G20" s="110">
        <f>'Berekening wegingsfactoren'!G206</f>
        <v>288.51500020676849</v>
      </c>
      <c r="H20" s="110">
        <f>'Berekening wegingsfactoren'!H206</f>
        <v>577.69041866511623</v>
      </c>
      <c r="I20" s="110">
        <f>'Berekening wegingsfactoren'!I206</f>
        <v>828</v>
      </c>
      <c r="J20" s="110">
        <f>'Berekening wegingsfactoren'!J206</f>
        <v>1044.115417333385</v>
      </c>
      <c r="K20" s="110">
        <f>'Berekening wegingsfactoren'!K206</f>
        <v>822.81414861411861</v>
      </c>
      <c r="L20" s="110">
        <f>'Berekening wegingsfactoren'!L206</f>
        <v>690.45475966270783</v>
      </c>
      <c r="M20" s="110">
        <f>'Berekening wegingsfactoren'!M206</f>
        <v>795.98384037867186</v>
      </c>
      <c r="N20" s="110">
        <f>'Berekening wegingsfactoren'!N206</f>
        <v>60</v>
      </c>
      <c r="O20" s="110">
        <f>'Berekening wegingsfactoren'!O206</f>
        <v>0</v>
      </c>
    </row>
    <row r="21" spans="2:15">
      <c r="B21" s="90" t="s">
        <v>262</v>
      </c>
      <c r="D21" s="51" t="s">
        <v>186</v>
      </c>
      <c r="G21" s="110">
        <f>'Berekening wegingsfactoren'!G207</f>
        <v>33.385438192835771</v>
      </c>
      <c r="H21" s="110">
        <f>'Berekening wegingsfactoren'!H207</f>
        <v>24.684552218422308</v>
      </c>
      <c r="I21" s="110">
        <f>'Berekening wegingsfactoren'!I207</f>
        <v>0</v>
      </c>
      <c r="J21" s="110">
        <f>'Berekening wegingsfactoren'!J207</f>
        <v>0</v>
      </c>
      <c r="K21" s="110">
        <f>'Berekening wegingsfactoren'!K207</f>
        <v>29.692858406509497</v>
      </c>
      <c r="L21" s="110">
        <f>'Berekening wegingsfactoren'!L207</f>
        <v>38.241344403444003</v>
      </c>
      <c r="M21" s="110">
        <f>'Berekening wegingsfactoren'!M207</f>
        <v>0</v>
      </c>
      <c r="N21" s="110">
        <f>'Berekening wegingsfactoren'!N207</f>
        <v>0</v>
      </c>
      <c r="O21" s="110">
        <f>'Berekening wegingsfactoren'!O207</f>
        <v>0</v>
      </c>
    </row>
    <row r="22" spans="2:15">
      <c r="B22" s="89" t="s">
        <v>263</v>
      </c>
      <c r="D22" s="51" t="s">
        <v>186</v>
      </c>
      <c r="G22" s="110">
        <f>'Berekening wegingsfactoren'!G208</f>
        <v>22.307913371220241</v>
      </c>
      <c r="H22" s="110">
        <f>'Berekening wegingsfactoren'!H208</f>
        <v>24.684552218422308</v>
      </c>
      <c r="I22" s="110">
        <f>'Berekening wegingsfactoren'!I208</f>
        <v>0</v>
      </c>
      <c r="J22" s="110">
        <f>'Berekening wegingsfactoren'!J208</f>
        <v>0</v>
      </c>
      <c r="K22" s="110">
        <f>'Berekening wegingsfactoren'!K208</f>
        <v>17.052525108959269</v>
      </c>
      <c r="L22" s="110">
        <f>'Berekening wegingsfactoren'!L208</f>
        <v>27.799095563712516</v>
      </c>
      <c r="M22" s="110">
        <f>'Berekening wegingsfactoren'!M208</f>
        <v>0</v>
      </c>
      <c r="N22" s="110">
        <f>'Berekening wegingsfactoren'!N208</f>
        <v>0</v>
      </c>
      <c r="O22" s="110">
        <f>'Berekening wegingsfactoren'!O208</f>
        <v>0</v>
      </c>
    </row>
    <row r="23" spans="2:15">
      <c r="B23" s="90" t="s">
        <v>264</v>
      </c>
      <c r="D23" s="51" t="s">
        <v>186</v>
      </c>
      <c r="G23" s="110">
        <f>'Berekening wegingsfactoren'!G209</f>
        <v>0</v>
      </c>
      <c r="H23" s="110">
        <f>'Berekening wegingsfactoren'!H209</f>
        <v>0</v>
      </c>
      <c r="I23" s="110">
        <f>'Berekening wegingsfactoren'!I209</f>
        <v>24.564499999999999</v>
      </c>
      <c r="J23" s="110">
        <f>'Berekening wegingsfactoren'!J209</f>
        <v>26.002874378034491</v>
      </c>
      <c r="K23" s="110">
        <f>'Berekening wegingsfactoren'!K209</f>
        <v>0</v>
      </c>
      <c r="L23" s="110">
        <f>'Berekening wegingsfactoren'!L209</f>
        <v>0</v>
      </c>
      <c r="M23" s="110">
        <f>'Berekening wegingsfactoren'!M209</f>
        <v>30.425606215631547</v>
      </c>
      <c r="N23" s="110">
        <f>'Berekening wegingsfactoren'!N209</f>
        <v>31.06</v>
      </c>
      <c r="O23" s="110">
        <f>'Berekening wegingsfactoren'!O209</f>
        <v>0</v>
      </c>
    </row>
    <row r="24" spans="2:15">
      <c r="B24" s="90"/>
      <c r="D24" s="51"/>
    </row>
    <row r="25" spans="2:15">
      <c r="B25" s="105"/>
    </row>
    <row r="26" spans="2:15">
      <c r="B26" s="88" t="s">
        <v>206</v>
      </c>
    </row>
    <row r="27" spans="2:15">
      <c r="B27" s="89" t="s">
        <v>201</v>
      </c>
      <c r="D27" s="51" t="s">
        <v>186</v>
      </c>
      <c r="G27" s="110">
        <f>'Berekening wegingsfactoren'!G213</f>
        <v>0</v>
      </c>
      <c r="H27" s="110">
        <f>'Berekening wegingsfactoren'!H213</f>
        <v>578.52</v>
      </c>
      <c r="I27" s="110">
        <f>'Berekening wegingsfactoren'!I213</f>
        <v>0</v>
      </c>
      <c r="J27" s="110">
        <f>'Berekening wegingsfactoren'!J213</f>
        <v>1044</v>
      </c>
      <c r="K27" s="110">
        <f>'Berekening wegingsfactoren'!K213</f>
        <v>0</v>
      </c>
      <c r="L27" s="110">
        <f>'Berekening wegingsfactoren'!L213</f>
        <v>0</v>
      </c>
      <c r="M27" s="110">
        <f>'Berekening wegingsfactoren'!M213</f>
        <v>0</v>
      </c>
      <c r="N27" s="110">
        <f>'Berekening wegingsfactoren'!N213</f>
        <v>0</v>
      </c>
      <c r="O27" s="110">
        <f>'Berekening wegingsfactoren'!O213</f>
        <v>830</v>
      </c>
    </row>
    <row r="28" spans="2:15">
      <c r="B28" s="90" t="s">
        <v>202</v>
      </c>
      <c r="D28" s="51" t="s">
        <v>186</v>
      </c>
      <c r="G28" s="110">
        <f>'Berekening wegingsfactoren'!G214</f>
        <v>0</v>
      </c>
      <c r="H28" s="110">
        <f>'Berekening wegingsfactoren'!H214</f>
        <v>24.72</v>
      </c>
      <c r="I28" s="110">
        <f>'Berekening wegingsfactoren'!I214</f>
        <v>0</v>
      </c>
      <c r="J28" s="110">
        <f>'Berekening wegingsfactoren'!J214</f>
        <v>14</v>
      </c>
      <c r="K28" s="110">
        <f>'Berekening wegingsfactoren'!K214</f>
        <v>0</v>
      </c>
      <c r="L28" s="110">
        <f>'Berekening wegingsfactoren'!L214</f>
        <v>0</v>
      </c>
      <c r="M28" s="110">
        <f>'Berekening wegingsfactoren'!M214</f>
        <v>0</v>
      </c>
      <c r="N28" s="110">
        <f>'Berekening wegingsfactoren'!N214</f>
        <v>0</v>
      </c>
      <c r="O28" s="110">
        <f>'Berekening wegingsfactoren'!O214</f>
        <v>9.9030000000000005</v>
      </c>
    </row>
    <row r="29" spans="2:15">
      <c r="B29" s="260"/>
    </row>
    <row r="30" spans="2:15">
      <c r="B30" s="260"/>
    </row>
    <row r="32" spans="2:15">
      <c r="B32" s="260" t="s">
        <v>208</v>
      </c>
    </row>
    <row r="34" spans="2:15">
      <c r="B34" s="261" t="s">
        <v>306</v>
      </c>
    </row>
    <row r="35" spans="2:15">
      <c r="B35" s="261"/>
    </row>
    <row r="36" spans="2:15">
      <c r="B36" s="108" t="s">
        <v>284</v>
      </c>
    </row>
    <row r="37" spans="2:15">
      <c r="B37" s="23" t="s">
        <v>285</v>
      </c>
      <c r="D37" s="51" t="s">
        <v>186</v>
      </c>
      <c r="G37" s="110">
        <f>'Berekening wegingsfactoren'!G37</f>
        <v>16.68</v>
      </c>
      <c r="H37" s="110">
        <f>'Berekening wegingsfactoren'!H37</f>
        <v>17.28</v>
      </c>
      <c r="I37" s="110">
        <f>'Berekening wegingsfactoren'!I37</f>
        <v>17.82</v>
      </c>
      <c r="J37" s="110">
        <f>'Berekening wegingsfactoren'!J37</f>
        <v>17.5</v>
      </c>
      <c r="K37" s="110">
        <f>'Berekening wegingsfactoren'!K37</f>
        <v>16.920000000000002</v>
      </c>
      <c r="L37" s="110">
        <f>'Berekening wegingsfactoren'!L37</f>
        <v>18.3</v>
      </c>
      <c r="M37" s="110">
        <f>'Berekening wegingsfactoren'!M37</f>
        <v>15.43</v>
      </c>
      <c r="N37" s="110">
        <f>'Berekening wegingsfactoren'!N37</f>
        <v>11.99</v>
      </c>
      <c r="O37" s="110">
        <f>'Berekening wegingsfactoren'!O37</f>
        <v>0</v>
      </c>
    </row>
    <row r="38" spans="2:15">
      <c r="B38" s="23" t="s">
        <v>286</v>
      </c>
      <c r="D38" s="51" t="s">
        <v>186</v>
      </c>
      <c r="G38" s="110">
        <f>'Berekening wegingsfactoren'!G38</f>
        <v>38.5</v>
      </c>
      <c r="H38" s="110">
        <f>'Berekening wegingsfactoren'!H38</f>
        <v>34.44</v>
      </c>
      <c r="I38" s="110">
        <f>'Berekening wegingsfactoren'!I38</f>
        <v>38.99</v>
      </c>
      <c r="J38" s="110">
        <f>'Berekening wegingsfactoren'!J38</f>
        <v>30.1</v>
      </c>
      <c r="K38" s="110">
        <f>'Berekening wegingsfactoren'!K38</f>
        <v>30.36</v>
      </c>
      <c r="L38" s="110">
        <f>'Berekening wegingsfactoren'!L38</f>
        <v>42.45</v>
      </c>
      <c r="M38" s="110">
        <f>'Berekening wegingsfactoren'!M38</f>
        <v>30.96</v>
      </c>
      <c r="N38" s="110">
        <f>'Berekening wegingsfactoren'!N38</f>
        <v>11.99</v>
      </c>
      <c r="O38" s="110">
        <f>'Berekening wegingsfactoren'!O38</f>
        <v>0</v>
      </c>
    </row>
    <row r="39" spans="2:15">
      <c r="B39" s="256" t="s">
        <v>287</v>
      </c>
      <c r="D39" s="51" t="s">
        <v>186</v>
      </c>
      <c r="G39" s="110">
        <f>'Berekening wegingsfactoren'!G39</f>
        <v>38.82</v>
      </c>
      <c r="H39" s="110">
        <f>'Berekening wegingsfactoren'!H39</f>
        <v>37.32</v>
      </c>
      <c r="I39" s="110">
        <f>'Berekening wegingsfactoren'!I39</f>
        <v>38.99</v>
      </c>
      <c r="J39" s="110">
        <f>'Berekening wegingsfactoren'!J39</f>
        <v>30.1</v>
      </c>
      <c r="K39" s="110">
        <f>'Berekening wegingsfactoren'!K39</f>
        <v>32.520000000000003</v>
      </c>
      <c r="L39" s="110">
        <f>'Berekening wegingsfactoren'!L39</f>
        <v>42.45</v>
      </c>
      <c r="M39" s="110">
        <f>'Berekening wegingsfactoren'!M39</f>
        <v>30.96</v>
      </c>
      <c r="N39" s="110">
        <f>'Berekening wegingsfactoren'!N39</f>
        <v>11.99</v>
      </c>
      <c r="O39" s="110">
        <f>'Berekening wegingsfactoren'!O39</f>
        <v>0</v>
      </c>
    </row>
    <row r="40" spans="2:15">
      <c r="B40" s="256" t="s">
        <v>288</v>
      </c>
      <c r="D40" s="51" t="s">
        <v>186</v>
      </c>
      <c r="G40" s="110">
        <f>'Berekening wegingsfactoren'!G40</f>
        <v>51.11</v>
      </c>
      <c r="H40" s="110">
        <f>'Berekening wegingsfactoren'!H40</f>
        <v>61.8</v>
      </c>
      <c r="I40" s="110">
        <f>'Berekening wegingsfactoren'!I40</f>
        <v>55.45</v>
      </c>
      <c r="J40" s="110">
        <f>'Berekening wegingsfactoren'!J40</f>
        <v>37.700000000000003</v>
      </c>
      <c r="K40" s="110">
        <f>'Berekening wegingsfactoren'!K40</f>
        <v>55.56</v>
      </c>
      <c r="L40" s="110">
        <f>'Berekening wegingsfactoren'!L40</f>
        <v>58</v>
      </c>
      <c r="M40" s="110">
        <f>'Berekening wegingsfactoren'!M40</f>
        <v>48.75</v>
      </c>
      <c r="N40" s="110">
        <f>'Berekening wegingsfactoren'!N40</f>
        <v>11.99</v>
      </c>
      <c r="O40" s="110">
        <f>'Berekening wegingsfactoren'!O40</f>
        <v>0</v>
      </c>
    </row>
    <row r="41" spans="2:15">
      <c r="B41" s="23"/>
    </row>
    <row r="42" spans="2:15">
      <c r="B42" s="108" t="s">
        <v>289</v>
      </c>
    </row>
    <row r="43" spans="2:15">
      <c r="B43" s="23" t="s">
        <v>285</v>
      </c>
      <c r="D43" s="51" t="s">
        <v>186</v>
      </c>
      <c r="G43" s="110">
        <f>'Berekening wegingsfactoren'!G43</f>
        <v>0</v>
      </c>
      <c r="H43" s="110">
        <f>'Berekening wegingsfactoren'!H43</f>
        <v>0</v>
      </c>
      <c r="I43" s="110">
        <f>'Berekening wegingsfactoren'!I43</f>
        <v>17.82</v>
      </c>
      <c r="J43" s="110">
        <f>'Berekening wegingsfactoren'!J43</f>
        <v>0</v>
      </c>
      <c r="K43" s="110">
        <f>'Berekening wegingsfactoren'!K43</f>
        <v>16.920000000000002</v>
      </c>
      <c r="L43" s="110">
        <f>'Berekening wegingsfactoren'!L43</f>
        <v>0</v>
      </c>
      <c r="M43" s="110">
        <f>'Berekening wegingsfactoren'!M43</f>
        <v>0</v>
      </c>
      <c r="N43" s="110">
        <f>'Berekening wegingsfactoren'!N43</f>
        <v>0</v>
      </c>
      <c r="O43" s="110">
        <f>'Berekening wegingsfactoren'!O43</f>
        <v>0</v>
      </c>
    </row>
    <row r="44" spans="2:15">
      <c r="B44" s="23" t="s">
        <v>286</v>
      </c>
      <c r="D44" s="51" t="s">
        <v>186</v>
      </c>
      <c r="G44" s="110">
        <f>'Berekening wegingsfactoren'!G44</f>
        <v>0</v>
      </c>
      <c r="H44" s="110">
        <f>'Berekening wegingsfactoren'!H44</f>
        <v>0</v>
      </c>
      <c r="I44" s="110">
        <f>'Berekening wegingsfactoren'!I44</f>
        <v>38.99</v>
      </c>
      <c r="J44" s="110">
        <f>'Berekening wegingsfactoren'!J44</f>
        <v>0</v>
      </c>
      <c r="K44" s="110">
        <f>'Berekening wegingsfactoren'!K44</f>
        <v>30.36</v>
      </c>
      <c r="L44" s="110">
        <f>'Berekening wegingsfactoren'!L44</f>
        <v>0</v>
      </c>
      <c r="M44" s="110">
        <f>'Berekening wegingsfactoren'!M44</f>
        <v>0</v>
      </c>
      <c r="N44" s="110">
        <f>'Berekening wegingsfactoren'!N44</f>
        <v>0</v>
      </c>
      <c r="O44" s="110">
        <f>'Berekening wegingsfactoren'!O44</f>
        <v>0</v>
      </c>
    </row>
    <row r="45" spans="2:15">
      <c r="B45" s="256" t="s">
        <v>287</v>
      </c>
      <c r="D45" s="51" t="s">
        <v>186</v>
      </c>
      <c r="G45" s="110">
        <f>'Berekening wegingsfactoren'!G45</f>
        <v>0</v>
      </c>
      <c r="H45" s="110">
        <f>'Berekening wegingsfactoren'!H45</f>
        <v>0</v>
      </c>
      <c r="I45" s="110">
        <f>'Berekening wegingsfactoren'!I45</f>
        <v>38.99</v>
      </c>
      <c r="J45" s="110">
        <f>'Berekening wegingsfactoren'!J45</f>
        <v>0</v>
      </c>
      <c r="K45" s="110">
        <f>'Berekening wegingsfactoren'!K45</f>
        <v>32.520000000000003</v>
      </c>
      <c r="L45" s="110">
        <f>'Berekening wegingsfactoren'!L45</f>
        <v>42</v>
      </c>
      <c r="M45" s="110">
        <f>'Berekening wegingsfactoren'!M45</f>
        <v>0</v>
      </c>
      <c r="N45" s="110">
        <f>'Berekening wegingsfactoren'!N45</f>
        <v>0</v>
      </c>
      <c r="O45" s="110">
        <f>'Berekening wegingsfactoren'!O45</f>
        <v>0</v>
      </c>
    </row>
    <row r="46" spans="2:15">
      <c r="B46" s="256" t="s">
        <v>288</v>
      </c>
      <c r="D46" s="51" t="s">
        <v>186</v>
      </c>
      <c r="G46" s="110">
        <f>'Berekening wegingsfactoren'!G46</f>
        <v>0</v>
      </c>
      <c r="H46" s="110">
        <f>'Berekening wegingsfactoren'!H46</f>
        <v>0</v>
      </c>
      <c r="I46" s="110">
        <f>'Berekening wegingsfactoren'!I46</f>
        <v>55.45</v>
      </c>
      <c r="J46" s="110">
        <f>'Berekening wegingsfactoren'!J46</f>
        <v>0</v>
      </c>
      <c r="K46" s="110">
        <f>'Berekening wegingsfactoren'!K46</f>
        <v>55.56</v>
      </c>
      <c r="L46" s="110">
        <f>'Berekening wegingsfactoren'!L46</f>
        <v>0</v>
      </c>
      <c r="M46" s="110">
        <f>'Berekening wegingsfactoren'!M46</f>
        <v>0</v>
      </c>
      <c r="N46" s="110">
        <f>'Berekening wegingsfactoren'!N46</f>
        <v>0</v>
      </c>
      <c r="O46" s="110">
        <f>'Berekening wegingsfactoren'!O46</f>
        <v>0</v>
      </c>
    </row>
    <row r="47" spans="2:15">
      <c r="B47" s="23"/>
    </row>
    <row r="48" spans="2:15">
      <c r="B48" s="108" t="s">
        <v>290</v>
      </c>
    </row>
    <row r="49" spans="2:17">
      <c r="B49" s="23" t="s">
        <v>291</v>
      </c>
      <c r="D49" s="51" t="s">
        <v>186</v>
      </c>
      <c r="G49" s="110">
        <f>'Berekening wegingsfactoren'!G49</f>
        <v>0</v>
      </c>
      <c r="H49" s="110">
        <f>'Berekening wegingsfactoren'!H49</f>
        <v>0</v>
      </c>
      <c r="I49" s="110">
        <f>'Berekening wegingsfactoren'!I49</f>
        <v>0</v>
      </c>
      <c r="J49" s="110">
        <f>'Berekening wegingsfactoren'!J49</f>
        <v>0</v>
      </c>
      <c r="K49" s="110">
        <f>'Berekening wegingsfactoren'!K49</f>
        <v>0</v>
      </c>
      <c r="L49" s="110">
        <f>'Berekening wegingsfactoren'!L49</f>
        <v>0</v>
      </c>
      <c r="M49" s="110">
        <f>'Berekening wegingsfactoren'!M49</f>
        <v>0</v>
      </c>
      <c r="N49" s="110">
        <f>'Berekening wegingsfactoren'!N49</f>
        <v>0</v>
      </c>
      <c r="O49" s="110">
        <f>'Berekening wegingsfactoren'!O49</f>
        <v>0</v>
      </c>
    </row>
    <row r="50" spans="2:17">
      <c r="B50" s="261"/>
    </row>
    <row r="51" spans="2:17">
      <c r="B51" s="261"/>
    </row>
    <row r="52" spans="2:17">
      <c r="B52" s="261" t="s">
        <v>305</v>
      </c>
    </row>
    <row r="53" spans="2:17">
      <c r="B53" s="261"/>
    </row>
    <row r="54" spans="2:17">
      <c r="B54" s="108" t="s">
        <v>284</v>
      </c>
    </row>
    <row r="55" spans="2:17">
      <c r="B55" s="256" t="s">
        <v>292</v>
      </c>
      <c r="D55" s="51" t="s">
        <v>186</v>
      </c>
      <c r="G55" s="110">
        <f>'Berekening wegingsfactoren'!G55</f>
        <v>56.95</v>
      </c>
      <c r="H55" s="110">
        <f>'Berekening wegingsfactoren'!H55</f>
        <v>39.840000000000003</v>
      </c>
      <c r="I55" s="110">
        <f>'Berekening wegingsfactoren'!I55</f>
        <v>66.11</v>
      </c>
      <c r="J55" s="110">
        <f>'Berekening wegingsfactoren'!J55</f>
        <v>45.8</v>
      </c>
      <c r="K55" s="110">
        <f>'Berekening wegingsfactoren'!K55</f>
        <v>58.32</v>
      </c>
      <c r="L55" s="110">
        <f>'Berekening wegingsfactoren'!L55</f>
        <v>42</v>
      </c>
      <c r="M55" s="110">
        <f>'Berekening wegingsfactoren'!M55</f>
        <v>22.55</v>
      </c>
      <c r="N55" s="110">
        <f>'Berekening wegingsfactoren'!N55</f>
        <v>114.81</v>
      </c>
      <c r="O55" s="110">
        <f>'Berekening wegingsfactoren'!O55</f>
        <v>0</v>
      </c>
      <c r="Q55" s="63"/>
    </row>
    <row r="56" spans="2:17">
      <c r="B56" s="256" t="s">
        <v>293</v>
      </c>
      <c r="D56" s="51" t="s">
        <v>186</v>
      </c>
      <c r="G56" s="110">
        <f>'Berekening wegingsfactoren'!G56</f>
        <v>64.91</v>
      </c>
      <c r="H56" s="110">
        <f>'Berekening wegingsfactoren'!H56</f>
        <v>49.32</v>
      </c>
      <c r="I56" s="110">
        <f>'Berekening wegingsfactoren'!I56</f>
        <v>103.48</v>
      </c>
      <c r="J56" s="110">
        <f>'Berekening wegingsfactoren'!J56</f>
        <v>45.8</v>
      </c>
      <c r="K56" s="110">
        <f>'Berekening wegingsfactoren'!K56</f>
        <v>96.96</v>
      </c>
      <c r="L56" s="110">
        <f>'Berekening wegingsfactoren'!L56</f>
        <v>42</v>
      </c>
      <c r="M56" s="110">
        <f>'Berekening wegingsfactoren'!M56</f>
        <v>22.55</v>
      </c>
      <c r="N56" s="110">
        <f>'Berekening wegingsfactoren'!N56</f>
        <v>114.81</v>
      </c>
      <c r="O56" s="110">
        <f>'Berekening wegingsfactoren'!O56</f>
        <v>0</v>
      </c>
    </row>
    <row r="57" spans="2:17">
      <c r="B57" s="256" t="s">
        <v>294</v>
      </c>
      <c r="D57" s="51" t="s">
        <v>186</v>
      </c>
      <c r="G57" s="110">
        <f>'Berekening wegingsfactoren'!G57</f>
        <v>90.81</v>
      </c>
      <c r="H57" s="110">
        <f>'Berekening wegingsfactoren'!H57</f>
        <v>75.36</v>
      </c>
      <c r="I57" s="110">
        <f>'Berekening wegingsfactoren'!I57</f>
        <v>121.22</v>
      </c>
      <c r="J57" s="110">
        <f>'Berekening wegingsfactoren'!J57</f>
        <v>100.7</v>
      </c>
      <c r="K57" s="110">
        <f>'Berekening wegingsfactoren'!K57</f>
        <v>177.72</v>
      </c>
      <c r="L57" s="110">
        <f>'Berekening wegingsfactoren'!L57</f>
        <v>71</v>
      </c>
      <c r="M57" s="110">
        <f>'Berekening wegingsfactoren'!M57</f>
        <v>22.55</v>
      </c>
      <c r="N57" s="110">
        <f>'Berekening wegingsfactoren'!N57</f>
        <v>114.81</v>
      </c>
      <c r="O57" s="110">
        <f>'Berekening wegingsfactoren'!O57</f>
        <v>0</v>
      </c>
    </row>
    <row r="58" spans="2:17">
      <c r="B58" s="256" t="s">
        <v>295</v>
      </c>
      <c r="D58" s="51" t="s">
        <v>186</v>
      </c>
      <c r="G58" s="110">
        <f>'Berekening wegingsfactoren'!G58</f>
        <v>90.81</v>
      </c>
      <c r="H58" s="110">
        <f>'Berekening wegingsfactoren'!H58</f>
        <v>114.36</v>
      </c>
      <c r="I58" s="110">
        <f>'Berekening wegingsfactoren'!I58</f>
        <v>171.08</v>
      </c>
      <c r="J58" s="110">
        <f>'Berekening wegingsfactoren'!J58</f>
        <v>100.7</v>
      </c>
      <c r="K58" s="110">
        <f>'Berekening wegingsfactoren'!K58</f>
        <v>231</v>
      </c>
      <c r="L58" s="110">
        <f>'Berekening wegingsfactoren'!L58</f>
        <v>75</v>
      </c>
      <c r="M58" s="110">
        <f>'Berekening wegingsfactoren'!M58</f>
        <v>37.200000000000003</v>
      </c>
      <c r="N58" s="110">
        <f>'Berekening wegingsfactoren'!N58</f>
        <v>114.81</v>
      </c>
      <c r="O58" s="110">
        <f>'Berekening wegingsfactoren'!O58</f>
        <v>0</v>
      </c>
    </row>
    <row r="59" spans="2:17">
      <c r="B59" s="26" t="s">
        <v>296</v>
      </c>
      <c r="D59" s="51" t="s">
        <v>186</v>
      </c>
      <c r="G59" s="110">
        <f>'Berekening wegingsfactoren'!G59</f>
        <v>99.95</v>
      </c>
      <c r="H59" s="110">
        <f>'Berekening wegingsfactoren'!H59</f>
        <v>156.24</v>
      </c>
      <c r="I59" s="110">
        <f>'Berekening wegingsfactoren'!I59</f>
        <v>220.72</v>
      </c>
      <c r="J59" s="110">
        <f>'Berekening wegingsfactoren'!J59</f>
        <v>100.7</v>
      </c>
      <c r="K59" s="110">
        <f>'Berekening wegingsfactoren'!K59</f>
        <v>254.88</v>
      </c>
      <c r="L59" s="110">
        <f>'Berekening wegingsfactoren'!L59</f>
        <v>86</v>
      </c>
      <c r="M59" s="110">
        <f>'Berekening wegingsfactoren'!M59</f>
        <v>37.200000000000003</v>
      </c>
      <c r="N59" s="110">
        <f>'Berekening wegingsfactoren'!N59</f>
        <v>114.81</v>
      </c>
      <c r="O59" s="110">
        <f>'Berekening wegingsfactoren'!O59</f>
        <v>0</v>
      </c>
    </row>
    <row r="60" spans="2:17">
      <c r="B60" s="256" t="s">
        <v>297</v>
      </c>
      <c r="D60" s="51" t="s">
        <v>186</v>
      </c>
      <c r="G60" s="110">
        <f>'Berekening wegingsfactoren'!G60</f>
        <v>110</v>
      </c>
      <c r="H60" s="110">
        <f>'Berekening wegingsfactoren'!H60</f>
        <v>182.88</v>
      </c>
      <c r="I60" s="110">
        <f>'Berekening wegingsfactoren'!I60</f>
        <v>241.16</v>
      </c>
      <c r="J60" s="110">
        <f>'Berekening wegingsfactoren'!J60</f>
        <v>100.7</v>
      </c>
      <c r="K60" s="110">
        <f>'Berekening wegingsfactoren'!K60</f>
        <v>292.32</v>
      </c>
      <c r="L60" s="110">
        <f>'Berekening wegingsfactoren'!L60</f>
        <v>92</v>
      </c>
      <c r="M60" s="110">
        <f>'Berekening wegingsfactoren'!M60</f>
        <v>37.200000000000003</v>
      </c>
      <c r="N60" s="110">
        <f>'Berekening wegingsfactoren'!N60</f>
        <v>114.81</v>
      </c>
      <c r="O60" s="110">
        <f>'Berekening wegingsfactoren'!O60</f>
        <v>0</v>
      </c>
    </row>
    <row r="61" spans="2:17">
      <c r="B61" s="256" t="s">
        <v>298</v>
      </c>
      <c r="D61" s="51" t="s">
        <v>186</v>
      </c>
      <c r="G61" s="110">
        <f>'Berekening wegingsfactoren'!G61</f>
        <v>121.02</v>
      </c>
      <c r="H61" s="110">
        <f>'Berekening wegingsfactoren'!H61</f>
        <v>197.64</v>
      </c>
      <c r="I61" s="110">
        <f>'Berekening wegingsfactoren'!I61</f>
        <v>265.39999999999998</v>
      </c>
      <c r="J61" s="110">
        <f>'Berekening wegingsfactoren'!J61</f>
        <v>100.7</v>
      </c>
      <c r="K61" s="110">
        <f>'Berekening wegingsfactoren'!K61</f>
        <v>321</v>
      </c>
      <c r="L61" s="110">
        <f>'Berekening wegingsfactoren'!L61</f>
        <v>92</v>
      </c>
      <c r="M61" s="110">
        <f>'Berekening wegingsfactoren'!M61</f>
        <v>44.88</v>
      </c>
      <c r="N61" s="110">
        <f>'Berekening wegingsfactoren'!N61</f>
        <v>114.81</v>
      </c>
      <c r="O61" s="110">
        <f>'Berekening wegingsfactoren'!O61</f>
        <v>0</v>
      </c>
    </row>
    <row r="62" spans="2:17">
      <c r="B62" s="256" t="s">
        <v>299</v>
      </c>
      <c r="D62" s="51" t="s">
        <v>186</v>
      </c>
      <c r="G62" s="110">
        <f>'Berekening wegingsfactoren'!G62</f>
        <v>132.94999999999999</v>
      </c>
      <c r="H62" s="110">
        <f>'Berekening wegingsfactoren'!H62</f>
        <v>278.16000000000003</v>
      </c>
      <c r="I62" s="110">
        <f>'Berekening wegingsfactoren'!I62</f>
        <v>291.68</v>
      </c>
      <c r="J62" s="110">
        <f>'Berekening wegingsfactoren'!J62</f>
        <v>100.7</v>
      </c>
      <c r="K62" s="110">
        <f>'Berekening wegingsfactoren'!K62</f>
        <v>354</v>
      </c>
      <c r="L62" s="110">
        <f>'Berekening wegingsfactoren'!L62</f>
        <v>0</v>
      </c>
      <c r="M62" s="110">
        <f>'Berekening wegingsfactoren'!M62</f>
        <v>44.88</v>
      </c>
      <c r="N62" s="110">
        <f>'Berekening wegingsfactoren'!N62</f>
        <v>114.81</v>
      </c>
      <c r="O62" s="110">
        <f>'Berekening wegingsfactoren'!O62</f>
        <v>0</v>
      </c>
    </row>
    <row r="63" spans="2:17">
      <c r="B63" s="23" t="s">
        <v>300</v>
      </c>
      <c r="D63" s="51" t="s">
        <v>186</v>
      </c>
      <c r="G63" s="110">
        <f>'Berekening wegingsfactoren'!G63</f>
        <v>0</v>
      </c>
      <c r="H63" s="110">
        <f>'Berekening wegingsfactoren'!H63</f>
        <v>463.44</v>
      </c>
      <c r="I63" s="110">
        <f>'Berekening wegingsfactoren'!I63</f>
        <v>321.31</v>
      </c>
      <c r="J63" s="110">
        <f>'Berekening wegingsfactoren'!J63</f>
        <v>100.7</v>
      </c>
      <c r="K63" s="110">
        <f>'Berekening wegingsfactoren'!K63</f>
        <v>390</v>
      </c>
      <c r="L63" s="110">
        <f>'Berekening wegingsfactoren'!L63</f>
        <v>0</v>
      </c>
      <c r="M63" s="110">
        <f>'Berekening wegingsfactoren'!M63</f>
        <v>44.88</v>
      </c>
      <c r="N63" s="110">
        <f>'Berekening wegingsfactoren'!N63</f>
        <v>114.81</v>
      </c>
      <c r="O63" s="110">
        <f>'Berekening wegingsfactoren'!O63</f>
        <v>0</v>
      </c>
    </row>
    <row r="64" spans="2:17">
      <c r="B64" s="23" t="s">
        <v>301</v>
      </c>
      <c r="D64" s="51" t="s">
        <v>186</v>
      </c>
      <c r="G64" s="110">
        <f>'Berekening wegingsfactoren'!G64</f>
        <v>0</v>
      </c>
      <c r="H64" s="110">
        <f>'Berekening wegingsfactoren'!H64</f>
        <v>0</v>
      </c>
      <c r="I64" s="110">
        <f>'Berekening wegingsfactoren'!I64</f>
        <v>353.03</v>
      </c>
      <c r="J64" s="110">
        <f>'Berekening wegingsfactoren'!J64</f>
        <v>0</v>
      </c>
      <c r="K64" s="110">
        <f>'Berekening wegingsfactoren'!K64</f>
        <v>429</v>
      </c>
      <c r="L64" s="110">
        <f>'Berekening wegingsfactoren'!L64</f>
        <v>0</v>
      </c>
      <c r="M64" s="110">
        <f>'Berekening wegingsfactoren'!M64</f>
        <v>44.88</v>
      </c>
      <c r="N64" s="110">
        <f>'Berekening wegingsfactoren'!N64</f>
        <v>114.81</v>
      </c>
      <c r="O64" s="110">
        <f>'Berekening wegingsfactoren'!O64</f>
        <v>0</v>
      </c>
    </row>
    <row r="65" spans="2:15">
      <c r="B65" s="23"/>
    </row>
    <row r="66" spans="2:15">
      <c r="B66" s="108" t="s">
        <v>289</v>
      </c>
    </row>
    <row r="67" spans="2:15">
      <c r="B67" s="256" t="s">
        <v>292</v>
      </c>
      <c r="D67" s="51" t="s">
        <v>186</v>
      </c>
      <c r="G67" s="110">
        <f>'Berekening wegingsfactoren'!G67</f>
        <v>56.95</v>
      </c>
      <c r="H67" s="110">
        <f>'Berekening wegingsfactoren'!H67</f>
        <v>99.72</v>
      </c>
      <c r="I67" s="110">
        <f>'Berekening wegingsfactoren'!I67</f>
        <v>66.11</v>
      </c>
      <c r="J67" s="110">
        <f>'Berekening wegingsfactoren'!J67</f>
        <v>45.8</v>
      </c>
      <c r="K67" s="110">
        <f>'Berekening wegingsfactoren'!K67</f>
        <v>58.32</v>
      </c>
      <c r="L67" s="110">
        <f>'Berekening wegingsfactoren'!L67</f>
        <v>118</v>
      </c>
      <c r="M67" s="110">
        <f>'Berekening wegingsfactoren'!M67</f>
        <v>0</v>
      </c>
      <c r="N67" s="110">
        <f>'Berekening wegingsfactoren'!N67</f>
        <v>114.81</v>
      </c>
      <c r="O67" s="110">
        <f>'Berekening wegingsfactoren'!O67</f>
        <v>0</v>
      </c>
    </row>
    <row r="68" spans="2:15">
      <c r="B68" s="256" t="s">
        <v>293</v>
      </c>
      <c r="D68" s="51" t="s">
        <v>186</v>
      </c>
      <c r="G68" s="110">
        <f>'Berekening wegingsfactoren'!G68</f>
        <v>64.91</v>
      </c>
      <c r="H68" s="110">
        <f>'Berekening wegingsfactoren'!H68</f>
        <v>123.6</v>
      </c>
      <c r="I68" s="110">
        <f>'Berekening wegingsfactoren'!I68</f>
        <v>103.48</v>
      </c>
      <c r="J68" s="110">
        <f>'Berekening wegingsfactoren'!J68</f>
        <v>45.8</v>
      </c>
      <c r="K68" s="110">
        <f>'Berekening wegingsfactoren'!K68</f>
        <v>96.96</v>
      </c>
      <c r="L68" s="110">
        <f>'Berekening wegingsfactoren'!L68</f>
        <v>119</v>
      </c>
      <c r="M68" s="110">
        <f>'Berekening wegingsfactoren'!M68</f>
        <v>0</v>
      </c>
      <c r="N68" s="110">
        <f>'Berekening wegingsfactoren'!N68</f>
        <v>114.81</v>
      </c>
      <c r="O68" s="110">
        <f>'Berekening wegingsfactoren'!O68</f>
        <v>0</v>
      </c>
    </row>
    <row r="69" spans="2:15">
      <c r="B69" s="256" t="s">
        <v>294</v>
      </c>
      <c r="D69" s="51" t="s">
        <v>186</v>
      </c>
      <c r="G69" s="110">
        <f>'Berekening wegingsfactoren'!G69</f>
        <v>90.81</v>
      </c>
      <c r="H69" s="110">
        <f>'Berekening wegingsfactoren'!H69</f>
        <v>188.64</v>
      </c>
      <c r="I69" s="110">
        <f>'Berekening wegingsfactoren'!I69</f>
        <v>121.22</v>
      </c>
      <c r="J69" s="110">
        <f>'Berekening wegingsfactoren'!J69</f>
        <v>100.7</v>
      </c>
      <c r="K69" s="110">
        <f>'Berekening wegingsfactoren'!K69</f>
        <v>177.72</v>
      </c>
      <c r="L69" s="110">
        <f>'Berekening wegingsfactoren'!L69</f>
        <v>140</v>
      </c>
      <c r="M69" s="110">
        <f>'Berekening wegingsfactoren'!M69</f>
        <v>0</v>
      </c>
      <c r="N69" s="110">
        <f>'Berekening wegingsfactoren'!N69</f>
        <v>114.81</v>
      </c>
      <c r="O69" s="110">
        <f>'Berekening wegingsfactoren'!O69</f>
        <v>0</v>
      </c>
    </row>
    <row r="70" spans="2:15">
      <c r="B70" s="256" t="s">
        <v>295</v>
      </c>
      <c r="D70" s="51" t="s">
        <v>186</v>
      </c>
      <c r="G70" s="110">
        <f>'Berekening wegingsfactoren'!G70</f>
        <v>90.81</v>
      </c>
      <c r="H70" s="110">
        <f>'Berekening wegingsfactoren'!H70</f>
        <v>286.32</v>
      </c>
      <c r="I70" s="110">
        <f>'Berekening wegingsfactoren'!I70</f>
        <v>171.08</v>
      </c>
      <c r="J70" s="110">
        <f>'Berekening wegingsfactoren'!J70</f>
        <v>100.7</v>
      </c>
      <c r="K70" s="110">
        <f>'Berekening wegingsfactoren'!K70</f>
        <v>231</v>
      </c>
      <c r="L70" s="110">
        <f>'Berekening wegingsfactoren'!L70</f>
        <v>150</v>
      </c>
      <c r="M70" s="110">
        <f>'Berekening wegingsfactoren'!M70</f>
        <v>0</v>
      </c>
      <c r="N70" s="110">
        <f>'Berekening wegingsfactoren'!N70</f>
        <v>114.81</v>
      </c>
      <c r="O70" s="110">
        <f>'Berekening wegingsfactoren'!O70</f>
        <v>0</v>
      </c>
    </row>
    <row r="71" spans="2:15">
      <c r="B71" s="26" t="s">
        <v>296</v>
      </c>
      <c r="D71" s="51" t="s">
        <v>186</v>
      </c>
      <c r="G71" s="110">
        <f>'Berekening wegingsfactoren'!G71</f>
        <v>99.95</v>
      </c>
      <c r="H71" s="110">
        <f>'Berekening wegingsfactoren'!H71</f>
        <v>390.84</v>
      </c>
      <c r="I71" s="110">
        <f>'Berekening wegingsfactoren'!I71</f>
        <v>220.72</v>
      </c>
      <c r="J71" s="110">
        <f>'Berekening wegingsfactoren'!J71</f>
        <v>100.7</v>
      </c>
      <c r="K71" s="110">
        <f>'Berekening wegingsfactoren'!K71</f>
        <v>254.88</v>
      </c>
      <c r="L71" s="110">
        <f>'Berekening wegingsfactoren'!L71</f>
        <v>165</v>
      </c>
      <c r="M71" s="110">
        <f>'Berekening wegingsfactoren'!M71</f>
        <v>0</v>
      </c>
      <c r="N71" s="110">
        <f>'Berekening wegingsfactoren'!N71</f>
        <v>114.81</v>
      </c>
      <c r="O71" s="110">
        <f>'Berekening wegingsfactoren'!O71</f>
        <v>0</v>
      </c>
    </row>
    <row r="72" spans="2:15">
      <c r="B72" s="256" t="s">
        <v>297</v>
      </c>
      <c r="D72" s="51" t="s">
        <v>186</v>
      </c>
      <c r="G72" s="110">
        <f>'Berekening wegingsfactoren'!G72</f>
        <v>110</v>
      </c>
      <c r="H72" s="110">
        <f>'Berekening wegingsfactoren'!H72</f>
        <v>457.44</v>
      </c>
      <c r="I72" s="110">
        <f>'Berekening wegingsfactoren'!I72</f>
        <v>241.16</v>
      </c>
      <c r="J72" s="110">
        <f>'Berekening wegingsfactoren'!J72</f>
        <v>100.7</v>
      </c>
      <c r="K72" s="110">
        <f>'Berekening wegingsfactoren'!K72</f>
        <v>292.32</v>
      </c>
      <c r="L72" s="110">
        <f>'Berekening wegingsfactoren'!L72</f>
        <v>182.5</v>
      </c>
      <c r="M72" s="110">
        <f>'Berekening wegingsfactoren'!M72</f>
        <v>0</v>
      </c>
      <c r="N72" s="110">
        <f>'Berekening wegingsfactoren'!N72</f>
        <v>114.81</v>
      </c>
      <c r="O72" s="110">
        <f>'Berekening wegingsfactoren'!O72</f>
        <v>0</v>
      </c>
    </row>
    <row r="73" spans="2:15">
      <c r="B73" s="256" t="s">
        <v>298</v>
      </c>
      <c r="D73" s="51" t="s">
        <v>186</v>
      </c>
      <c r="G73" s="110">
        <f>'Berekening wegingsfactoren'!G73</f>
        <v>121.02</v>
      </c>
      <c r="H73" s="110">
        <f>'Berekening wegingsfactoren'!H73</f>
        <v>494.16</v>
      </c>
      <c r="I73" s="110">
        <f>'Berekening wegingsfactoren'!I73</f>
        <v>265.39999999999998</v>
      </c>
      <c r="J73" s="110">
        <f>'Berekening wegingsfactoren'!J73</f>
        <v>100.7</v>
      </c>
      <c r="K73" s="110">
        <f>'Berekening wegingsfactoren'!K73</f>
        <v>321</v>
      </c>
      <c r="L73" s="110">
        <f>'Berekening wegingsfactoren'!L73</f>
        <v>198</v>
      </c>
      <c r="M73" s="110">
        <f>'Berekening wegingsfactoren'!M73</f>
        <v>0</v>
      </c>
      <c r="N73" s="110">
        <f>'Berekening wegingsfactoren'!N73</f>
        <v>114.81</v>
      </c>
      <c r="O73" s="110">
        <f>'Berekening wegingsfactoren'!O73</f>
        <v>0</v>
      </c>
    </row>
    <row r="74" spans="2:15">
      <c r="B74" s="256" t="s">
        <v>299</v>
      </c>
      <c r="D74" s="51" t="s">
        <v>186</v>
      </c>
      <c r="G74" s="110">
        <f>'Berekening wegingsfactoren'!G74</f>
        <v>132.94999999999999</v>
      </c>
      <c r="H74" s="110">
        <f>'Berekening wegingsfactoren'!H74</f>
        <v>695.76</v>
      </c>
      <c r="I74" s="110">
        <f>'Berekening wegingsfactoren'!I74</f>
        <v>291.68</v>
      </c>
      <c r="J74" s="110">
        <f>'Berekening wegingsfactoren'!J74</f>
        <v>100.7</v>
      </c>
      <c r="K74" s="110">
        <f>'Berekening wegingsfactoren'!K74</f>
        <v>354</v>
      </c>
      <c r="L74" s="110">
        <f>'Berekening wegingsfactoren'!L74</f>
        <v>198</v>
      </c>
      <c r="M74" s="110">
        <f>'Berekening wegingsfactoren'!M74</f>
        <v>0</v>
      </c>
      <c r="N74" s="110">
        <f>'Berekening wegingsfactoren'!N74</f>
        <v>114.81</v>
      </c>
      <c r="O74" s="110">
        <f>'Berekening wegingsfactoren'!O74</f>
        <v>0</v>
      </c>
    </row>
    <row r="75" spans="2:15">
      <c r="B75" s="23" t="s">
        <v>300</v>
      </c>
      <c r="D75" s="51" t="s">
        <v>186</v>
      </c>
      <c r="G75" s="110">
        <f>'Berekening wegingsfactoren'!G75</f>
        <v>0</v>
      </c>
      <c r="H75" s="110">
        <f>'Berekening wegingsfactoren'!H75</f>
        <v>1158.8399999999999</v>
      </c>
      <c r="I75" s="110">
        <f>'Berekening wegingsfactoren'!I75</f>
        <v>321.31</v>
      </c>
      <c r="J75" s="110">
        <f>'Berekening wegingsfactoren'!J75</f>
        <v>100.7</v>
      </c>
      <c r="K75" s="110">
        <f>'Berekening wegingsfactoren'!K75</f>
        <v>390</v>
      </c>
      <c r="L75" s="110">
        <f>'Berekening wegingsfactoren'!L75</f>
        <v>198</v>
      </c>
      <c r="M75" s="110">
        <f>'Berekening wegingsfactoren'!M75</f>
        <v>0</v>
      </c>
      <c r="N75" s="110">
        <f>'Berekening wegingsfactoren'!N75</f>
        <v>114.81</v>
      </c>
      <c r="O75" s="110">
        <f>'Berekening wegingsfactoren'!O75</f>
        <v>0</v>
      </c>
    </row>
    <row r="76" spans="2:15">
      <c r="B76" s="23" t="s">
        <v>301</v>
      </c>
      <c r="D76" s="51" t="s">
        <v>186</v>
      </c>
      <c r="G76" s="110">
        <f>'Berekening wegingsfactoren'!G76</f>
        <v>0</v>
      </c>
      <c r="H76" s="110">
        <f>'Berekening wegingsfactoren'!H76</f>
        <v>2318.04</v>
      </c>
      <c r="I76" s="110">
        <f>'Berekening wegingsfactoren'!I76</f>
        <v>353.03</v>
      </c>
      <c r="J76" s="110">
        <f>'Berekening wegingsfactoren'!J76</f>
        <v>100.7</v>
      </c>
      <c r="K76" s="110">
        <f>'Berekening wegingsfactoren'!K76</f>
        <v>429</v>
      </c>
      <c r="L76" s="110">
        <f>'Berekening wegingsfactoren'!L76</f>
        <v>198</v>
      </c>
      <c r="M76" s="110">
        <f>'Berekening wegingsfactoren'!M76</f>
        <v>0</v>
      </c>
      <c r="N76" s="110">
        <f>'Berekening wegingsfactoren'!N76</f>
        <v>114.81</v>
      </c>
      <c r="O76" s="110">
        <f>'Berekening wegingsfactoren'!O76</f>
        <v>0</v>
      </c>
    </row>
    <row r="77" spans="2:15">
      <c r="B77" s="23"/>
    </row>
    <row r="78" spans="2:15">
      <c r="B78" s="108" t="s">
        <v>290</v>
      </c>
    </row>
    <row r="79" spans="2:15">
      <c r="B79" s="23" t="s">
        <v>302</v>
      </c>
      <c r="D79" s="51" t="s">
        <v>186</v>
      </c>
      <c r="G79" s="110">
        <f>'Berekening wegingsfactoren'!G79</f>
        <v>0</v>
      </c>
      <c r="H79" s="110">
        <f>'Berekening wegingsfactoren'!H79</f>
        <v>2415</v>
      </c>
      <c r="I79" s="110">
        <f>'Berekening wegingsfactoren'!I79</f>
        <v>0</v>
      </c>
      <c r="J79" s="110">
        <f>'Berekening wegingsfactoren'!J79</f>
        <v>121219.2</v>
      </c>
      <c r="K79" s="110">
        <f>'Berekening wegingsfactoren'!K79</f>
        <v>0</v>
      </c>
      <c r="L79" s="110">
        <f>'Berekening wegingsfactoren'!L79</f>
        <v>0</v>
      </c>
      <c r="M79" s="110">
        <f>'Berekening wegingsfactoren'!M79</f>
        <v>0</v>
      </c>
      <c r="N79" s="110">
        <f>'Berekening wegingsfactoren'!N79</f>
        <v>0</v>
      </c>
      <c r="O79" s="110">
        <f>'Berekening wegingsfactoren'!O79</f>
        <v>0</v>
      </c>
    </row>
    <row r="80" spans="2:15">
      <c r="B80" s="260"/>
    </row>
    <row r="81" spans="2:15">
      <c r="B81" s="260"/>
    </row>
    <row r="82" spans="2:15">
      <c r="B82" s="260"/>
    </row>
    <row r="83" spans="2:15">
      <c r="B83" s="260"/>
    </row>
    <row r="84" spans="2:15">
      <c r="B84" s="261" t="s">
        <v>307</v>
      </c>
    </row>
    <row r="85" spans="2:15">
      <c r="B85" s="261"/>
    </row>
    <row r="86" spans="2:15">
      <c r="B86" s="108" t="s">
        <v>284</v>
      </c>
    </row>
    <row r="87" spans="2:15">
      <c r="B87" s="23" t="s">
        <v>285</v>
      </c>
      <c r="D87" s="51" t="s">
        <v>186</v>
      </c>
      <c r="G87" s="110">
        <f>'Berekening wegingsfactoren'!G87</f>
        <v>681.24</v>
      </c>
      <c r="H87" s="110">
        <f>'Berekening wegingsfactoren'!H87</f>
        <v>768.77</v>
      </c>
      <c r="I87" s="110">
        <f>'Berekening wegingsfactoren'!I87</f>
        <v>594</v>
      </c>
      <c r="J87" s="110">
        <f>'Berekening wegingsfactoren'!J87</f>
        <v>690</v>
      </c>
      <c r="K87" s="110">
        <f>'Berekening wegingsfactoren'!K87</f>
        <v>648</v>
      </c>
      <c r="L87" s="110">
        <f>'Berekening wegingsfactoren'!L87</f>
        <v>567.45000000000005</v>
      </c>
      <c r="M87" s="110">
        <f>'Berekening wegingsfactoren'!M87</f>
        <v>832</v>
      </c>
      <c r="N87" s="110">
        <f>'Berekening wegingsfactoren'!N87</f>
        <v>1016.64</v>
      </c>
      <c r="O87" s="110">
        <f>'Berekening wegingsfactoren'!O87</f>
        <v>0</v>
      </c>
    </row>
    <row r="88" spans="2:15">
      <c r="B88" s="23" t="s">
        <v>286</v>
      </c>
      <c r="D88" s="51" t="s">
        <v>186</v>
      </c>
      <c r="G88" s="110">
        <f>'Berekening wegingsfactoren'!G88</f>
        <v>1298.26</v>
      </c>
      <c r="H88" s="110">
        <f>'Berekening wegingsfactoren'!H88</f>
        <v>1406.41</v>
      </c>
      <c r="I88" s="110">
        <f>'Berekening wegingsfactoren'!I88</f>
        <v>1370</v>
      </c>
      <c r="J88" s="110">
        <f>'Berekening wegingsfactoren'!J88</f>
        <v>1306</v>
      </c>
      <c r="K88" s="110">
        <f>'Berekening wegingsfactoren'!K88</f>
        <v>1352</v>
      </c>
      <c r="L88" s="110">
        <f>'Berekening wegingsfactoren'!L88</f>
        <v>1508</v>
      </c>
      <c r="M88" s="110">
        <f>'Berekening wegingsfactoren'!M88</f>
        <v>1700</v>
      </c>
      <c r="N88" s="110">
        <f>'Berekening wegingsfactoren'!N88</f>
        <v>2620.19</v>
      </c>
      <c r="O88" s="110">
        <f>'Berekening wegingsfactoren'!O88</f>
        <v>0</v>
      </c>
    </row>
    <row r="89" spans="2:15">
      <c r="B89" s="256" t="s">
        <v>287</v>
      </c>
      <c r="D89" s="51" t="s">
        <v>186</v>
      </c>
      <c r="G89" s="110">
        <f>'Berekening wegingsfactoren'!G89</f>
        <v>1298.26</v>
      </c>
      <c r="H89" s="110">
        <f>'Berekening wegingsfactoren'!H89</f>
        <v>1406.41</v>
      </c>
      <c r="I89" s="110">
        <f>'Berekening wegingsfactoren'!I89</f>
        <v>1370</v>
      </c>
      <c r="J89" s="110">
        <f>'Berekening wegingsfactoren'!J89</f>
        <v>1338</v>
      </c>
      <c r="K89" s="110">
        <f>'Berekening wegingsfactoren'!K89</f>
        <v>1352</v>
      </c>
      <c r="L89" s="110">
        <f>'Berekening wegingsfactoren'!L89</f>
        <v>1508</v>
      </c>
      <c r="M89" s="110">
        <f>'Berekening wegingsfactoren'!M89</f>
        <v>1700</v>
      </c>
      <c r="N89" s="110">
        <f>'Berekening wegingsfactoren'!N89</f>
        <v>3648.2</v>
      </c>
      <c r="O89" s="110">
        <f>'Berekening wegingsfactoren'!O89</f>
        <v>0</v>
      </c>
    </row>
    <row r="90" spans="2:15">
      <c r="B90" s="256" t="s">
        <v>288</v>
      </c>
      <c r="D90" s="51" t="s">
        <v>186</v>
      </c>
      <c r="G90" s="110">
        <f>'Berekening wegingsfactoren'!G90</f>
        <v>1810.67</v>
      </c>
      <c r="H90" s="110">
        <f>'Berekening wegingsfactoren'!H90</f>
        <v>1789.68</v>
      </c>
      <c r="I90" s="110">
        <f>'Berekening wegingsfactoren'!I90</f>
        <v>1750</v>
      </c>
      <c r="J90" s="110">
        <f>'Berekening wegingsfactoren'!J90</f>
        <v>1839</v>
      </c>
      <c r="K90" s="110">
        <f>'Berekening wegingsfactoren'!K90</f>
        <v>1894</v>
      </c>
      <c r="L90" s="110">
        <f>'Berekening wegingsfactoren'!L90</f>
        <v>2217</v>
      </c>
      <c r="M90" s="110">
        <f>'Berekening wegingsfactoren'!M90</f>
        <v>2820</v>
      </c>
      <c r="N90" s="110">
        <f>'Berekening wegingsfactoren'!N90</f>
        <v>3773.82</v>
      </c>
      <c r="O90" s="110">
        <f>'Berekening wegingsfactoren'!O90</f>
        <v>0</v>
      </c>
    </row>
    <row r="91" spans="2:15">
      <c r="B91" s="23"/>
      <c r="D91" s="51"/>
    </row>
    <row r="92" spans="2:15">
      <c r="B92" s="108" t="s">
        <v>289</v>
      </c>
      <c r="D92" s="51"/>
    </row>
    <row r="93" spans="2:15">
      <c r="B93" s="23" t="s">
        <v>285</v>
      </c>
      <c r="D93" s="51" t="s">
        <v>186</v>
      </c>
      <c r="G93" s="110">
        <f>'Berekening wegingsfactoren'!G93</f>
        <v>0</v>
      </c>
      <c r="H93" s="110">
        <f>'Berekening wegingsfactoren'!H93</f>
        <v>0</v>
      </c>
      <c r="I93" s="110">
        <f>'Berekening wegingsfactoren'!I93</f>
        <v>594</v>
      </c>
      <c r="J93" s="110">
        <f>'Berekening wegingsfactoren'!J93</f>
        <v>0</v>
      </c>
      <c r="K93" s="110">
        <f>'Berekening wegingsfactoren'!K93</f>
        <v>648</v>
      </c>
      <c r="L93" s="110">
        <f>'Berekening wegingsfactoren'!L93</f>
        <v>0</v>
      </c>
      <c r="M93" s="110">
        <f>'Berekening wegingsfactoren'!M93</f>
        <v>0</v>
      </c>
      <c r="N93" s="110">
        <f>'Berekening wegingsfactoren'!N93</f>
        <v>0</v>
      </c>
      <c r="O93" s="110">
        <f>'Berekening wegingsfactoren'!O93</f>
        <v>0</v>
      </c>
    </row>
    <row r="94" spans="2:15">
      <c r="B94" s="23" t="s">
        <v>286</v>
      </c>
      <c r="D94" s="51" t="s">
        <v>186</v>
      </c>
      <c r="G94" s="110">
        <f>'Berekening wegingsfactoren'!G94</f>
        <v>0</v>
      </c>
      <c r="H94" s="110">
        <f>'Berekening wegingsfactoren'!H94</f>
        <v>0</v>
      </c>
      <c r="I94" s="110">
        <f>'Berekening wegingsfactoren'!I94</f>
        <v>1370</v>
      </c>
      <c r="J94" s="110">
        <f>'Berekening wegingsfactoren'!J94</f>
        <v>0</v>
      </c>
      <c r="K94" s="110">
        <f>'Berekening wegingsfactoren'!K94</f>
        <v>1352</v>
      </c>
      <c r="L94" s="110">
        <f>'Berekening wegingsfactoren'!L94</f>
        <v>0</v>
      </c>
      <c r="M94" s="110">
        <f>'Berekening wegingsfactoren'!M94</f>
        <v>0</v>
      </c>
      <c r="N94" s="110">
        <f>'Berekening wegingsfactoren'!N94</f>
        <v>0</v>
      </c>
      <c r="O94" s="110">
        <f>'Berekening wegingsfactoren'!O94</f>
        <v>0</v>
      </c>
    </row>
    <row r="95" spans="2:15">
      <c r="B95" s="256" t="s">
        <v>287</v>
      </c>
      <c r="D95" s="51" t="s">
        <v>186</v>
      </c>
      <c r="G95" s="110">
        <f>'Berekening wegingsfactoren'!G95</f>
        <v>0</v>
      </c>
      <c r="H95" s="110">
        <f>'Berekening wegingsfactoren'!H95</f>
        <v>0</v>
      </c>
      <c r="I95" s="110">
        <f>'Berekening wegingsfactoren'!I95</f>
        <v>1370</v>
      </c>
      <c r="J95" s="110">
        <f>'Berekening wegingsfactoren'!J95</f>
        <v>0</v>
      </c>
      <c r="K95" s="110">
        <f>'Berekening wegingsfactoren'!K95</f>
        <v>1352</v>
      </c>
      <c r="L95" s="110">
        <f>'Berekening wegingsfactoren'!L95</f>
        <v>0</v>
      </c>
      <c r="M95" s="110">
        <f>'Berekening wegingsfactoren'!M95</f>
        <v>0</v>
      </c>
      <c r="N95" s="110">
        <f>'Berekening wegingsfactoren'!N95</f>
        <v>0</v>
      </c>
      <c r="O95" s="110">
        <f>'Berekening wegingsfactoren'!O95</f>
        <v>0</v>
      </c>
    </row>
    <row r="96" spans="2:15">
      <c r="B96" s="256" t="s">
        <v>288</v>
      </c>
      <c r="D96" s="51" t="s">
        <v>186</v>
      </c>
      <c r="G96" s="110">
        <f>'Berekening wegingsfactoren'!G96</f>
        <v>0</v>
      </c>
      <c r="H96" s="110">
        <f>'Berekening wegingsfactoren'!H96</f>
        <v>0</v>
      </c>
      <c r="I96" s="110">
        <f>'Berekening wegingsfactoren'!I96</f>
        <v>1750</v>
      </c>
      <c r="J96" s="110">
        <f>'Berekening wegingsfactoren'!J96</f>
        <v>0</v>
      </c>
      <c r="K96" s="110">
        <f>'Berekening wegingsfactoren'!K96</f>
        <v>1894</v>
      </c>
      <c r="L96" s="110">
        <f>'Berekening wegingsfactoren'!L96</f>
        <v>0</v>
      </c>
      <c r="M96" s="110">
        <f>'Berekening wegingsfactoren'!M96</f>
        <v>0</v>
      </c>
      <c r="N96" s="110">
        <f>'Berekening wegingsfactoren'!N96</f>
        <v>0</v>
      </c>
      <c r="O96" s="110">
        <f>'Berekening wegingsfactoren'!O96</f>
        <v>0</v>
      </c>
    </row>
    <row r="97" spans="2:15">
      <c r="B97" s="23"/>
    </row>
    <row r="98" spans="2:15">
      <c r="B98" s="108" t="s">
        <v>290</v>
      </c>
    </row>
    <row r="99" spans="2:15">
      <c r="B99" s="23" t="s">
        <v>291</v>
      </c>
      <c r="D99" s="51" t="s">
        <v>186</v>
      </c>
      <c r="G99" s="110">
        <f>'Berekening wegingsfactoren'!G99</f>
        <v>0</v>
      </c>
      <c r="H99" s="110">
        <f>'Berekening wegingsfactoren'!H99</f>
        <v>0</v>
      </c>
      <c r="I99" s="110">
        <f>'Berekening wegingsfactoren'!I99</f>
        <v>0</v>
      </c>
      <c r="J99" s="110">
        <f>'Berekening wegingsfactoren'!J99</f>
        <v>0</v>
      </c>
      <c r="K99" s="110">
        <f>'Berekening wegingsfactoren'!K99</f>
        <v>0</v>
      </c>
      <c r="L99" s="110">
        <f>'Berekening wegingsfactoren'!L99</f>
        <v>0</v>
      </c>
      <c r="M99" s="110">
        <f>'Berekening wegingsfactoren'!M99</f>
        <v>0</v>
      </c>
      <c r="N99" s="110">
        <f>'Berekening wegingsfactoren'!N99</f>
        <v>0</v>
      </c>
      <c r="O99" s="110">
        <f>'Berekening wegingsfactoren'!O99</f>
        <v>0</v>
      </c>
    </row>
    <row r="100" spans="2:15">
      <c r="B100" s="261"/>
    </row>
    <row r="101" spans="2:15">
      <c r="B101" s="261"/>
    </row>
    <row r="102" spans="2:15">
      <c r="B102" s="261" t="s">
        <v>308</v>
      </c>
    </row>
    <row r="103" spans="2:15">
      <c r="B103" s="261"/>
    </row>
    <row r="104" spans="2:15">
      <c r="B104" s="108" t="s">
        <v>284</v>
      </c>
    </row>
    <row r="105" spans="2:15">
      <c r="B105" s="23" t="s">
        <v>285</v>
      </c>
      <c r="D105" s="51" t="s">
        <v>186</v>
      </c>
      <c r="G105" s="110">
        <f>'Berekening wegingsfactoren'!G105</f>
        <v>18.96</v>
      </c>
      <c r="H105" s="110">
        <f>'Berekening wegingsfactoren'!H105</f>
        <v>28</v>
      </c>
      <c r="I105" s="110">
        <f>'Berekening wegingsfactoren'!I105</f>
        <v>18.3</v>
      </c>
      <c r="J105" s="110">
        <f>'Berekening wegingsfactoren'!J105</f>
        <v>20.7</v>
      </c>
      <c r="K105" s="110">
        <f>'Berekening wegingsfactoren'!K105</f>
        <v>24.5</v>
      </c>
      <c r="L105" s="110">
        <f>'Berekening wegingsfactoren'!L105</f>
        <v>14.65</v>
      </c>
      <c r="M105" s="110">
        <f>'Berekening wegingsfactoren'!M105</f>
        <v>36.6</v>
      </c>
      <c r="N105" s="110">
        <f>'Berekening wegingsfactoren'!N105</f>
        <v>61.64</v>
      </c>
      <c r="O105" s="110">
        <f>'Berekening wegingsfactoren'!O105</f>
        <v>0</v>
      </c>
    </row>
    <row r="106" spans="2:15">
      <c r="B106" s="23" t="s">
        <v>286</v>
      </c>
      <c r="D106" s="51" t="s">
        <v>186</v>
      </c>
      <c r="G106" s="110">
        <f>'Berekening wegingsfactoren'!G106</f>
        <v>20.5</v>
      </c>
      <c r="H106" s="110">
        <f>'Berekening wegingsfactoren'!H106</f>
        <v>29.54</v>
      </c>
      <c r="I106" s="110">
        <f>'Berekening wegingsfactoren'!I106</f>
        <v>18.3</v>
      </c>
      <c r="J106" s="110">
        <f>'Berekening wegingsfactoren'!J106</f>
        <v>25.5</v>
      </c>
      <c r="K106" s="110">
        <f>'Berekening wegingsfactoren'!K106</f>
        <v>30.1</v>
      </c>
      <c r="L106" s="110">
        <f>'Berekening wegingsfactoren'!L106</f>
        <v>23.1</v>
      </c>
      <c r="M106" s="110">
        <f>'Berekening wegingsfactoren'!M106</f>
        <v>36.6</v>
      </c>
      <c r="N106" s="110">
        <f>'Berekening wegingsfactoren'!N106</f>
        <v>50.41</v>
      </c>
      <c r="O106" s="110">
        <f>'Berekening wegingsfactoren'!O106</f>
        <v>0</v>
      </c>
    </row>
    <row r="107" spans="2:15">
      <c r="B107" s="256" t="s">
        <v>287</v>
      </c>
      <c r="D107" s="51" t="s">
        <v>186</v>
      </c>
      <c r="G107" s="110">
        <f>'Berekening wegingsfactoren'!G107</f>
        <v>23.46</v>
      </c>
      <c r="H107" s="110">
        <f>'Berekening wegingsfactoren'!H107</f>
        <v>31.16</v>
      </c>
      <c r="I107" s="110">
        <f>'Berekening wegingsfactoren'!I107</f>
        <v>18.3</v>
      </c>
      <c r="J107" s="110">
        <f>'Berekening wegingsfactoren'!J107</f>
        <v>25.5</v>
      </c>
      <c r="K107" s="110">
        <f>'Berekening wegingsfactoren'!K107</f>
        <v>30.1</v>
      </c>
      <c r="L107" s="110">
        <f>'Berekening wegingsfactoren'!L107</f>
        <v>23.1</v>
      </c>
      <c r="M107" s="110">
        <f>'Berekening wegingsfactoren'!M107</f>
        <v>36.6</v>
      </c>
      <c r="N107" s="110">
        <f>'Berekening wegingsfactoren'!N107</f>
        <v>50.41</v>
      </c>
      <c r="O107" s="110">
        <f>'Berekening wegingsfactoren'!O107</f>
        <v>0</v>
      </c>
    </row>
    <row r="108" spans="2:15">
      <c r="B108" s="256" t="s">
        <v>288</v>
      </c>
      <c r="D108" s="51" t="s">
        <v>186</v>
      </c>
      <c r="G108" s="110">
        <f>'Berekening wegingsfactoren'!G108</f>
        <v>26.71</v>
      </c>
      <c r="H108" s="110">
        <f>'Berekening wegingsfactoren'!H108</f>
        <v>32.36</v>
      </c>
      <c r="I108" s="110">
        <f>'Berekening wegingsfactoren'!I108</f>
        <v>18.3</v>
      </c>
      <c r="J108" s="110">
        <f>'Berekening wegingsfactoren'!J108</f>
        <v>25.5</v>
      </c>
      <c r="K108" s="110">
        <f>'Berekening wegingsfactoren'!K108</f>
        <v>30.1</v>
      </c>
      <c r="L108" s="110">
        <f>'Berekening wegingsfactoren'!L108</f>
        <v>18.5</v>
      </c>
      <c r="M108" s="110">
        <f>'Berekening wegingsfactoren'!M108</f>
        <v>43.2</v>
      </c>
      <c r="N108" s="110">
        <f>'Berekening wegingsfactoren'!N108</f>
        <v>50.41</v>
      </c>
      <c r="O108" s="110">
        <f>'Berekening wegingsfactoren'!O108</f>
        <v>0</v>
      </c>
    </row>
    <row r="109" spans="2:15">
      <c r="B109" s="23"/>
      <c r="D109" s="51"/>
    </row>
    <row r="110" spans="2:15">
      <c r="B110" s="108" t="s">
        <v>289</v>
      </c>
      <c r="D110" s="51"/>
    </row>
    <row r="111" spans="2:15">
      <c r="B111" s="23" t="s">
        <v>285</v>
      </c>
      <c r="D111" s="51" t="s">
        <v>186</v>
      </c>
      <c r="G111" s="110">
        <f>'Berekening wegingsfactoren'!G111</f>
        <v>18.96</v>
      </c>
      <c r="H111" s="110">
        <f>'Berekening wegingsfactoren'!H111</f>
        <v>0</v>
      </c>
      <c r="I111" s="110">
        <f>'Berekening wegingsfactoren'!I111</f>
        <v>18.3</v>
      </c>
      <c r="J111" s="110">
        <f>'Berekening wegingsfactoren'!J111</f>
        <v>0</v>
      </c>
      <c r="K111" s="110">
        <f>'Berekening wegingsfactoren'!K111</f>
        <v>24.5</v>
      </c>
      <c r="L111" s="110">
        <f>'Berekening wegingsfactoren'!L111</f>
        <v>0</v>
      </c>
      <c r="M111" s="110">
        <f>'Berekening wegingsfactoren'!M111</f>
        <v>0</v>
      </c>
      <c r="N111" s="110">
        <f>'Berekening wegingsfactoren'!N111</f>
        <v>0</v>
      </c>
      <c r="O111" s="110">
        <f>'Berekening wegingsfactoren'!O111</f>
        <v>0</v>
      </c>
    </row>
    <row r="112" spans="2:15">
      <c r="B112" s="23" t="s">
        <v>286</v>
      </c>
      <c r="D112" s="51" t="s">
        <v>186</v>
      </c>
      <c r="G112" s="110">
        <f>'Berekening wegingsfactoren'!G112</f>
        <v>20.5</v>
      </c>
      <c r="H112" s="110">
        <f>'Berekening wegingsfactoren'!H112</f>
        <v>0</v>
      </c>
      <c r="I112" s="110">
        <f>'Berekening wegingsfactoren'!I112</f>
        <v>18.3</v>
      </c>
      <c r="J112" s="110">
        <f>'Berekening wegingsfactoren'!J112</f>
        <v>0</v>
      </c>
      <c r="K112" s="110">
        <f>'Berekening wegingsfactoren'!K112</f>
        <v>30.1</v>
      </c>
      <c r="L112" s="110">
        <f>'Berekening wegingsfactoren'!L112</f>
        <v>0</v>
      </c>
      <c r="M112" s="110">
        <f>'Berekening wegingsfactoren'!M112</f>
        <v>0</v>
      </c>
      <c r="N112" s="110">
        <f>'Berekening wegingsfactoren'!N112</f>
        <v>0</v>
      </c>
      <c r="O112" s="110">
        <f>'Berekening wegingsfactoren'!O112</f>
        <v>0</v>
      </c>
    </row>
    <row r="113" spans="2:15">
      <c r="B113" s="256" t="s">
        <v>287</v>
      </c>
      <c r="D113" s="51" t="s">
        <v>186</v>
      </c>
      <c r="G113" s="110">
        <f>'Berekening wegingsfactoren'!G113</f>
        <v>23.46</v>
      </c>
      <c r="H113" s="110">
        <f>'Berekening wegingsfactoren'!H113</f>
        <v>0</v>
      </c>
      <c r="I113" s="110">
        <f>'Berekening wegingsfactoren'!I113</f>
        <v>18.3</v>
      </c>
      <c r="J113" s="110">
        <f>'Berekening wegingsfactoren'!J113</f>
        <v>0</v>
      </c>
      <c r="K113" s="110">
        <f>'Berekening wegingsfactoren'!K113</f>
        <v>30.1</v>
      </c>
      <c r="L113" s="110">
        <f>'Berekening wegingsfactoren'!L113</f>
        <v>0</v>
      </c>
      <c r="M113" s="110">
        <f>'Berekening wegingsfactoren'!M113</f>
        <v>0</v>
      </c>
      <c r="N113" s="110">
        <f>'Berekening wegingsfactoren'!N113</f>
        <v>0</v>
      </c>
      <c r="O113" s="110">
        <f>'Berekening wegingsfactoren'!O113</f>
        <v>0</v>
      </c>
    </row>
    <row r="114" spans="2:15">
      <c r="B114" s="256" t="s">
        <v>288</v>
      </c>
      <c r="D114" s="51" t="s">
        <v>186</v>
      </c>
      <c r="G114" s="110">
        <f>'Berekening wegingsfactoren'!G114</f>
        <v>26.71</v>
      </c>
      <c r="H114" s="110">
        <f>'Berekening wegingsfactoren'!H114</f>
        <v>0</v>
      </c>
      <c r="I114" s="110">
        <f>'Berekening wegingsfactoren'!I114</f>
        <v>18.3</v>
      </c>
      <c r="J114" s="110">
        <f>'Berekening wegingsfactoren'!J114</f>
        <v>0</v>
      </c>
      <c r="K114" s="110">
        <f>'Berekening wegingsfactoren'!K114</f>
        <v>30.1</v>
      </c>
      <c r="L114" s="110">
        <f>'Berekening wegingsfactoren'!L114</f>
        <v>0</v>
      </c>
      <c r="M114" s="110">
        <f>'Berekening wegingsfactoren'!M114</f>
        <v>0</v>
      </c>
      <c r="N114" s="110">
        <f>'Berekening wegingsfactoren'!N114</f>
        <v>0</v>
      </c>
      <c r="O114" s="110">
        <f>'Berekening wegingsfactoren'!O114</f>
        <v>0</v>
      </c>
    </row>
    <row r="115" spans="2:15">
      <c r="B115" s="23"/>
    </row>
    <row r="116" spans="2:15">
      <c r="B116" s="108" t="s">
        <v>290</v>
      </c>
    </row>
    <row r="117" spans="2:15">
      <c r="B117" s="23" t="s">
        <v>291</v>
      </c>
      <c r="D117" s="51" t="s">
        <v>186</v>
      </c>
      <c r="G117" s="110">
        <f>'Berekening wegingsfactoren'!G117</f>
        <v>0</v>
      </c>
      <c r="H117" s="110">
        <f>'Berekening wegingsfactoren'!H117</f>
        <v>0</v>
      </c>
      <c r="I117" s="110">
        <f>'Berekening wegingsfactoren'!I117</f>
        <v>0</v>
      </c>
      <c r="J117" s="110">
        <f>'Berekening wegingsfactoren'!J117</f>
        <v>0</v>
      </c>
      <c r="K117" s="110">
        <f>'Berekening wegingsfactoren'!K117</f>
        <v>0</v>
      </c>
      <c r="L117" s="110">
        <f>'Berekening wegingsfactoren'!L117</f>
        <v>0</v>
      </c>
      <c r="M117" s="110">
        <f>'Berekening wegingsfactoren'!M117</f>
        <v>0</v>
      </c>
      <c r="N117" s="110">
        <f>'Berekening wegingsfactoren'!N117</f>
        <v>0</v>
      </c>
      <c r="O117" s="110">
        <f>'Berekening wegingsfactoren'!O117</f>
        <v>0</v>
      </c>
    </row>
    <row r="118" spans="2:15">
      <c r="B118" s="261"/>
    </row>
    <row r="119" spans="2:15">
      <c r="B119" s="261"/>
    </row>
    <row r="120" spans="2:15">
      <c r="B120" s="261" t="s">
        <v>309</v>
      </c>
    </row>
    <row r="121" spans="2:15">
      <c r="B121" s="261"/>
    </row>
    <row r="122" spans="2:15">
      <c r="B122" s="108" t="s">
        <v>284</v>
      </c>
    </row>
    <row r="123" spans="2:15">
      <c r="B123" s="256" t="s">
        <v>292</v>
      </c>
      <c r="D123" s="51" t="s">
        <v>186</v>
      </c>
      <c r="G123" s="110">
        <f>'Berekening wegingsfactoren'!G123</f>
        <v>2560.21</v>
      </c>
      <c r="H123" s="110">
        <f>'Berekening wegingsfactoren'!H123</f>
        <v>2363.66</v>
      </c>
      <c r="I123" s="110">
        <f>'Berekening wegingsfactoren'!I123</f>
        <v>2030</v>
      </c>
      <c r="J123" s="110">
        <f>'Berekening wegingsfactoren'!J123</f>
        <v>1180</v>
      </c>
      <c r="K123" s="110">
        <f>'Berekening wegingsfactoren'!K123</f>
        <v>1949</v>
      </c>
      <c r="L123" s="110">
        <f>'Berekening wegingsfactoren'!L123</f>
        <v>1175</v>
      </c>
      <c r="M123" s="110">
        <f>'Berekening wegingsfactoren'!M123</f>
        <v>1240</v>
      </c>
      <c r="N123" s="110">
        <f>'Berekening wegingsfactoren'!N123</f>
        <v>2722.1</v>
      </c>
      <c r="O123" s="110">
        <f>'Berekening wegingsfactoren'!O123</f>
        <v>0</v>
      </c>
    </row>
    <row r="124" spans="2:15">
      <c r="B124" s="256" t="s">
        <v>293</v>
      </c>
      <c r="D124" s="51" t="s">
        <v>186</v>
      </c>
      <c r="G124" s="110">
        <f>'Berekening wegingsfactoren'!G124</f>
        <v>2560.21</v>
      </c>
      <c r="H124" s="110">
        <f>'Berekening wegingsfactoren'!H124</f>
        <v>2363.66</v>
      </c>
      <c r="I124" s="110">
        <f>'Berekening wegingsfactoren'!I124</f>
        <v>2480</v>
      </c>
      <c r="J124" s="110">
        <f>'Berekening wegingsfactoren'!J124</f>
        <v>1180</v>
      </c>
      <c r="K124" s="110">
        <f>'Berekening wegingsfactoren'!K124</f>
        <v>1949</v>
      </c>
      <c r="L124" s="110">
        <f>'Berekening wegingsfactoren'!L124</f>
        <v>1488</v>
      </c>
      <c r="M124" s="110">
        <f>'Berekening wegingsfactoren'!M124</f>
        <v>1240</v>
      </c>
      <c r="N124" s="110">
        <f>'Berekening wegingsfactoren'!N124</f>
        <v>2722.1</v>
      </c>
      <c r="O124" s="110">
        <f>'Berekening wegingsfactoren'!O124</f>
        <v>0</v>
      </c>
    </row>
    <row r="125" spans="2:15">
      <c r="B125" s="256" t="s">
        <v>294</v>
      </c>
      <c r="D125" s="51" t="s">
        <v>186</v>
      </c>
      <c r="G125" s="110">
        <f>'Berekening wegingsfactoren'!G125</f>
        <v>3789.15</v>
      </c>
      <c r="H125" s="110">
        <f>'Berekening wegingsfactoren'!H125</f>
        <v>2363.66</v>
      </c>
      <c r="I125" s="110">
        <f>'Berekening wegingsfactoren'!I125</f>
        <v>2905</v>
      </c>
      <c r="J125" s="110">
        <f>'Berekening wegingsfactoren'!J125</f>
        <v>2580</v>
      </c>
      <c r="K125" s="110">
        <f>'Berekening wegingsfactoren'!K125</f>
        <v>2769</v>
      </c>
      <c r="L125" s="110">
        <f>'Berekening wegingsfactoren'!L125</f>
        <v>2612</v>
      </c>
      <c r="M125" s="110">
        <f>'Berekening wegingsfactoren'!M125</f>
        <v>1240</v>
      </c>
      <c r="N125" s="110">
        <f>'Berekening wegingsfactoren'!N125</f>
        <v>5950.55</v>
      </c>
      <c r="O125" s="110">
        <f>'Berekening wegingsfactoren'!O125</f>
        <v>0</v>
      </c>
    </row>
    <row r="126" spans="2:15">
      <c r="B126" s="256" t="s">
        <v>295</v>
      </c>
      <c r="D126" s="51" t="s">
        <v>186</v>
      </c>
      <c r="G126" s="110">
        <f>'Berekening wegingsfactoren'!G126</f>
        <v>3789.15</v>
      </c>
      <c r="H126" s="110">
        <f>'Berekening wegingsfactoren'!H126</f>
        <v>2363.66</v>
      </c>
      <c r="I126" s="110">
        <f>'Berekening wegingsfactoren'!I126</f>
        <v>4100</v>
      </c>
      <c r="J126" s="110">
        <f>'Berekening wegingsfactoren'!J126</f>
        <v>2580</v>
      </c>
      <c r="K126" s="110">
        <f>'Berekening wegingsfactoren'!K126</f>
        <v>3021</v>
      </c>
      <c r="L126" s="110">
        <f>'Berekening wegingsfactoren'!L126</f>
        <v>4681</v>
      </c>
      <c r="M126" s="110">
        <f>'Berekening wegingsfactoren'!M126</f>
        <v>1240</v>
      </c>
      <c r="N126" s="110">
        <f>'Berekening wegingsfactoren'!N126</f>
        <v>5950.55</v>
      </c>
      <c r="O126" s="110">
        <f>'Berekening wegingsfactoren'!O126</f>
        <v>0</v>
      </c>
    </row>
    <row r="127" spans="2:15">
      <c r="B127" s="26" t="s">
        <v>296</v>
      </c>
      <c r="D127" s="51" t="s">
        <v>186</v>
      </c>
      <c r="G127" s="110">
        <f>'Berekening wegingsfactoren'!G127</f>
        <v>0</v>
      </c>
      <c r="H127" s="110">
        <f>'Berekening wegingsfactoren'!H127</f>
        <v>2585.2600000000002</v>
      </c>
      <c r="I127" s="110">
        <f>'Berekening wegingsfactoren'!I127</f>
        <v>5290</v>
      </c>
      <c r="J127" s="110">
        <f>'Berekening wegingsfactoren'!J127</f>
        <v>2580</v>
      </c>
      <c r="K127" s="110">
        <f>'Berekening wegingsfactoren'!K127</f>
        <v>3322</v>
      </c>
      <c r="L127" s="110">
        <f>'Berekening wegingsfactoren'!L127</f>
        <v>5097</v>
      </c>
      <c r="M127" s="110">
        <f>'Berekening wegingsfactoren'!M127</f>
        <v>1240</v>
      </c>
      <c r="N127" s="110">
        <f>'Berekening wegingsfactoren'!N127</f>
        <v>5950.55</v>
      </c>
      <c r="O127" s="110">
        <f>'Berekening wegingsfactoren'!O127</f>
        <v>0</v>
      </c>
    </row>
    <row r="128" spans="2:15">
      <c r="B128" s="256" t="s">
        <v>297</v>
      </c>
      <c r="D128" s="51" t="s">
        <v>186</v>
      </c>
      <c r="G128" s="110">
        <f>'Berekening wegingsfactoren'!G128</f>
        <v>0</v>
      </c>
      <c r="H128" s="110">
        <f>'Berekening wegingsfactoren'!H128</f>
        <v>2585.2600000000002</v>
      </c>
      <c r="I128" s="110">
        <f>'Berekening wegingsfactoren'!I128</f>
        <v>5780</v>
      </c>
      <c r="J128" s="110">
        <f>'Berekening wegingsfactoren'!J128</f>
        <v>2580</v>
      </c>
      <c r="K128" s="110">
        <f>'Berekening wegingsfactoren'!K128</f>
        <v>3809</v>
      </c>
      <c r="L128" s="110">
        <f>'Berekening wegingsfactoren'!L128</f>
        <v>6903</v>
      </c>
      <c r="M128" s="110">
        <f>'Berekening wegingsfactoren'!M128</f>
        <v>0</v>
      </c>
      <c r="N128" s="110">
        <f>'Berekening wegingsfactoren'!N128</f>
        <v>5950.55</v>
      </c>
      <c r="O128" s="110">
        <f>'Berekening wegingsfactoren'!O128</f>
        <v>0</v>
      </c>
    </row>
    <row r="129" spans="2:15">
      <c r="B129" s="256" t="s">
        <v>298</v>
      </c>
      <c r="D129" s="51" t="s">
        <v>186</v>
      </c>
      <c r="G129" s="110">
        <f>'Berekening wegingsfactoren'!G129</f>
        <v>0</v>
      </c>
      <c r="H129" s="110">
        <f>'Berekening wegingsfactoren'!H129</f>
        <v>3102.32</v>
      </c>
      <c r="I129" s="110">
        <f>'Berekening wegingsfactoren'!I129</f>
        <v>6360</v>
      </c>
      <c r="J129" s="110">
        <f>'Berekening wegingsfactoren'!J129</f>
        <v>2580</v>
      </c>
      <c r="K129" s="110">
        <f>'Berekening wegingsfactoren'!K129</f>
        <v>4195</v>
      </c>
      <c r="L129" s="110">
        <f>'Berekening wegingsfactoren'!L129</f>
        <v>7539</v>
      </c>
      <c r="M129" s="110">
        <f>'Berekening wegingsfactoren'!M129</f>
        <v>0</v>
      </c>
      <c r="N129" s="110">
        <f>'Berekening wegingsfactoren'!N129</f>
        <v>5950.55</v>
      </c>
      <c r="O129" s="110">
        <f>'Berekening wegingsfactoren'!O129</f>
        <v>0</v>
      </c>
    </row>
    <row r="130" spans="2:15">
      <c r="B130" s="256" t="s">
        <v>299</v>
      </c>
      <c r="D130" s="51" t="s">
        <v>186</v>
      </c>
      <c r="G130" s="110">
        <f>'Berekening wegingsfactoren'!G130</f>
        <v>0</v>
      </c>
      <c r="H130" s="110">
        <f>'Berekening wegingsfactoren'!H130</f>
        <v>0</v>
      </c>
      <c r="I130" s="110">
        <f>'Berekening wegingsfactoren'!I130</f>
        <v>6990</v>
      </c>
      <c r="J130" s="110">
        <f>'Berekening wegingsfactoren'!J130</f>
        <v>2580</v>
      </c>
      <c r="K130" s="110">
        <f>'Berekening wegingsfactoren'!K130</f>
        <v>4615</v>
      </c>
      <c r="L130" s="110">
        <f>'Berekening wegingsfactoren'!L130</f>
        <v>7539</v>
      </c>
      <c r="M130" s="110">
        <f>'Berekening wegingsfactoren'!M130</f>
        <v>0</v>
      </c>
      <c r="N130" s="110">
        <f>'Berekening wegingsfactoren'!N130</f>
        <v>5950.55</v>
      </c>
      <c r="O130" s="110">
        <f>'Berekening wegingsfactoren'!O130</f>
        <v>0</v>
      </c>
    </row>
    <row r="131" spans="2:15">
      <c r="B131" s="23" t="s">
        <v>300</v>
      </c>
      <c r="D131" s="51" t="s">
        <v>186</v>
      </c>
      <c r="G131" s="110">
        <f>'Berekening wegingsfactoren'!G131</f>
        <v>0</v>
      </c>
      <c r="H131" s="110">
        <f>'Berekening wegingsfactoren'!H131</f>
        <v>0</v>
      </c>
      <c r="I131" s="110">
        <f>'Berekening wegingsfactoren'!I131</f>
        <v>7700</v>
      </c>
      <c r="J131" s="110">
        <f>'Berekening wegingsfactoren'!J131</f>
        <v>2580</v>
      </c>
      <c r="K131" s="110">
        <f>'Berekening wegingsfactoren'!K131</f>
        <v>5074</v>
      </c>
      <c r="L131" s="110">
        <f>'Berekening wegingsfactoren'!L131</f>
        <v>7539</v>
      </c>
      <c r="M131" s="110">
        <f>'Berekening wegingsfactoren'!M131</f>
        <v>0</v>
      </c>
      <c r="N131" s="110">
        <f>'Berekening wegingsfactoren'!N131</f>
        <v>5950.55</v>
      </c>
      <c r="O131" s="110">
        <f>'Berekening wegingsfactoren'!O131</f>
        <v>0</v>
      </c>
    </row>
    <row r="132" spans="2:15">
      <c r="B132" s="23" t="s">
        <v>301</v>
      </c>
      <c r="D132" s="51" t="s">
        <v>186</v>
      </c>
      <c r="G132" s="110">
        <f>'Berekening wegingsfactoren'!G132</f>
        <v>0</v>
      </c>
      <c r="H132" s="110">
        <f>'Berekening wegingsfactoren'!H132</f>
        <v>0</v>
      </c>
      <c r="I132" s="110">
        <f>'Berekening wegingsfactoren'!I132</f>
        <v>8460</v>
      </c>
      <c r="J132" s="110">
        <f>'Berekening wegingsfactoren'!J132</f>
        <v>0</v>
      </c>
      <c r="K132" s="110">
        <f>'Berekening wegingsfactoren'!K132</f>
        <v>5583</v>
      </c>
      <c r="L132" s="110">
        <f>'Berekening wegingsfactoren'!L132</f>
        <v>0</v>
      </c>
      <c r="M132" s="110">
        <f>'Berekening wegingsfactoren'!M132</f>
        <v>0</v>
      </c>
      <c r="N132" s="110">
        <f>'Berekening wegingsfactoren'!N132</f>
        <v>5950.55</v>
      </c>
      <c r="O132" s="110">
        <f>'Berekening wegingsfactoren'!O132</f>
        <v>0</v>
      </c>
    </row>
    <row r="133" spans="2:15">
      <c r="B133" s="23"/>
    </row>
    <row r="134" spans="2:15">
      <c r="B134" s="108" t="s">
        <v>289</v>
      </c>
    </row>
    <row r="135" spans="2:15">
      <c r="B135" s="256" t="s">
        <v>292</v>
      </c>
      <c r="D135" s="51" t="s">
        <v>186</v>
      </c>
      <c r="G135" s="110">
        <f>'Berekening wegingsfactoren'!G135</f>
        <v>8260.42</v>
      </c>
      <c r="H135" s="110">
        <f>'Berekening wegingsfactoren'!H135</f>
        <v>16250.24</v>
      </c>
      <c r="I135" s="110">
        <f>'Berekening wegingsfactoren'!I135</f>
        <v>2030</v>
      </c>
      <c r="J135" s="110">
        <f>'Berekening wegingsfactoren'!J135</f>
        <v>1180</v>
      </c>
      <c r="K135" s="110">
        <f>'Berekening wegingsfactoren'!K135</f>
        <v>1949</v>
      </c>
      <c r="L135" s="110">
        <f>'Berekening wegingsfactoren'!L135</f>
        <v>7539</v>
      </c>
      <c r="M135" s="110">
        <f>'Berekening wegingsfactoren'!M135</f>
        <v>2020</v>
      </c>
      <c r="N135" s="110">
        <f>'Berekening wegingsfactoren'!N135</f>
        <v>6148.41</v>
      </c>
      <c r="O135" s="110">
        <f>'Berekening wegingsfactoren'!O135</f>
        <v>0</v>
      </c>
    </row>
    <row r="136" spans="2:15">
      <c r="B136" s="256" t="s">
        <v>293</v>
      </c>
      <c r="D136" s="51" t="s">
        <v>186</v>
      </c>
      <c r="G136" s="110">
        <f>'Berekening wegingsfactoren'!G136</f>
        <v>8260.42</v>
      </c>
      <c r="H136" s="110">
        <f>'Berekening wegingsfactoren'!H136</f>
        <v>16250.24</v>
      </c>
      <c r="I136" s="110">
        <f>'Berekening wegingsfactoren'!I136</f>
        <v>2480</v>
      </c>
      <c r="J136" s="110">
        <f>'Berekening wegingsfactoren'!J136</f>
        <v>1180</v>
      </c>
      <c r="K136" s="110">
        <f>'Berekening wegingsfactoren'!K136</f>
        <v>1949</v>
      </c>
      <c r="L136" s="110">
        <f>'Berekening wegingsfactoren'!L136</f>
        <v>7539</v>
      </c>
      <c r="M136" s="110">
        <f>'Berekening wegingsfactoren'!M136</f>
        <v>2020</v>
      </c>
      <c r="N136" s="110">
        <f>'Berekening wegingsfactoren'!N136</f>
        <v>6148.41</v>
      </c>
      <c r="O136" s="110">
        <f>'Berekening wegingsfactoren'!O136</f>
        <v>0</v>
      </c>
    </row>
    <row r="137" spans="2:15">
      <c r="B137" s="256" t="s">
        <v>294</v>
      </c>
      <c r="D137" s="51" t="s">
        <v>186</v>
      </c>
      <c r="G137" s="110">
        <f>'Berekening wegingsfactoren'!G137</f>
        <v>8260.42</v>
      </c>
      <c r="H137" s="110">
        <f>'Berekening wegingsfactoren'!H137</f>
        <v>16988.89</v>
      </c>
      <c r="I137" s="110">
        <f>'Berekening wegingsfactoren'!I137</f>
        <v>2905</v>
      </c>
      <c r="J137" s="110">
        <f>'Berekening wegingsfactoren'!J137</f>
        <v>2580</v>
      </c>
      <c r="K137" s="110">
        <f>'Berekening wegingsfactoren'!K137</f>
        <v>2769</v>
      </c>
      <c r="L137" s="110">
        <f>'Berekening wegingsfactoren'!L137</f>
        <v>7539</v>
      </c>
      <c r="M137" s="110">
        <f>'Berekening wegingsfactoren'!M137</f>
        <v>2020</v>
      </c>
      <c r="N137" s="110">
        <f>'Berekening wegingsfactoren'!N137</f>
        <v>6148.41</v>
      </c>
      <c r="O137" s="110">
        <f>'Berekening wegingsfactoren'!O137</f>
        <v>0</v>
      </c>
    </row>
    <row r="138" spans="2:15">
      <c r="B138" s="256" t="s">
        <v>295</v>
      </c>
      <c r="D138" s="51" t="s">
        <v>186</v>
      </c>
      <c r="G138" s="110">
        <f>'Berekening wegingsfactoren'!G138</f>
        <v>8260.42</v>
      </c>
      <c r="H138" s="110">
        <f>'Berekening wegingsfactoren'!H138</f>
        <v>16988.89</v>
      </c>
      <c r="I138" s="110">
        <f>'Berekening wegingsfactoren'!I138</f>
        <v>4100</v>
      </c>
      <c r="J138" s="110">
        <f>'Berekening wegingsfactoren'!J138</f>
        <v>2580</v>
      </c>
      <c r="K138" s="110">
        <f>'Berekening wegingsfactoren'!K138</f>
        <v>3021</v>
      </c>
      <c r="L138" s="110">
        <f>'Berekening wegingsfactoren'!L138</f>
        <v>7539</v>
      </c>
      <c r="M138" s="110">
        <f>'Berekening wegingsfactoren'!M138</f>
        <v>2020</v>
      </c>
      <c r="N138" s="110">
        <f>'Berekening wegingsfactoren'!N138</f>
        <v>6148.41</v>
      </c>
      <c r="O138" s="110">
        <f>'Berekening wegingsfactoren'!O138</f>
        <v>0</v>
      </c>
    </row>
    <row r="139" spans="2:15">
      <c r="B139" s="26" t="s">
        <v>296</v>
      </c>
      <c r="D139" s="51" t="s">
        <v>186</v>
      </c>
      <c r="G139" s="110">
        <f>'Berekening wegingsfactoren'!G139</f>
        <v>8260.42</v>
      </c>
      <c r="H139" s="110">
        <f>'Berekening wegingsfactoren'!H139</f>
        <v>16988.89</v>
      </c>
      <c r="I139" s="110">
        <f>'Berekening wegingsfactoren'!I139</f>
        <v>5290</v>
      </c>
      <c r="J139" s="110">
        <f>'Berekening wegingsfactoren'!J139</f>
        <v>2580</v>
      </c>
      <c r="K139" s="110">
        <f>'Berekening wegingsfactoren'!K139</f>
        <v>3322</v>
      </c>
      <c r="L139" s="110">
        <f>'Berekening wegingsfactoren'!L139</f>
        <v>7539</v>
      </c>
      <c r="M139" s="110">
        <f>'Berekening wegingsfactoren'!M139</f>
        <v>2020</v>
      </c>
      <c r="N139" s="110">
        <f>'Berekening wegingsfactoren'!N139</f>
        <v>6148.41</v>
      </c>
      <c r="O139" s="110">
        <f>'Berekening wegingsfactoren'!O139</f>
        <v>0</v>
      </c>
    </row>
    <row r="140" spans="2:15">
      <c r="B140" s="256" t="s">
        <v>297</v>
      </c>
      <c r="D140" s="51" t="s">
        <v>186</v>
      </c>
      <c r="G140" s="110">
        <f>'Berekening wegingsfactoren'!G140</f>
        <v>8881.2000000000007</v>
      </c>
      <c r="H140" s="110">
        <f>'Berekening wegingsfactoren'!H140</f>
        <v>18613.91</v>
      </c>
      <c r="I140" s="110">
        <f>'Berekening wegingsfactoren'!I140</f>
        <v>5780</v>
      </c>
      <c r="J140" s="110">
        <f>'Berekening wegingsfactoren'!J140</f>
        <v>2580</v>
      </c>
      <c r="K140" s="110">
        <f>'Berekening wegingsfactoren'!K140</f>
        <v>3809</v>
      </c>
      <c r="L140" s="110">
        <f>'Berekening wegingsfactoren'!L140</f>
        <v>7539</v>
      </c>
      <c r="M140" s="110">
        <f>'Berekening wegingsfactoren'!M140</f>
        <v>2020</v>
      </c>
      <c r="N140" s="110">
        <f>'Berekening wegingsfactoren'!N140</f>
        <v>6148.41</v>
      </c>
      <c r="O140" s="110">
        <f>'Berekening wegingsfactoren'!O140</f>
        <v>0</v>
      </c>
    </row>
    <row r="141" spans="2:15">
      <c r="B141" s="256" t="s">
        <v>298</v>
      </c>
      <c r="D141" s="51" t="s">
        <v>186</v>
      </c>
      <c r="G141" s="110">
        <f>'Berekening wegingsfactoren'!G141</f>
        <v>8881.2000000000007</v>
      </c>
      <c r="H141" s="110">
        <f>'Berekening wegingsfactoren'!H141</f>
        <v>18613.91</v>
      </c>
      <c r="I141" s="110">
        <f>'Berekening wegingsfactoren'!I141</f>
        <v>6360</v>
      </c>
      <c r="J141" s="110">
        <f>'Berekening wegingsfactoren'!J141</f>
        <v>2580</v>
      </c>
      <c r="K141" s="110">
        <f>'Berekening wegingsfactoren'!K141</f>
        <v>4195</v>
      </c>
      <c r="L141" s="110">
        <f>'Berekening wegingsfactoren'!L141</f>
        <v>7539</v>
      </c>
      <c r="M141" s="110">
        <f>'Berekening wegingsfactoren'!M141</f>
        <v>2450</v>
      </c>
      <c r="N141" s="110">
        <f>'Berekening wegingsfactoren'!N141</f>
        <v>6148.41</v>
      </c>
      <c r="O141" s="110">
        <f>'Berekening wegingsfactoren'!O141</f>
        <v>0</v>
      </c>
    </row>
    <row r="142" spans="2:15">
      <c r="B142" s="256" t="s">
        <v>299</v>
      </c>
      <c r="D142" s="51" t="s">
        <v>186</v>
      </c>
      <c r="G142" s="110">
        <f>'Berekening wegingsfactoren'!G142</f>
        <v>8881.2000000000007</v>
      </c>
      <c r="H142" s="110">
        <f>'Berekening wegingsfactoren'!H142</f>
        <v>0</v>
      </c>
      <c r="I142" s="110">
        <f>'Berekening wegingsfactoren'!I142</f>
        <v>6990</v>
      </c>
      <c r="J142" s="110">
        <f>'Berekening wegingsfactoren'!J142</f>
        <v>2580</v>
      </c>
      <c r="K142" s="110">
        <f>'Berekening wegingsfactoren'!K142</f>
        <v>4615</v>
      </c>
      <c r="L142" s="110">
        <f>'Berekening wegingsfactoren'!L142</f>
        <v>7539</v>
      </c>
      <c r="M142" s="110">
        <f>'Berekening wegingsfactoren'!M142</f>
        <v>2450</v>
      </c>
      <c r="N142" s="110">
        <f>'Berekening wegingsfactoren'!N142</f>
        <v>6148.41</v>
      </c>
      <c r="O142" s="110">
        <f>'Berekening wegingsfactoren'!O142</f>
        <v>0</v>
      </c>
    </row>
    <row r="143" spans="2:15">
      <c r="B143" s="23" t="s">
        <v>300</v>
      </c>
      <c r="D143" s="51" t="s">
        <v>186</v>
      </c>
      <c r="G143" s="110">
        <f>'Berekening wegingsfactoren'!G143</f>
        <v>0</v>
      </c>
      <c r="H143" s="110">
        <f>'Berekening wegingsfactoren'!H143</f>
        <v>0</v>
      </c>
      <c r="I143" s="110">
        <f>'Berekening wegingsfactoren'!I143</f>
        <v>7700</v>
      </c>
      <c r="J143" s="110">
        <f>'Berekening wegingsfactoren'!J143</f>
        <v>2580</v>
      </c>
      <c r="K143" s="110">
        <f>'Berekening wegingsfactoren'!K143</f>
        <v>5074</v>
      </c>
      <c r="L143" s="110">
        <f>'Berekening wegingsfactoren'!L143</f>
        <v>0</v>
      </c>
      <c r="M143" s="110">
        <f>'Berekening wegingsfactoren'!M143</f>
        <v>2450</v>
      </c>
      <c r="N143" s="110">
        <f>'Berekening wegingsfactoren'!N143</f>
        <v>6148.41</v>
      </c>
      <c r="O143" s="110">
        <f>'Berekening wegingsfactoren'!O143</f>
        <v>0</v>
      </c>
    </row>
    <row r="144" spans="2:15">
      <c r="B144" s="23" t="s">
        <v>301</v>
      </c>
      <c r="D144" s="51" t="s">
        <v>186</v>
      </c>
      <c r="G144" s="110">
        <f>'Berekening wegingsfactoren'!G144</f>
        <v>0</v>
      </c>
      <c r="H144" s="110">
        <f>'Berekening wegingsfactoren'!H144</f>
        <v>0</v>
      </c>
      <c r="I144" s="110">
        <f>'Berekening wegingsfactoren'!I144</f>
        <v>8460</v>
      </c>
      <c r="J144" s="110">
        <f>'Berekening wegingsfactoren'!J144</f>
        <v>2580</v>
      </c>
      <c r="K144" s="110">
        <f>'Berekening wegingsfactoren'!K144</f>
        <v>5583</v>
      </c>
      <c r="L144" s="110">
        <f>'Berekening wegingsfactoren'!L144</f>
        <v>0</v>
      </c>
      <c r="M144" s="110">
        <f>'Berekening wegingsfactoren'!M144</f>
        <v>2450</v>
      </c>
      <c r="N144" s="110">
        <f>'Berekening wegingsfactoren'!N144</f>
        <v>6148.41</v>
      </c>
      <c r="O144" s="110">
        <f>'Berekening wegingsfactoren'!O144</f>
        <v>0</v>
      </c>
    </row>
    <row r="145" spans="2:15">
      <c r="B145" s="23"/>
    </row>
    <row r="146" spans="2:15">
      <c r="B146" s="108" t="s">
        <v>290</v>
      </c>
    </row>
    <row r="147" spans="2:15">
      <c r="B147" s="23" t="s">
        <v>302</v>
      </c>
      <c r="D147" s="51" t="s">
        <v>186</v>
      </c>
      <c r="G147" s="110">
        <f>'Berekening wegingsfactoren'!G147</f>
        <v>0</v>
      </c>
      <c r="H147" s="110">
        <f>'Berekening wegingsfactoren'!H147</f>
        <v>0</v>
      </c>
      <c r="I147" s="110">
        <f>'Berekening wegingsfactoren'!I147</f>
        <v>0</v>
      </c>
      <c r="J147" s="110">
        <f>'Berekening wegingsfactoren'!J147</f>
        <v>0</v>
      </c>
      <c r="K147" s="110">
        <f>'Berekening wegingsfactoren'!K147</f>
        <v>0</v>
      </c>
      <c r="L147" s="110">
        <f>'Berekening wegingsfactoren'!L147</f>
        <v>0</v>
      </c>
      <c r="M147" s="110">
        <f>'Berekening wegingsfactoren'!M147</f>
        <v>0</v>
      </c>
      <c r="N147" s="110">
        <f>'Berekening wegingsfactoren'!N147</f>
        <v>0</v>
      </c>
      <c r="O147" s="110">
        <f>'Berekening wegingsfactoren'!O147</f>
        <v>0</v>
      </c>
    </row>
    <row r="150" spans="2:15" s="9" customFormat="1">
      <c r="B150" s="2" t="s">
        <v>753</v>
      </c>
    </row>
    <row r="152" spans="2:15">
      <c r="B152" s="260" t="s">
        <v>207</v>
      </c>
    </row>
    <row r="154" spans="2:15">
      <c r="B154" s="103" t="s">
        <v>265</v>
      </c>
    </row>
    <row r="155" spans="2:15">
      <c r="B155" s="89" t="s">
        <v>201</v>
      </c>
      <c r="D155" s="51" t="s">
        <v>130</v>
      </c>
      <c r="G155" s="97">
        <f>'Berekening rekenvolumes'!G10</f>
        <v>136666.89743589741</v>
      </c>
      <c r="H155" s="97">
        <f>'Berekening rekenvolumes'!H10</f>
        <v>185291.61111111112</v>
      </c>
      <c r="I155" s="97">
        <f>'Berekening rekenvolumes'!I10</f>
        <v>389735.66666666669</v>
      </c>
      <c r="J155" s="97">
        <f>'Berekening rekenvolumes'!J10</f>
        <v>2018637.8370405796</v>
      </c>
      <c r="K155" s="97">
        <f>'Berekening rekenvolumes'!K10</f>
        <v>2211690.7388381059</v>
      </c>
      <c r="L155" s="97">
        <f>'Berekening rekenvolumes'!L10</f>
        <v>101151.86666666665</v>
      </c>
      <c r="M155" s="97">
        <f>'Berekening rekenvolumes'!M10</f>
        <v>1881089.1584566773</v>
      </c>
      <c r="N155" s="97">
        <f>'Berekening rekenvolumes'!N10</f>
        <v>49839.226486056963</v>
      </c>
      <c r="O155" s="97">
        <f>'Berekening rekenvolumes'!O10</f>
        <v>0</v>
      </c>
    </row>
    <row r="156" spans="2:15">
      <c r="B156" s="90" t="s">
        <v>202</v>
      </c>
      <c r="D156" s="51" t="s">
        <v>130</v>
      </c>
      <c r="G156" s="97">
        <f>'Berekening rekenvolumes'!G11</f>
        <v>477360.217948718</v>
      </c>
      <c r="H156" s="97">
        <f>'Berekening rekenvolumes'!H11</f>
        <v>605800.97222222213</v>
      </c>
      <c r="I156" s="97">
        <f>'Berekening rekenvolumes'!I11</f>
        <v>1325353</v>
      </c>
      <c r="J156" s="97">
        <f>'Berekening rekenvolumes'!J11</f>
        <v>6741460.3096565902</v>
      </c>
      <c r="K156" s="97">
        <f>'Berekening rekenvolumes'!K11</f>
        <v>7078671.4069611887</v>
      </c>
      <c r="L156" s="97">
        <f>'Berekening rekenvolumes'!L11</f>
        <v>342940.8</v>
      </c>
      <c r="M156" s="97">
        <f>'Berekening rekenvolumes'!M11</f>
        <v>5880542.365597182</v>
      </c>
      <c r="N156" s="97">
        <f>'Berekening rekenvolumes'!N11</f>
        <v>164052.37644860838</v>
      </c>
      <c r="O156" s="97">
        <f>'Berekening rekenvolumes'!O11</f>
        <v>0</v>
      </c>
    </row>
    <row r="157" spans="2:15">
      <c r="B157" s="90"/>
    </row>
    <row r="158" spans="2:15">
      <c r="B158" s="91" t="s">
        <v>266</v>
      </c>
    </row>
    <row r="159" spans="2:15">
      <c r="B159" s="89" t="s">
        <v>201</v>
      </c>
      <c r="D159" s="51" t="s">
        <v>130</v>
      </c>
      <c r="G159" s="97">
        <f>'Berekening rekenvolumes'!G14</f>
        <v>509.4871794871795</v>
      </c>
      <c r="H159" s="97">
        <f>'Berekening rekenvolumes'!H14</f>
        <v>561.11139359698655</v>
      </c>
      <c r="I159" s="97">
        <f>'Berekening rekenvolumes'!I14</f>
        <v>1684.3333333333333</v>
      </c>
      <c r="J159" s="97">
        <f>'Berekening rekenvolumes'!J14</f>
        <v>8444.5632882651498</v>
      </c>
      <c r="K159" s="97">
        <f>'Berekening rekenvolumes'!K14</f>
        <v>9752.3450620830354</v>
      </c>
      <c r="L159" s="97">
        <f>'Berekening rekenvolumes'!L14</f>
        <v>353.4666666666667</v>
      </c>
      <c r="M159" s="97">
        <f>'Berekening rekenvolumes'!M14</f>
        <v>8334.3048539418796</v>
      </c>
      <c r="N159" s="97">
        <f>'Berekening rekenvolumes'!N14</f>
        <v>726.3765002050726</v>
      </c>
      <c r="O159" s="97">
        <f>'Berekening rekenvolumes'!O14</f>
        <v>0</v>
      </c>
    </row>
    <row r="160" spans="2:15">
      <c r="B160" s="90" t="s">
        <v>202</v>
      </c>
      <c r="D160" s="51" t="s">
        <v>130</v>
      </c>
      <c r="G160" s="97">
        <f>'Berekening rekenvolumes'!G15</f>
        <v>35170.128205128211</v>
      </c>
      <c r="H160" s="97">
        <f>'Berekening rekenvolumes'!H15</f>
        <v>39622.650188323903</v>
      </c>
      <c r="I160" s="97">
        <f>'Berekening rekenvolumes'!I15</f>
        <v>110935</v>
      </c>
      <c r="J160" s="97">
        <f>'Berekening rekenvolumes'!J15</f>
        <v>646096.93713264691</v>
      </c>
      <c r="K160" s="97">
        <f>'Berekening rekenvolumes'!K15</f>
        <v>711203.45552677196</v>
      </c>
      <c r="L160" s="97">
        <f>'Berekening rekenvolumes'!L15</f>
        <v>23774.666666666668</v>
      </c>
      <c r="M160" s="97">
        <f>'Berekening rekenvolumes'!M15</f>
        <v>694962.64764563611</v>
      </c>
      <c r="N160" s="97">
        <f>'Berekening rekenvolumes'!N15</f>
        <v>79840.930385944186</v>
      </c>
      <c r="O160" s="97">
        <f>'Berekening rekenvolumes'!O15</f>
        <v>0</v>
      </c>
    </row>
    <row r="161" spans="2:15">
      <c r="B161" s="104"/>
    </row>
    <row r="162" spans="2:15">
      <c r="B162" s="88" t="s">
        <v>204</v>
      </c>
    </row>
    <row r="163" spans="2:15">
      <c r="B163" s="89" t="s">
        <v>201</v>
      </c>
      <c r="D163" s="51" t="s">
        <v>130</v>
      </c>
      <c r="G163" s="97">
        <f>'Berekening rekenvolumes'!G18</f>
        <v>113.33333333333333</v>
      </c>
      <c r="H163" s="97">
        <f>'Berekening rekenvolumes'!H18</f>
        <v>184.19444444444443</v>
      </c>
      <c r="I163" s="97">
        <f>'Berekening rekenvolumes'!I18</f>
        <v>501</v>
      </c>
      <c r="J163" s="97">
        <f>'Berekening rekenvolumes'!J18</f>
        <v>2318.0557286788703</v>
      </c>
      <c r="K163" s="97">
        <f>'Berekening rekenvolumes'!K18</f>
        <v>2582.3323687046977</v>
      </c>
      <c r="L163" s="97">
        <f>'Berekening rekenvolumes'!L18</f>
        <v>89.94</v>
      </c>
      <c r="M163" s="97">
        <f>'Berekening rekenvolumes'!M18</f>
        <v>2066.6484829098731</v>
      </c>
      <c r="N163" s="97">
        <f>'Berekening rekenvolumes'!N18</f>
        <v>967.4368325583855</v>
      </c>
      <c r="O163" s="97">
        <f>'Berekening rekenvolumes'!O18</f>
        <v>0</v>
      </c>
    </row>
    <row r="164" spans="2:15">
      <c r="B164" s="90" t="s">
        <v>262</v>
      </c>
      <c r="D164" s="51" t="s">
        <v>130</v>
      </c>
      <c r="G164" s="97">
        <f>'Berekening rekenvolumes'!G19</f>
        <v>7366.3888888888878</v>
      </c>
      <c r="H164" s="97">
        <f>'Berekening rekenvolumes'!H19</f>
        <v>12207.361111111109</v>
      </c>
      <c r="I164" s="97">
        <f>'Berekening rekenvolumes'!I19</f>
        <v>0</v>
      </c>
      <c r="J164" s="97">
        <f>'Berekening rekenvolumes'!J19</f>
        <v>0</v>
      </c>
      <c r="K164" s="97">
        <f>'Berekening rekenvolumes'!K19</f>
        <v>136101.36111111112</v>
      </c>
      <c r="L164" s="97">
        <f>'Berekening rekenvolumes'!L19</f>
        <v>3784.7566666666667</v>
      </c>
      <c r="M164" s="97">
        <f>'Berekening rekenvolumes'!M19</f>
        <v>0</v>
      </c>
      <c r="N164" s="97">
        <f>'Berekening rekenvolumes'!N19</f>
        <v>0</v>
      </c>
      <c r="O164" s="97">
        <f>'Berekening rekenvolumes'!O19</f>
        <v>0</v>
      </c>
    </row>
    <row r="165" spans="2:15">
      <c r="B165" s="89" t="s">
        <v>263</v>
      </c>
      <c r="D165" s="51" t="s">
        <v>130</v>
      </c>
      <c r="G165" s="97">
        <f>'Berekening rekenvolumes'!G20</f>
        <v>23341.638888888891</v>
      </c>
      <c r="H165" s="97">
        <f>'Berekening rekenvolumes'!H20</f>
        <v>48604.709229772852</v>
      </c>
      <c r="I165" s="97">
        <f>'Berekening rekenvolumes'!I20</f>
        <v>0</v>
      </c>
      <c r="J165" s="97">
        <f>'Berekening rekenvolumes'!J20</f>
        <v>0</v>
      </c>
      <c r="K165" s="97">
        <f>'Berekening rekenvolumes'!K20</f>
        <v>529847.85680978966</v>
      </c>
      <c r="L165" s="97">
        <f>'Berekening rekenvolumes'!L20</f>
        <v>26392.39333333333</v>
      </c>
      <c r="M165" s="97">
        <f>'Berekening rekenvolumes'!M20</f>
        <v>0</v>
      </c>
      <c r="N165" s="97">
        <f>'Berekening rekenvolumes'!N20</f>
        <v>0</v>
      </c>
      <c r="O165" s="97">
        <f>'Berekening rekenvolumes'!O20</f>
        <v>0</v>
      </c>
    </row>
    <row r="166" spans="2:15">
      <c r="B166" s="90" t="s">
        <v>264</v>
      </c>
      <c r="D166" s="51" t="s">
        <v>130</v>
      </c>
      <c r="G166" s="97">
        <f>'Berekening rekenvolumes'!G21</f>
        <v>0</v>
      </c>
      <c r="H166" s="97">
        <f>'Berekening rekenvolumes'!H21</f>
        <v>0</v>
      </c>
      <c r="I166" s="97">
        <f>'Berekening rekenvolumes'!I21</f>
        <v>153419.88261245476</v>
      </c>
      <c r="J166" s="97">
        <f>'Berekening rekenvolumes'!J21</f>
        <v>746574.67327855539</v>
      </c>
      <c r="K166" s="97">
        <f>'Berekening rekenvolumes'!K21</f>
        <v>0</v>
      </c>
      <c r="L166" s="97">
        <f>'Berekening rekenvolumes'!L21</f>
        <v>0</v>
      </c>
      <c r="M166" s="97">
        <f>'Berekening rekenvolumes'!M21</f>
        <v>650423.1834578244</v>
      </c>
      <c r="N166" s="97">
        <f>'Berekening rekenvolumes'!N21</f>
        <v>328021.69104539836</v>
      </c>
      <c r="O166" s="97">
        <f>'Berekening rekenvolumes'!O21</f>
        <v>0</v>
      </c>
    </row>
    <row r="167" spans="2:15">
      <c r="B167" s="90"/>
      <c r="D167" s="51"/>
    </row>
    <row r="168" spans="2:15">
      <c r="B168" s="105"/>
    </row>
    <row r="169" spans="2:15">
      <c r="B169" s="88" t="s">
        <v>206</v>
      </c>
    </row>
    <row r="170" spans="2:15">
      <c r="B170" s="89" t="s">
        <v>201</v>
      </c>
      <c r="D170" s="51" t="s">
        <v>130</v>
      </c>
      <c r="G170" s="97">
        <f>'Berekening rekenvolumes'!G25</f>
        <v>0</v>
      </c>
      <c r="H170" s="97">
        <f>'Berekening rekenvolumes'!H25</f>
        <v>4</v>
      </c>
      <c r="I170" s="97">
        <f>'Berekening rekenvolumes'!I25</f>
        <v>0</v>
      </c>
      <c r="J170" s="97">
        <f>'Berekening rekenvolumes'!J25</f>
        <v>1</v>
      </c>
      <c r="K170" s="97">
        <f>'Berekening rekenvolumes'!K25</f>
        <v>0</v>
      </c>
      <c r="L170" s="97">
        <f>'Berekening rekenvolumes'!L25</f>
        <v>0</v>
      </c>
      <c r="M170" s="97">
        <f>'Berekening rekenvolumes'!M25</f>
        <v>0</v>
      </c>
      <c r="N170" s="97">
        <f>'Berekening rekenvolumes'!N25</f>
        <v>0</v>
      </c>
      <c r="O170" s="97">
        <f>'Berekening rekenvolumes'!O25</f>
        <v>2</v>
      </c>
    </row>
    <row r="171" spans="2:15">
      <c r="B171" s="90" t="s">
        <v>202</v>
      </c>
      <c r="D171" s="51" t="s">
        <v>130</v>
      </c>
      <c r="G171" s="97">
        <f>'Berekening rekenvolumes'!G26</f>
        <v>0</v>
      </c>
      <c r="H171" s="97">
        <f>'Berekening rekenvolumes'!H26</f>
        <v>76157.666666666672</v>
      </c>
      <c r="I171" s="97">
        <f>'Berekening rekenvolumes'!I26</f>
        <v>0</v>
      </c>
      <c r="J171" s="97">
        <f>'Berekening rekenvolumes'!J26</f>
        <v>60000</v>
      </c>
      <c r="K171" s="97">
        <f>'Berekening rekenvolumes'!K26</f>
        <v>0</v>
      </c>
      <c r="L171" s="97">
        <f>'Berekening rekenvolumes'!L26</f>
        <v>0</v>
      </c>
      <c r="M171" s="97">
        <f>'Berekening rekenvolumes'!M26</f>
        <v>0</v>
      </c>
      <c r="N171" s="97">
        <f>'Berekening rekenvolumes'!N26</f>
        <v>0</v>
      </c>
      <c r="O171" s="97">
        <f>'Berekening rekenvolumes'!O26</f>
        <v>650141.79210000008</v>
      </c>
    </row>
    <row r="172" spans="2:15">
      <c r="B172" s="260"/>
    </row>
    <row r="173" spans="2:15">
      <c r="B173" s="260"/>
    </row>
    <row r="175" spans="2:15">
      <c r="B175" s="260" t="s">
        <v>208</v>
      </c>
    </row>
    <row r="177" spans="2:15">
      <c r="B177" s="261" t="s">
        <v>306</v>
      </c>
    </row>
    <row r="178" spans="2:15">
      <c r="B178" s="261"/>
    </row>
    <row r="179" spans="2:15">
      <c r="B179" s="108" t="s">
        <v>284</v>
      </c>
    </row>
    <row r="180" spans="2:15">
      <c r="B180" s="23" t="s">
        <v>285</v>
      </c>
      <c r="D180" s="51" t="s">
        <v>130</v>
      </c>
      <c r="G180" s="97">
        <f>'Berekening rekenvolumes'!G35</f>
        <v>133669.8205128205</v>
      </c>
      <c r="H180" s="97">
        <f>'Berekening rekenvolumes'!H35</f>
        <v>181856.27777777778</v>
      </c>
      <c r="I180" s="97">
        <f>'Berekening rekenvolumes'!I35</f>
        <v>379622.66666666669</v>
      </c>
      <c r="J180" s="97">
        <f>'Berekening rekenvolumes'!J35</f>
        <v>1977711.7453203599</v>
      </c>
      <c r="K180" s="97">
        <f>'Berekening rekenvolumes'!K35</f>
        <v>2174210.75</v>
      </c>
      <c r="L180" s="97">
        <f>'Berekening rekenvolumes'!L35</f>
        <v>98969</v>
      </c>
      <c r="M180" s="97">
        <f>'Berekening rekenvolumes'!M35</f>
        <v>1843974.2536454611</v>
      </c>
      <c r="N180" s="97">
        <f>'Berekening rekenvolumes'!N35</f>
        <v>49258.239698931109</v>
      </c>
      <c r="O180" s="97">
        <f>'Berekening rekenvolumes'!O35</f>
        <v>0</v>
      </c>
    </row>
    <row r="181" spans="2:15">
      <c r="B181" s="23" t="s">
        <v>286</v>
      </c>
      <c r="D181" s="51" t="s">
        <v>130</v>
      </c>
      <c r="G181" s="97">
        <f>'Berekening rekenvolumes'!G36</f>
        <v>3</v>
      </c>
      <c r="H181" s="97">
        <f>'Berekening rekenvolumes'!H36</f>
        <v>21.305555555555557</v>
      </c>
      <c r="I181" s="97">
        <f>'Berekening rekenvolumes'!I36</f>
        <v>2400</v>
      </c>
      <c r="J181" s="97">
        <f>'Berekening rekenvolumes'!J36</f>
        <v>4849.0895288625497</v>
      </c>
      <c r="K181" s="97">
        <f>'Berekening rekenvolumes'!K36</f>
        <v>9294.6944444444434</v>
      </c>
      <c r="L181" s="97">
        <f>'Berekening rekenvolumes'!L36</f>
        <v>668.93333333333339</v>
      </c>
      <c r="M181" s="97">
        <f>'Berekening rekenvolumes'!M36</f>
        <v>7761.4052458553897</v>
      </c>
      <c r="N181" s="97">
        <f>'Berekening rekenvolumes'!N36</f>
        <v>426.65446531706112</v>
      </c>
      <c r="O181" s="97">
        <f>'Berekening rekenvolumes'!O36</f>
        <v>0</v>
      </c>
    </row>
    <row r="182" spans="2:15">
      <c r="B182" s="256" t="s">
        <v>287</v>
      </c>
      <c r="D182" s="51" t="s">
        <v>130</v>
      </c>
      <c r="G182" s="97">
        <f>'Berekening rekenvolumes'!G37</f>
        <v>2278.8717948717949</v>
      </c>
      <c r="H182" s="97">
        <f>'Berekening rekenvolumes'!H37</f>
        <v>2749.1111111111113</v>
      </c>
      <c r="I182" s="97">
        <f>'Berekening rekenvolumes'!I37</f>
        <v>5758.666666666667</v>
      </c>
      <c r="J182" s="97">
        <f>'Berekening rekenvolumes'!J37</f>
        <v>27627.476785386138</v>
      </c>
      <c r="K182" s="97">
        <f>'Berekening rekenvolumes'!K37</f>
        <v>21302.916666666668</v>
      </c>
      <c r="L182" s="97">
        <f>'Berekening rekenvolumes'!L37</f>
        <v>1103.6666666666667</v>
      </c>
      <c r="M182" s="97">
        <f>'Berekening rekenvolumes'!M37</f>
        <v>16163.250026709402</v>
      </c>
      <c r="N182" s="97">
        <f>'Berekening rekenvolumes'!N37</f>
        <v>404.5022884315693</v>
      </c>
      <c r="O182" s="97">
        <f>'Berekening rekenvolumes'!O37</f>
        <v>0</v>
      </c>
    </row>
    <row r="183" spans="2:15">
      <c r="B183" s="256" t="s">
        <v>288</v>
      </c>
      <c r="D183" s="51" t="s">
        <v>130</v>
      </c>
      <c r="G183" s="97">
        <f>'Berekening rekenvolumes'!G38</f>
        <v>719.53846153846155</v>
      </c>
      <c r="H183" s="97">
        <f>'Berekening rekenvolumes'!H38</f>
        <v>665.1388888888888</v>
      </c>
      <c r="I183" s="97">
        <f>'Berekening rekenvolumes'!I38</f>
        <v>1955.6666666666667</v>
      </c>
      <c r="J183" s="97">
        <f>'Berekening rekenvolumes'!J38</f>
        <v>8602.3974507738694</v>
      </c>
      <c r="K183" s="97">
        <f>'Berekening rekenvolumes'!K38</f>
        <v>6891.3888888888878</v>
      </c>
      <c r="L183" s="97">
        <f>'Berekening rekenvolumes'!L38</f>
        <v>409.59999999999997</v>
      </c>
      <c r="M183" s="97">
        <f>'Berekening rekenvolumes'!M38</f>
        <v>6778.6834589757646</v>
      </c>
      <c r="N183" s="97">
        <f>'Berekening rekenvolumes'!N38</f>
        <v>295.06310329197191</v>
      </c>
      <c r="O183" s="97">
        <f>'Berekening rekenvolumes'!O38</f>
        <v>0</v>
      </c>
    </row>
    <row r="184" spans="2:15">
      <c r="B184" s="23"/>
    </row>
    <row r="185" spans="2:15">
      <c r="B185" s="108" t="s">
        <v>289</v>
      </c>
    </row>
    <row r="186" spans="2:15">
      <c r="B186" s="23" t="s">
        <v>285</v>
      </c>
      <c r="D186" s="51" t="s">
        <v>130</v>
      </c>
      <c r="G186" s="97">
        <f>'Berekening rekenvolumes'!G41</f>
        <v>0</v>
      </c>
      <c r="H186" s="97">
        <f>'Berekening rekenvolumes'!H41</f>
        <v>0</v>
      </c>
      <c r="I186" s="97">
        <f>'Berekening rekenvolumes'!I41</f>
        <v>0</v>
      </c>
      <c r="J186" s="97">
        <f>'Berekening rekenvolumes'!J41</f>
        <v>0</v>
      </c>
      <c r="K186" s="97">
        <f>'Berekening rekenvolumes'!K41</f>
        <v>0</v>
      </c>
      <c r="L186" s="97">
        <f>'Berekening rekenvolumes'!L41</f>
        <v>0</v>
      </c>
      <c r="M186" s="97">
        <f>'Berekening rekenvolumes'!M41</f>
        <v>0</v>
      </c>
      <c r="N186" s="97">
        <f>'Berekening rekenvolumes'!N41</f>
        <v>0</v>
      </c>
      <c r="O186" s="97">
        <f>'Berekening rekenvolumes'!O41</f>
        <v>0</v>
      </c>
    </row>
    <row r="187" spans="2:15">
      <c r="B187" s="23" t="s">
        <v>286</v>
      </c>
      <c r="D187" s="51" t="s">
        <v>130</v>
      </c>
      <c r="G187" s="97">
        <f>'Berekening rekenvolumes'!G42</f>
        <v>0</v>
      </c>
      <c r="H187" s="97">
        <f>'Berekening rekenvolumes'!H42</f>
        <v>0</v>
      </c>
      <c r="I187" s="97">
        <f>'Berekening rekenvolumes'!I42</f>
        <v>0</v>
      </c>
      <c r="J187" s="97">
        <f>'Berekening rekenvolumes'!J42</f>
        <v>0</v>
      </c>
      <c r="K187" s="97">
        <f>'Berekening rekenvolumes'!K42</f>
        <v>0.33333333333333331</v>
      </c>
      <c r="L187" s="97">
        <f>'Berekening rekenvolumes'!L42</f>
        <v>0</v>
      </c>
      <c r="M187" s="97">
        <f>'Berekening rekenvolumes'!M42</f>
        <v>0</v>
      </c>
      <c r="N187" s="97">
        <f>'Berekening rekenvolumes'!N42</f>
        <v>0</v>
      </c>
      <c r="O187" s="97">
        <f>'Berekening rekenvolumes'!O42</f>
        <v>0</v>
      </c>
    </row>
    <row r="188" spans="2:15">
      <c r="B188" s="256" t="s">
        <v>287</v>
      </c>
      <c r="D188" s="51" t="s">
        <v>130</v>
      </c>
      <c r="G188" s="97">
        <f>'Berekening rekenvolumes'!G43</f>
        <v>0</v>
      </c>
      <c r="H188" s="97">
        <f>'Berekening rekenvolumes'!H43</f>
        <v>0</v>
      </c>
      <c r="I188" s="97">
        <f>'Berekening rekenvolumes'!I43</f>
        <v>0.66666666666666663</v>
      </c>
      <c r="J188" s="97">
        <f>'Berekening rekenvolumes'!J43</f>
        <v>0</v>
      </c>
      <c r="K188" s="97">
        <f>'Berekening rekenvolumes'!K43</f>
        <v>0</v>
      </c>
      <c r="L188" s="97">
        <f>'Berekening rekenvolumes'!L43</f>
        <v>1</v>
      </c>
      <c r="M188" s="97">
        <f>'Berekening rekenvolumes'!M43</f>
        <v>0</v>
      </c>
      <c r="N188" s="97">
        <f>'Berekening rekenvolumes'!N43</f>
        <v>0</v>
      </c>
      <c r="O188" s="97">
        <f>'Berekening rekenvolumes'!O43</f>
        <v>0</v>
      </c>
    </row>
    <row r="189" spans="2:15">
      <c r="B189" s="256" t="s">
        <v>288</v>
      </c>
      <c r="D189" s="51" t="s">
        <v>130</v>
      </c>
      <c r="G189" s="97">
        <f>'Berekening rekenvolumes'!G44</f>
        <v>1</v>
      </c>
      <c r="H189" s="97">
        <f>'Berekening rekenvolumes'!H44</f>
        <v>0</v>
      </c>
      <c r="I189" s="97">
        <f>'Berekening rekenvolumes'!I44</f>
        <v>0.66666666666666663</v>
      </c>
      <c r="J189" s="97">
        <f>'Berekening rekenvolumes'!J44</f>
        <v>0</v>
      </c>
      <c r="K189" s="97">
        <f>'Berekening rekenvolumes'!K44</f>
        <v>0</v>
      </c>
      <c r="L189" s="97">
        <f>'Berekening rekenvolumes'!L44</f>
        <v>0</v>
      </c>
      <c r="M189" s="97">
        <f>'Berekening rekenvolumes'!M44</f>
        <v>0</v>
      </c>
      <c r="N189" s="97">
        <f>'Berekening rekenvolumes'!N44</f>
        <v>0</v>
      </c>
      <c r="O189" s="97">
        <f>'Berekening rekenvolumes'!O44</f>
        <v>0</v>
      </c>
    </row>
    <row r="190" spans="2:15">
      <c r="B190" s="23"/>
    </row>
    <row r="191" spans="2:15">
      <c r="B191" s="108" t="s">
        <v>290</v>
      </c>
    </row>
    <row r="192" spans="2:15">
      <c r="B192" s="23" t="s">
        <v>291</v>
      </c>
      <c r="D192" s="51" t="s">
        <v>130</v>
      </c>
      <c r="G192" s="97">
        <f>'Berekening rekenvolumes'!G47</f>
        <v>0</v>
      </c>
      <c r="H192" s="97">
        <f>'Berekening rekenvolumes'!H47</f>
        <v>0</v>
      </c>
      <c r="I192" s="97">
        <f>'Berekening rekenvolumes'!I47</f>
        <v>0</v>
      </c>
      <c r="J192" s="97">
        <f>'Berekening rekenvolumes'!J47</f>
        <v>0</v>
      </c>
      <c r="K192" s="97">
        <f>'Berekening rekenvolumes'!K47</f>
        <v>0</v>
      </c>
      <c r="L192" s="97">
        <f>'Berekening rekenvolumes'!L47</f>
        <v>0</v>
      </c>
      <c r="M192" s="97">
        <f>'Berekening rekenvolumes'!M47</f>
        <v>0</v>
      </c>
      <c r="N192" s="97">
        <f>'Berekening rekenvolumes'!N47</f>
        <v>0</v>
      </c>
      <c r="O192" s="97">
        <f>'Berekening rekenvolumes'!O47</f>
        <v>0</v>
      </c>
    </row>
    <row r="193" spans="2:15">
      <c r="B193" s="261"/>
    </row>
    <row r="194" spans="2:15">
      <c r="B194" s="261"/>
    </row>
    <row r="195" spans="2:15">
      <c r="B195" s="261" t="s">
        <v>305</v>
      </c>
    </row>
    <row r="196" spans="2:15">
      <c r="B196" s="261"/>
    </row>
    <row r="197" spans="2:15">
      <c r="B197" s="108" t="s">
        <v>284</v>
      </c>
    </row>
    <row r="198" spans="2:15">
      <c r="B198" s="256" t="s">
        <v>292</v>
      </c>
      <c r="D198" s="51" t="s">
        <v>130</v>
      </c>
      <c r="G198" s="97">
        <f>'Berekening rekenvolumes'!G53</f>
        <v>233.51282051282053</v>
      </c>
      <c r="H198" s="97">
        <f>'Berekening rekenvolumes'!H53</f>
        <v>191.47222222222206</v>
      </c>
      <c r="I198" s="97">
        <f>'Berekening rekenvolumes'!I53</f>
        <v>778.33333333333337</v>
      </c>
      <c r="J198" s="97">
        <f>'Berekening rekenvolumes'!J53</f>
        <v>2718.1035215193433</v>
      </c>
      <c r="K198" s="97">
        <f>'Berekening rekenvolumes'!K53</f>
        <v>3108.4166666666665</v>
      </c>
      <c r="L198" s="97">
        <f>'Berekening rekenvolumes'!L53</f>
        <v>142.20000000000002</v>
      </c>
      <c r="M198" s="97">
        <f>'Berekening rekenvolumes'!M53</f>
        <v>2326.9309536165019</v>
      </c>
      <c r="N198" s="97">
        <f>'Berekening rekenvolumes'!N53</f>
        <v>103.83333333333333</v>
      </c>
      <c r="O198" s="97">
        <f>'Berekening rekenvolumes'!O53</f>
        <v>0</v>
      </c>
    </row>
    <row r="199" spans="2:15">
      <c r="B199" s="256" t="s">
        <v>293</v>
      </c>
      <c r="D199" s="51" t="s">
        <v>130</v>
      </c>
      <c r="G199" s="97">
        <f>'Berekening rekenvolumes'!G54</f>
        <v>182.71794871794873</v>
      </c>
      <c r="H199" s="97">
        <f>'Berekening rekenvolumes'!H54</f>
        <v>257.77777777777777</v>
      </c>
      <c r="I199" s="97">
        <f>'Berekening rekenvolumes'!I54</f>
        <v>538</v>
      </c>
      <c r="J199" s="97">
        <f>'Berekening rekenvolumes'!J54</f>
        <v>3347.6866336168182</v>
      </c>
      <c r="K199" s="97">
        <f>'Berekening rekenvolumes'!K54</f>
        <v>4378.833333333333</v>
      </c>
      <c r="L199" s="97">
        <f>'Berekening rekenvolumes'!L54</f>
        <v>142</v>
      </c>
      <c r="M199" s="97">
        <f>'Berekening rekenvolumes'!M54</f>
        <v>3498.1995092075081</v>
      </c>
      <c r="N199" s="97">
        <f>'Berekening rekenvolumes'!N54</f>
        <v>184.88888888888891</v>
      </c>
      <c r="O199" s="97">
        <f>'Berekening rekenvolumes'!O54</f>
        <v>0</v>
      </c>
    </row>
    <row r="200" spans="2:15">
      <c r="B200" s="256" t="s">
        <v>294</v>
      </c>
      <c r="D200" s="51" t="s">
        <v>130</v>
      </c>
      <c r="G200" s="97">
        <f>'Berekening rekenvolumes'!G55</f>
        <v>63.717948717948723</v>
      </c>
      <c r="H200" s="97">
        <f>'Berekening rekenvolumes'!H55</f>
        <v>99.25</v>
      </c>
      <c r="I200" s="97">
        <f>'Berekening rekenvolumes'!I55</f>
        <v>371.33333333333331</v>
      </c>
      <c r="J200" s="97">
        <f>'Berekening rekenvolumes'!J55</f>
        <v>1673.718934988404</v>
      </c>
      <c r="K200" s="97">
        <f>'Berekening rekenvolumes'!K55</f>
        <v>2043.5555555555554</v>
      </c>
      <c r="L200" s="97">
        <f>'Berekening rekenvolumes'!L55</f>
        <v>36.800000000000004</v>
      </c>
      <c r="M200" s="97">
        <f>'Berekening rekenvolumes'!M55</f>
        <v>1998.6054805972469</v>
      </c>
      <c r="N200" s="97">
        <f>'Berekening rekenvolumes'!N55</f>
        <v>149.7777777777778</v>
      </c>
      <c r="O200" s="97">
        <f>'Berekening rekenvolumes'!O55</f>
        <v>0</v>
      </c>
    </row>
    <row r="201" spans="2:15">
      <c r="B201" s="256" t="s">
        <v>295</v>
      </c>
      <c r="D201" s="51" t="s">
        <v>130</v>
      </c>
      <c r="G201" s="97">
        <f>'Berekening rekenvolumes'!G56</f>
        <v>62.564102564102562</v>
      </c>
      <c r="H201" s="97">
        <f>'Berekening rekenvolumes'!H56</f>
        <v>58.888888888888879</v>
      </c>
      <c r="I201" s="97">
        <f>'Berekening rekenvolumes'!I56</f>
        <v>116.66666666666667</v>
      </c>
      <c r="J201" s="97">
        <f>'Berekening rekenvolumes'!J56</f>
        <v>851.61106987371329</v>
      </c>
      <c r="K201" s="97">
        <f>'Berekening rekenvolumes'!K56</f>
        <v>1278.8055555555554</v>
      </c>
      <c r="L201" s="97">
        <f>'Berekening rekenvolumes'!L56</f>
        <v>21.733333333333334</v>
      </c>
      <c r="M201" s="97">
        <f>'Berekening rekenvolumes'!M56</f>
        <v>721.25700857506945</v>
      </c>
      <c r="N201" s="97">
        <f>'Berekening rekenvolumes'!N56</f>
        <v>325.24769033742217</v>
      </c>
      <c r="O201" s="97">
        <f>'Berekening rekenvolumes'!O56</f>
        <v>0</v>
      </c>
    </row>
    <row r="202" spans="2:15">
      <c r="B202" s="26" t="s">
        <v>296</v>
      </c>
      <c r="D202" s="51" t="s">
        <v>130</v>
      </c>
      <c r="G202" s="97">
        <f>'Berekening rekenvolumes'!G57</f>
        <v>18.076923076923077</v>
      </c>
      <c r="H202" s="97">
        <f>'Berekening rekenvolumes'!H57</f>
        <v>9.3333333333333339</v>
      </c>
      <c r="I202" s="97">
        <f>'Berekening rekenvolumes'!I57</f>
        <v>75</v>
      </c>
      <c r="J202" s="97">
        <f>'Berekening rekenvolumes'!J57</f>
        <v>679.24862959107213</v>
      </c>
      <c r="K202" s="97">
        <f>'Berekening rekenvolumes'!K57</f>
        <v>665.22222222222217</v>
      </c>
      <c r="L202" s="97">
        <f>'Berekening rekenvolumes'!L57</f>
        <v>4.7</v>
      </c>
      <c r="M202" s="97">
        <f>'Berekening rekenvolumes'!M57</f>
        <v>925.48709916903829</v>
      </c>
      <c r="N202" s="97">
        <f>'Berekening rekenvolumes'!N57</f>
        <v>471.70647713887439</v>
      </c>
      <c r="O202" s="97">
        <f>'Berekening rekenvolumes'!O57</f>
        <v>0</v>
      </c>
    </row>
    <row r="203" spans="2:15">
      <c r="B203" s="256" t="s">
        <v>297</v>
      </c>
      <c r="D203" s="51" t="s">
        <v>130</v>
      </c>
      <c r="G203" s="97">
        <f>'Berekening rekenvolumes'!G58</f>
        <v>8</v>
      </c>
      <c r="H203" s="97">
        <f>'Berekening rekenvolumes'!H58</f>
        <v>0</v>
      </c>
      <c r="I203" s="97">
        <f>'Berekening rekenvolumes'!I58</f>
        <v>12.333333333333334</v>
      </c>
      <c r="J203" s="97">
        <f>'Berekening rekenvolumes'!J58</f>
        <v>282.71042648101064</v>
      </c>
      <c r="K203" s="97">
        <f>'Berekening rekenvolumes'!K58</f>
        <v>324.72222222222223</v>
      </c>
      <c r="L203" s="97">
        <f>'Berekening rekenvolumes'!L58</f>
        <v>3</v>
      </c>
      <c r="M203" s="97">
        <f>'Berekening rekenvolumes'!M58</f>
        <v>396.91339052391828</v>
      </c>
      <c r="N203" s="97">
        <f>'Berekening rekenvolumes'!N58</f>
        <v>0.83333333333333337</v>
      </c>
      <c r="O203" s="97">
        <f>'Berekening rekenvolumes'!O58</f>
        <v>0</v>
      </c>
    </row>
    <row r="204" spans="2:15">
      <c r="B204" s="256" t="s">
        <v>298</v>
      </c>
      <c r="D204" s="51" t="s">
        <v>130</v>
      </c>
      <c r="G204" s="97">
        <f>'Berekening rekenvolumes'!G59</f>
        <v>7.6923076923076941E-2</v>
      </c>
      <c r="H204" s="97">
        <f>'Berekening rekenvolumes'!H59</f>
        <v>1</v>
      </c>
      <c r="I204" s="97">
        <f>'Berekening rekenvolumes'!I59</f>
        <v>5</v>
      </c>
      <c r="J204" s="97">
        <f>'Berekening rekenvolumes'!J59</f>
        <v>156.29552775577582</v>
      </c>
      <c r="K204" s="97">
        <f>'Berekening rekenvolumes'!K59</f>
        <v>174.58333333333334</v>
      </c>
      <c r="L204" s="97">
        <f>'Berekening rekenvolumes'!L59</f>
        <v>0</v>
      </c>
      <c r="M204" s="97">
        <f>'Berekening rekenvolumes'!M59</f>
        <v>314.85092013012513</v>
      </c>
      <c r="N204" s="97">
        <f>'Berekening rekenvolumes'!N59</f>
        <v>0.33333333333333331</v>
      </c>
      <c r="O204" s="97">
        <f>'Berekening rekenvolumes'!O59</f>
        <v>0</v>
      </c>
    </row>
    <row r="205" spans="2:15">
      <c r="B205" s="256" t="s">
        <v>299</v>
      </c>
      <c r="D205" s="51" t="s">
        <v>130</v>
      </c>
      <c r="G205" s="97">
        <f>'Berekening rekenvolumes'!G60</f>
        <v>0</v>
      </c>
      <c r="H205" s="97">
        <f>'Berekening rekenvolumes'!H60</f>
        <v>0</v>
      </c>
      <c r="I205" s="97">
        <f>'Berekening rekenvolumes'!I60</f>
        <v>1.6666666666666667</v>
      </c>
      <c r="J205" s="97">
        <f>'Berekening rekenvolumes'!J60</f>
        <v>54.666666978379588</v>
      </c>
      <c r="K205" s="97">
        <f>'Berekening rekenvolumes'!K60</f>
        <v>80.75</v>
      </c>
      <c r="L205" s="97">
        <f>'Berekening rekenvolumes'!L60</f>
        <v>0</v>
      </c>
      <c r="M205" s="97">
        <f>'Berekening rekenvolumes'!M60</f>
        <v>145.43157368593452</v>
      </c>
      <c r="N205" s="97">
        <f>'Berekening rekenvolumes'!N60</f>
        <v>235.38888888888891</v>
      </c>
      <c r="O205" s="97">
        <f>'Berekening rekenvolumes'!O60</f>
        <v>0</v>
      </c>
    </row>
    <row r="206" spans="2:15">
      <c r="B206" s="23" t="s">
        <v>300</v>
      </c>
      <c r="D206" s="51" t="s">
        <v>130</v>
      </c>
      <c r="G206" s="97">
        <f>'Berekening rekenvolumes'!G61</f>
        <v>0</v>
      </c>
      <c r="H206" s="97">
        <f>'Berekening rekenvolumes'!H61</f>
        <v>0</v>
      </c>
      <c r="I206" s="97">
        <f>'Berekening rekenvolumes'!I61</f>
        <v>0.66666666666666663</v>
      </c>
      <c r="J206" s="97">
        <f>'Berekening rekenvolumes'!J61</f>
        <v>18</v>
      </c>
      <c r="K206" s="97">
        <f>'Berekening rekenvolumes'!K61</f>
        <v>28.666666666666668</v>
      </c>
      <c r="L206" s="97">
        <f>'Berekening rekenvolumes'!L61</f>
        <v>0</v>
      </c>
      <c r="M206" s="97">
        <f>'Berekening rekenvolumes'!M61</f>
        <v>51.006135671222829</v>
      </c>
      <c r="N206" s="97">
        <f>'Berekening rekenvolumes'!N61</f>
        <v>0</v>
      </c>
      <c r="O206" s="97">
        <f>'Berekening rekenvolumes'!O61</f>
        <v>0</v>
      </c>
    </row>
    <row r="207" spans="2:15">
      <c r="B207" s="23" t="s">
        <v>301</v>
      </c>
      <c r="D207" s="51" t="s">
        <v>130</v>
      </c>
      <c r="G207" s="97">
        <f>'Berekening rekenvolumes'!G62</f>
        <v>0</v>
      </c>
      <c r="H207" s="97">
        <f>'Berekening rekenvolumes'!H62</f>
        <v>0</v>
      </c>
      <c r="I207" s="97">
        <f>'Berekening rekenvolumes'!I62</f>
        <v>0</v>
      </c>
      <c r="J207" s="97">
        <f>'Berekening rekenvolumes'!J62</f>
        <v>15</v>
      </c>
      <c r="K207" s="97">
        <f>'Berekening rekenvolumes'!K62</f>
        <v>19.777777777777775</v>
      </c>
      <c r="L207" s="97">
        <f>'Berekening rekenvolumes'!L62</f>
        <v>0</v>
      </c>
      <c r="M207" s="97">
        <f>'Berekening rekenvolumes'!M62</f>
        <v>45.303029447882146</v>
      </c>
      <c r="N207" s="97">
        <f>'Berekening rekenvolumes'!N62</f>
        <v>9</v>
      </c>
      <c r="O207" s="97">
        <f>'Berekening rekenvolumes'!O62</f>
        <v>0</v>
      </c>
    </row>
    <row r="208" spans="2:15">
      <c r="B208" s="23"/>
    </row>
    <row r="209" spans="2:15">
      <c r="B209" s="108" t="s">
        <v>289</v>
      </c>
    </row>
    <row r="210" spans="2:15">
      <c r="B210" s="256" t="s">
        <v>292</v>
      </c>
      <c r="D210" s="51" t="s">
        <v>130</v>
      </c>
      <c r="G210" s="97">
        <f>'Berekening rekenvolumes'!G65</f>
        <v>0</v>
      </c>
      <c r="H210" s="97">
        <f>'Berekening rekenvolumes'!H65</f>
        <v>1.1944444444444444</v>
      </c>
      <c r="I210" s="97">
        <f>'Berekening rekenvolumes'!I65</f>
        <v>1.3333333333333333</v>
      </c>
      <c r="J210" s="97">
        <f>'Berekening rekenvolumes'!J65</f>
        <v>31.887277238196749</v>
      </c>
      <c r="K210" s="97">
        <f>'Berekening rekenvolumes'!K65</f>
        <v>8.3333333333333339</v>
      </c>
      <c r="L210" s="97">
        <f>'Berekening rekenvolumes'!L65</f>
        <v>2</v>
      </c>
      <c r="M210" s="97">
        <f>'Berekening rekenvolumes'!M65</f>
        <v>0</v>
      </c>
      <c r="N210" s="97">
        <f>'Berekening rekenvolumes'!N65</f>
        <v>1</v>
      </c>
      <c r="O210" s="97">
        <f>'Berekening rekenvolumes'!O65</f>
        <v>0</v>
      </c>
    </row>
    <row r="211" spans="2:15">
      <c r="B211" s="256" t="s">
        <v>293</v>
      </c>
      <c r="D211" s="51" t="s">
        <v>130</v>
      </c>
      <c r="G211" s="97">
        <f>'Berekening rekenvolumes'!G66</f>
        <v>4.666666666666667</v>
      </c>
      <c r="H211" s="97">
        <f>'Berekening rekenvolumes'!H66</f>
        <v>22</v>
      </c>
      <c r="I211" s="97">
        <f>'Berekening rekenvolumes'!I66</f>
        <v>9.3459420322296811</v>
      </c>
      <c r="J211" s="97">
        <f>'Berekening rekenvolumes'!J66</f>
        <v>105.96713563754302</v>
      </c>
      <c r="K211" s="97">
        <f>'Berekening rekenvolumes'!K66</f>
        <v>11.663572325530382</v>
      </c>
      <c r="L211" s="97">
        <f>'Berekening rekenvolumes'!L66</f>
        <v>8.3333333333333339</v>
      </c>
      <c r="M211" s="97">
        <f>'Berekening rekenvolumes'!M66</f>
        <v>0</v>
      </c>
      <c r="N211" s="97">
        <f>'Berekening rekenvolumes'!N66</f>
        <v>2</v>
      </c>
      <c r="O211" s="97">
        <f>'Berekening rekenvolumes'!O66</f>
        <v>0</v>
      </c>
    </row>
    <row r="212" spans="2:15">
      <c r="B212" s="256" t="s">
        <v>294</v>
      </c>
      <c r="D212" s="51" t="s">
        <v>130</v>
      </c>
      <c r="G212" s="97">
        <f>'Berekening rekenvolumes'!G67</f>
        <v>3.6666666666666665</v>
      </c>
      <c r="H212" s="97">
        <f>'Berekening rekenvolumes'!H67</f>
        <v>9.3333333333333339</v>
      </c>
      <c r="I212" s="97">
        <f>'Berekening rekenvolumes'!I67</f>
        <v>16.339637682781508</v>
      </c>
      <c r="J212" s="97">
        <f>'Berekening rekenvolumes'!J67</f>
        <v>129.78635115102438</v>
      </c>
      <c r="K212" s="97">
        <f>'Berekening rekenvolumes'!K67</f>
        <v>8.3293548947295353</v>
      </c>
      <c r="L212" s="97">
        <f>'Berekening rekenvolumes'!L67</f>
        <v>13.366666666666667</v>
      </c>
      <c r="M212" s="97">
        <f>'Berekening rekenvolumes'!M67</f>
        <v>0</v>
      </c>
      <c r="N212" s="97">
        <f>'Berekening rekenvolumes'!N67</f>
        <v>19.166666666666668</v>
      </c>
      <c r="O212" s="97">
        <f>'Berekening rekenvolumes'!O67</f>
        <v>0</v>
      </c>
    </row>
    <row r="213" spans="2:15">
      <c r="B213" s="256" t="s">
        <v>295</v>
      </c>
      <c r="D213" s="51" t="s">
        <v>130</v>
      </c>
      <c r="G213" s="97">
        <f>'Berekening rekenvolumes'!G68</f>
        <v>22</v>
      </c>
      <c r="H213" s="97">
        <f>'Berekening rekenvolumes'!H68</f>
        <v>37.333333333333336</v>
      </c>
      <c r="I213" s="97">
        <f>'Berekening rekenvolumes'!I68</f>
        <v>28.050434795585392</v>
      </c>
      <c r="J213" s="97">
        <f>'Berekening rekenvolumes'!J68</f>
        <v>181.65440739045823</v>
      </c>
      <c r="K213" s="97">
        <f>'Berekening rekenvolumes'!K68</f>
        <v>24.330681040930802</v>
      </c>
      <c r="L213" s="97">
        <f>'Berekening rekenvolumes'!L68</f>
        <v>22.522222222222222</v>
      </c>
      <c r="M213" s="97">
        <f>'Berekening rekenvolumes'!M68</f>
        <v>0</v>
      </c>
      <c r="N213" s="97">
        <f>'Berekening rekenvolumes'!N68</f>
        <v>25.5</v>
      </c>
      <c r="O213" s="97">
        <f>'Berekening rekenvolumes'!O68</f>
        <v>0</v>
      </c>
    </row>
    <row r="214" spans="2:15">
      <c r="B214" s="26" t="s">
        <v>296</v>
      </c>
      <c r="D214" s="51" t="s">
        <v>130</v>
      </c>
      <c r="G214" s="97">
        <f>'Berekening rekenvolumes'!G69</f>
        <v>17</v>
      </c>
      <c r="H214" s="97">
        <f>'Berekening rekenvolumes'!H69</f>
        <v>33.666666666666664</v>
      </c>
      <c r="I214" s="97">
        <f>'Berekening rekenvolumes'!I69</f>
        <v>58.09141306699852</v>
      </c>
      <c r="J214" s="97">
        <f>'Berekening rekenvolumes'!J69</f>
        <v>214.46506973195423</v>
      </c>
      <c r="K214" s="97">
        <f>'Berekening rekenvolumes'!K69</f>
        <v>23.998673853798735</v>
      </c>
      <c r="L214" s="97">
        <f>'Berekening rekenvolumes'!L69</f>
        <v>18.980555555555554</v>
      </c>
      <c r="M214" s="97">
        <f>'Berekening rekenvolumes'!M69</f>
        <v>0</v>
      </c>
      <c r="N214" s="97">
        <f>'Berekening rekenvolumes'!N69</f>
        <v>28.666666666666668</v>
      </c>
      <c r="O214" s="97">
        <f>'Berekening rekenvolumes'!O69</f>
        <v>0</v>
      </c>
    </row>
    <row r="215" spans="2:15">
      <c r="B215" s="256" t="s">
        <v>297</v>
      </c>
      <c r="D215" s="51" t="s">
        <v>130</v>
      </c>
      <c r="G215" s="97">
        <f>'Berekening rekenvolumes'!G70</f>
        <v>8</v>
      </c>
      <c r="H215" s="97">
        <f>'Berekening rekenvolumes'!H70</f>
        <v>17</v>
      </c>
      <c r="I215" s="97">
        <f>'Berekening rekenvolumes'!I70</f>
        <v>70.531920340950819</v>
      </c>
      <c r="J215" s="97">
        <f>'Berekening rekenvolumes'!J70</f>
        <v>114.85985812015377</v>
      </c>
      <c r="K215" s="97">
        <f>'Berekening rekenvolumes'!K70</f>
        <v>55.316535481450636</v>
      </c>
      <c r="L215" s="97">
        <f>'Berekening rekenvolumes'!L70</f>
        <v>8</v>
      </c>
      <c r="M215" s="97">
        <f>'Berekening rekenvolumes'!M70</f>
        <v>0</v>
      </c>
      <c r="N215" s="97">
        <f>'Berekening rekenvolumes'!N70</f>
        <v>14</v>
      </c>
      <c r="O215" s="97">
        <f>'Berekening rekenvolumes'!O70</f>
        <v>0</v>
      </c>
    </row>
    <row r="216" spans="2:15">
      <c r="B216" s="256" t="s">
        <v>298</v>
      </c>
      <c r="D216" s="51" t="s">
        <v>130</v>
      </c>
      <c r="G216" s="97">
        <f>'Berekening rekenvolumes'!G71</f>
        <v>3</v>
      </c>
      <c r="H216" s="97">
        <f>'Berekening rekenvolumes'!H71</f>
        <v>3</v>
      </c>
      <c r="I216" s="97">
        <f>'Berekening rekenvolumes'!I71</f>
        <v>50.151304386756181</v>
      </c>
      <c r="J216" s="97">
        <f>'Berekening rekenvolumes'!J71</f>
        <v>128.68777471494741</v>
      </c>
      <c r="K216" s="97">
        <f>'Berekening rekenvolumes'!K71</f>
        <v>38.665782569199159</v>
      </c>
      <c r="L216" s="97">
        <f>'Berekening rekenvolumes'!L71</f>
        <v>6.6111111111111107</v>
      </c>
      <c r="M216" s="97">
        <f>'Berekening rekenvolumes'!M71</f>
        <v>0</v>
      </c>
      <c r="N216" s="97">
        <f>'Berekening rekenvolumes'!N71</f>
        <v>9.6666666666666661</v>
      </c>
      <c r="O216" s="97">
        <f>'Berekening rekenvolumes'!O71</f>
        <v>0</v>
      </c>
    </row>
    <row r="217" spans="2:15">
      <c r="B217" s="256" t="s">
        <v>299</v>
      </c>
      <c r="D217" s="51" t="s">
        <v>130</v>
      </c>
      <c r="G217" s="97">
        <f>'Berekening rekenvolumes'!G72</f>
        <v>0</v>
      </c>
      <c r="H217" s="97">
        <f>'Berekening rekenvolumes'!H72</f>
        <v>2.3333333333333335</v>
      </c>
      <c r="I217" s="97">
        <f>'Berekening rekenvolumes'!I72</f>
        <v>30.18282613399705</v>
      </c>
      <c r="J217" s="97">
        <f>'Berekening rekenvolumes'!J72</f>
        <v>24.628180221211508</v>
      </c>
      <c r="K217" s="97">
        <f>'Berekening rekenvolumes'!K72</f>
        <v>27.324050309924473</v>
      </c>
      <c r="L217" s="97">
        <f>'Berekening rekenvolumes'!L72</f>
        <v>5.333333333333333</v>
      </c>
      <c r="M217" s="97">
        <f>'Berekening rekenvolumes'!M72</f>
        <v>0</v>
      </c>
      <c r="N217" s="97">
        <f>'Berekening rekenvolumes'!N72</f>
        <v>31.833333333333332</v>
      </c>
      <c r="O217" s="97">
        <f>'Berekening rekenvolumes'!O72</f>
        <v>0</v>
      </c>
    </row>
    <row r="218" spans="2:15">
      <c r="B218" s="23" t="s">
        <v>300</v>
      </c>
      <c r="D218" s="51" t="s">
        <v>130</v>
      </c>
      <c r="G218" s="97">
        <f>'Berekening rekenvolumes'!G73</f>
        <v>0</v>
      </c>
      <c r="H218" s="97">
        <f>'Berekening rekenvolumes'!H73</f>
        <v>0.66666666666666663</v>
      </c>
      <c r="I218" s="97">
        <f>'Berekening rekenvolumes'!I73</f>
        <v>12.682427540287103</v>
      </c>
      <c r="J218" s="97">
        <f>'Berekening rekenvolumes'!J73</f>
        <v>59.279208207257007</v>
      </c>
      <c r="K218" s="97">
        <f>'Berekening rekenvolumes'!K73</f>
        <v>11.333333333333334</v>
      </c>
      <c r="L218" s="97">
        <f>'Berekening rekenvolumes'!L73</f>
        <v>4.9666666666666668</v>
      </c>
      <c r="M218" s="97">
        <f>'Berekening rekenvolumes'!M73</f>
        <v>0</v>
      </c>
      <c r="N218" s="97">
        <f>'Berekening rekenvolumes'!N73</f>
        <v>2.6666666666666665</v>
      </c>
      <c r="O218" s="97">
        <f>'Berekening rekenvolumes'!O73</f>
        <v>0</v>
      </c>
    </row>
    <row r="219" spans="2:15">
      <c r="B219" s="23" t="s">
        <v>301</v>
      </c>
      <c r="D219" s="51" t="s">
        <v>130</v>
      </c>
      <c r="G219" s="97">
        <f>'Berekening rekenvolumes'!G74</f>
        <v>0</v>
      </c>
      <c r="H219" s="97">
        <f>'Berekening rekenvolumes'!H74</f>
        <v>0.66666666666666663</v>
      </c>
      <c r="I219" s="97">
        <f>'Berekening rekenvolumes'!I74</f>
        <v>3.3364855080574203</v>
      </c>
      <c r="J219" s="97">
        <f>'Berekening rekenvolumes'!J74</f>
        <v>23.31751778402095</v>
      </c>
      <c r="K219" s="97">
        <f>'Berekening rekenvolumes'!K74</f>
        <v>10.332449235865823</v>
      </c>
      <c r="L219" s="97">
        <f>'Berekening rekenvolumes'!L74</f>
        <v>3.0333333333333332</v>
      </c>
      <c r="M219" s="97">
        <f>'Berekening rekenvolumes'!M74</f>
        <v>0</v>
      </c>
      <c r="N219" s="97">
        <f>'Berekening rekenvolumes'!N74</f>
        <v>78.166666666666671</v>
      </c>
      <c r="O219" s="97">
        <f>'Berekening rekenvolumes'!O74</f>
        <v>0</v>
      </c>
    </row>
    <row r="220" spans="2:15">
      <c r="B220" s="23"/>
    </row>
    <row r="221" spans="2:15">
      <c r="B221" s="108" t="s">
        <v>290</v>
      </c>
    </row>
    <row r="222" spans="2:15">
      <c r="B222" s="23" t="s">
        <v>302</v>
      </c>
      <c r="D222" s="51" t="s">
        <v>130</v>
      </c>
      <c r="G222" s="97">
        <f>'Berekening rekenvolumes'!G77</f>
        <v>0</v>
      </c>
      <c r="H222" s="97">
        <f>'Berekening rekenvolumes'!H77</f>
        <v>4</v>
      </c>
      <c r="I222" s="97">
        <f>'Berekening rekenvolumes'!I77</f>
        <v>0</v>
      </c>
      <c r="J222" s="97">
        <f>'Berekening rekenvolumes'!J77</f>
        <v>3</v>
      </c>
      <c r="K222" s="97">
        <f>'Berekening rekenvolumes'!K77</f>
        <v>0</v>
      </c>
      <c r="L222" s="97">
        <f>'Berekening rekenvolumes'!L77</f>
        <v>0</v>
      </c>
      <c r="M222" s="97">
        <f>'Berekening rekenvolumes'!M77</f>
        <v>0</v>
      </c>
      <c r="N222" s="97">
        <f>'Berekening rekenvolumes'!N77</f>
        <v>0</v>
      </c>
      <c r="O222" s="97">
        <f>'Berekening rekenvolumes'!O77</f>
        <v>0</v>
      </c>
    </row>
    <row r="223" spans="2:15">
      <c r="B223" s="260"/>
    </row>
    <row r="224" spans="2:15">
      <c r="B224" s="260"/>
    </row>
    <row r="225" spans="2:15">
      <c r="B225" s="260"/>
    </row>
    <row r="226" spans="2:15">
      <c r="B226" s="260"/>
    </row>
    <row r="227" spans="2:15">
      <c r="B227" s="261" t="s">
        <v>307</v>
      </c>
    </row>
    <row r="228" spans="2:15">
      <c r="B228" s="261"/>
    </row>
    <row r="229" spans="2:15">
      <c r="B229" s="108" t="s">
        <v>284</v>
      </c>
    </row>
    <row r="230" spans="2:15">
      <c r="B230" s="23" t="s">
        <v>285</v>
      </c>
      <c r="D230" s="51" t="s">
        <v>130</v>
      </c>
      <c r="G230" s="97">
        <f>'Berekening rekenvolumes'!G85</f>
        <v>1101.3333333333333</v>
      </c>
      <c r="H230" s="97">
        <f>'Berekening rekenvolumes'!H85</f>
        <v>1577.3333333333333</v>
      </c>
      <c r="I230" s="97">
        <f>'Berekening rekenvolumes'!I85</f>
        <v>3346.2714542463054</v>
      </c>
      <c r="J230" s="97">
        <f>'Berekening rekenvolumes'!J85</f>
        <v>14397.763727903106</v>
      </c>
      <c r="K230" s="97">
        <f>'Berekening rekenvolumes'!K85</f>
        <v>17141.919151138718</v>
      </c>
      <c r="L230" s="97">
        <f>'Berekening rekenvolumes'!L85</f>
        <v>699</v>
      </c>
      <c r="M230" s="97">
        <f>'Berekening rekenvolumes'!M85</f>
        <v>12947.057535017788</v>
      </c>
      <c r="N230" s="97">
        <f>'Berekening rekenvolumes'!N85</f>
        <v>631.33333333333337</v>
      </c>
      <c r="O230" s="97">
        <f>'Berekening rekenvolumes'!O85</f>
        <v>0</v>
      </c>
    </row>
    <row r="231" spans="2:15">
      <c r="B231" s="23" t="s">
        <v>286</v>
      </c>
      <c r="D231" s="51" t="s">
        <v>130</v>
      </c>
      <c r="G231" s="97">
        <f>'Berekening rekenvolumes'!G86</f>
        <v>1</v>
      </c>
      <c r="H231" s="97">
        <f>'Berekening rekenvolumes'!H86</f>
        <v>14.333333333333334</v>
      </c>
      <c r="I231" s="97">
        <f>'Berekening rekenvolumes'!I86</f>
        <v>41.424476631584099</v>
      </c>
      <c r="J231" s="97">
        <f>'Berekening rekenvolumes'!J86</f>
        <v>166.56916048495694</v>
      </c>
      <c r="K231" s="97">
        <f>'Berekening rekenvolumes'!K86</f>
        <v>164.02290217895225</v>
      </c>
      <c r="L231" s="97">
        <f>'Berekening rekenvolumes'!L86</f>
        <v>4</v>
      </c>
      <c r="M231" s="97">
        <f>'Berekening rekenvolumes'!M86</f>
        <v>147.56300040389513</v>
      </c>
      <c r="N231" s="97">
        <f>'Berekening rekenvolumes'!N86</f>
        <v>4.333333333333333</v>
      </c>
      <c r="O231" s="97">
        <f>'Berekening rekenvolumes'!O86</f>
        <v>0</v>
      </c>
    </row>
    <row r="232" spans="2:15">
      <c r="B232" s="256" t="s">
        <v>287</v>
      </c>
      <c r="D232" s="51" t="s">
        <v>130</v>
      </c>
      <c r="G232" s="97">
        <f>'Berekening rekenvolumes'!G87</f>
        <v>16.666666666666668</v>
      </c>
      <c r="H232" s="97">
        <f>'Berekening rekenvolumes'!H87</f>
        <v>20.666666666666668</v>
      </c>
      <c r="I232" s="97">
        <f>'Berekening rekenvolumes'!I87</f>
        <v>27.03154706235917</v>
      </c>
      <c r="J232" s="97">
        <f>'Berekening rekenvolumes'!J87</f>
        <v>205.01287658678424</v>
      </c>
      <c r="K232" s="97">
        <f>'Berekening rekenvolumes'!K87</f>
        <v>129.99188687992583</v>
      </c>
      <c r="L232" s="97">
        <f>'Berekening rekenvolumes'!L87</f>
        <v>9.3333333333333339</v>
      </c>
      <c r="M232" s="97">
        <f>'Berekening rekenvolumes'!M87</f>
        <v>149.19083724895074</v>
      </c>
      <c r="N232" s="97">
        <f>'Berekening rekenvolumes'!N87</f>
        <v>2.6666666666666665</v>
      </c>
      <c r="O232" s="97">
        <f>'Berekening rekenvolumes'!O87</f>
        <v>0</v>
      </c>
    </row>
    <row r="233" spans="2:15">
      <c r="B233" s="256" t="s">
        <v>288</v>
      </c>
      <c r="D233" s="51" t="s">
        <v>130</v>
      </c>
      <c r="G233" s="97">
        <f>'Berekening rekenvolumes'!G88</f>
        <v>4</v>
      </c>
      <c r="H233" s="97">
        <f>'Berekening rekenvolumes'!H88</f>
        <v>12</v>
      </c>
      <c r="I233" s="97">
        <f>'Berekening rekenvolumes'!I88</f>
        <v>17.677565969780012</v>
      </c>
      <c r="J233" s="97">
        <f>'Berekening rekenvolumes'!J88</f>
        <v>131.33434382319933</v>
      </c>
      <c r="K233" s="97">
        <f>'Berekening rekenvolumes'!K88</f>
        <v>132</v>
      </c>
      <c r="L233" s="97">
        <f>'Berekening rekenvolumes'!L88</f>
        <v>4.333333333333333</v>
      </c>
      <c r="M233" s="97">
        <f>'Berekening rekenvolumes'!M88</f>
        <v>95.205648502100829</v>
      </c>
      <c r="N233" s="97">
        <f>'Berekening rekenvolumes'!N88</f>
        <v>2.3333333333333335</v>
      </c>
      <c r="O233" s="97">
        <f>'Berekening rekenvolumes'!O88</f>
        <v>0</v>
      </c>
    </row>
    <row r="234" spans="2:15">
      <c r="B234" s="23"/>
      <c r="D234" s="51"/>
    </row>
    <row r="235" spans="2:15">
      <c r="B235" s="108" t="s">
        <v>289</v>
      </c>
      <c r="D235" s="51"/>
    </row>
    <row r="236" spans="2:15">
      <c r="B236" s="23" t="s">
        <v>285</v>
      </c>
      <c r="D236" s="51" t="s">
        <v>130</v>
      </c>
      <c r="G236" s="97">
        <f>'Berekening rekenvolumes'!G91</f>
        <v>0</v>
      </c>
      <c r="H236" s="97">
        <f>'Berekening rekenvolumes'!H91</f>
        <v>0</v>
      </c>
      <c r="I236" s="97">
        <f>'Berekening rekenvolumes'!I91</f>
        <v>0</v>
      </c>
      <c r="J236" s="97">
        <f>'Berekening rekenvolumes'!J91</f>
        <v>0</v>
      </c>
      <c r="K236" s="97">
        <f>'Berekening rekenvolumes'!K91</f>
        <v>0</v>
      </c>
      <c r="L236" s="97">
        <f>'Berekening rekenvolumes'!L91</f>
        <v>0</v>
      </c>
      <c r="M236" s="97">
        <f>'Berekening rekenvolumes'!M91</f>
        <v>0</v>
      </c>
      <c r="N236" s="97">
        <f>'Berekening rekenvolumes'!N91</f>
        <v>0</v>
      </c>
      <c r="O236" s="97">
        <f>'Berekening rekenvolumes'!O91</f>
        <v>0</v>
      </c>
    </row>
    <row r="237" spans="2:15">
      <c r="B237" s="23" t="s">
        <v>286</v>
      </c>
      <c r="D237" s="51" t="s">
        <v>130</v>
      </c>
      <c r="G237" s="97">
        <f>'Berekening rekenvolumes'!G92</f>
        <v>0</v>
      </c>
      <c r="H237" s="97">
        <f>'Berekening rekenvolumes'!H92</f>
        <v>0</v>
      </c>
      <c r="I237" s="97">
        <f>'Berekening rekenvolumes'!I92</f>
        <v>0</v>
      </c>
      <c r="J237" s="97">
        <f>'Berekening rekenvolumes'!J92</f>
        <v>0</v>
      </c>
      <c r="K237" s="97">
        <f>'Berekening rekenvolumes'!K92</f>
        <v>0</v>
      </c>
      <c r="L237" s="97">
        <f>'Berekening rekenvolumes'!L92</f>
        <v>0</v>
      </c>
      <c r="M237" s="97">
        <f>'Berekening rekenvolumes'!M92</f>
        <v>0</v>
      </c>
      <c r="N237" s="97">
        <f>'Berekening rekenvolumes'!N92</f>
        <v>0</v>
      </c>
      <c r="O237" s="97">
        <f>'Berekening rekenvolumes'!O92</f>
        <v>0</v>
      </c>
    </row>
    <row r="238" spans="2:15">
      <c r="B238" s="256" t="s">
        <v>287</v>
      </c>
      <c r="D238" s="51" t="s">
        <v>130</v>
      </c>
      <c r="G238" s="97">
        <f>'Berekening rekenvolumes'!G93</f>
        <v>0</v>
      </c>
      <c r="H238" s="97">
        <f>'Berekening rekenvolumes'!H93</f>
        <v>0</v>
      </c>
      <c r="I238" s="97">
        <f>'Berekening rekenvolumes'!I93</f>
        <v>0.33333333333333331</v>
      </c>
      <c r="J238" s="97">
        <f>'Berekening rekenvolumes'!J93</f>
        <v>0</v>
      </c>
      <c r="K238" s="97">
        <f>'Berekening rekenvolumes'!K93</f>
        <v>0</v>
      </c>
      <c r="L238" s="97">
        <f>'Berekening rekenvolumes'!L93</f>
        <v>0</v>
      </c>
      <c r="M238" s="97">
        <f>'Berekening rekenvolumes'!M93</f>
        <v>0</v>
      </c>
      <c r="N238" s="97">
        <f>'Berekening rekenvolumes'!N93</f>
        <v>0</v>
      </c>
      <c r="O238" s="97">
        <f>'Berekening rekenvolumes'!O93</f>
        <v>0</v>
      </c>
    </row>
    <row r="239" spans="2:15">
      <c r="B239" s="256" t="s">
        <v>288</v>
      </c>
      <c r="D239" s="51" t="s">
        <v>130</v>
      </c>
      <c r="G239" s="97">
        <f>'Berekening rekenvolumes'!G94</f>
        <v>0</v>
      </c>
      <c r="H239" s="97">
        <f>'Berekening rekenvolumes'!H94</f>
        <v>0</v>
      </c>
      <c r="I239" s="97">
        <f>'Berekening rekenvolumes'!I94</f>
        <v>0</v>
      </c>
      <c r="J239" s="97">
        <f>'Berekening rekenvolumes'!J94</f>
        <v>0</v>
      </c>
      <c r="K239" s="97">
        <f>'Berekening rekenvolumes'!K94</f>
        <v>0</v>
      </c>
      <c r="L239" s="97">
        <f>'Berekening rekenvolumes'!L94</f>
        <v>0</v>
      </c>
      <c r="M239" s="97">
        <f>'Berekening rekenvolumes'!M94</f>
        <v>0</v>
      </c>
      <c r="N239" s="97">
        <f>'Berekening rekenvolumes'!N94</f>
        <v>0</v>
      </c>
      <c r="O239" s="97">
        <f>'Berekening rekenvolumes'!O94</f>
        <v>0</v>
      </c>
    </row>
    <row r="240" spans="2:15">
      <c r="B240" s="23"/>
    </row>
    <row r="241" spans="2:15">
      <c r="B241" s="108" t="s">
        <v>290</v>
      </c>
    </row>
    <row r="242" spans="2:15">
      <c r="B242" s="23" t="s">
        <v>291</v>
      </c>
      <c r="D242" s="51" t="s">
        <v>130</v>
      </c>
      <c r="G242" s="97">
        <f>'Berekening rekenvolumes'!G97</f>
        <v>0</v>
      </c>
      <c r="H242" s="97">
        <f>'Berekening rekenvolumes'!H97</f>
        <v>0</v>
      </c>
      <c r="I242" s="97">
        <f>'Berekening rekenvolumes'!I97</f>
        <v>0</v>
      </c>
      <c r="J242" s="97">
        <f>'Berekening rekenvolumes'!J97</f>
        <v>0</v>
      </c>
      <c r="K242" s="97">
        <f>'Berekening rekenvolumes'!K97</f>
        <v>0</v>
      </c>
      <c r="L242" s="97">
        <f>'Berekening rekenvolumes'!L97</f>
        <v>0</v>
      </c>
      <c r="M242" s="97">
        <f>'Berekening rekenvolumes'!M97</f>
        <v>0</v>
      </c>
      <c r="N242" s="97">
        <f>'Berekening rekenvolumes'!N97</f>
        <v>0</v>
      </c>
      <c r="O242" s="97">
        <f>'Berekening rekenvolumes'!O97</f>
        <v>0</v>
      </c>
    </row>
    <row r="243" spans="2:15">
      <c r="B243" s="261"/>
    </row>
    <row r="244" spans="2:15">
      <c r="B244" s="261"/>
    </row>
    <row r="245" spans="2:15">
      <c r="B245" s="261" t="s">
        <v>308</v>
      </c>
    </row>
    <row r="246" spans="2:15">
      <c r="B246" s="261"/>
    </row>
    <row r="247" spans="2:15">
      <c r="B247" s="108" t="s">
        <v>284</v>
      </c>
    </row>
    <row r="248" spans="2:15">
      <c r="B248" s="23" t="s">
        <v>285</v>
      </c>
      <c r="D248" s="51" t="s">
        <v>130</v>
      </c>
      <c r="G248" s="97">
        <f>'Berekening rekenvolumes'!G103</f>
        <v>1621</v>
      </c>
      <c r="H248" s="97">
        <f>'Berekening rekenvolumes'!H103</f>
        <v>1370.6666666666667</v>
      </c>
      <c r="I248" s="97">
        <f>'Berekening rekenvolumes'!I103</f>
        <v>3372.5588862119498</v>
      </c>
      <c r="J248" s="97">
        <f>'Berekening rekenvolumes'!J103</f>
        <v>26755.346681058374</v>
      </c>
      <c r="K248" s="97">
        <f>'Berekening rekenvolumes'!K103</f>
        <v>17560.136363636364</v>
      </c>
      <c r="L248" s="97">
        <f>'Berekening rekenvolumes'!L103</f>
        <v>1394.6666666666667</v>
      </c>
      <c r="M248" s="97">
        <f>'Berekening rekenvolumes'!M103</f>
        <v>9701.2804239434936</v>
      </c>
      <c r="N248" s="97">
        <f>'Berekening rekenvolumes'!N103</f>
        <v>820.16666666666663</v>
      </c>
      <c r="O248" s="97">
        <f>'Berekening rekenvolumes'!O103</f>
        <v>0</v>
      </c>
    </row>
    <row r="249" spans="2:15">
      <c r="B249" s="23" t="s">
        <v>286</v>
      </c>
      <c r="D249" s="51" t="s">
        <v>130</v>
      </c>
      <c r="G249" s="97">
        <f>'Berekening rekenvolumes'!G104</f>
        <v>483.33333333333331</v>
      </c>
      <c r="H249" s="97">
        <f>'Berekening rekenvolumes'!H104</f>
        <v>235</v>
      </c>
      <c r="I249" s="97">
        <f>'Berekening rekenvolumes'!I104</f>
        <v>502.33315660544514</v>
      </c>
      <c r="J249" s="97">
        <f>'Berekening rekenvolumes'!J104</f>
        <v>5716.8951515151521</v>
      </c>
      <c r="K249" s="97">
        <f>'Berekening rekenvolumes'!K104</f>
        <v>2562.3333333333335</v>
      </c>
      <c r="L249" s="97">
        <f>'Berekening rekenvolumes'!L104</f>
        <v>8.3333333333333339</v>
      </c>
      <c r="M249" s="97">
        <f>'Berekening rekenvolumes'!M104</f>
        <v>1769.1479589018484</v>
      </c>
      <c r="N249" s="97">
        <f>'Berekening rekenvolumes'!N104</f>
        <v>23.333333333333332</v>
      </c>
      <c r="O249" s="97">
        <f>'Berekening rekenvolumes'!O104</f>
        <v>0</v>
      </c>
    </row>
    <row r="250" spans="2:15">
      <c r="B250" s="256" t="s">
        <v>287</v>
      </c>
      <c r="D250" s="51" t="s">
        <v>130</v>
      </c>
      <c r="G250" s="97">
        <f>'Berekening rekenvolumes'!G105</f>
        <v>362</v>
      </c>
      <c r="H250" s="97">
        <f>'Berekening rekenvolumes'!H105</f>
        <v>296</v>
      </c>
      <c r="I250" s="97">
        <f>'Berekening rekenvolumes'!I105</f>
        <v>396.06910432094793</v>
      </c>
      <c r="J250" s="97">
        <f>'Berekening rekenvolumes'!J105</f>
        <v>1966.5660561167231</v>
      </c>
      <c r="K250" s="97">
        <f>'Berekening rekenvolumes'!K105</f>
        <v>2013.3333333333333</v>
      </c>
      <c r="L250" s="97">
        <f>'Berekening rekenvolumes'!L105</f>
        <v>142</v>
      </c>
      <c r="M250" s="97">
        <f>'Berekening rekenvolumes'!M105</f>
        <v>2704.8472616194899</v>
      </c>
      <c r="N250" s="97">
        <f>'Berekening rekenvolumes'!N105</f>
        <v>41.666666666666664</v>
      </c>
      <c r="O250" s="97">
        <f>'Berekening rekenvolumes'!O105</f>
        <v>0</v>
      </c>
    </row>
    <row r="251" spans="2:15">
      <c r="B251" s="256" t="s">
        <v>288</v>
      </c>
      <c r="D251" s="51" t="s">
        <v>130</v>
      </c>
      <c r="G251" s="97">
        <f>'Berekening rekenvolumes'!G106</f>
        <v>113</v>
      </c>
      <c r="H251" s="97">
        <f>'Berekening rekenvolumes'!H106</f>
        <v>94</v>
      </c>
      <c r="I251" s="97">
        <f>'Berekening rekenvolumes'!I106</f>
        <v>322.89908188323778</v>
      </c>
      <c r="J251" s="97">
        <f>'Berekening rekenvolumes'!J106</f>
        <v>932.55115600448937</v>
      </c>
      <c r="K251" s="97">
        <f>'Berekening rekenvolumes'!K106</f>
        <v>2318.3333333333335</v>
      </c>
      <c r="L251" s="97">
        <f>'Berekening rekenvolumes'!L106</f>
        <v>120</v>
      </c>
      <c r="M251" s="97">
        <f>'Berekening rekenvolumes'!M106</f>
        <v>1369.612270187383</v>
      </c>
      <c r="N251" s="97">
        <f>'Berekening rekenvolumes'!N106</f>
        <v>74.083869371598212</v>
      </c>
      <c r="O251" s="97">
        <f>'Berekening rekenvolumes'!O106</f>
        <v>0</v>
      </c>
    </row>
    <row r="252" spans="2:15">
      <c r="B252" s="23"/>
      <c r="D252" s="51"/>
    </row>
    <row r="253" spans="2:15">
      <c r="B253" s="108" t="s">
        <v>289</v>
      </c>
      <c r="D253" s="51"/>
    </row>
    <row r="254" spans="2:15">
      <c r="B254" s="23" t="s">
        <v>285</v>
      </c>
      <c r="D254" s="51" t="s">
        <v>130</v>
      </c>
      <c r="G254" s="97">
        <f>'Berekening rekenvolumes'!G109</f>
        <v>0</v>
      </c>
      <c r="H254" s="97">
        <f>'Berekening rekenvolumes'!H109</f>
        <v>0</v>
      </c>
      <c r="I254" s="97">
        <f>'Berekening rekenvolumes'!I109</f>
        <v>0</v>
      </c>
      <c r="J254" s="97">
        <f>'Berekening rekenvolumes'!J109</f>
        <v>0</v>
      </c>
      <c r="K254" s="97">
        <f>'Berekening rekenvolumes'!K109</f>
        <v>0</v>
      </c>
      <c r="L254" s="97">
        <f>'Berekening rekenvolumes'!L109</f>
        <v>0</v>
      </c>
      <c r="M254" s="97">
        <f>'Berekening rekenvolumes'!M109</f>
        <v>0</v>
      </c>
      <c r="N254" s="97">
        <f>'Berekening rekenvolumes'!N109</f>
        <v>0</v>
      </c>
      <c r="O254" s="97">
        <f>'Berekening rekenvolumes'!O109</f>
        <v>0</v>
      </c>
    </row>
    <row r="255" spans="2:15">
      <c r="B255" s="23" t="s">
        <v>286</v>
      </c>
      <c r="D255" s="51" t="s">
        <v>130</v>
      </c>
      <c r="G255" s="97">
        <f>'Berekening rekenvolumes'!G110</f>
        <v>0</v>
      </c>
      <c r="H255" s="97">
        <f>'Berekening rekenvolumes'!H110</f>
        <v>0</v>
      </c>
      <c r="I255" s="97">
        <f>'Berekening rekenvolumes'!I110</f>
        <v>0</v>
      </c>
      <c r="J255" s="97">
        <f>'Berekening rekenvolumes'!J110</f>
        <v>0</v>
      </c>
      <c r="K255" s="97">
        <f>'Berekening rekenvolumes'!K110</f>
        <v>0</v>
      </c>
      <c r="L255" s="97">
        <f>'Berekening rekenvolumes'!L110</f>
        <v>0</v>
      </c>
      <c r="M255" s="97">
        <f>'Berekening rekenvolumes'!M110</f>
        <v>0</v>
      </c>
      <c r="N255" s="97">
        <f>'Berekening rekenvolumes'!N110</f>
        <v>0</v>
      </c>
      <c r="O255" s="97">
        <f>'Berekening rekenvolumes'!O110</f>
        <v>0</v>
      </c>
    </row>
    <row r="256" spans="2:15">
      <c r="B256" s="256" t="s">
        <v>287</v>
      </c>
      <c r="D256" s="51" t="s">
        <v>130</v>
      </c>
      <c r="G256" s="97">
        <f>'Berekening rekenvolumes'!G111</f>
        <v>0</v>
      </c>
      <c r="H256" s="97">
        <f>'Berekening rekenvolumes'!H111</f>
        <v>0</v>
      </c>
      <c r="I256" s="97">
        <f>'Berekening rekenvolumes'!I111</f>
        <v>0</v>
      </c>
      <c r="J256" s="97">
        <f>'Berekening rekenvolumes'!J111</f>
        <v>0</v>
      </c>
      <c r="K256" s="97">
        <f>'Berekening rekenvolumes'!K111</f>
        <v>0</v>
      </c>
      <c r="L256" s="97">
        <f>'Berekening rekenvolumes'!L111</f>
        <v>0</v>
      </c>
      <c r="M256" s="97">
        <f>'Berekening rekenvolumes'!M111</f>
        <v>0</v>
      </c>
      <c r="N256" s="97">
        <f>'Berekening rekenvolumes'!N111</f>
        <v>0</v>
      </c>
      <c r="O256" s="97">
        <f>'Berekening rekenvolumes'!O111</f>
        <v>0</v>
      </c>
    </row>
    <row r="257" spans="2:15">
      <c r="B257" s="256" t="s">
        <v>288</v>
      </c>
      <c r="D257" s="51" t="s">
        <v>130</v>
      </c>
      <c r="G257" s="97">
        <f>'Berekening rekenvolumes'!G112</f>
        <v>86.333333333333329</v>
      </c>
      <c r="H257" s="97">
        <f>'Berekening rekenvolumes'!H112</f>
        <v>0</v>
      </c>
      <c r="I257" s="97">
        <f>'Berekening rekenvolumes'!I112</f>
        <v>0</v>
      </c>
      <c r="J257" s="97">
        <f>'Berekening rekenvolumes'!J112</f>
        <v>0</v>
      </c>
      <c r="K257" s="97">
        <f>'Berekening rekenvolumes'!K112</f>
        <v>425.66666666666669</v>
      </c>
      <c r="L257" s="97">
        <f>'Berekening rekenvolumes'!L112</f>
        <v>0</v>
      </c>
      <c r="M257" s="97">
        <f>'Berekening rekenvolumes'!M112</f>
        <v>0</v>
      </c>
      <c r="N257" s="97">
        <f>'Berekening rekenvolumes'!N112</f>
        <v>0</v>
      </c>
      <c r="O257" s="97">
        <f>'Berekening rekenvolumes'!O112</f>
        <v>0</v>
      </c>
    </row>
    <row r="258" spans="2:15">
      <c r="B258" s="23"/>
    </row>
    <row r="259" spans="2:15">
      <c r="B259" s="108" t="s">
        <v>290</v>
      </c>
    </row>
    <row r="260" spans="2:15">
      <c r="B260" s="23" t="s">
        <v>291</v>
      </c>
      <c r="D260" s="51" t="s">
        <v>130</v>
      </c>
      <c r="G260" s="97">
        <f>'Berekening rekenvolumes'!G115</f>
        <v>0</v>
      </c>
      <c r="H260" s="97">
        <f>'Berekening rekenvolumes'!H115</f>
        <v>0</v>
      </c>
      <c r="I260" s="97">
        <f>'Berekening rekenvolumes'!I115</f>
        <v>0</v>
      </c>
      <c r="J260" s="97">
        <f>'Berekening rekenvolumes'!J115</f>
        <v>0</v>
      </c>
      <c r="K260" s="97">
        <f>'Berekening rekenvolumes'!K115</f>
        <v>0</v>
      </c>
      <c r="L260" s="97">
        <f>'Berekening rekenvolumes'!L115</f>
        <v>0</v>
      </c>
      <c r="M260" s="97">
        <f>'Berekening rekenvolumes'!M115</f>
        <v>0</v>
      </c>
      <c r="N260" s="97">
        <f>'Berekening rekenvolumes'!N115</f>
        <v>0</v>
      </c>
      <c r="O260" s="97">
        <f>'Berekening rekenvolumes'!O115</f>
        <v>0</v>
      </c>
    </row>
    <row r="261" spans="2:15">
      <c r="B261" s="261"/>
    </row>
    <row r="262" spans="2:15">
      <c r="B262" s="261"/>
    </row>
    <row r="263" spans="2:15">
      <c r="B263" s="261" t="s">
        <v>309</v>
      </c>
    </row>
    <row r="264" spans="2:15">
      <c r="B264" s="261"/>
    </row>
    <row r="265" spans="2:15">
      <c r="B265" s="108" t="s">
        <v>284</v>
      </c>
    </row>
    <row r="266" spans="2:15">
      <c r="B266" s="256" t="s">
        <v>292</v>
      </c>
      <c r="D266" s="51" t="s">
        <v>130</v>
      </c>
      <c r="G266" s="97">
        <f>'Berekening rekenvolumes'!G121</f>
        <v>3.6666666666666665</v>
      </c>
      <c r="H266" s="97">
        <f>'Berekening rekenvolumes'!H121</f>
        <v>1.6666666666666667</v>
      </c>
      <c r="I266" s="97">
        <f>'Berekening rekenvolumes'!I121</f>
        <v>4.3020963811571811</v>
      </c>
      <c r="J266" s="97">
        <f>'Berekening rekenvolumes'!J121</f>
        <v>44.138016722990187</v>
      </c>
      <c r="K266" s="97">
        <f>'Berekening rekenvolumes'!K121</f>
        <v>0.97660032275416897</v>
      </c>
      <c r="L266" s="97">
        <f>'Berekening rekenvolumes'!L121</f>
        <v>0.66666666666666663</v>
      </c>
      <c r="M266" s="97">
        <f>'Berekening rekenvolumes'!M121</f>
        <v>43.380293298151678</v>
      </c>
      <c r="N266" s="97">
        <f>'Berekening rekenvolumes'!N121</f>
        <v>0.66666666666666663</v>
      </c>
      <c r="O266" s="97">
        <f>'Berekening rekenvolumes'!O121</f>
        <v>0</v>
      </c>
    </row>
    <row r="267" spans="2:15">
      <c r="B267" s="256" t="s">
        <v>293</v>
      </c>
      <c r="D267" s="51" t="s">
        <v>130</v>
      </c>
      <c r="G267" s="97">
        <f>'Berekening rekenvolumes'!G122</f>
        <v>1.6666666666666667</v>
      </c>
      <c r="H267" s="97">
        <f>'Berekening rekenvolumes'!H122</f>
        <v>2</v>
      </c>
      <c r="I267" s="97">
        <f>'Berekening rekenvolumes'!I122</f>
        <v>6.6276394328919395</v>
      </c>
      <c r="J267" s="97">
        <f>'Berekening rekenvolumes'!J122</f>
        <v>60.598659754342741</v>
      </c>
      <c r="K267" s="97">
        <f>'Berekening rekenvolumes'!K122</f>
        <v>74</v>
      </c>
      <c r="L267" s="97">
        <f>'Berekening rekenvolumes'!L122</f>
        <v>2</v>
      </c>
      <c r="M267" s="97">
        <f>'Berekening rekenvolumes'!M122</f>
        <v>36.462885518658041</v>
      </c>
      <c r="N267" s="97">
        <f>'Berekening rekenvolumes'!N122</f>
        <v>0.66666666666666663</v>
      </c>
      <c r="O267" s="97">
        <f>'Berekening rekenvolumes'!O122</f>
        <v>0</v>
      </c>
    </row>
    <row r="268" spans="2:15">
      <c r="B268" s="256" t="s">
        <v>294</v>
      </c>
      <c r="D268" s="51" t="s">
        <v>130</v>
      </c>
      <c r="G268" s="97">
        <f>'Berekening rekenvolumes'!G123</f>
        <v>0.66666666666666663</v>
      </c>
      <c r="H268" s="97">
        <f>'Berekening rekenvolumes'!H123</f>
        <v>1.3333333333333333</v>
      </c>
      <c r="I268" s="97">
        <f>'Berekening rekenvolumes'!I123</f>
        <v>1.9843554813666151</v>
      </c>
      <c r="J268" s="97">
        <f>'Berekening rekenvolumes'!J123</f>
        <v>26.961346216325563</v>
      </c>
      <c r="K268" s="97">
        <f>'Berekening rekenvolumes'!K123</f>
        <v>21.666666666666668</v>
      </c>
      <c r="L268" s="97">
        <f>'Berekening rekenvolumes'!L123</f>
        <v>0</v>
      </c>
      <c r="M268" s="97">
        <f>'Berekening rekenvolumes'!M123</f>
        <v>16.576855110733661</v>
      </c>
      <c r="N268" s="97">
        <f>'Berekening rekenvolumes'!N123</f>
        <v>1</v>
      </c>
      <c r="O268" s="97">
        <f>'Berekening rekenvolumes'!O123</f>
        <v>0</v>
      </c>
    </row>
    <row r="269" spans="2:15">
      <c r="B269" s="256" t="s">
        <v>295</v>
      </c>
      <c r="D269" s="51" t="s">
        <v>130</v>
      </c>
      <c r="G269" s="97">
        <f>'Berekening rekenvolumes'!G124</f>
        <v>0</v>
      </c>
      <c r="H269" s="97">
        <f>'Berekening rekenvolumes'!H124</f>
        <v>0</v>
      </c>
      <c r="I269" s="97">
        <f>'Berekening rekenvolumes'!I124</f>
        <v>1</v>
      </c>
      <c r="J269" s="97">
        <f>'Berekening rekenvolumes'!J124</f>
        <v>12.964271572473523</v>
      </c>
      <c r="K269" s="97">
        <f>'Berekening rekenvolumes'!K124</f>
        <v>7.333333333333333</v>
      </c>
      <c r="L269" s="97">
        <f>'Berekening rekenvolumes'!L124</f>
        <v>0</v>
      </c>
      <c r="M269" s="97">
        <f>'Berekening rekenvolumes'!M124</f>
        <v>1</v>
      </c>
      <c r="N269" s="97">
        <f>'Berekening rekenvolumes'!N124</f>
        <v>0.33333333333333331</v>
      </c>
      <c r="O269" s="97">
        <f>'Berekening rekenvolumes'!O124</f>
        <v>0</v>
      </c>
    </row>
    <row r="270" spans="2:15">
      <c r="B270" s="26" t="s">
        <v>296</v>
      </c>
      <c r="D270" s="51" t="s">
        <v>130</v>
      </c>
      <c r="G270" s="97">
        <f>'Berekening rekenvolumes'!G125</f>
        <v>0</v>
      </c>
      <c r="H270" s="97">
        <f>'Berekening rekenvolumes'!H125</f>
        <v>0.66666666666666663</v>
      </c>
      <c r="I270" s="97">
        <f>'Berekening rekenvolumes'!I125</f>
        <v>0</v>
      </c>
      <c r="J270" s="97">
        <f>'Berekening rekenvolumes'!J125</f>
        <v>6.013114880028958</v>
      </c>
      <c r="K270" s="97">
        <f>'Berekening rekenvolumes'!K125</f>
        <v>7</v>
      </c>
      <c r="L270" s="97">
        <f>'Berekening rekenvolumes'!L125</f>
        <v>0</v>
      </c>
      <c r="M270" s="97">
        <f>'Berekening rekenvolumes'!M125</f>
        <v>0.16662991612055356</v>
      </c>
      <c r="N270" s="97">
        <f>'Berekening rekenvolumes'!N125</f>
        <v>0.33333333333333331</v>
      </c>
      <c r="O270" s="97">
        <f>'Berekening rekenvolumes'!O125</f>
        <v>0</v>
      </c>
    </row>
    <row r="271" spans="2:15">
      <c r="B271" s="256" t="s">
        <v>297</v>
      </c>
      <c r="D271" s="51" t="s">
        <v>130</v>
      </c>
      <c r="G271" s="97">
        <f>'Berekening rekenvolumes'!G126</f>
        <v>0</v>
      </c>
      <c r="H271" s="97">
        <f>'Berekening rekenvolumes'!H126</f>
        <v>0</v>
      </c>
      <c r="I271" s="97">
        <f>'Berekening rekenvolumes'!I126</f>
        <v>0</v>
      </c>
      <c r="J271" s="97">
        <f>'Berekening rekenvolumes'!J126</f>
        <v>0.66666666666666663</v>
      </c>
      <c r="K271" s="97">
        <f>'Berekening rekenvolumes'!K126</f>
        <v>0.66666666666666663</v>
      </c>
      <c r="L271" s="97">
        <f>'Berekening rekenvolumes'!L126</f>
        <v>0</v>
      </c>
      <c r="M271" s="97">
        <f>'Berekening rekenvolumes'!M126</f>
        <v>0</v>
      </c>
      <c r="N271" s="97">
        <f>'Berekening rekenvolumes'!N126</f>
        <v>1.3333333333333333</v>
      </c>
      <c r="O271" s="97">
        <f>'Berekening rekenvolumes'!O126</f>
        <v>0</v>
      </c>
    </row>
    <row r="272" spans="2:15">
      <c r="B272" s="256" t="s">
        <v>298</v>
      </c>
      <c r="D272" s="51" t="s">
        <v>130</v>
      </c>
      <c r="G272" s="97">
        <f>'Berekening rekenvolumes'!G127</f>
        <v>0</v>
      </c>
      <c r="H272" s="97">
        <f>'Berekening rekenvolumes'!H127</f>
        <v>0</v>
      </c>
      <c r="I272" s="97">
        <f>'Berekening rekenvolumes'!I127</f>
        <v>0</v>
      </c>
      <c r="J272" s="97">
        <f>'Berekening rekenvolumes'!J127</f>
        <v>0</v>
      </c>
      <c r="K272" s="97">
        <f>'Berekening rekenvolumes'!K127</f>
        <v>0</v>
      </c>
      <c r="L272" s="97">
        <f>'Berekening rekenvolumes'!L127</f>
        <v>0</v>
      </c>
      <c r="M272" s="97">
        <f>'Berekening rekenvolumes'!M127</f>
        <v>0</v>
      </c>
      <c r="N272" s="97">
        <f>'Berekening rekenvolumes'!N127</f>
        <v>0</v>
      </c>
      <c r="O272" s="97">
        <f>'Berekening rekenvolumes'!O127</f>
        <v>0</v>
      </c>
    </row>
    <row r="273" spans="2:15">
      <c r="B273" s="256" t="s">
        <v>299</v>
      </c>
      <c r="D273" s="51" t="s">
        <v>130</v>
      </c>
      <c r="G273" s="97">
        <f>'Berekening rekenvolumes'!G128</f>
        <v>0</v>
      </c>
      <c r="H273" s="97">
        <f>'Berekening rekenvolumes'!H128</f>
        <v>0</v>
      </c>
      <c r="I273" s="97">
        <f>'Berekening rekenvolumes'!I128</f>
        <v>0</v>
      </c>
      <c r="J273" s="97">
        <f>'Berekening rekenvolumes'!J128</f>
        <v>1.3333333333333333</v>
      </c>
      <c r="K273" s="97">
        <f>'Berekening rekenvolumes'!K128</f>
        <v>0</v>
      </c>
      <c r="L273" s="97">
        <f>'Berekening rekenvolumes'!L128</f>
        <v>0</v>
      </c>
      <c r="M273" s="97">
        <f>'Berekening rekenvolumes'!M128</f>
        <v>0</v>
      </c>
      <c r="N273" s="97">
        <f>'Berekening rekenvolumes'!N128</f>
        <v>0</v>
      </c>
      <c r="O273" s="97">
        <f>'Berekening rekenvolumes'!O128</f>
        <v>0</v>
      </c>
    </row>
    <row r="274" spans="2:15">
      <c r="B274" s="23" t="s">
        <v>300</v>
      </c>
      <c r="D274" s="51" t="s">
        <v>130</v>
      </c>
      <c r="G274" s="97">
        <f>'Berekening rekenvolumes'!G129</f>
        <v>0</v>
      </c>
      <c r="H274" s="97">
        <f>'Berekening rekenvolumes'!H129</f>
        <v>0</v>
      </c>
      <c r="I274" s="97">
        <f>'Berekening rekenvolumes'!I129</f>
        <v>0</v>
      </c>
      <c r="J274" s="97">
        <f>'Berekening rekenvolumes'!J129</f>
        <v>0</v>
      </c>
      <c r="K274" s="97">
        <f>'Berekening rekenvolumes'!K129</f>
        <v>0</v>
      </c>
      <c r="L274" s="97">
        <f>'Berekening rekenvolumes'!L129</f>
        <v>0</v>
      </c>
      <c r="M274" s="97">
        <f>'Berekening rekenvolumes'!M129</f>
        <v>0</v>
      </c>
      <c r="N274" s="97">
        <f>'Berekening rekenvolumes'!N129</f>
        <v>0</v>
      </c>
      <c r="O274" s="97">
        <f>'Berekening rekenvolumes'!O129</f>
        <v>0</v>
      </c>
    </row>
    <row r="275" spans="2:15">
      <c r="B275" s="23" t="s">
        <v>301</v>
      </c>
      <c r="D275" s="51" t="s">
        <v>130</v>
      </c>
      <c r="G275" s="97">
        <f>'Berekening rekenvolumes'!G130</f>
        <v>0</v>
      </c>
      <c r="H275" s="97">
        <f>'Berekening rekenvolumes'!H130</f>
        <v>0</v>
      </c>
      <c r="I275" s="97">
        <f>'Berekening rekenvolumes'!I130</f>
        <v>0</v>
      </c>
      <c r="J275" s="97">
        <f>'Berekening rekenvolumes'!J130</f>
        <v>0.33333333333333331</v>
      </c>
      <c r="K275" s="97">
        <f>'Berekening rekenvolumes'!K130</f>
        <v>0</v>
      </c>
      <c r="L275" s="97">
        <f>'Berekening rekenvolumes'!L130</f>
        <v>0</v>
      </c>
      <c r="M275" s="97">
        <f>'Berekening rekenvolumes'!M130</f>
        <v>0</v>
      </c>
      <c r="N275" s="97">
        <f>'Berekening rekenvolumes'!N130</f>
        <v>0</v>
      </c>
      <c r="O275" s="97">
        <f>'Berekening rekenvolumes'!O130</f>
        <v>0</v>
      </c>
    </row>
    <row r="276" spans="2:15">
      <c r="B276" s="23"/>
    </row>
    <row r="277" spans="2:15">
      <c r="B277" s="108" t="s">
        <v>289</v>
      </c>
    </row>
    <row r="278" spans="2:15">
      <c r="B278" s="256" t="s">
        <v>292</v>
      </c>
      <c r="D278" s="51" t="s">
        <v>130</v>
      </c>
      <c r="G278" s="97">
        <f>'Berekening rekenvolumes'!G133</f>
        <v>0</v>
      </c>
      <c r="H278" s="97">
        <f>'Berekening rekenvolumes'!H133</f>
        <v>0</v>
      </c>
      <c r="I278" s="97">
        <f>'Berekening rekenvolumes'!I133</f>
        <v>0</v>
      </c>
      <c r="J278" s="97">
        <f>'Berekening rekenvolumes'!J133</f>
        <v>2.3333333333333335</v>
      </c>
      <c r="K278" s="97">
        <f>'Berekening rekenvolumes'!K133</f>
        <v>0.33333333333333331</v>
      </c>
      <c r="L278" s="97">
        <f>'Berekening rekenvolumes'!L133</f>
        <v>0</v>
      </c>
      <c r="M278" s="97">
        <f>'Berekening rekenvolumes'!M133</f>
        <v>6.4761190977509564</v>
      </c>
      <c r="N278" s="97">
        <f>'Berekening rekenvolumes'!N133</f>
        <v>0</v>
      </c>
      <c r="O278" s="97">
        <f>'Berekening rekenvolumes'!O133</f>
        <v>0</v>
      </c>
    </row>
    <row r="279" spans="2:15">
      <c r="B279" s="256" t="s">
        <v>293</v>
      </c>
      <c r="D279" s="51" t="s">
        <v>130</v>
      </c>
      <c r="G279" s="97">
        <f>'Berekening rekenvolumes'!G134</f>
        <v>0.33333333333333331</v>
      </c>
      <c r="H279" s="97">
        <f>'Berekening rekenvolumes'!H134</f>
        <v>0.33333333333333331</v>
      </c>
      <c r="I279" s="97">
        <f>'Berekening rekenvolumes'!I134</f>
        <v>0.33333333333333331</v>
      </c>
      <c r="J279" s="97">
        <f>'Berekening rekenvolumes'!J134</f>
        <v>8.6666666666666661</v>
      </c>
      <c r="K279" s="97">
        <f>'Berekening rekenvolumes'!K134</f>
        <v>0</v>
      </c>
      <c r="L279" s="97">
        <f>'Berekening rekenvolumes'!L134</f>
        <v>0</v>
      </c>
      <c r="M279" s="97">
        <f>'Berekening rekenvolumes'!M134</f>
        <v>3.9464331107178801</v>
      </c>
      <c r="N279" s="97">
        <f>'Berekening rekenvolumes'!N134</f>
        <v>0</v>
      </c>
      <c r="O279" s="97">
        <f>'Berekening rekenvolumes'!O134</f>
        <v>0</v>
      </c>
    </row>
    <row r="280" spans="2:15">
      <c r="B280" s="256" t="s">
        <v>294</v>
      </c>
      <c r="D280" s="51" t="s">
        <v>130</v>
      </c>
      <c r="G280" s="97">
        <f>'Berekening rekenvolumes'!G135</f>
        <v>0</v>
      </c>
      <c r="H280" s="97">
        <f>'Berekening rekenvolumes'!H135</f>
        <v>0</v>
      </c>
      <c r="I280" s="97">
        <f>'Berekening rekenvolumes'!I135</f>
        <v>0.33333333333333331</v>
      </c>
      <c r="J280" s="97">
        <f>'Berekening rekenvolumes'!J135</f>
        <v>6.333333333333333</v>
      </c>
      <c r="K280" s="97">
        <f>'Berekening rekenvolumes'!K135</f>
        <v>1.3333333333333333</v>
      </c>
      <c r="L280" s="97">
        <f>'Berekening rekenvolumes'!L135</f>
        <v>0</v>
      </c>
      <c r="M280" s="97">
        <f>'Berekening rekenvolumes'!M135</f>
        <v>6.5977919024133662</v>
      </c>
      <c r="N280" s="97">
        <f>'Berekening rekenvolumes'!N135</f>
        <v>0</v>
      </c>
      <c r="O280" s="97">
        <f>'Berekening rekenvolumes'!O135</f>
        <v>0</v>
      </c>
    </row>
    <row r="281" spans="2:15">
      <c r="B281" s="256" t="s">
        <v>295</v>
      </c>
      <c r="D281" s="51" t="s">
        <v>130</v>
      </c>
      <c r="G281" s="97">
        <f>'Berekening rekenvolumes'!G136</f>
        <v>0</v>
      </c>
      <c r="H281" s="97">
        <f>'Berekening rekenvolumes'!H136</f>
        <v>0.33333333333333331</v>
      </c>
      <c r="I281" s="97">
        <f>'Berekening rekenvolumes'!I136</f>
        <v>0.66666666666666663</v>
      </c>
      <c r="J281" s="97">
        <f>'Berekening rekenvolumes'!J136</f>
        <v>3.5126763367463028</v>
      </c>
      <c r="K281" s="97">
        <f>'Berekening rekenvolumes'!K136</f>
        <v>1.6666666666666667</v>
      </c>
      <c r="L281" s="97">
        <f>'Berekening rekenvolumes'!L136</f>
        <v>0.33333333333333331</v>
      </c>
      <c r="M281" s="97">
        <f>'Berekening rekenvolumes'!M136</f>
        <v>14.028362111510775</v>
      </c>
      <c r="N281" s="97">
        <f>'Berekening rekenvolumes'!N136</f>
        <v>0</v>
      </c>
      <c r="O281" s="97">
        <f>'Berekening rekenvolumes'!O136</f>
        <v>0</v>
      </c>
    </row>
    <row r="282" spans="2:15">
      <c r="B282" s="26" t="s">
        <v>296</v>
      </c>
      <c r="D282" s="51" t="s">
        <v>130</v>
      </c>
      <c r="G282" s="97">
        <f>'Berekening rekenvolumes'!G137</f>
        <v>0</v>
      </c>
      <c r="H282" s="97">
        <f>'Berekening rekenvolumes'!H137</f>
        <v>0</v>
      </c>
      <c r="I282" s="97">
        <f>'Berekening rekenvolumes'!I137</f>
        <v>0</v>
      </c>
      <c r="J282" s="97">
        <f>'Berekening rekenvolumes'!J137</f>
        <v>3.6666666666666665</v>
      </c>
      <c r="K282" s="97">
        <f>'Berekening rekenvolumes'!K137</f>
        <v>1</v>
      </c>
      <c r="L282" s="97">
        <f>'Berekening rekenvolumes'!L137</f>
        <v>0.66666666666666663</v>
      </c>
      <c r="M282" s="97">
        <f>'Berekening rekenvolumes'!M137</f>
        <v>1.8311075638208365</v>
      </c>
      <c r="N282" s="97">
        <f>'Berekening rekenvolumes'!N137</f>
        <v>0</v>
      </c>
      <c r="O282" s="97">
        <f>'Berekening rekenvolumes'!O137</f>
        <v>0</v>
      </c>
    </row>
    <row r="283" spans="2:15">
      <c r="B283" s="256" t="s">
        <v>297</v>
      </c>
      <c r="D283" s="51" t="s">
        <v>130</v>
      </c>
      <c r="G283" s="97">
        <f>'Berekening rekenvolumes'!G138</f>
        <v>0</v>
      </c>
      <c r="H283" s="97">
        <f>'Berekening rekenvolumes'!H138</f>
        <v>0</v>
      </c>
      <c r="I283" s="97">
        <f>'Berekening rekenvolumes'!I138</f>
        <v>0</v>
      </c>
      <c r="J283" s="97">
        <f>'Berekening rekenvolumes'!J138</f>
        <v>2.7153988478812732</v>
      </c>
      <c r="K283" s="97">
        <f>'Berekening rekenvolumes'!K138</f>
        <v>2.3333333333333335</v>
      </c>
      <c r="L283" s="97">
        <f>'Berekening rekenvolumes'!L138</f>
        <v>0</v>
      </c>
      <c r="M283" s="97">
        <f>'Berekening rekenvolumes'!M138</f>
        <v>3.2896974473778187</v>
      </c>
      <c r="N283" s="97">
        <f>'Berekening rekenvolumes'!N138</f>
        <v>0</v>
      </c>
      <c r="O283" s="97">
        <f>'Berekening rekenvolumes'!O138</f>
        <v>0</v>
      </c>
    </row>
    <row r="284" spans="2:15">
      <c r="B284" s="256" t="s">
        <v>298</v>
      </c>
      <c r="D284" s="51" t="s">
        <v>130</v>
      </c>
      <c r="G284" s="97">
        <f>'Berekening rekenvolumes'!G139</f>
        <v>0</v>
      </c>
      <c r="H284" s="97">
        <f>'Berekening rekenvolumes'!H139</f>
        <v>0</v>
      </c>
      <c r="I284" s="97">
        <f>'Berekening rekenvolumes'!I139</f>
        <v>0.66666666666666663</v>
      </c>
      <c r="J284" s="97">
        <f>'Berekening rekenvolumes'!J139</f>
        <v>5.666666666666667</v>
      </c>
      <c r="K284" s="97">
        <f>'Berekening rekenvolumes'!K139</f>
        <v>0.66666666666666663</v>
      </c>
      <c r="L284" s="97">
        <f>'Berekening rekenvolumes'!L139</f>
        <v>0.66666666666666663</v>
      </c>
      <c r="M284" s="97">
        <f>'Berekening rekenvolumes'!M139</f>
        <v>1.0239822408433188</v>
      </c>
      <c r="N284" s="97">
        <f>'Berekening rekenvolumes'!N139</f>
        <v>0</v>
      </c>
      <c r="O284" s="97">
        <f>'Berekening rekenvolumes'!O139</f>
        <v>0</v>
      </c>
    </row>
    <row r="285" spans="2:15">
      <c r="B285" s="256" t="s">
        <v>299</v>
      </c>
      <c r="D285" s="51" t="s">
        <v>130</v>
      </c>
      <c r="G285" s="97">
        <f>'Berekening rekenvolumes'!G140</f>
        <v>0</v>
      </c>
      <c r="H285" s="97">
        <f>'Berekening rekenvolumes'!H140</f>
        <v>0</v>
      </c>
      <c r="I285" s="97">
        <f>'Berekening rekenvolumes'!I140</f>
        <v>0</v>
      </c>
      <c r="J285" s="97">
        <f>'Berekening rekenvolumes'!J140</f>
        <v>0.66666666666666663</v>
      </c>
      <c r="K285" s="97">
        <f>'Berekening rekenvolumes'!K140</f>
        <v>0</v>
      </c>
      <c r="L285" s="97">
        <f>'Berekening rekenvolumes'!L140</f>
        <v>0</v>
      </c>
      <c r="M285" s="97">
        <f>'Berekening rekenvolumes'!M140</f>
        <v>1.4981677625960863</v>
      </c>
      <c r="N285" s="97">
        <f>'Berekening rekenvolumes'!N140</f>
        <v>1</v>
      </c>
      <c r="O285" s="97">
        <f>'Berekening rekenvolumes'!O140</f>
        <v>0</v>
      </c>
    </row>
    <row r="286" spans="2:15">
      <c r="B286" s="23" t="s">
        <v>300</v>
      </c>
      <c r="D286" s="51" t="s">
        <v>130</v>
      </c>
      <c r="G286" s="97">
        <f>'Berekening rekenvolumes'!G141</f>
        <v>0</v>
      </c>
      <c r="H286" s="97">
        <f>'Berekening rekenvolumes'!H141</f>
        <v>0</v>
      </c>
      <c r="I286" s="97">
        <f>'Berekening rekenvolumes'!I141</f>
        <v>0</v>
      </c>
      <c r="J286" s="97">
        <f>'Berekening rekenvolumes'!J141</f>
        <v>1.3333333333333333</v>
      </c>
      <c r="K286" s="97">
        <f>'Berekening rekenvolumes'!K141</f>
        <v>0</v>
      </c>
      <c r="L286" s="97">
        <f>'Berekening rekenvolumes'!L141</f>
        <v>0</v>
      </c>
      <c r="M286" s="97">
        <f>'Berekening rekenvolumes'!M141</f>
        <v>0</v>
      </c>
      <c r="N286" s="97">
        <f>'Berekening rekenvolumes'!N141</f>
        <v>0</v>
      </c>
      <c r="O286" s="97">
        <f>'Berekening rekenvolumes'!O141</f>
        <v>0</v>
      </c>
    </row>
    <row r="287" spans="2:15">
      <c r="B287" s="23" t="s">
        <v>301</v>
      </c>
      <c r="D287" s="51" t="s">
        <v>130</v>
      </c>
      <c r="G287" s="97">
        <f>'Berekening rekenvolumes'!G142</f>
        <v>0</v>
      </c>
      <c r="H287" s="97">
        <f>'Berekening rekenvolumes'!H142</f>
        <v>0</v>
      </c>
      <c r="I287" s="97">
        <f>'Berekening rekenvolumes'!I142</f>
        <v>0</v>
      </c>
      <c r="J287" s="97">
        <f>'Berekening rekenvolumes'!J142</f>
        <v>1.6365017973982985</v>
      </c>
      <c r="K287" s="97">
        <f>'Berekening rekenvolumes'!K142</f>
        <v>0</v>
      </c>
      <c r="L287" s="97">
        <f>'Berekening rekenvolumes'!L142</f>
        <v>0</v>
      </c>
      <c r="M287" s="97">
        <f>'Berekening rekenvolumes'!M142</f>
        <v>0</v>
      </c>
      <c r="N287" s="97">
        <f>'Berekening rekenvolumes'!N142</f>
        <v>0.33333333333333331</v>
      </c>
      <c r="O287" s="97">
        <f>'Berekening rekenvolumes'!O142</f>
        <v>0</v>
      </c>
    </row>
    <row r="288" spans="2:15">
      <c r="B288" s="23"/>
    </row>
    <row r="289" spans="2:15">
      <c r="B289" s="108" t="s">
        <v>290</v>
      </c>
    </row>
    <row r="290" spans="2:15">
      <c r="B290" s="23" t="s">
        <v>302</v>
      </c>
      <c r="D290" s="51" t="s">
        <v>130</v>
      </c>
      <c r="G290" s="97">
        <f>'Berekening rekenvolumes'!G145</f>
        <v>0</v>
      </c>
      <c r="H290" s="97">
        <f>'Berekening rekenvolumes'!H145</f>
        <v>0</v>
      </c>
      <c r="I290" s="97">
        <f>'Berekening rekenvolumes'!I145</f>
        <v>0</v>
      </c>
      <c r="J290" s="97">
        <f>'Berekening rekenvolumes'!J145</f>
        <v>0</v>
      </c>
      <c r="K290" s="97">
        <f>'Berekening rekenvolumes'!K145</f>
        <v>0</v>
      </c>
      <c r="L290" s="97">
        <f>'Berekening rekenvolumes'!L145</f>
        <v>0</v>
      </c>
      <c r="M290" s="97">
        <f>'Berekening rekenvolumes'!M145</f>
        <v>0</v>
      </c>
      <c r="N290" s="97">
        <f>'Berekening rekenvolumes'!N145</f>
        <v>0</v>
      </c>
      <c r="O290" s="97">
        <f>'Berekening rekenvolumes'!O145</f>
        <v>0</v>
      </c>
    </row>
    <row r="293" spans="2:15" s="2" customFormat="1">
      <c r="B293" s="2" t="s">
        <v>725</v>
      </c>
    </row>
    <row r="295" spans="2:15">
      <c r="B295" s="258" t="s">
        <v>754</v>
      </c>
      <c r="D295" s="51" t="s">
        <v>186</v>
      </c>
      <c r="G295" s="98">
        <f>SUMPRODUCT(G12:G28,G155:G171)</f>
        <v>18943189.706423588</v>
      </c>
      <c r="H295" s="98">
        <f t="shared" ref="H295:N295" si="0">SUMPRODUCT(H12:H28,H155:H171)</f>
        <v>25863390.702270571</v>
      </c>
      <c r="I295" s="98">
        <f t="shared" si="0"/>
        <v>52592010.674433641</v>
      </c>
      <c r="J295" s="98">
        <f t="shared" si="0"/>
        <v>271545174.97630727</v>
      </c>
      <c r="K295" s="98">
        <f t="shared" si="0"/>
        <v>290206610.04842752</v>
      </c>
      <c r="L295" s="98">
        <f t="shared" si="0"/>
        <v>15943619.746966699</v>
      </c>
      <c r="M295" s="98">
        <f t="shared" si="0"/>
        <v>255507886.99097288</v>
      </c>
      <c r="N295" s="98">
        <f t="shared" si="0"/>
        <v>16831978.037616331</v>
      </c>
      <c r="O295" s="98">
        <f>SUMPRODUCT(O12:O28,O155:O171)</f>
        <v>6440014.167166301</v>
      </c>
    </row>
    <row r="296" spans="2:15">
      <c r="B296" s="258" t="s">
        <v>755</v>
      </c>
      <c r="D296" s="51" t="s">
        <v>186</v>
      </c>
      <c r="G296" s="98">
        <f>SUMPRODUCT(G37:G147,G180:G290)</f>
        <v>3253712.1412820504</v>
      </c>
      <c r="H296" s="98">
        <f t="shared" ref="H296:N296" si="1">SUMPRODUCT(H37:H147,H180:H290)</f>
        <v>4739945.5700000022</v>
      </c>
      <c r="I296" s="98">
        <f t="shared" si="1"/>
        <v>9690908.5981725957</v>
      </c>
      <c r="J296" s="98">
        <f t="shared" si="1"/>
        <v>48789596.299032927</v>
      </c>
      <c r="K296" s="98">
        <f t="shared" si="1"/>
        <v>52525125.905642413</v>
      </c>
      <c r="L296" s="98">
        <f t="shared" si="1"/>
        <v>2410866.0116666672</v>
      </c>
      <c r="M296" s="98">
        <f t="shared" si="1"/>
        <v>42124264.821672365</v>
      </c>
      <c r="N296" s="98">
        <f t="shared" si="1"/>
        <v>1557532.9342324105</v>
      </c>
      <c r="O296" s="98">
        <f>SUMPRODUCT(O37:O147,O180:O290)</f>
        <v>0</v>
      </c>
    </row>
    <row r="297" spans="2:15">
      <c r="B297" s="51" t="s">
        <v>34</v>
      </c>
      <c r="D297" s="51" t="s">
        <v>186</v>
      </c>
      <c r="F297" s="150">
        <f>SUM(G297:O297)</f>
        <v>1118965827.3322861</v>
      </c>
      <c r="G297" s="150">
        <f>G295+G296</f>
        <v>22196901.84770564</v>
      </c>
      <c r="H297" s="150">
        <f t="shared" ref="H297:O297" si="2">H295+H296</f>
        <v>30603336.272270575</v>
      </c>
      <c r="I297" s="150">
        <f t="shared" si="2"/>
        <v>62282919.272606239</v>
      </c>
      <c r="J297" s="150">
        <f t="shared" si="2"/>
        <v>320334771.2753402</v>
      </c>
      <c r="K297" s="150">
        <f t="shared" si="2"/>
        <v>342731735.95406991</v>
      </c>
      <c r="L297" s="150">
        <f t="shared" si="2"/>
        <v>18354485.758633368</v>
      </c>
      <c r="M297" s="150">
        <f t="shared" si="2"/>
        <v>297632151.81264526</v>
      </c>
      <c r="N297" s="150">
        <f t="shared" si="2"/>
        <v>18389510.971848741</v>
      </c>
      <c r="O297" s="150">
        <f t="shared" si="2"/>
        <v>6440014.167166301</v>
      </c>
    </row>
    <row r="299" spans="2:15">
      <c r="B299" s="261" t="s">
        <v>955</v>
      </c>
    </row>
    <row r="300" spans="2:15">
      <c r="B300" s="51" t="s">
        <v>956</v>
      </c>
      <c r="D300" s="51" t="s">
        <v>186</v>
      </c>
      <c r="G300" s="98">
        <f>SUMPRODUCT(G12:G13,G155:G156)+SUMPRODUCT(G37:G49,G180:G192)</f>
        <v>19414050.913219981</v>
      </c>
      <c r="H300" s="98">
        <f t="shared" ref="H300:O300" si="3">SUMPRODUCT(H12:H13,H155:H156)+SUMPRODUCT(H37:H49,H180:H192)</f>
        <v>24479762.285694737</v>
      </c>
      <c r="I300" s="98">
        <f t="shared" si="3"/>
        <v>52374907.380499996</v>
      </c>
      <c r="J300" s="98">
        <f t="shared" si="3"/>
        <v>266056036.88706261</v>
      </c>
      <c r="K300" s="98">
        <f t="shared" si="3"/>
        <v>291518402.17380804</v>
      </c>
      <c r="L300" s="98">
        <f t="shared" si="3"/>
        <v>16052698.866973344</v>
      </c>
      <c r="M300" s="98">
        <f t="shared" si="3"/>
        <v>242302362.0818316</v>
      </c>
      <c r="N300" s="98">
        <f t="shared" si="3"/>
        <v>5318714.5467842435</v>
      </c>
      <c r="O300" s="98">
        <f t="shared" si="3"/>
        <v>0</v>
      </c>
    </row>
    <row r="301" spans="2:15">
      <c r="B301" s="51" t="s">
        <v>957</v>
      </c>
      <c r="D301" s="51" t="s">
        <v>186</v>
      </c>
      <c r="G301" s="98">
        <f>SUMPRODUCT(G16:G28,G159:G171)+SUMPRODUCT(G55:G79,G198:G222)</f>
        <v>1929006.7744856626</v>
      </c>
      <c r="H301" s="98">
        <f t="shared" ref="H301:O301" si="4">SUMPRODUCT(H16:H28,H159:H171)+SUMPRODUCT(H55:H79,H198:H222)</f>
        <v>4758059.6465758374</v>
      </c>
      <c r="I301" s="98">
        <f t="shared" si="4"/>
        <v>7667279.1590643357</v>
      </c>
      <c r="J301" s="98">
        <f t="shared" si="4"/>
        <v>42511241.19655396</v>
      </c>
      <c r="K301" s="98">
        <f t="shared" si="4"/>
        <v>38528854.14057827</v>
      </c>
      <c r="L301" s="98">
        <f t="shared" si="4"/>
        <v>1832976.7749933545</v>
      </c>
      <c r="M301" s="98">
        <f t="shared" si="4"/>
        <v>43006644.926867105</v>
      </c>
      <c r="N301" s="98">
        <f t="shared" si="4"/>
        <v>12311824.147209475</v>
      </c>
      <c r="O301" s="98">
        <f t="shared" si="4"/>
        <v>6440014.167166301</v>
      </c>
    </row>
    <row r="302" spans="2:15">
      <c r="B302" s="51" t="s">
        <v>104</v>
      </c>
      <c r="D302" s="51" t="s">
        <v>186</v>
      </c>
      <c r="F302" s="150">
        <f>SUM(G302:N302)</f>
        <v>1070062821.9022026</v>
      </c>
      <c r="G302" s="150">
        <f>G300+G301</f>
        <v>21343057.687705643</v>
      </c>
      <c r="H302" s="150">
        <f t="shared" ref="H302:N302" si="5">H300+H301</f>
        <v>29237821.932270575</v>
      </c>
      <c r="I302" s="150">
        <f t="shared" si="5"/>
        <v>60042186.539564334</v>
      </c>
      <c r="J302" s="150">
        <f t="shared" si="5"/>
        <v>308567278.08361655</v>
      </c>
      <c r="K302" s="150">
        <f t="shared" si="5"/>
        <v>330047256.31438631</v>
      </c>
      <c r="L302" s="150">
        <f t="shared" si="5"/>
        <v>17885675.641966701</v>
      </c>
      <c r="M302" s="150">
        <f t="shared" si="5"/>
        <v>285309007.0086987</v>
      </c>
      <c r="N302" s="150">
        <f t="shared" si="5"/>
        <v>17630538.693993717</v>
      </c>
      <c r="O302" s="150">
        <f>O300+O301</f>
        <v>6440014.167166301</v>
      </c>
    </row>
  </sheetData>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Q236"/>
  <sheetViews>
    <sheetView showGridLines="0" zoomScale="85" zoomScaleNormal="85" workbookViewId="0"/>
  </sheetViews>
  <sheetFormatPr defaultRowHeight="12.75"/>
  <cols>
    <col min="1" max="1" width="2.5703125" style="258" customWidth="1"/>
    <col min="2" max="2" width="71.42578125" style="258" customWidth="1"/>
    <col min="3" max="3" width="2.5703125" style="258" customWidth="1"/>
    <col min="4" max="4" width="14.5703125" style="258" customWidth="1"/>
    <col min="5" max="5" width="2.5703125" style="258" customWidth="1"/>
    <col min="6" max="6" width="21.42578125" style="258" customWidth="1"/>
    <col min="7" max="15" width="14.85546875" style="258" customWidth="1"/>
    <col min="16" max="16" width="5.7109375" style="258" customWidth="1"/>
    <col min="17" max="17" width="27.42578125" style="258" customWidth="1"/>
    <col min="18" max="16384" width="9.140625" style="258"/>
  </cols>
  <sheetData>
    <row r="1" spans="2:17" ht="12" customHeight="1"/>
    <row r="2" spans="2:17" s="1" customFormat="1" ht="36">
      <c r="B2" s="268" t="s">
        <v>726</v>
      </c>
      <c r="F2" s="5" t="s">
        <v>105</v>
      </c>
      <c r="G2" s="5" t="s">
        <v>96</v>
      </c>
      <c r="H2" s="5" t="s">
        <v>97</v>
      </c>
      <c r="I2" s="5" t="s">
        <v>98</v>
      </c>
      <c r="J2" s="5" t="s">
        <v>99</v>
      </c>
      <c r="K2" s="5" t="s">
        <v>100</v>
      </c>
      <c r="L2" s="5" t="s">
        <v>101</v>
      </c>
      <c r="M2" s="5" t="s">
        <v>102</v>
      </c>
      <c r="N2" s="5" t="s">
        <v>103</v>
      </c>
      <c r="O2" s="5" t="s">
        <v>197</v>
      </c>
      <c r="P2" s="5"/>
      <c r="Q2" s="5" t="s">
        <v>567</v>
      </c>
    </row>
    <row r="4" spans="2:17">
      <c r="B4" s="51" t="s">
        <v>727</v>
      </c>
    </row>
    <row r="5" spans="2:17">
      <c r="B5" s="51" t="s">
        <v>756</v>
      </c>
    </row>
    <row r="6" spans="2:17">
      <c r="B6" s="51"/>
    </row>
    <row r="7" spans="2:17">
      <c r="F7" s="47"/>
    </row>
    <row r="8" spans="2:17" s="2" customFormat="1">
      <c r="B8" s="2" t="s">
        <v>54</v>
      </c>
      <c r="F8" s="49"/>
    </row>
    <row r="9" spans="2:17">
      <c r="F9" s="47"/>
    </row>
    <row r="10" spans="2:17">
      <c r="B10" s="261" t="s">
        <v>51</v>
      </c>
      <c r="F10" s="47"/>
    </row>
    <row r="11" spans="2:17">
      <c r="F11" s="47"/>
    </row>
    <row r="12" spans="2:17">
      <c r="B12" s="261" t="s">
        <v>433</v>
      </c>
      <c r="F12" s="47"/>
    </row>
    <row r="13" spans="2:17">
      <c r="B13" s="51" t="s">
        <v>432</v>
      </c>
      <c r="D13" s="258" t="s">
        <v>108</v>
      </c>
      <c r="F13" s="83">
        <f>SUM(G13:O13)</f>
        <v>292031772.71546465</v>
      </c>
      <c r="G13" s="39">
        <f>'Berekening OPEX TD'!G180</f>
        <v>9121406.1100523118</v>
      </c>
      <c r="H13" s="39">
        <f>'Berekening OPEX TD'!H180</f>
        <v>9293540.5008315332</v>
      </c>
      <c r="I13" s="39">
        <f>'Berekening OPEX TD'!I180</f>
        <v>10449195.226763491</v>
      </c>
      <c r="J13" s="39">
        <f>'Berekening OPEX TD'!J180</f>
        <v>80772132.666140541</v>
      </c>
      <c r="K13" s="39">
        <f>'Berekening OPEX TD'!K180</f>
        <v>85995206.262663603</v>
      </c>
      <c r="L13" s="39">
        <f>'Berekening OPEX TD'!L180</f>
        <v>2673891.61</v>
      </c>
      <c r="M13" s="39">
        <f>'Berekening OPEX TD'!M180</f>
        <v>87669173.168201193</v>
      </c>
      <c r="N13" s="39">
        <f>'Berekening OPEX TD'!N180</f>
        <v>6057227.1708119223</v>
      </c>
      <c r="O13" s="39">
        <f>'Berekening OPEX TD'!O180</f>
        <v>0</v>
      </c>
    </row>
    <row r="14" spans="2:17">
      <c r="B14" s="51" t="s">
        <v>436</v>
      </c>
      <c r="D14" s="258" t="s">
        <v>108</v>
      </c>
      <c r="F14" s="83">
        <f>SUM(G14:O14)</f>
        <v>21226316.034617551</v>
      </c>
      <c r="G14" s="39">
        <f>'Berekening OPEX TD'!G172</f>
        <v>0</v>
      </c>
      <c r="H14" s="39">
        <f>'Berekening OPEX TD'!H172</f>
        <v>271771.83</v>
      </c>
      <c r="I14" s="39">
        <f>'Berekening OPEX TD'!I172</f>
        <v>0</v>
      </c>
      <c r="J14" s="39">
        <f>'Berekening OPEX TD'!J172</f>
        <v>608000</v>
      </c>
      <c r="K14" s="39">
        <f>'Berekening OPEX TD'!K172</f>
        <v>7686459.2046175497</v>
      </c>
      <c r="L14" s="39">
        <f>'Berekening OPEX TD'!L172</f>
        <v>88642</v>
      </c>
      <c r="M14" s="39">
        <f>'Berekening OPEX TD'!M172</f>
        <v>12568949</v>
      </c>
      <c r="N14" s="39">
        <f>'Berekening OPEX TD'!N172</f>
        <v>2494</v>
      </c>
      <c r="O14" s="39">
        <f>'Berekening OPEX TD'!O172</f>
        <v>0</v>
      </c>
    </row>
    <row r="15" spans="2:17">
      <c r="B15" s="51" t="s">
        <v>437</v>
      </c>
      <c r="D15" s="258" t="s">
        <v>108</v>
      </c>
      <c r="F15" s="83">
        <f>SUM(G15:O15)</f>
        <v>4000</v>
      </c>
      <c r="G15" s="39">
        <f>'Berekening OPEX TD'!G173</f>
        <v>4000</v>
      </c>
      <c r="H15" s="39">
        <f>'Berekening OPEX TD'!H173</f>
        <v>0</v>
      </c>
      <c r="I15" s="39">
        <f>'Berekening OPEX TD'!I173</f>
        <v>0</v>
      </c>
      <c r="J15" s="39">
        <f>'Berekening OPEX TD'!J173</f>
        <v>0</v>
      </c>
      <c r="K15" s="39">
        <f>'Berekening OPEX TD'!K173</f>
        <v>0</v>
      </c>
      <c r="L15" s="39">
        <f>'Berekening OPEX TD'!L173</f>
        <v>0</v>
      </c>
      <c r="M15" s="39">
        <f>'Berekening OPEX TD'!M173</f>
        <v>0</v>
      </c>
      <c r="N15" s="39">
        <f>'Berekening OPEX TD'!N173</f>
        <v>0</v>
      </c>
      <c r="O15" s="39">
        <f>'Berekening OPEX TD'!O173</f>
        <v>0</v>
      </c>
    </row>
    <row r="16" spans="2:17">
      <c r="B16" s="51" t="s">
        <v>613</v>
      </c>
      <c r="D16" s="258" t="s">
        <v>108</v>
      </c>
      <c r="F16" s="83">
        <f>SUM(G16:O16)</f>
        <v>3274053.4386383905</v>
      </c>
      <c r="G16" s="39">
        <f>'Berekening OPEX TD'!G176</f>
        <v>72000</v>
      </c>
      <c r="H16" s="39">
        <f>'Berekening OPEX TD'!H176</f>
        <v>93092.709000000003</v>
      </c>
      <c r="I16" s="39">
        <f>'Berekening OPEX TD'!I176</f>
        <v>181330.25258374997</v>
      </c>
      <c r="J16" s="39">
        <f>'Berekening OPEX TD'!J176</f>
        <v>923582.58078521874</v>
      </c>
      <c r="K16" s="39">
        <f>'Berekening OPEX TD'!K176</f>
        <v>1066413.7768667419</v>
      </c>
      <c r="L16" s="39">
        <f>'Berekening OPEX TD'!L176</f>
        <v>57643.82</v>
      </c>
      <c r="M16" s="39">
        <f>'Berekening OPEX TD'!M176</f>
        <v>873329.56455926411</v>
      </c>
      <c r="N16" s="39">
        <f>'Berekening OPEX TD'!N176</f>
        <v>6660.734843416185</v>
      </c>
      <c r="O16" s="39">
        <f>'Berekening OPEX TD'!O176</f>
        <v>0</v>
      </c>
    </row>
    <row r="17" spans="2:15">
      <c r="F17" s="47"/>
    </row>
    <row r="18" spans="2:15">
      <c r="B18" s="51" t="s">
        <v>434</v>
      </c>
      <c r="D18" s="258" t="s">
        <v>108</v>
      </c>
      <c r="F18" s="83">
        <f>SUM(G18:O18)</f>
        <v>71566466.102591738</v>
      </c>
      <c r="G18" s="39">
        <f>'Berekening OPEX AD'!G178</f>
        <v>1443716.93</v>
      </c>
      <c r="H18" s="39">
        <f>'Berekening OPEX AD'!H178</f>
        <v>1487842.7466014007</v>
      </c>
      <c r="I18" s="39">
        <f>'Berekening OPEX AD'!I178</f>
        <v>5329560.6261104252</v>
      </c>
      <c r="J18" s="39">
        <f>'Berekening OPEX AD'!J178</f>
        <v>11427069.323275993</v>
      </c>
      <c r="K18" s="39">
        <f>'Berekening OPEX AD'!K178</f>
        <v>35559152.130268611</v>
      </c>
      <c r="L18" s="39">
        <f>'Berekening OPEX AD'!L178</f>
        <v>816815.36</v>
      </c>
      <c r="M18" s="39">
        <f>'Berekening OPEX AD'!M178</f>
        <v>15242101.484940976</v>
      </c>
      <c r="N18" s="39">
        <f>'Berekening OPEX AD'!N178</f>
        <v>260207.50139433556</v>
      </c>
      <c r="O18" s="39">
        <f>'Berekening OPEX AD'!O178</f>
        <v>0</v>
      </c>
    </row>
    <row r="19" spans="2:15">
      <c r="B19" s="51" t="s">
        <v>436</v>
      </c>
      <c r="D19" s="258" t="s">
        <v>108</v>
      </c>
      <c r="F19" s="83">
        <f>SUM(G19:O19)</f>
        <v>0</v>
      </c>
      <c r="G19" s="39">
        <f>'Berekening OPEX AD'!G170</f>
        <v>0</v>
      </c>
      <c r="H19" s="39">
        <f>'Berekening OPEX AD'!H170</f>
        <v>0</v>
      </c>
      <c r="I19" s="39">
        <f>'Berekening OPEX AD'!I170</f>
        <v>0</v>
      </c>
      <c r="J19" s="39">
        <f>'Berekening OPEX AD'!J170</f>
        <v>0</v>
      </c>
      <c r="K19" s="39">
        <f>'Berekening OPEX AD'!K170</f>
        <v>0</v>
      </c>
      <c r="L19" s="39">
        <f>'Berekening OPEX AD'!L170</f>
        <v>0</v>
      </c>
      <c r="M19" s="39">
        <f>'Berekening OPEX AD'!M170</f>
        <v>0</v>
      </c>
      <c r="N19" s="39">
        <f>'Berekening OPEX AD'!N170</f>
        <v>0</v>
      </c>
      <c r="O19" s="39">
        <f>'Berekening OPEX AD'!O170</f>
        <v>0</v>
      </c>
    </row>
    <row r="20" spans="2:15">
      <c r="B20" s="51" t="s">
        <v>437</v>
      </c>
      <c r="D20" s="258" t="s">
        <v>108</v>
      </c>
      <c r="F20" s="83">
        <f>SUM(G20:O20)</f>
        <v>1000</v>
      </c>
      <c r="G20" s="39">
        <f>'Berekening OPEX AD'!G171</f>
        <v>1000</v>
      </c>
      <c r="H20" s="39">
        <f>'Berekening OPEX AD'!H171</f>
        <v>0</v>
      </c>
      <c r="I20" s="39">
        <f>'Berekening OPEX AD'!I171</f>
        <v>0</v>
      </c>
      <c r="J20" s="39">
        <f>'Berekening OPEX AD'!J171</f>
        <v>0</v>
      </c>
      <c r="K20" s="39">
        <f>'Berekening OPEX AD'!K171</f>
        <v>0</v>
      </c>
      <c r="L20" s="39">
        <f>'Berekening OPEX AD'!L171</f>
        <v>0</v>
      </c>
      <c r="M20" s="39">
        <f>'Berekening OPEX AD'!M171</f>
        <v>0</v>
      </c>
      <c r="N20" s="39">
        <f>'Berekening OPEX AD'!N171</f>
        <v>0</v>
      </c>
      <c r="O20" s="39">
        <f>'Berekening OPEX AD'!O171</f>
        <v>0</v>
      </c>
    </row>
    <row r="21" spans="2:15">
      <c r="B21" s="51" t="s">
        <v>613</v>
      </c>
      <c r="D21" s="258" t="s">
        <v>108</v>
      </c>
      <c r="F21" s="83">
        <f>SUM(G21:O21)</f>
        <v>815406.80330350378</v>
      </c>
      <c r="G21" s="39">
        <f>'Berekening OPEX AD'!G174</f>
        <v>17000</v>
      </c>
      <c r="H21" s="39">
        <f>'Berekening OPEX AD'!H174</f>
        <v>22655.414549999998</v>
      </c>
      <c r="I21" s="39">
        <f>'Berekening OPEX AD'!I174</f>
        <v>53190.981643655774</v>
      </c>
      <c r="J21" s="39">
        <f>'Berekening OPEX AD'!J174</f>
        <v>221030.34628937035</v>
      </c>
      <c r="K21" s="39">
        <f>'Berekening OPEX AD'!K174</f>
        <v>251804.95935440497</v>
      </c>
      <c r="L21" s="39">
        <f>'Berekening OPEX AD'!L174</f>
        <v>15371.73</v>
      </c>
      <c r="M21" s="39">
        <f>'Berekening OPEX AD'!M174</f>
        <v>233424.81861147922</v>
      </c>
      <c r="N21" s="39">
        <f>'Berekening OPEX AD'!N174</f>
        <v>928.55285459348249</v>
      </c>
      <c r="O21" s="39">
        <f>'Berekening OPEX AD'!O174</f>
        <v>0</v>
      </c>
    </row>
    <row r="22" spans="2:15">
      <c r="F22" s="47"/>
    </row>
    <row r="23" spans="2:15">
      <c r="B23" s="51" t="s">
        <v>438</v>
      </c>
      <c r="D23" s="258" t="s">
        <v>108</v>
      </c>
      <c r="F23" s="83">
        <f>SUM(G23:O23)</f>
        <v>43971781.414062135</v>
      </c>
      <c r="G23" s="39">
        <f>'Berekening vergoedingen EAV'!G24</f>
        <v>996367.27999999991</v>
      </c>
      <c r="H23" s="39">
        <f>'Berekening vergoedingen EAV'!H24</f>
        <v>1071771.3500000006</v>
      </c>
      <c r="I23" s="39">
        <f>'Berekening vergoedingen EAV'!I24</f>
        <v>2033068.8700000003</v>
      </c>
      <c r="J23" s="39">
        <f>'Berekening vergoedingen EAV'!J24</f>
        <v>11998416.414238615</v>
      </c>
      <c r="K23" s="39">
        <f>'Berekening vergoedingen EAV'!K24</f>
        <v>13188857.08</v>
      </c>
      <c r="L23" s="39">
        <f>'Berekening vergoedingen EAV'!L24</f>
        <v>577179.75</v>
      </c>
      <c r="M23" s="39">
        <f>'Berekening vergoedingen EAV'!M24</f>
        <v>13558151.06982352</v>
      </c>
      <c r="N23" s="39">
        <f>'Berekening vergoedingen EAV'!N24</f>
        <v>547969.60000000009</v>
      </c>
      <c r="O23" s="39">
        <f>'Berekening vergoedingen EAV'!O24</f>
        <v>0</v>
      </c>
    </row>
    <row r="24" spans="2:15">
      <c r="F24" s="47"/>
    </row>
    <row r="25" spans="2:15">
      <c r="B25" s="261" t="s">
        <v>435</v>
      </c>
      <c r="F25" s="47"/>
    </row>
    <row r="26" spans="2:15">
      <c r="B26" s="51" t="s">
        <v>777</v>
      </c>
      <c r="D26" s="258" t="s">
        <v>108</v>
      </c>
      <c r="F26" s="83">
        <f>SUM(G26:O26)</f>
        <v>545953349.49192834</v>
      </c>
      <c r="G26" s="39">
        <f>'Berekening kapitaalkosten TD'!G242</f>
        <v>9001914.7404851951</v>
      </c>
      <c r="H26" s="39">
        <f>'Berekening kapitaalkosten TD'!H242</f>
        <v>11315668.061486831</v>
      </c>
      <c r="I26" s="39">
        <f>'Berekening kapitaalkosten TD'!I242</f>
        <v>34358875.466657937</v>
      </c>
      <c r="J26" s="39">
        <f>'Berekening kapitaalkosten TD'!J242</f>
        <v>136513344.4798432</v>
      </c>
      <c r="K26" s="39">
        <f>'Berekening kapitaalkosten TD'!K242</f>
        <v>173648230.90935329</v>
      </c>
      <c r="L26" s="39">
        <f>'Berekening kapitaalkosten TD'!L242</f>
        <v>16462642.416926701</v>
      </c>
      <c r="M26" s="39">
        <f>'Berekening kapitaalkosten TD'!M242</f>
        <v>151045022.39437798</v>
      </c>
      <c r="N26" s="39">
        <f>'Berekening kapitaalkosten TD'!N242</f>
        <v>13607651.02279726</v>
      </c>
      <c r="O26" s="39">
        <f>'Berekening kapitaalkosten TD'!O242</f>
        <v>0</v>
      </c>
    </row>
    <row r="27" spans="2:15">
      <c r="B27" s="51" t="s">
        <v>778</v>
      </c>
      <c r="D27" s="258" t="s">
        <v>108</v>
      </c>
      <c r="F27" s="83">
        <f>SUM(G27:O27)</f>
        <v>4536151.1978281308</v>
      </c>
      <c r="G27" s="39">
        <f>'Berekening kapitaalkosten TD'!G243</f>
        <v>773514.38979668741</v>
      </c>
      <c r="H27" s="39">
        <f>'Berekening kapitaalkosten TD'!H243</f>
        <v>0</v>
      </c>
      <c r="I27" s="39">
        <f>'Berekening kapitaalkosten TD'!I243</f>
        <v>0</v>
      </c>
      <c r="J27" s="39">
        <f>'Berekening kapitaalkosten TD'!J243</f>
        <v>1392900.5351747454</v>
      </c>
      <c r="K27" s="39">
        <f>'Berekening kapitaalkosten TD'!K243</f>
        <v>0</v>
      </c>
      <c r="L27" s="39">
        <f>'Berekening kapitaalkosten TD'!L243</f>
        <v>2369736.2728566979</v>
      </c>
      <c r="M27" s="39">
        <f>'Berekening kapitaalkosten TD'!M243</f>
        <v>0</v>
      </c>
      <c r="N27" s="39">
        <f>'Berekening kapitaalkosten TD'!N243</f>
        <v>0</v>
      </c>
      <c r="O27" s="39">
        <f>'Berekening kapitaalkosten TD'!O243</f>
        <v>0</v>
      </c>
    </row>
    <row r="28" spans="2:15">
      <c r="B28" s="51" t="s">
        <v>779</v>
      </c>
      <c r="D28" s="258" t="s">
        <v>108</v>
      </c>
      <c r="F28" s="83">
        <f>SUM(G28:O28)</f>
        <v>64682310.493766271</v>
      </c>
      <c r="G28" s="39">
        <f>'Berekening kapitaalkosten AD'!G174</f>
        <v>1260247.2740031509</v>
      </c>
      <c r="H28" s="39">
        <f>'Berekening kapitaalkosten AD'!H174</f>
        <v>1617976.3076632849</v>
      </c>
      <c r="I28" s="39">
        <f>'Berekening kapitaalkosten AD'!I174</f>
        <v>1882810.3929838343</v>
      </c>
      <c r="J28" s="39">
        <f>'Berekening kapitaalkosten AD'!J174</f>
        <v>16869140.882069062</v>
      </c>
      <c r="K28" s="39">
        <f>'Berekening kapitaalkosten AD'!K174</f>
        <v>12214931.062722761</v>
      </c>
      <c r="L28" s="39">
        <f>'Berekening kapitaalkosten AD'!L174</f>
        <v>1154843.7003108463</v>
      </c>
      <c r="M28" s="39">
        <f>'Berekening kapitaalkosten AD'!M174</f>
        <v>29448429.951668903</v>
      </c>
      <c r="N28" s="39">
        <f>'Berekening kapitaalkosten AD'!N174</f>
        <v>233930.92234442505</v>
      </c>
      <c r="O28" s="39">
        <f>'Berekening kapitaalkosten AD'!O174</f>
        <v>0</v>
      </c>
    </row>
    <row r="29" spans="2:15">
      <c r="F29" s="47"/>
    </row>
    <row r="30" spans="2:15">
      <c r="B30" s="261" t="s">
        <v>439</v>
      </c>
      <c r="F30" s="47"/>
    </row>
    <row r="31" spans="2:15">
      <c r="B31" s="51" t="s">
        <v>441</v>
      </c>
      <c r="D31" s="258" t="s">
        <v>108</v>
      </c>
      <c r="F31" s="83">
        <f>SUM(G31:O31)</f>
        <v>2071779.9715665458</v>
      </c>
      <c r="H31" s="97">
        <f>'Berekening OPEX TD'!H403</f>
        <v>768779.97156654589</v>
      </c>
      <c r="J31" s="97">
        <f>'Berekening OPEX TD'!J403</f>
        <v>105000</v>
      </c>
      <c r="O31" s="97">
        <f>'Berekening OPEX TD'!O403</f>
        <v>1198000</v>
      </c>
    </row>
    <row r="32" spans="2:15">
      <c r="B32" s="51" t="s">
        <v>440</v>
      </c>
      <c r="D32" s="258" t="s">
        <v>108</v>
      </c>
      <c r="F32" s="83">
        <f>SUM(G32:O32)</f>
        <v>40283.274510725554</v>
      </c>
      <c r="H32" s="97">
        <f>'Berekening OPEX AD'!H395</f>
        <v>40283.274510725554</v>
      </c>
      <c r="J32" s="97">
        <f>'Berekening OPEX AD'!J395</f>
        <v>0</v>
      </c>
      <c r="O32" s="97">
        <f>'Berekening OPEX AD'!O395</f>
        <v>0</v>
      </c>
    </row>
    <row r="33" spans="2:17">
      <c r="B33" s="51" t="s">
        <v>442</v>
      </c>
      <c r="D33" s="258" t="s">
        <v>108</v>
      </c>
      <c r="F33" s="83">
        <f>SUM(G33:O33)</f>
        <v>0</v>
      </c>
      <c r="H33" s="97">
        <f>'Berekening vergoedingen EAV'!G25</f>
        <v>0</v>
      </c>
      <c r="J33" s="97">
        <f>'Berekening vergoedingen EAV'!I25</f>
        <v>0</v>
      </c>
      <c r="O33" s="97">
        <f>'Berekening vergoedingen EAV'!N25</f>
        <v>0</v>
      </c>
    </row>
    <row r="34" spans="2:17">
      <c r="F34" s="47"/>
    </row>
    <row r="35" spans="2:17">
      <c r="B35" s="261" t="s">
        <v>425</v>
      </c>
      <c r="F35" s="47"/>
    </row>
    <row r="36" spans="2:17">
      <c r="B36" s="51" t="s">
        <v>780</v>
      </c>
      <c r="D36" s="258" t="s">
        <v>108</v>
      </c>
      <c r="F36" s="83">
        <f>SUM(G36:O36)</f>
        <v>4769899.8421241269</v>
      </c>
      <c r="H36" s="97">
        <f>'Berekening kapitaalkosten TD'!H295</f>
        <v>922556.09989644727</v>
      </c>
      <c r="J36" s="97">
        <f>'Berekening kapitaalkosten TD'!J295</f>
        <v>27518.132128492056</v>
      </c>
      <c r="O36" s="97">
        <f>'Berekening kapitaalkosten TD'!O295</f>
        <v>3819825.6100991881</v>
      </c>
    </row>
    <row r="37" spans="2:17">
      <c r="B37" s="51" t="s">
        <v>781</v>
      </c>
      <c r="D37" s="258" t="s">
        <v>108</v>
      </c>
      <c r="F37" s="83">
        <f>SUM(G37:O37)</f>
        <v>0</v>
      </c>
      <c r="H37" s="97">
        <f>'Berekening kapitaalkosten AD'!H216</f>
        <v>0</v>
      </c>
      <c r="J37" s="97">
        <f>'Berekening kapitaalkosten AD'!J216</f>
        <v>0</v>
      </c>
      <c r="O37" s="97">
        <f>'Berekening kapitaalkosten AD'!O216</f>
        <v>0</v>
      </c>
    </row>
    <row r="38" spans="2:17">
      <c r="B38" s="51"/>
      <c r="F38" s="47"/>
    </row>
    <row r="39" spans="2:17">
      <c r="B39" s="51"/>
      <c r="F39" s="47"/>
    </row>
    <row r="40" spans="2:17">
      <c r="B40" s="261" t="s">
        <v>53</v>
      </c>
      <c r="F40" s="47"/>
    </row>
    <row r="41" spans="2:17">
      <c r="F41" s="47"/>
    </row>
    <row r="42" spans="2:17">
      <c r="B42" s="51" t="s">
        <v>782</v>
      </c>
      <c r="D42" s="258" t="s">
        <v>108</v>
      </c>
      <c r="F42" s="83">
        <f>SUM(G42:O42)</f>
        <v>1029623794.5038426</v>
      </c>
      <c r="G42" s="21">
        <f>SUM(G13,G18,G23,G26:G28,G31:G33,G36:G37)</f>
        <v>22597166.724337347</v>
      </c>
      <c r="H42" s="21">
        <f t="shared" ref="H42:O42" si="0">SUM(H13,H18,H23,H26:H28,H31:H33,H36:H37)</f>
        <v>26518418.31255677</v>
      </c>
      <c r="I42" s="21">
        <f t="shared" si="0"/>
        <v>54053510.582515679</v>
      </c>
      <c r="J42" s="21">
        <f t="shared" si="0"/>
        <v>259105522.43287069</v>
      </c>
      <c r="K42" s="21">
        <f t="shared" si="0"/>
        <v>320606377.44500822</v>
      </c>
      <c r="L42" s="21">
        <f t="shared" si="0"/>
        <v>24055109.110094242</v>
      </c>
      <c r="M42" s="21">
        <f t="shared" si="0"/>
        <v>296962878.06901258</v>
      </c>
      <c r="N42" s="21">
        <f t="shared" si="0"/>
        <v>20706986.217347942</v>
      </c>
      <c r="O42" s="21">
        <f t="shared" si="0"/>
        <v>5017825.6100991881</v>
      </c>
      <c r="Q42" s="51" t="s">
        <v>574</v>
      </c>
    </row>
    <row r="43" spans="2:17">
      <c r="B43" s="13" t="s">
        <v>52</v>
      </c>
      <c r="F43" s="47"/>
    </row>
    <row r="44" spans="2:17">
      <c r="B44" s="51" t="s">
        <v>783</v>
      </c>
      <c r="D44" s="258" t="s">
        <v>108</v>
      </c>
      <c r="F44" s="83">
        <f>SUM(G44:O44)</f>
        <v>25767467.23244568</v>
      </c>
      <c r="G44" s="21">
        <f>SUM(G14:G15,G19:G20,G27)</f>
        <v>778514.38979668741</v>
      </c>
      <c r="H44" s="21">
        <f t="shared" ref="H44:O44" si="1">SUM(H14:H15,H19:H20,H27)</f>
        <v>271771.83</v>
      </c>
      <c r="I44" s="21">
        <f t="shared" si="1"/>
        <v>0</v>
      </c>
      <c r="J44" s="21">
        <f t="shared" si="1"/>
        <v>2000900.5351747454</v>
      </c>
      <c r="K44" s="21">
        <f t="shared" si="1"/>
        <v>7686459.2046175497</v>
      </c>
      <c r="L44" s="21">
        <f t="shared" si="1"/>
        <v>2458378.2728566979</v>
      </c>
      <c r="M44" s="21">
        <f t="shared" si="1"/>
        <v>12568949</v>
      </c>
      <c r="N44" s="21">
        <f t="shared" si="1"/>
        <v>2494</v>
      </c>
      <c r="O44" s="21">
        <f t="shared" si="1"/>
        <v>0</v>
      </c>
    </row>
    <row r="45" spans="2:17">
      <c r="B45" s="51" t="s">
        <v>180</v>
      </c>
      <c r="D45" s="258" t="s">
        <v>108</v>
      </c>
      <c r="F45" s="83">
        <f>SUM(G45:O45)</f>
        <v>4089460.2419418949</v>
      </c>
      <c r="G45" s="21">
        <f>G16+G21</f>
        <v>89000</v>
      </c>
      <c r="H45" s="21">
        <f t="shared" ref="H45:O45" si="2">H16+H21</f>
        <v>115748.12355</v>
      </c>
      <c r="I45" s="21">
        <f t="shared" si="2"/>
        <v>234521.23422740574</v>
      </c>
      <c r="J45" s="21">
        <f t="shared" si="2"/>
        <v>1144612.9270745891</v>
      </c>
      <c r="K45" s="21">
        <f t="shared" si="2"/>
        <v>1318218.736221147</v>
      </c>
      <c r="L45" s="21">
        <f t="shared" si="2"/>
        <v>73015.55</v>
      </c>
      <c r="M45" s="21">
        <f t="shared" si="2"/>
        <v>1106754.3831707432</v>
      </c>
      <c r="N45" s="21">
        <f t="shared" si="2"/>
        <v>7589.2876980096671</v>
      </c>
      <c r="O45" s="21">
        <f t="shared" si="2"/>
        <v>0</v>
      </c>
    </row>
    <row r="46" spans="2:17">
      <c r="B46" s="78" t="s">
        <v>784</v>
      </c>
      <c r="D46" s="258" t="s">
        <v>108</v>
      </c>
      <c r="F46" s="83">
        <f>SUM(G46:O46)</f>
        <v>6881963.088201399</v>
      </c>
      <c r="G46" s="54"/>
      <c r="H46" s="21">
        <f>SUM(H31:H33,H36:H37)</f>
        <v>1731619.3459737187</v>
      </c>
      <c r="I46" s="54"/>
      <c r="J46" s="21">
        <f>SUM(J31:J33,J36:J37)</f>
        <v>132518.13212849206</v>
      </c>
      <c r="K46" s="54"/>
      <c r="L46" s="54"/>
      <c r="M46" s="54"/>
      <c r="N46" s="54"/>
      <c r="O46" s="21">
        <f>SUM(O31:O33,O36:O37)</f>
        <v>5017825.6100991881</v>
      </c>
    </row>
    <row r="47" spans="2:17">
      <c r="F47" s="47"/>
    </row>
    <row r="48" spans="2:17">
      <c r="B48" s="261" t="s">
        <v>629</v>
      </c>
      <c r="F48" s="47"/>
    </row>
    <row r="49" spans="2:15">
      <c r="B49" s="51" t="s">
        <v>630</v>
      </c>
      <c r="D49" s="258" t="s">
        <v>108</v>
      </c>
      <c r="F49" s="83">
        <f>SUM(G49:O49)</f>
        <v>849362953.21891177</v>
      </c>
      <c r="G49" s="107">
        <f>G13+G26+G27+G31+G36</f>
        <v>18896835.240334198</v>
      </c>
      <c r="H49" s="107">
        <f t="shared" ref="H49:O49" si="3">H13+H26+H27+H31+H36</f>
        <v>22300544.633781355</v>
      </c>
      <c r="I49" s="107">
        <f t="shared" si="3"/>
        <v>44808070.693421423</v>
      </c>
      <c r="J49" s="107">
        <f t="shared" si="3"/>
        <v>218810895.81328702</v>
      </c>
      <c r="K49" s="107">
        <f t="shared" si="3"/>
        <v>259643437.17201689</v>
      </c>
      <c r="L49" s="107">
        <f t="shared" si="3"/>
        <v>21506270.299783397</v>
      </c>
      <c r="M49" s="107">
        <f t="shared" si="3"/>
        <v>238714195.56257915</v>
      </c>
      <c r="N49" s="107">
        <f t="shared" si="3"/>
        <v>19664878.193609182</v>
      </c>
      <c r="O49" s="107">
        <f t="shared" si="3"/>
        <v>5017825.6100991881</v>
      </c>
    </row>
    <row r="50" spans="2:15">
      <c r="B50" s="51" t="s">
        <v>631</v>
      </c>
      <c r="D50" s="258" t="s">
        <v>108</v>
      </c>
      <c r="F50" s="83">
        <f>SUM(G50:O50)</f>
        <v>180260841.28493086</v>
      </c>
      <c r="G50" s="107">
        <f>G18+G23+G28+G32+G33+G37</f>
        <v>3700331.4840031508</v>
      </c>
      <c r="H50" s="107">
        <f t="shared" ref="H50:O50" si="4">H18+H23+H28+H32+H33+H37</f>
        <v>4217873.678775412</v>
      </c>
      <c r="I50" s="107">
        <f t="shared" si="4"/>
        <v>9245439.8890942596</v>
      </c>
      <c r="J50" s="107">
        <f t="shared" si="4"/>
        <v>40294626.619583666</v>
      </c>
      <c r="K50" s="107">
        <f t="shared" si="4"/>
        <v>60962940.272991374</v>
      </c>
      <c r="L50" s="107">
        <f t="shared" si="4"/>
        <v>2548838.8103108462</v>
      </c>
      <c r="M50" s="107">
        <f t="shared" si="4"/>
        <v>58248682.506433398</v>
      </c>
      <c r="N50" s="107">
        <f t="shared" si="4"/>
        <v>1042108.0237387607</v>
      </c>
      <c r="O50" s="107">
        <f t="shared" si="4"/>
        <v>0</v>
      </c>
    </row>
    <row r="51" spans="2:15">
      <c r="F51" s="47"/>
    </row>
    <row r="52" spans="2:15">
      <c r="F52" s="47"/>
    </row>
    <row r="53" spans="2:15" s="2" customFormat="1">
      <c r="B53" s="2" t="s">
        <v>55</v>
      </c>
      <c r="F53" s="49"/>
    </row>
    <row r="54" spans="2:15" ht="12" customHeight="1">
      <c r="F54" s="47"/>
    </row>
    <row r="55" spans="2:15" ht="12" customHeight="1">
      <c r="B55" s="261" t="s">
        <v>51</v>
      </c>
      <c r="F55" s="47"/>
    </row>
    <row r="56" spans="2:15" ht="12" customHeight="1">
      <c r="F56" s="47"/>
    </row>
    <row r="57" spans="2:15">
      <c r="B57" s="261" t="s">
        <v>433</v>
      </c>
      <c r="F57" s="47"/>
    </row>
    <row r="58" spans="2:15">
      <c r="B58" s="51" t="s">
        <v>432</v>
      </c>
      <c r="D58" s="258" t="s">
        <v>109</v>
      </c>
      <c r="F58" s="83">
        <f>SUM(G58:O58)</f>
        <v>298949315.42283952</v>
      </c>
      <c r="G58" s="39">
        <f>'Berekening OPEX TD'!G268</f>
        <v>8227529.6600000001</v>
      </c>
      <c r="H58" s="39">
        <f>'Berekening OPEX TD'!H268</f>
        <v>8459424.1015830692</v>
      </c>
      <c r="I58" s="39">
        <f>'Berekening OPEX TD'!I268</f>
        <v>11464118.506041598</v>
      </c>
      <c r="J58" s="39">
        <f>'Berekening OPEX TD'!J268</f>
        <v>78532548.726345167</v>
      </c>
      <c r="K58" s="39">
        <f>'Berekening OPEX TD'!K268</f>
        <v>103140696.13959838</v>
      </c>
      <c r="L58" s="39">
        <f>'Berekening OPEX TD'!L268</f>
        <v>2997661.03</v>
      </c>
      <c r="M58" s="39">
        <f>'Berekening OPEX TD'!M268</f>
        <v>80134765.634264827</v>
      </c>
      <c r="N58" s="39">
        <f>'Berekening OPEX TD'!N268</f>
        <v>5992571.6250064345</v>
      </c>
      <c r="O58" s="39">
        <f>'Berekening OPEX TD'!O268</f>
        <v>0</v>
      </c>
    </row>
    <row r="59" spans="2:15">
      <c r="B59" s="51" t="s">
        <v>436</v>
      </c>
      <c r="D59" s="258" t="s">
        <v>109</v>
      </c>
      <c r="F59" s="83">
        <f>SUM(G59:O59)</f>
        <v>25252604.713036753</v>
      </c>
      <c r="G59" s="39">
        <f>'Berekening OPEX TD'!G260</f>
        <v>0</v>
      </c>
      <c r="H59" s="39">
        <f>'Berekening OPEX TD'!H260</f>
        <v>368104</v>
      </c>
      <c r="I59" s="39">
        <f>'Berekening OPEX TD'!I260</f>
        <v>0</v>
      </c>
      <c r="J59" s="39">
        <f>'Berekening OPEX TD'!J260</f>
        <v>680680</v>
      </c>
      <c r="K59" s="39">
        <f>'Berekening OPEX TD'!K260</f>
        <v>11315354.953036755</v>
      </c>
      <c r="L59" s="39">
        <f>'Berekening OPEX TD'!L260</f>
        <v>88309.759999999995</v>
      </c>
      <c r="M59" s="39">
        <f>'Berekening OPEX TD'!M260</f>
        <v>12785218</v>
      </c>
      <c r="N59" s="39">
        <f>'Berekening OPEX TD'!N260</f>
        <v>14938</v>
      </c>
      <c r="O59" s="39">
        <f>'Berekening OPEX TD'!O260</f>
        <v>0</v>
      </c>
    </row>
    <row r="60" spans="2:15">
      <c r="B60" s="51" t="s">
        <v>437</v>
      </c>
      <c r="D60" s="258" t="s">
        <v>109</v>
      </c>
      <c r="F60" s="83">
        <f>SUM(G60:O60)</f>
        <v>1946</v>
      </c>
      <c r="G60" s="39">
        <f>'Berekening OPEX TD'!G261</f>
        <v>1946</v>
      </c>
      <c r="H60" s="39">
        <f>'Berekening OPEX TD'!H261</f>
        <v>0</v>
      </c>
      <c r="I60" s="39">
        <f>'Berekening OPEX TD'!I261</f>
        <v>0</v>
      </c>
      <c r="J60" s="39">
        <f>'Berekening OPEX TD'!J261</f>
        <v>0</v>
      </c>
      <c r="K60" s="39">
        <f>'Berekening OPEX TD'!K261</f>
        <v>0</v>
      </c>
      <c r="L60" s="39">
        <f>'Berekening OPEX TD'!L261</f>
        <v>0</v>
      </c>
      <c r="M60" s="39">
        <f>'Berekening OPEX TD'!M261</f>
        <v>0</v>
      </c>
      <c r="N60" s="39">
        <f>'Berekening OPEX TD'!N261</f>
        <v>0</v>
      </c>
      <c r="O60" s="39">
        <f>'Berekening OPEX TD'!O261</f>
        <v>0</v>
      </c>
    </row>
    <row r="61" spans="2:15">
      <c r="B61" s="51" t="s">
        <v>613</v>
      </c>
      <c r="D61" s="258" t="s">
        <v>107</v>
      </c>
      <c r="F61" s="83">
        <f>SUM(G61:O61)</f>
        <v>3458677.2896710252</v>
      </c>
      <c r="G61" s="39">
        <f>'Berekening OPEX TD'!G264</f>
        <v>73859.390000000014</v>
      </c>
      <c r="H61" s="39">
        <f>'Berekening OPEX TD'!H264</f>
        <v>94582.840125000002</v>
      </c>
      <c r="I61" s="39">
        <f>'Berekening OPEX TD'!I264</f>
        <v>195419.9373577454</v>
      </c>
      <c r="J61" s="39">
        <f>'Berekening OPEX TD'!J264</f>
        <v>998180.57910558535</v>
      </c>
      <c r="K61" s="39">
        <f>'Berekening OPEX TD'!K264</f>
        <v>1116027.7957934665</v>
      </c>
      <c r="L61" s="39">
        <f>'Berekening OPEX TD'!L264</f>
        <v>65456.33</v>
      </c>
      <c r="M61" s="39">
        <f>'Berekening OPEX TD'!M264</f>
        <v>910924.47627129604</v>
      </c>
      <c r="N61" s="39">
        <f>'Berekening OPEX TD'!N264</f>
        <v>4225.9410179324877</v>
      </c>
      <c r="O61" s="39">
        <f>'Berekening OPEX TD'!O264</f>
        <v>0</v>
      </c>
    </row>
    <row r="62" spans="2:15">
      <c r="F62" s="47"/>
    </row>
    <row r="63" spans="2:15">
      <c r="B63" s="51" t="s">
        <v>434</v>
      </c>
      <c r="D63" s="258" t="s">
        <v>109</v>
      </c>
      <c r="F63" s="83">
        <f>SUM(G63:O63)</f>
        <v>74487485.417808607</v>
      </c>
      <c r="G63" s="39">
        <f>'Berekening OPEX AD'!G264</f>
        <v>1215192.0140500001</v>
      </c>
      <c r="H63" s="39">
        <f>'Berekening OPEX AD'!H264</f>
        <v>1561819.950417853</v>
      </c>
      <c r="I63" s="39">
        <f>'Berekening OPEX AD'!I264</f>
        <v>6094960.8164802361</v>
      </c>
      <c r="J63" s="39">
        <f>'Berekening OPEX AD'!J264</f>
        <v>9188434.5301266983</v>
      </c>
      <c r="K63" s="39">
        <f>'Berekening OPEX AD'!K264</f>
        <v>37929779.720790572</v>
      </c>
      <c r="L63" s="39">
        <f>'Berekening OPEX AD'!L264</f>
        <v>1221880.23</v>
      </c>
      <c r="M63" s="39">
        <f>'Berekening OPEX AD'!M264</f>
        <v>17015804.12169867</v>
      </c>
      <c r="N63" s="39">
        <f>'Berekening OPEX AD'!N264</f>
        <v>259614.03424457906</v>
      </c>
      <c r="O63" s="39">
        <f>'Berekening OPEX AD'!O264</f>
        <v>0</v>
      </c>
    </row>
    <row r="64" spans="2:15">
      <c r="B64" s="51" t="s">
        <v>436</v>
      </c>
      <c r="D64" s="258" t="s">
        <v>109</v>
      </c>
      <c r="F64" s="83">
        <f>SUM(G64:O64)</f>
        <v>0</v>
      </c>
      <c r="G64" s="39">
        <f>'Berekening OPEX AD'!G256</f>
        <v>0</v>
      </c>
      <c r="H64" s="39">
        <f>'Berekening OPEX AD'!H256</f>
        <v>0</v>
      </c>
      <c r="I64" s="39">
        <f>'Berekening OPEX AD'!I256</f>
        <v>0</v>
      </c>
      <c r="J64" s="39">
        <f>'Berekening OPEX AD'!J256</f>
        <v>0</v>
      </c>
      <c r="K64" s="39">
        <f>'Berekening OPEX AD'!K256</f>
        <v>0</v>
      </c>
      <c r="L64" s="39">
        <f>'Berekening OPEX AD'!L256</f>
        <v>0</v>
      </c>
      <c r="M64" s="39">
        <f>'Berekening OPEX AD'!M256</f>
        <v>0</v>
      </c>
      <c r="N64" s="39">
        <f>'Berekening OPEX AD'!N256</f>
        <v>0</v>
      </c>
      <c r="O64" s="39">
        <f>'Berekening OPEX AD'!O256</f>
        <v>0</v>
      </c>
    </row>
    <row r="65" spans="2:15">
      <c r="B65" s="51" t="s">
        <v>437</v>
      </c>
      <c r="D65" s="258" t="s">
        <v>109</v>
      </c>
      <c r="F65" s="83">
        <f>SUM(G65:O65)</f>
        <v>0</v>
      </c>
      <c r="G65" s="39">
        <f>'Berekening OPEX AD'!G257</f>
        <v>0</v>
      </c>
      <c r="H65" s="39">
        <f>'Berekening OPEX AD'!H257</f>
        <v>0</v>
      </c>
      <c r="I65" s="39">
        <f>'Berekening OPEX AD'!I257</f>
        <v>0</v>
      </c>
      <c r="J65" s="39">
        <f>'Berekening OPEX AD'!J257</f>
        <v>0</v>
      </c>
      <c r="K65" s="39">
        <f>'Berekening OPEX AD'!K257</f>
        <v>0</v>
      </c>
      <c r="L65" s="39">
        <f>'Berekening OPEX AD'!L257</f>
        <v>0</v>
      </c>
      <c r="M65" s="39">
        <f>'Berekening OPEX AD'!M257</f>
        <v>0</v>
      </c>
      <c r="N65" s="39">
        <f>'Berekening OPEX AD'!N257</f>
        <v>0</v>
      </c>
      <c r="O65" s="39">
        <f>'Berekening OPEX AD'!O257</f>
        <v>0</v>
      </c>
    </row>
    <row r="66" spans="2:15">
      <c r="B66" s="51" t="s">
        <v>613</v>
      </c>
      <c r="D66" s="258" t="s">
        <v>107</v>
      </c>
      <c r="F66" s="83">
        <f>SUM(G66:O66)</f>
        <v>829807.50395847682</v>
      </c>
      <c r="G66" s="39">
        <f>'Berekening OPEX AD'!G260</f>
        <v>15855.894050000001</v>
      </c>
      <c r="H66" s="39">
        <f>'Berekening OPEX AD'!H260</f>
        <v>20925.481250000001</v>
      </c>
      <c r="I66" s="39">
        <f>'Berekening OPEX AD'!I260</f>
        <v>45454.015332335395</v>
      </c>
      <c r="J66" s="39">
        <f>'Berekening OPEX AD'!J260</f>
        <v>218913.94590930088</v>
      </c>
      <c r="K66" s="39">
        <f>'Berekening OPEX AD'!K260</f>
        <v>225760.82178911319</v>
      </c>
      <c r="L66" s="39">
        <f>'Berekening OPEX AD'!L260</f>
        <v>13654.11</v>
      </c>
      <c r="M66" s="39">
        <f>'Berekening OPEX AD'!M260</f>
        <v>288546.02055414068</v>
      </c>
      <c r="N66" s="39">
        <f>'Berekening OPEX AD'!N260</f>
        <v>697.21507358662541</v>
      </c>
      <c r="O66" s="39">
        <f>'Berekening OPEX AD'!O260</f>
        <v>0</v>
      </c>
    </row>
    <row r="67" spans="2:15">
      <c r="F67" s="47"/>
    </row>
    <row r="68" spans="2:15">
      <c r="B68" s="51" t="s">
        <v>438</v>
      </c>
      <c r="D68" s="258" t="s">
        <v>109</v>
      </c>
      <c r="F68" s="83">
        <f>SUM(G68:O68)</f>
        <v>39254666.385659099</v>
      </c>
      <c r="G68" s="39">
        <f>'Berekening vergoedingen EAV'!G45</f>
        <v>1020246.32</v>
      </c>
      <c r="H68" s="39">
        <f>'Berekening vergoedingen EAV'!H45</f>
        <v>1141114.3001011559</v>
      </c>
      <c r="I68" s="39">
        <f>'Berekening vergoedingen EAV'!I45</f>
        <v>2629047.7900000038</v>
      </c>
      <c r="J68" s="39">
        <f>'Berekening vergoedingen EAV'!J45</f>
        <v>11354412.534358075</v>
      </c>
      <c r="K68" s="39">
        <f>'Berekening vergoedingen EAV'!K45</f>
        <v>13855996.800000001</v>
      </c>
      <c r="L68" s="39">
        <f>'Berekening vergoedingen EAV'!L45</f>
        <v>623910.45000000007</v>
      </c>
      <c r="M68" s="39">
        <f>'Berekening vergoedingen EAV'!M45</f>
        <v>8140420.5129588982</v>
      </c>
      <c r="N68" s="39">
        <f>'Berekening vergoedingen EAV'!N45</f>
        <v>489517.67824096978</v>
      </c>
      <c r="O68" s="39">
        <f>'Berekening vergoedingen EAV'!O45</f>
        <v>0</v>
      </c>
    </row>
    <row r="69" spans="2:15">
      <c r="F69" s="47"/>
    </row>
    <row r="70" spans="2:15">
      <c r="B70" s="261" t="s">
        <v>435</v>
      </c>
      <c r="F70" s="47"/>
    </row>
    <row r="71" spans="2:15">
      <c r="B71" s="51" t="s">
        <v>777</v>
      </c>
      <c r="D71" s="258" t="s">
        <v>109</v>
      </c>
      <c r="F71" s="83">
        <f>SUM(G71:O71)</f>
        <v>559754013.15704811</v>
      </c>
      <c r="G71" s="39">
        <f>'Berekening kapitaalkosten TD'!G386</f>
        <v>9119121.809365958</v>
      </c>
      <c r="H71" s="39">
        <f>'Berekening kapitaalkosten TD'!H386</f>
        <v>11629981.282106254</v>
      </c>
      <c r="I71" s="39">
        <f>'Berekening kapitaalkosten TD'!I386</f>
        <v>34178219.123218507</v>
      </c>
      <c r="J71" s="39">
        <f>'Berekening kapitaalkosten TD'!J386</f>
        <v>142776505.43815428</v>
      </c>
      <c r="K71" s="39">
        <f>'Berekening kapitaalkosten TD'!K386</f>
        <v>177315323.81199068</v>
      </c>
      <c r="L71" s="39">
        <f>'Berekening kapitaalkosten TD'!L386</f>
        <v>16401975.732420614</v>
      </c>
      <c r="M71" s="39">
        <f>'Berekening kapitaalkosten TD'!M386</f>
        <v>154453868.90356341</v>
      </c>
      <c r="N71" s="39">
        <f>'Berekening kapitaalkosten TD'!N386</f>
        <v>13879017.056228392</v>
      </c>
      <c r="O71" s="39">
        <f>'Berekening kapitaalkosten TD'!O386</f>
        <v>0</v>
      </c>
    </row>
    <row r="72" spans="2:15">
      <c r="B72" s="51" t="s">
        <v>778</v>
      </c>
      <c r="D72" s="258" t="s">
        <v>109</v>
      </c>
      <c r="F72" s="83">
        <f>SUM(G72:O72)</f>
        <v>3669131.1731922599</v>
      </c>
      <c r="G72" s="39">
        <f>'Berekening kapitaalkosten TD'!G387</f>
        <v>6.9409426659907517E-10</v>
      </c>
      <c r="H72" s="39">
        <f>'Berekening kapitaalkosten TD'!H387</f>
        <v>0</v>
      </c>
      <c r="I72" s="39">
        <f>'Berekening kapitaalkosten TD'!I387</f>
        <v>0</v>
      </c>
      <c r="J72" s="39">
        <f>'Berekening kapitaalkosten TD'!J387</f>
        <v>1363533.0164371445</v>
      </c>
      <c r="K72" s="39">
        <f>'Berekening kapitaalkosten TD'!K387</f>
        <v>0</v>
      </c>
      <c r="L72" s="39">
        <f>'Berekening kapitaalkosten TD'!L387</f>
        <v>2305598.1567551149</v>
      </c>
      <c r="M72" s="39">
        <f>'Berekening kapitaalkosten TD'!M387</f>
        <v>0</v>
      </c>
      <c r="N72" s="39">
        <f>'Berekening kapitaalkosten TD'!N387</f>
        <v>0</v>
      </c>
      <c r="O72" s="39">
        <f>'Berekening kapitaalkosten TD'!O387</f>
        <v>0</v>
      </c>
    </row>
    <row r="73" spans="2:15">
      <c r="B73" s="51" t="s">
        <v>779</v>
      </c>
      <c r="D73" s="258" t="s">
        <v>109</v>
      </c>
      <c r="F73" s="83">
        <f>SUM(G73:O73)</f>
        <v>75109921.028303638</v>
      </c>
      <c r="G73" s="39">
        <f>'Berekening kapitaalkosten AD'!G278</f>
        <v>1400645.014187681</v>
      </c>
      <c r="H73" s="39">
        <f>'Berekening kapitaalkosten AD'!H278</f>
        <v>1776417.9718059732</v>
      </c>
      <c r="I73" s="39">
        <f>'Berekening kapitaalkosten AD'!I278</f>
        <v>1941737.8277442236</v>
      </c>
      <c r="J73" s="39">
        <f>'Berekening kapitaalkosten AD'!J278</f>
        <v>19585195.990423314</v>
      </c>
      <c r="K73" s="39">
        <f>'Berekening kapitaalkosten AD'!K278</f>
        <v>15780718.464726251</v>
      </c>
      <c r="L73" s="39">
        <f>'Berekening kapitaalkosten AD'!L278</f>
        <v>1227169.2108682585</v>
      </c>
      <c r="M73" s="39">
        <f>'Berekening kapitaalkosten AD'!M278</f>
        <v>33202580.173699439</v>
      </c>
      <c r="N73" s="39">
        <f>'Berekening kapitaalkosten AD'!N278</f>
        <v>195456.37484849273</v>
      </c>
      <c r="O73" s="39">
        <f>'Berekening kapitaalkosten AD'!O278</f>
        <v>0</v>
      </c>
    </row>
    <row r="74" spans="2:15">
      <c r="F74" s="47"/>
    </row>
    <row r="75" spans="2:15">
      <c r="B75" s="261" t="s">
        <v>439</v>
      </c>
      <c r="F75" s="47"/>
    </row>
    <row r="76" spans="2:15">
      <c r="B76" s="51" t="s">
        <v>441</v>
      </c>
      <c r="D76" s="258" t="s">
        <v>109</v>
      </c>
      <c r="F76" s="83">
        <f>SUM(G76:O76)</f>
        <v>2643528.54190807</v>
      </c>
      <c r="H76" s="97">
        <f>'Berekening OPEX TD'!H425</f>
        <v>743481.32190806989</v>
      </c>
      <c r="J76" s="97">
        <f>'Berekening OPEX TD'!J425</f>
        <v>90701.22</v>
      </c>
      <c r="O76" s="97">
        <f>'Berekening OPEX TD'!O425</f>
        <v>1809346</v>
      </c>
    </row>
    <row r="77" spans="2:15">
      <c r="B77" s="51" t="s">
        <v>440</v>
      </c>
      <c r="D77" s="258" t="s">
        <v>109</v>
      </c>
      <c r="F77" s="83">
        <f>SUM(G77:O77)</f>
        <v>35515.842111744787</v>
      </c>
      <c r="H77" s="97">
        <f>'Berekening OPEX AD'!H417</f>
        <v>35500.842111744787</v>
      </c>
      <c r="J77" s="97">
        <f>'Berekening OPEX AD'!J417</f>
        <v>15</v>
      </c>
      <c r="O77" s="97">
        <f>'Berekening OPEX AD'!O417</f>
        <v>0</v>
      </c>
    </row>
    <row r="78" spans="2:15">
      <c r="B78" s="51" t="s">
        <v>442</v>
      </c>
      <c r="D78" s="258" t="s">
        <v>109</v>
      </c>
      <c r="F78" s="83">
        <f>SUM(G78:O78)</f>
        <v>0</v>
      </c>
      <c r="H78" s="97">
        <f>'Berekening vergoedingen EAV'!G46</f>
        <v>0</v>
      </c>
      <c r="J78" s="97">
        <f>'Berekening vergoedingen EAV'!I46</f>
        <v>0</v>
      </c>
      <c r="O78" s="97">
        <f>'Berekening vergoedingen EAV'!N46</f>
        <v>0</v>
      </c>
    </row>
    <row r="79" spans="2:15">
      <c r="F79" s="47"/>
    </row>
    <row r="80" spans="2:15">
      <c r="B80" s="261" t="s">
        <v>425</v>
      </c>
      <c r="F80" s="47"/>
    </row>
    <row r="81" spans="2:17">
      <c r="B81" s="51" t="s">
        <v>780</v>
      </c>
      <c r="D81" s="258" t="s">
        <v>109</v>
      </c>
      <c r="F81" s="83">
        <f>SUM(G81:O81)</f>
        <v>4765569.7804071764</v>
      </c>
      <c r="H81" s="97">
        <f>'Berekening kapitaalkosten TD'!H439</f>
        <v>920086.40691121283</v>
      </c>
      <c r="J81" s="97">
        <f>'Berekening kapitaalkosten TD'!J439</f>
        <v>27456.688491444875</v>
      </c>
      <c r="O81" s="97">
        <f>'Berekening kapitaalkosten TD'!O439</f>
        <v>3818026.6850045184</v>
      </c>
    </row>
    <row r="82" spans="2:17">
      <c r="B82" s="51" t="s">
        <v>781</v>
      </c>
      <c r="D82" s="258" t="s">
        <v>109</v>
      </c>
      <c r="F82" s="83">
        <f>SUM(G82:O82)</f>
        <v>0</v>
      </c>
      <c r="H82" s="97">
        <f>'Berekening kapitaalkosten AD'!H320</f>
        <v>0</v>
      </c>
      <c r="J82" s="97">
        <f>'Berekening kapitaalkosten AD'!J320</f>
        <v>0</v>
      </c>
      <c r="O82" s="97">
        <f>'Berekening kapitaalkosten AD'!O320</f>
        <v>0</v>
      </c>
    </row>
    <row r="83" spans="2:17">
      <c r="B83" s="51"/>
      <c r="F83" s="47"/>
    </row>
    <row r="84" spans="2:17">
      <c r="B84" s="51"/>
      <c r="F84" s="47"/>
    </row>
    <row r="85" spans="2:17">
      <c r="B85" s="261" t="s">
        <v>53</v>
      </c>
      <c r="F85" s="47"/>
    </row>
    <row r="86" spans="2:17">
      <c r="F86" s="47"/>
    </row>
    <row r="87" spans="2:17">
      <c r="B87" s="51" t="s">
        <v>782</v>
      </c>
      <c r="D87" s="258" t="s">
        <v>109</v>
      </c>
      <c r="F87" s="83">
        <f>SUM(G87:O87)</f>
        <v>1058669146.7492782</v>
      </c>
      <c r="G87" s="21">
        <f>SUM(G58,G63,G68,G71:G73,G76:G78,G81:G82)</f>
        <v>20982734.81760364</v>
      </c>
      <c r="H87" s="21">
        <f t="shared" ref="H87:O87" si="5">SUM(H58,H63,H68,H71:H73,H76:H78,H81:H82)</f>
        <v>26267826.176945332</v>
      </c>
      <c r="I87" s="21">
        <f t="shared" si="5"/>
        <v>56308084.063484572</v>
      </c>
      <c r="J87" s="21">
        <f t="shared" si="5"/>
        <v>262918803.14433613</v>
      </c>
      <c r="K87" s="21">
        <f t="shared" si="5"/>
        <v>348022514.93710595</v>
      </c>
      <c r="L87" s="21">
        <f t="shared" si="5"/>
        <v>24778194.810043987</v>
      </c>
      <c r="M87" s="21">
        <f t="shared" si="5"/>
        <v>292947439.34618527</v>
      </c>
      <c r="N87" s="21">
        <f t="shared" si="5"/>
        <v>20816176.768568866</v>
      </c>
      <c r="O87" s="21">
        <f t="shared" si="5"/>
        <v>5627372.6850045184</v>
      </c>
      <c r="Q87" s="51" t="s">
        <v>574</v>
      </c>
    </row>
    <row r="88" spans="2:17">
      <c r="B88" s="13" t="s">
        <v>52</v>
      </c>
      <c r="F88" s="47"/>
    </row>
    <row r="89" spans="2:17">
      <c r="B89" s="51" t="s">
        <v>783</v>
      </c>
      <c r="D89" s="258" t="s">
        <v>109</v>
      </c>
      <c r="F89" s="83">
        <f>SUM(G89:O89)</f>
        <v>28923681.886229016</v>
      </c>
      <c r="G89" s="21">
        <f>SUM(G59:G60,G64:G65,G72)</f>
        <v>1946.0000000006942</v>
      </c>
      <c r="H89" s="21">
        <f t="shared" ref="H89:O89" si="6">SUM(H59:H60,H64:H65,H72)</f>
        <v>368104</v>
      </c>
      <c r="I89" s="21">
        <f t="shared" si="6"/>
        <v>0</v>
      </c>
      <c r="J89" s="21">
        <f t="shared" si="6"/>
        <v>2044213.0164371445</v>
      </c>
      <c r="K89" s="21">
        <f t="shared" si="6"/>
        <v>11315354.953036755</v>
      </c>
      <c r="L89" s="21">
        <f t="shared" si="6"/>
        <v>2393907.9167551147</v>
      </c>
      <c r="M89" s="21">
        <f t="shared" si="6"/>
        <v>12785218</v>
      </c>
      <c r="N89" s="21">
        <f t="shared" si="6"/>
        <v>14938</v>
      </c>
      <c r="O89" s="21">
        <f t="shared" si="6"/>
        <v>0</v>
      </c>
    </row>
    <row r="90" spans="2:17">
      <c r="B90" s="51" t="s">
        <v>180</v>
      </c>
      <c r="D90" s="258" t="s">
        <v>108</v>
      </c>
      <c r="F90" s="83">
        <f>SUM(G90:O90)</f>
        <v>4288484.7936295019</v>
      </c>
      <c r="G90" s="21">
        <f>G61+G66</f>
        <v>89715.284050000017</v>
      </c>
      <c r="H90" s="21">
        <f t="shared" ref="H90:O90" si="7">H61+H66</f>
        <v>115508.321375</v>
      </c>
      <c r="I90" s="21">
        <f t="shared" si="7"/>
        <v>240873.9526900808</v>
      </c>
      <c r="J90" s="21">
        <f t="shared" si="7"/>
        <v>1217094.5250148862</v>
      </c>
      <c r="K90" s="21">
        <f t="shared" si="7"/>
        <v>1341788.6175825796</v>
      </c>
      <c r="L90" s="21">
        <f t="shared" si="7"/>
        <v>79110.44</v>
      </c>
      <c r="M90" s="21">
        <f t="shared" si="7"/>
        <v>1199470.4968254366</v>
      </c>
      <c r="N90" s="21">
        <f t="shared" si="7"/>
        <v>4923.156091519113</v>
      </c>
      <c r="O90" s="21">
        <f t="shared" si="7"/>
        <v>0</v>
      </c>
    </row>
    <row r="91" spans="2:17">
      <c r="B91" s="78" t="s">
        <v>784</v>
      </c>
      <c r="D91" s="258" t="s">
        <v>109</v>
      </c>
      <c r="F91" s="83">
        <f>SUM(G91:O91)</f>
        <v>7444614.1644269908</v>
      </c>
      <c r="G91" s="54"/>
      <c r="H91" s="21">
        <f>SUM(H76:H78,H81:H82)</f>
        <v>1699068.5709310276</v>
      </c>
      <c r="I91" s="54"/>
      <c r="J91" s="21">
        <f>SUM(J76:J78,J81:J82)</f>
        <v>118172.90849144488</v>
      </c>
      <c r="K91" s="54"/>
      <c r="L91" s="54"/>
      <c r="M91" s="54"/>
      <c r="N91" s="54"/>
      <c r="O91" s="21">
        <f>SUM(O76:O78,O81:O82)</f>
        <v>5627372.6850045184</v>
      </c>
    </row>
    <row r="92" spans="2:17">
      <c r="F92" s="47"/>
    </row>
    <row r="93" spans="2:17">
      <c r="B93" s="261" t="s">
        <v>629</v>
      </c>
      <c r="F93" s="47"/>
    </row>
    <row r="94" spans="2:17">
      <c r="B94" s="51" t="s">
        <v>630</v>
      </c>
      <c r="D94" s="51" t="s">
        <v>109</v>
      </c>
      <c r="F94" s="83">
        <f>SUM(G94:O94)</f>
        <v>869781558.07539499</v>
      </c>
      <c r="G94" s="107">
        <f>G58+G71+G72+G76+G81</f>
        <v>17346651.469365958</v>
      </c>
      <c r="H94" s="107">
        <f t="shared" ref="H94:O94" si="8">H58+H71+H72+H76+H81</f>
        <v>21752973.112508606</v>
      </c>
      <c r="I94" s="107">
        <f t="shared" si="8"/>
        <v>45642337.629260108</v>
      </c>
      <c r="J94" s="107">
        <f t="shared" si="8"/>
        <v>222790745.08942804</v>
      </c>
      <c r="K94" s="107">
        <f t="shared" si="8"/>
        <v>280456019.95158905</v>
      </c>
      <c r="L94" s="107">
        <f t="shared" si="8"/>
        <v>21705234.919175729</v>
      </c>
      <c r="M94" s="107">
        <f t="shared" si="8"/>
        <v>234588634.53782824</v>
      </c>
      <c r="N94" s="107">
        <f t="shared" si="8"/>
        <v>19871588.681234825</v>
      </c>
      <c r="O94" s="107">
        <f t="shared" si="8"/>
        <v>5627372.6850045184</v>
      </c>
    </row>
    <row r="95" spans="2:17">
      <c r="B95" s="51" t="s">
        <v>631</v>
      </c>
      <c r="D95" s="51" t="s">
        <v>109</v>
      </c>
      <c r="F95" s="83">
        <f>SUM(G95:O95)</f>
        <v>188887588.67388311</v>
      </c>
      <c r="G95" s="107">
        <f>G63+G68+G73+G77+G78+G82</f>
        <v>3636083.3482376812</v>
      </c>
      <c r="H95" s="107">
        <f t="shared" ref="H95:O95" si="9">H63+H68+H73+H77+H78+H82</f>
        <v>4514853.0644367272</v>
      </c>
      <c r="I95" s="107">
        <f t="shared" si="9"/>
        <v>10665746.434224464</v>
      </c>
      <c r="J95" s="107">
        <f t="shared" si="9"/>
        <v>40128058.054908089</v>
      </c>
      <c r="K95" s="107">
        <f t="shared" si="9"/>
        <v>67566494.985516831</v>
      </c>
      <c r="L95" s="107">
        <f t="shared" si="9"/>
        <v>3072959.8908682587</v>
      </c>
      <c r="M95" s="107">
        <f t="shared" si="9"/>
        <v>58358804.808357008</v>
      </c>
      <c r="N95" s="107">
        <f t="shared" si="9"/>
        <v>944588.08733404148</v>
      </c>
      <c r="O95" s="107">
        <f t="shared" si="9"/>
        <v>0</v>
      </c>
    </row>
    <row r="96" spans="2:17">
      <c r="F96" s="47"/>
    </row>
    <row r="97" spans="2:15">
      <c r="F97" s="47"/>
    </row>
    <row r="98" spans="2:15" s="2" customFormat="1">
      <c r="B98" s="2" t="s">
        <v>56</v>
      </c>
      <c r="F98" s="49"/>
    </row>
    <row r="99" spans="2:15">
      <c r="F99" s="47"/>
    </row>
    <row r="100" spans="2:15">
      <c r="B100" s="261" t="s">
        <v>51</v>
      </c>
      <c r="F100" s="47"/>
    </row>
    <row r="101" spans="2:15">
      <c r="F101" s="47"/>
    </row>
    <row r="102" spans="2:15">
      <c r="B102" s="261" t="s">
        <v>433</v>
      </c>
      <c r="F102" s="47"/>
    </row>
    <row r="103" spans="2:15">
      <c r="B103" s="51" t="s">
        <v>432</v>
      </c>
      <c r="D103" s="258" t="s">
        <v>110</v>
      </c>
      <c r="F103" s="83">
        <f>SUM(G103:O103)</f>
        <v>300698078.03123844</v>
      </c>
      <c r="G103" s="39">
        <f>'Berekening OPEX TD'!G356</f>
        <v>7260939.75</v>
      </c>
      <c r="H103" s="39">
        <f>'Berekening OPEX TD'!H356</f>
        <v>10131248.092385797</v>
      </c>
      <c r="I103" s="39">
        <f>'Berekening OPEX TD'!I356</f>
        <v>11811039.771571724</v>
      </c>
      <c r="J103" s="39">
        <f>'Berekening OPEX TD'!J356</f>
        <v>78003280.906731442</v>
      </c>
      <c r="K103" s="39">
        <f>'Berekening OPEX TD'!K356</f>
        <v>102330718.97385114</v>
      </c>
      <c r="L103" s="39">
        <f>'Berekening OPEX TD'!L356</f>
        <v>3174353.88</v>
      </c>
      <c r="M103" s="39">
        <f>'Berekening OPEX TD'!M356</f>
        <v>81568686.201574683</v>
      </c>
      <c r="N103" s="39">
        <f>'Berekening OPEX TD'!N356</f>
        <v>6417810.4551236387</v>
      </c>
      <c r="O103" s="39">
        <f>'Berekening OPEX TD'!O356</f>
        <v>0</v>
      </c>
    </row>
    <row r="104" spans="2:15">
      <c r="B104" s="51" t="s">
        <v>436</v>
      </c>
      <c r="D104" s="258" t="s">
        <v>110</v>
      </c>
      <c r="F104" s="83">
        <f>SUM(G104:O104)</f>
        <v>27853361.315894756</v>
      </c>
      <c r="G104" s="39">
        <f>'Berekening OPEX TD'!G348</f>
        <v>84</v>
      </c>
      <c r="H104" s="39">
        <f>'Berekening OPEX TD'!H348</f>
        <v>391176.4</v>
      </c>
      <c r="I104" s="39">
        <f>'Berekening OPEX TD'!I348</f>
        <v>0</v>
      </c>
      <c r="J104" s="39">
        <f>'Berekening OPEX TD'!J348</f>
        <v>767902.47589475755</v>
      </c>
      <c r="K104" s="39">
        <f>'Berekening OPEX TD'!K348</f>
        <v>13691948</v>
      </c>
      <c r="L104" s="39">
        <f>'Berekening OPEX TD'!L348</f>
        <v>96427.44</v>
      </c>
      <c r="M104" s="39">
        <f>'Berekening OPEX TD'!M348</f>
        <v>12898160</v>
      </c>
      <c r="N104" s="39">
        <f>'Berekening OPEX TD'!N348</f>
        <v>7663</v>
      </c>
      <c r="O104" s="39">
        <f>'Berekening OPEX TD'!O348</f>
        <v>0</v>
      </c>
    </row>
    <row r="105" spans="2:15">
      <c r="B105" s="51" t="s">
        <v>437</v>
      </c>
      <c r="D105" s="258" t="s">
        <v>110</v>
      </c>
      <c r="F105" s="83">
        <f>SUM(G105:O105)</f>
        <v>1124</v>
      </c>
      <c r="G105" s="39">
        <f>'Berekening OPEX TD'!G349</f>
        <v>1124</v>
      </c>
      <c r="H105" s="39">
        <f>'Berekening OPEX TD'!H349</f>
        <v>0</v>
      </c>
      <c r="I105" s="39">
        <f>'Berekening OPEX TD'!I349</f>
        <v>0</v>
      </c>
      <c r="J105" s="39">
        <f>'Berekening OPEX TD'!J349</f>
        <v>0</v>
      </c>
      <c r="K105" s="39">
        <f>'Berekening OPEX TD'!K349</f>
        <v>0</v>
      </c>
      <c r="L105" s="39">
        <f>'Berekening OPEX TD'!L349</f>
        <v>0</v>
      </c>
      <c r="M105" s="39">
        <f>'Berekening OPEX TD'!M349</f>
        <v>0</v>
      </c>
      <c r="N105" s="39">
        <f>'Berekening OPEX TD'!N349</f>
        <v>0</v>
      </c>
      <c r="O105" s="39">
        <f>'Berekening OPEX TD'!O349</f>
        <v>0</v>
      </c>
    </row>
    <row r="106" spans="2:15">
      <c r="B106" s="51" t="s">
        <v>613</v>
      </c>
      <c r="D106" s="258" t="s">
        <v>110</v>
      </c>
      <c r="F106" s="83">
        <f>SUM(G106:O106)</f>
        <v>3645373.5903245066</v>
      </c>
      <c r="G106" s="39">
        <f>'Berekening OPEX TD'!G352</f>
        <v>81919</v>
      </c>
      <c r="H106" s="39">
        <f>'Berekening OPEX TD'!H352</f>
        <v>101889.36795000001</v>
      </c>
      <c r="I106" s="39">
        <f>'Berekening OPEX TD'!I352</f>
        <v>212907.46572199996</v>
      </c>
      <c r="J106" s="39">
        <f>'Berekening OPEX TD'!J352</f>
        <v>1025841.4026185945</v>
      </c>
      <c r="K106" s="39">
        <f>'Berekening OPEX TD'!K352</f>
        <v>1198276.094126892</v>
      </c>
      <c r="L106" s="39">
        <f>'Berekening OPEX TD'!L352</f>
        <v>64038.92</v>
      </c>
      <c r="M106" s="39">
        <f>'Berekening OPEX TD'!M352</f>
        <v>945128.78118938475</v>
      </c>
      <c r="N106" s="39">
        <f>'Berekening OPEX TD'!N352</f>
        <v>15372.558717635126</v>
      </c>
      <c r="O106" s="39">
        <f>'Berekening OPEX TD'!O352</f>
        <v>0</v>
      </c>
    </row>
    <row r="107" spans="2:15">
      <c r="F107" s="47"/>
    </row>
    <row r="108" spans="2:15">
      <c r="B108" s="51" t="s">
        <v>434</v>
      </c>
      <c r="D108" s="258" t="s">
        <v>110</v>
      </c>
      <c r="F108" s="83">
        <f>SUM(G108:O108)</f>
        <v>99607530.814304531</v>
      </c>
      <c r="G108" s="39">
        <f>'Berekening OPEX AD'!G350</f>
        <v>1654493.890290404</v>
      </c>
      <c r="H108" s="39">
        <f>'Berekening OPEX AD'!H350</f>
        <v>1612909.4497254579</v>
      </c>
      <c r="I108" s="39">
        <f>'Berekening OPEX AD'!I350</f>
        <v>9365793.8591379505</v>
      </c>
      <c r="J108" s="39">
        <f>'Berekening OPEX AD'!J350</f>
        <v>11050722.708972173</v>
      </c>
      <c r="K108" s="39">
        <f>'Berekening OPEX AD'!K350</f>
        <v>49217561.413295798</v>
      </c>
      <c r="L108" s="39">
        <f>'Berekening OPEX AD'!L350</f>
        <v>1376076.62</v>
      </c>
      <c r="M108" s="39">
        <f>'Berekening OPEX AD'!M350</f>
        <v>25048139.174434032</v>
      </c>
      <c r="N108" s="39">
        <f>'Berekening OPEX AD'!N350</f>
        <v>281833.69844870071</v>
      </c>
      <c r="O108" s="39">
        <f>'Berekening OPEX AD'!O350</f>
        <v>0</v>
      </c>
    </row>
    <row r="109" spans="2:15">
      <c r="B109" s="51" t="s">
        <v>436</v>
      </c>
      <c r="D109" s="258" t="s">
        <v>110</v>
      </c>
      <c r="F109" s="83">
        <f>SUM(G109:O109)</f>
        <v>0</v>
      </c>
      <c r="G109" s="39">
        <f>'Berekening OPEX AD'!G342</f>
        <v>0</v>
      </c>
      <c r="H109" s="39">
        <f>'Berekening OPEX AD'!H342</f>
        <v>0</v>
      </c>
      <c r="I109" s="39">
        <f>'Berekening OPEX AD'!I342</f>
        <v>0</v>
      </c>
      <c r="J109" s="39">
        <f>'Berekening OPEX AD'!J342</f>
        <v>0</v>
      </c>
      <c r="K109" s="39">
        <f>'Berekening OPEX AD'!K342</f>
        <v>0</v>
      </c>
      <c r="L109" s="39">
        <f>'Berekening OPEX AD'!L342</f>
        <v>0</v>
      </c>
      <c r="M109" s="39">
        <f>'Berekening OPEX AD'!M342</f>
        <v>0</v>
      </c>
      <c r="N109" s="39">
        <f>'Berekening OPEX AD'!N342</f>
        <v>0</v>
      </c>
      <c r="O109" s="39">
        <f>'Berekening OPEX AD'!O342</f>
        <v>0</v>
      </c>
    </row>
    <row r="110" spans="2:15">
      <c r="B110" s="51" t="s">
        <v>437</v>
      </c>
      <c r="D110" s="258" t="s">
        <v>110</v>
      </c>
      <c r="F110" s="83">
        <f>SUM(G110:O110)</f>
        <v>194</v>
      </c>
      <c r="G110" s="39">
        <f>'Berekening OPEX AD'!G343</f>
        <v>194</v>
      </c>
      <c r="H110" s="39">
        <f>'Berekening OPEX AD'!H343</f>
        <v>0</v>
      </c>
      <c r="I110" s="39">
        <f>'Berekening OPEX AD'!I343</f>
        <v>0</v>
      </c>
      <c r="J110" s="39">
        <f>'Berekening OPEX AD'!J343</f>
        <v>0</v>
      </c>
      <c r="K110" s="39">
        <f>'Berekening OPEX AD'!K343</f>
        <v>0</v>
      </c>
      <c r="L110" s="39">
        <f>'Berekening OPEX AD'!L343</f>
        <v>0</v>
      </c>
      <c r="M110" s="39">
        <f>'Berekening OPEX AD'!M343</f>
        <v>0</v>
      </c>
      <c r="N110" s="39">
        <f>'Berekening OPEX AD'!N343</f>
        <v>0</v>
      </c>
      <c r="O110" s="39">
        <f>'Berekening OPEX AD'!O343</f>
        <v>0</v>
      </c>
    </row>
    <row r="111" spans="2:15">
      <c r="B111" s="51" t="s">
        <v>613</v>
      </c>
      <c r="D111" s="258" t="s">
        <v>110</v>
      </c>
      <c r="F111" s="83">
        <f>SUM(G111:O111)</f>
        <v>796143.63836750435</v>
      </c>
      <c r="G111" s="39">
        <f>'Berekening OPEX AD'!G346</f>
        <v>16730</v>
      </c>
      <c r="H111" s="39">
        <f>'Berekening OPEX AD'!H346</f>
        <v>18813.352150000002</v>
      </c>
      <c r="I111" s="39">
        <f>'Berekening OPEX AD'!I346</f>
        <v>40204.765246183924</v>
      </c>
      <c r="J111" s="39">
        <f>'Berekening OPEX AD'!J346</f>
        <v>191761.3083905112</v>
      </c>
      <c r="K111" s="39">
        <f>'Berekening OPEX AD'!K346</f>
        <v>215124.01285221669</v>
      </c>
      <c r="L111" s="39">
        <f>'Berekening OPEX AD'!L346</f>
        <v>12070.43</v>
      </c>
      <c r="M111" s="39">
        <f>'Berekening OPEX AD'!M346</f>
        <v>299408.01087277732</v>
      </c>
      <c r="N111" s="39">
        <f>'Berekening OPEX AD'!N346</f>
        <v>2031.7588558152511</v>
      </c>
      <c r="O111" s="39">
        <f>'Berekening OPEX AD'!O346</f>
        <v>0</v>
      </c>
    </row>
    <row r="112" spans="2:15">
      <c r="F112" s="47"/>
    </row>
    <row r="113" spans="2:15">
      <c r="B113" s="51" t="s">
        <v>438</v>
      </c>
      <c r="D113" s="258" t="s">
        <v>110</v>
      </c>
      <c r="F113" s="83">
        <f>SUM(G113:O113)</f>
        <v>36581882.744967729</v>
      </c>
      <c r="G113" s="39">
        <f>'Berekening vergoedingen EAV'!G66</f>
        <v>632251.94000000006</v>
      </c>
      <c r="H113" s="39">
        <f>'Berekening vergoedingen EAV'!H66</f>
        <v>1503033.1499999997</v>
      </c>
      <c r="I113" s="39">
        <f>'Berekening vergoedingen EAV'!I66</f>
        <v>2966746.4</v>
      </c>
      <c r="J113" s="39">
        <f>'Berekening vergoedingen EAV'!J66</f>
        <v>9155022.6999999993</v>
      </c>
      <c r="K113" s="39">
        <f>'Berekening vergoedingen EAV'!K66</f>
        <v>12332217.5</v>
      </c>
      <c r="L113" s="39">
        <f>'Berekening vergoedingen EAV'!L66</f>
        <v>408053.50000000006</v>
      </c>
      <c r="M113" s="39">
        <f>'Berekening vergoedingen EAV'!M66</f>
        <v>8913922.8649677336</v>
      </c>
      <c r="N113" s="39">
        <f>'Berekening vergoedingen EAV'!N66</f>
        <v>670634.68999999983</v>
      </c>
      <c r="O113" s="39">
        <f>'Berekening vergoedingen EAV'!O66</f>
        <v>0</v>
      </c>
    </row>
    <row r="114" spans="2:15">
      <c r="F114" s="47"/>
    </row>
    <row r="115" spans="2:15">
      <c r="B115" s="261" t="s">
        <v>435</v>
      </c>
      <c r="F115" s="47"/>
    </row>
    <row r="116" spans="2:15">
      <c r="B116" s="51" t="s">
        <v>777</v>
      </c>
      <c r="D116" s="258" t="s">
        <v>110</v>
      </c>
      <c r="F116" s="83">
        <f>SUM(G116:O116)</f>
        <v>582917325.63616467</v>
      </c>
      <c r="G116" s="39">
        <f>'Berekening kapitaalkosten TD'!G529</f>
        <v>9407628.2937357947</v>
      </c>
      <c r="H116" s="39">
        <f>'Berekening kapitaalkosten TD'!H529</f>
        <v>11956162.084908647</v>
      </c>
      <c r="I116" s="39">
        <f>'Berekening kapitaalkosten TD'!I529</f>
        <v>34780529.589771099</v>
      </c>
      <c r="J116" s="39">
        <f>'Berekening kapitaalkosten TD'!J529</f>
        <v>151720226.09314165</v>
      </c>
      <c r="K116" s="39">
        <f>'Berekening kapitaalkosten TD'!K529</f>
        <v>184470260.01842788</v>
      </c>
      <c r="L116" s="39">
        <f>'Berekening kapitaalkosten TD'!L529</f>
        <v>16516216.661853325</v>
      </c>
      <c r="M116" s="39">
        <f>'Berekening kapitaalkosten TD'!M529</f>
        <v>159817181.60448435</v>
      </c>
      <c r="N116" s="39">
        <f>'Berekening kapitaalkosten TD'!N529</f>
        <v>14249121.289841954</v>
      </c>
      <c r="O116" s="39">
        <f>'Berekening kapitaalkosten TD'!O529</f>
        <v>0</v>
      </c>
    </row>
    <row r="117" spans="2:15">
      <c r="B117" s="51" t="s">
        <v>778</v>
      </c>
      <c r="D117" s="258" t="s">
        <v>110</v>
      </c>
      <c r="F117" s="83">
        <f>SUM(G117:O117)</f>
        <v>3610684.8218746525</v>
      </c>
      <c r="G117" s="39">
        <f>'Berekening kapitaalkosten TD'!G530</f>
        <v>-3.3137784638738218E-12</v>
      </c>
      <c r="H117" s="39">
        <f>'Berekening kapitaalkosten TD'!H530</f>
        <v>0</v>
      </c>
      <c r="I117" s="39">
        <f>'Berekening kapitaalkosten TD'!I530</f>
        <v>0</v>
      </c>
      <c r="J117" s="39">
        <f>'Berekening kapitaalkosten TD'!J530</f>
        <v>1347417.0614033928</v>
      </c>
      <c r="K117" s="39">
        <f>'Berekening kapitaalkosten TD'!K530</f>
        <v>0</v>
      </c>
      <c r="L117" s="39">
        <f>'Berekening kapitaalkosten TD'!L530</f>
        <v>2263267.7604712597</v>
      </c>
      <c r="M117" s="39">
        <f>'Berekening kapitaalkosten TD'!M530</f>
        <v>0</v>
      </c>
      <c r="N117" s="39">
        <f>'Berekening kapitaalkosten TD'!N530</f>
        <v>0</v>
      </c>
      <c r="O117" s="39">
        <f>'Berekening kapitaalkosten TD'!O530</f>
        <v>0</v>
      </c>
    </row>
    <row r="118" spans="2:15">
      <c r="B118" s="51" t="s">
        <v>779</v>
      </c>
      <c r="D118" s="258" t="s">
        <v>110</v>
      </c>
      <c r="F118" s="83">
        <f>SUM(G118:O118)</f>
        <v>88126681.083003491</v>
      </c>
      <c r="G118" s="39">
        <f>'Berekening kapitaalkosten AD'!G382</f>
        <v>1595808.7136831381</v>
      </c>
      <c r="H118" s="39">
        <f>'Berekening kapitaalkosten AD'!H382</f>
        <v>1855217.7447215244</v>
      </c>
      <c r="I118" s="39">
        <f>'Berekening kapitaalkosten AD'!I382</f>
        <v>2033856.3076504848</v>
      </c>
      <c r="J118" s="39">
        <f>'Berekening kapitaalkosten AD'!J382</f>
        <v>22328632.913037673</v>
      </c>
      <c r="K118" s="39">
        <f>'Berekening kapitaalkosten AD'!K382</f>
        <v>21286748.078599848</v>
      </c>
      <c r="L118" s="39">
        <f>'Berekening kapitaalkosten AD'!L382</f>
        <v>1300205.8267928858</v>
      </c>
      <c r="M118" s="39">
        <f>'Berekening kapitaalkosten AD'!M382</f>
        <v>37544870.888081573</v>
      </c>
      <c r="N118" s="39">
        <f>'Berekening kapitaalkosten AD'!N382</f>
        <v>181340.61043636684</v>
      </c>
      <c r="O118" s="39">
        <f>'Berekening kapitaalkosten AD'!O382</f>
        <v>0</v>
      </c>
    </row>
    <row r="119" spans="2:15">
      <c r="F119" s="47"/>
    </row>
    <row r="120" spans="2:15">
      <c r="B120" s="261" t="s">
        <v>439</v>
      </c>
      <c r="F120" s="47"/>
    </row>
    <row r="121" spans="2:15">
      <c r="B121" s="51" t="s">
        <v>441</v>
      </c>
      <c r="D121" s="258" t="s">
        <v>110</v>
      </c>
      <c r="F121" s="83">
        <f>SUM(G121:O121)</f>
        <v>2287545.3977800636</v>
      </c>
      <c r="H121" s="97">
        <f>'Berekening OPEX TD'!H447</f>
        <v>701943.31778006372</v>
      </c>
      <c r="J121" s="97">
        <f>'Berekening OPEX TD'!J447</f>
        <v>143662.07999999999</v>
      </c>
      <c r="O121" s="97">
        <f>'Berekening OPEX TD'!O447</f>
        <v>1441940</v>
      </c>
    </row>
    <row r="122" spans="2:15">
      <c r="B122" s="51" t="s">
        <v>440</v>
      </c>
      <c r="D122" s="258" t="s">
        <v>110</v>
      </c>
      <c r="F122" s="83">
        <f>SUM(G122:O122)</f>
        <v>6071.3728793679484</v>
      </c>
      <c r="H122" s="97">
        <f>'Berekening OPEX AD'!H439</f>
        <v>6056.8228793679482</v>
      </c>
      <c r="J122" s="97">
        <f>'Berekening OPEX AD'!J439</f>
        <v>14.55</v>
      </c>
      <c r="O122" s="97">
        <f>'Berekening OPEX AD'!O439</f>
        <v>0</v>
      </c>
    </row>
    <row r="123" spans="2:15">
      <c r="B123" s="51" t="s">
        <v>442</v>
      </c>
      <c r="D123" s="258" t="s">
        <v>110</v>
      </c>
      <c r="F123" s="83">
        <f>SUM(G123:O123)</f>
        <v>0</v>
      </c>
      <c r="H123" s="97">
        <f>'Berekening vergoedingen EAV'!G67</f>
        <v>0</v>
      </c>
      <c r="J123" s="97">
        <f>'Berekening vergoedingen EAV'!I67</f>
        <v>0</v>
      </c>
      <c r="O123" s="97">
        <f>'Berekening vergoedingen EAV'!N67</f>
        <v>0</v>
      </c>
    </row>
    <row r="124" spans="2:15">
      <c r="F124" s="47"/>
    </row>
    <row r="125" spans="2:15">
      <c r="B125" s="261" t="s">
        <v>425</v>
      </c>
      <c r="F125" s="47"/>
    </row>
    <row r="126" spans="2:15">
      <c r="B126" s="51" t="s">
        <v>780</v>
      </c>
      <c r="D126" s="258" t="s">
        <v>110</v>
      </c>
      <c r="F126" s="83">
        <f>SUM(G126:O126)</f>
        <v>4805757.7825621963</v>
      </c>
      <c r="H126" s="97">
        <f>'Berekening kapitaalkosten TD'!H582</f>
        <v>927276.61011064751</v>
      </c>
      <c r="J126" s="97">
        <f>'Berekening kapitaalkosten TD'!J582</f>
        <v>27684.017167154547</v>
      </c>
      <c r="O126" s="97">
        <f>'Berekening kapitaalkosten TD'!O582</f>
        <v>3850797.1552843945</v>
      </c>
    </row>
    <row r="127" spans="2:15">
      <c r="B127" s="51" t="s">
        <v>781</v>
      </c>
      <c r="D127" s="258" t="s">
        <v>110</v>
      </c>
      <c r="F127" s="83">
        <f>SUM(G127:O127)</f>
        <v>0</v>
      </c>
      <c r="H127" s="97">
        <f>'Berekening kapitaalkosten AD'!H424</f>
        <v>0</v>
      </c>
      <c r="J127" s="97">
        <f>'Berekening kapitaalkosten AD'!J424</f>
        <v>0</v>
      </c>
      <c r="O127" s="97">
        <f>'Berekening kapitaalkosten AD'!O424</f>
        <v>0</v>
      </c>
    </row>
    <row r="128" spans="2:15">
      <c r="B128" s="51"/>
      <c r="F128" s="47"/>
    </row>
    <row r="129" spans="2:17">
      <c r="B129" s="51"/>
      <c r="F129" s="47"/>
    </row>
    <row r="130" spans="2:17">
      <c r="B130" s="261" t="s">
        <v>53</v>
      </c>
      <c r="F130" s="47"/>
    </row>
    <row r="131" spans="2:17">
      <c r="F131" s="47"/>
    </row>
    <row r="132" spans="2:17">
      <c r="B132" s="51" t="s">
        <v>782</v>
      </c>
      <c r="D132" s="258" t="s">
        <v>110</v>
      </c>
      <c r="F132" s="83">
        <f>SUM(G132:O132)</f>
        <v>1118641557.6847751</v>
      </c>
      <c r="G132" s="21">
        <f>SUM(G103,G108,G113,G116:G118,G121:G123,G126:G127)</f>
        <v>20551122.587709337</v>
      </c>
      <c r="H132" s="21">
        <f t="shared" ref="H132:O132" si="10">SUM(H103,H108,H113,H116:H118,H121:H123,H126:H127)</f>
        <v>28693847.272511505</v>
      </c>
      <c r="I132" s="21">
        <f t="shared" si="10"/>
        <v>60957965.92813126</v>
      </c>
      <c r="J132" s="21">
        <f t="shared" si="10"/>
        <v>273776663.03045344</v>
      </c>
      <c r="K132" s="21">
        <f t="shared" si="10"/>
        <v>369637505.98417467</v>
      </c>
      <c r="L132" s="21">
        <f t="shared" si="10"/>
        <v>25038174.249117468</v>
      </c>
      <c r="M132" s="21">
        <f t="shared" si="10"/>
        <v>312892800.73354232</v>
      </c>
      <c r="N132" s="21">
        <f t="shared" si="10"/>
        <v>21800740.743850656</v>
      </c>
      <c r="O132" s="21">
        <f t="shared" si="10"/>
        <v>5292737.1552843945</v>
      </c>
      <c r="Q132" s="51" t="s">
        <v>574</v>
      </c>
    </row>
    <row r="133" spans="2:17">
      <c r="B133" s="13" t="s">
        <v>52</v>
      </c>
      <c r="F133" s="47"/>
    </row>
    <row r="134" spans="2:17">
      <c r="B134" s="51" t="s">
        <v>783</v>
      </c>
      <c r="D134" s="258" t="s">
        <v>110</v>
      </c>
      <c r="F134" s="83">
        <f>SUM(G134:O134)</f>
        <v>31465364.137769409</v>
      </c>
      <c r="G134" s="21">
        <f>SUM(G104:G105,G109:G110,G117)</f>
        <v>1401.9999999999966</v>
      </c>
      <c r="H134" s="21">
        <f t="shared" ref="H134:O134" si="11">SUM(H104:H105,H109:H110,H117)</f>
        <v>391176.4</v>
      </c>
      <c r="I134" s="21">
        <f t="shared" si="11"/>
        <v>0</v>
      </c>
      <c r="J134" s="21">
        <f t="shared" si="11"/>
        <v>2115319.5372981504</v>
      </c>
      <c r="K134" s="21">
        <f t="shared" si="11"/>
        <v>13691948</v>
      </c>
      <c r="L134" s="21">
        <f t="shared" si="11"/>
        <v>2359695.2004712597</v>
      </c>
      <c r="M134" s="21">
        <f t="shared" si="11"/>
        <v>12898160</v>
      </c>
      <c r="N134" s="21">
        <f t="shared" si="11"/>
        <v>7663</v>
      </c>
      <c r="O134" s="21">
        <f t="shared" si="11"/>
        <v>0</v>
      </c>
    </row>
    <row r="135" spans="2:17">
      <c r="B135" s="51" t="s">
        <v>180</v>
      </c>
      <c r="D135" s="258" t="s">
        <v>108</v>
      </c>
      <c r="F135" s="83">
        <f>SUM(G135:O135)</f>
        <v>4441517.228692011</v>
      </c>
      <c r="G135" s="21">
        <f>G106+G111</f>
        <v>98649</v>
      </c>
      <c r="H135" s="21">
        <f t="shared" ref="H135:O135" si="12">H106+H111</f>
        <v>120702.72010000002</v>
      </c>
      <c r="I135" s="21">
        <f t="shared" si="12"/>
        <v>253112.2309681839</v>
      </c>
      <c r="J135" s="21">
        <f t="shared" si="12"/>
        <v>1217602.7110091057</v>
      </c>
      <c r="K135" s="21">
        <f t="shared" si="12"/>
        <v>1413400.1069791086</v>
      </c>
      <c r="L135" s="21">
        <f t="shared" si="12"/>
        <v>76109.350000000006</v>
      </c>
      <c r="M135" s="21">
        <f t="shared" si="12"/>
        <v>1244536.792062162</v>
      </c>
      <c r="N135" s="21">
        <f t="shared" si="12"/>
        <v>17404.317573450375</v>
      </c>
      <c r="O135" s="21">
        <f t="shared" si="12"/>
        <v>0</v>
      </c>
    </row>
    <row r="136" spans="2:17">
      <c r="B136" s="78" t="s">
        <v>784</v>
      </c>
      <c r="D136" s="258" t="s">
        <v>110</v>
      </c>
      <c r="F136" s="83">
        <f>SUM(G136:O136)</f>
        <v>7099374.5532216281</v>
      </c>
      <c r="G136" s="54"/>
      <c r="H136" s="21">
        <f>SUM(H121:H123,H126:H127)</f>
        <v>1635276.7507700792</v>
      </c>
      <c r="I136" s="54"/>
      <c r="J136" s="21">
        <f>SUM(J121:J123,J126:J127)</f>
        <v>171360.64716715453</v>
      </c>
      <c r="K136" s="54"/>
      <c r="L136" s="54"/>
      <c r="M136" s="54"/>
      <c r="N136" s="54"/>
      <c r="O136" s="21">
        <f>SUM(O121:O123,O126:O127)</f>
        <v>5292737.1552843945</v>
      </c>
    </row>
    <row r="137" spans="2:17">
      <c r="F137" s="47"/>
    </row>
    <row r="138" spans="2:17">
      <c r="B138" s="261" t="s">
        <v>629</v>
      </c>
      <c r="F138" s="47"/>
    </row>
    <row r="139" spans="2:17">
      <c r="B139" s="51" t="s">
        <v>630</v>
      </c>
      <c r="D139" s="51" t="s">
        <v>110</v>
      </c>
      <c r="F139" s="83">
        <f>SUM(G139:O139)</f>
        <v>894319391.66961992</v>
      </c>
      <c r="G139" s="107">
        <f>G103+G116+G117+G121+G126</f>
        <v>16668568.043735795</v>
      </c>
      <c r="H139" s="107">
        <f t="shared" ref="H139:O139" si="13">H103+H116+H117+H121+H126</f>
        <v>23716630.105185155</v>
      </c>
      <c r="I139" s="107">
        <f t="shared" si="13"/>
        <v>46591569.361342825</v>
      </c>
      <c r="J139" s="107">
        <f t="shared" si="13"/>
        <v>231242270.15844366</v>
      </c>
      <c r="K139" s="107">
        <f t="shared" si="13"/>
        <v>286800978.99227905</v>
      </c>
      <c r="L139" s="107">
        <f t="shared" si="13"/>
        <v>21953838.302324582</v>
      </c>
      <c r="M139" s="107">
        <f t="shared" si="13"/>
        <v>241385867.80605903</v>
      </c>
      <c r="N139" s="107">
        <f t="shared" si="13"/>
        <v>20666931.744965591</v>
      </c>
      <c r="O139" s="107">
        <f t="shared" si="13"/>
        <v>5292737.1552843945</v>
      </c>
    </row>
    <row r="140" spans="2:17">
      <c r="B140" s="51" t="s">
        <v>631</v>
      </c>
      <c r="D140" s="51" t="s">
        <v>110</v>
      </c>
      <c r="F140" s="83">
        <f>SUM(G140:O140)</f>
        <v>224322166.01515514</v>
      </c>
      <c r="G140" s="107">
        <f>G108+G113+G118+G122+G123+G127</f>
        <v>3882554.5439735423</v>
      </c>
      <c r="H140" s="107">
        <f t="shared" ref="H140:O140" si="14">H108+H113+H118+H122+H123+H127</f>
        <v>4977217.1673263498</v>
      </c>
      <c r="I140" s="107">
        <f t="shared" si="14"/>
        <v>14366396.566788435</v>
      </c>
      <c r="J140" s="107">
        <f t="shared" si="14"/>
        <v>42534392.872009844</v>
      </c>
      <c r="K140" s="107">
        <f t="shared" si="14"/>
        <v>82836526.991895646</v>
      </c>
      <c r="L140" s="107">
        <f t="shared" si="14"/>
        <v>3084335.9467928857</v>
      </c>
      <c r="M140" s="107">
        <f t="shared" si="14"/>
        <v>71506932.92748335</v>
      </c>
      <c r="N140" s="107">
        <f t="shared" si="14"/>
        <v>1133808.9988850674</v>
      </c>
      <c r="O140" s="107">
        <f t="shared" si="14"/>
        <v>0</v>
      </c>
    </row>
    <row r="141" spans="2:17">
      <c r="F141" s="47"/>
    </row>
    <row r="142" spans="2:17">
      <c r="F142" s="47"/>
    </row>
    <row r="143" spans="2:17" s="2" customFormat="1">
      <c r="B143" s="2" t="s">
        <v>554</v>
      </c>
      <c r="F143" s="49"/>
    </row>
    <row r="144" spans="2:17">
      <c r="F144" s="47"/>
    </row>
    <row r="145" spans="2:8">
      <c r="F145" s="4"/>
    </row>
    <row r="146" spans="2:8">
      <c r="B146" s="261" t="s">
        <v>51</v>
      </c>
      <c r="F146" s="4"/>
    </row>
    <row r="147" spans="2:8">
      <c r="F147" s="4"/>
    </row>
    <row r="148" spans="2:8">
      <c r="B148" s="261" t="s">
        <v>43</v>
      </c>
    </row>
    <row r="149" spans="2:8">
      <c r="B149" s="51" t="s">
        <v>728</v>
      </c>
      <c r="D149" s="258" t="s">
        <v>183</v>
      </c>
      <c r="F149" s="39">
        <f>'Data marktmodel'!I20</f>
        <v>1160000</v>
      </c>
      <c r="G149" s="51"/>
      <c r="H149" s="259"/>
    </row>
    <row r="150" spans="2:8">
      <c r="B150" s="51" t="s">
        <v>729</v>
      </c>
      <c r="D150" s="258" t="s">
        <v>184</v>
      </c>
      <c r="F150" s="39">
        <f>'Data marktmodel'!J20</f>
        <v>1603000</v>
      </c>
      <c r="H150" s="78"/>
    </row>
    <row r="151" spans="2:8">
      <c r="B151" s="51" t="s">
        <v>730</v>
      </c>
      <c r="D151" s="258" t="s">
        <v>185</v>
      </c>
      <c r="F151" s="39">
        <f>'Data marktmodel'!K20</f>
        <v>1785000</v>
      </c>
    </row>
    <row r="153" spans="2:8">
      <c r="B153" s="261" t="s">
        <v>453</v>
      </c>
    </row>
    <row r="154" spans="2:8" ht="12" customHeight="1">
      <c r="B154" s="51" t="s">
        <v>444</v>
      </c>
      <c r="D154" s="258" t="s">
        <v>183</v>
      </c>
      <c r="F154" s="97">
        <f>'Berekeningen netverliezen'!F76</f>
        <v>0</v>
      </c>
    </row>
    <row r="155" spans="2:8">
      <c r="B155" s="51" t="s">
        <v>445</v>
      </c>
      <c r="D155" s="258" t="s">
        <v>184</v>
      </c>
      <c r="F155" s="97">
        <f>'Berekeningen netverliezen'!F77</f>
        <v>0</v>
      </c>
    </row>
    <row r="156" spans="2:8">
      <c r="B156" s="51" t="s">
        <v>446</v>
      </c>
      <c r="D156" s="258" t="s">
        <v>185</v>
      </c>
      <c r="F156" s="97">
        <f>'Berekeningen netverliezen'!F78</f>
        <v>0</v>
      </c>
    </row>
    <row r="159" spans="2:8">
      <c r="B159" s="261" t="s">
        <v>985</v>
      </c>
      <c r="F159" s="4"/>
    </row>
    <row r="160" spans="2:8">
      <c r="B160" s="27" t="s">
        <v>789</v>
      </c>
      <c r="F160" s="4"/>
    </row>
    <row r="161" spans="2:17">
      <c r="B161" s="27" t="s">
        <v>788</v>
      </c>
      <c r="F161" s="4"/>
    </row>
    <row r="162" spans="2:17">
      <c r="B162" s="51" t="s">
        <v>785</v>
      </c>
      <c r="D162" s="258" t="s">
        <v>183</v>
      </c>
      <c r="F162" s="150">
        <f>F42-F44-F45+F149+F154</f>
        <v>1000926867.0294549</v>
      </c>
      <c r="Q162" s="51" t="s">
        <v>969</v>
      </c>
    </row>
    <row r="163" spans="2:17">
      <c r="B163" s="51" t="s">
        <v>786</v>
      </c>
      <c r="D163" s="258" t="s">
        <v>184</v>
      </c>
      <c r="F163" s="150">
        <f>F87-F89-F90+F150+F155</f>
        <v>1027059980.0694196</v>
      </c>
    </row>
    <row r="164" spans="2:17">
      <c r="B164" s="51" t="s">
        <v>787</v>
      </c>
      <c r="D164" s="258" t="s">
        <v>185</v>
      </c>
      <c r="F164" s="150">
        <f>F132-F134-F135+F151+F156</f>
        <v>1084519676.3183136</v>
      </c>
    </row>
    <row r="165" spans="2:17">
      <c r="F165" s="4"/>
    </row>
    <row r="166" spans="2:17">
      <c r="F166" s="51"/>
    </row>
    <row r="167" spans="2:17">
      <c r="F167" s="51"/>
    </row>
    <row r="168" spans="2:17">
      <c r="F168" s="4"/>
    </row>
    <row r="169" spans="2:17">
      <c r="F169" s="4"/>
    </row>
    <row r="170" spans="2:17">
      <c r="F170" s="4"/>
    </row>
    <row r="171" spans="2:17">
      <c r="F171" s="4"/>
    </row>
    <row r="172" spans="2:17">
      <c r="F172" s="4"/>
    </row>
    <row r="173" spans="2:17">
      <c r="F173" s="4"/>
    </row>
    <row r="174" spans="2:17">
      <c r="F174" s="4"/>
    </row>
    <row r="175" spans="2:17">
      <c r="F175" s="4"/>
    </row>
    <row r="176" spans="2:17">
      <c r="F176" s="4"/>
    </row>
    <row r="177" spans="6:6">
      <c r="F177" s="4"/>
    </row>
    <row r="178" spans="6:6">
      <c r="F178" s="4"/>
    </row>
    <row r="179" spans="6:6">
      <c r="F179" s="4"/>
    </row>
    <row r="180" spans="6:6">
      <c r="F180" s="4"/>
    </row>
    <row r="181" spans="6:6">
      <c r="F181" s="4"/>
    </row>
    <row r="182" spans="6:6">
      <c r="F182" s="4"/>
    </row>
    <row r="183" spans="6:6">
      <c r="F183" s="4"/>
    </row>
    <row r="184" spans="6:6">
      <c r="F184" s="4"/>
    </row>
    <row r="185" spans="6:6">
      <c r="F185" s="4"/>
    </row>
    <row r="186" spans="6:6">
      <c r="F186" s="4"/>
    </row>
    <row r="187" spans="6:6">
      <c r="F187" s="4"/>
    </row>
    <row r="188" spans="6:6">
      <c r="F188" s="4"/>
    </row>
    <row r="189" spans="6:6">
      <c r="F189" s="4"/>
    </row>
    <row r="190" spans="6:6">
      <c r="F190" s="4"/>
    </row>
    <row r="191" spans="6:6">
      <c r="F191" s="4"/>
    </row>
    <row r="192" spans="6:6">
      <c r="F192" s="4"/>
    </row>
    <row r="193" spans="6:6">
      <c r="F193" s="4"/>
    </row>
    <row r="194" spans="6:6">
      <c r="F194" s="4"/>
    </row>
    <row r="195" spans="6:6">
      <c r="F195" s="4"/>
    </row>
    <row r="196" spans="6:6">
      <c r="F196" s="4"/>
    </row>
    <row r="197" spans="6:6">
      <c r="F197" s="4"/>
    </row>
    <row r="198" spans="6:6">
      <c r="F198" s="4"/>
    </row>
    <row r="199" spans="6:6">
      <c r="F199" s="4"/>
    </row>
    <row r="200" spans="6:6">
      <c r="F200" s="4"/>
    </row>
    <row r="201" spans="6:6">
      <c r="F201" s="4"/>
    </row>
    <row r="202" spans="6:6">
      <c r="F202" s="4"/>
    </row>
    <row r="203" spans="6:6">
      <c r="F203" s="4"/>
    </row>
    <row r="204" spans="6:6">
      <c r="F204" s="4"/>
    </row>
    <row r="205" spans="6:6">
      <c r="F205" s="4"/>
    </row>
    <row r="206" spans="6:6">
      <c r="F206" s="4"/>
    </row>
    <row r="207" spans="6:6">
      <c r="F207" s="4"/>
    </row>
    <row r="208" spans="6:6">
      <c r="F208" s="4"/>
    </row>
    <row r="209" spans="6:17">
      <c r="F209" s="4"/>
    </row>
    <row r="210" spans="6:17">
      <c r="F210" s="4"/>
    </row>
    <row r="211" spans="6:17">
      <c r="F211" s="4"/>
    </row>
    <row r="212" spans="6:17">
      <c r="Q212" s="27"/>
    </row>
    <row r="213" spans="6:17">
      <c r="Q213" s="27"/>
    </row>
    <row r="214" spans="6:17">
      <c r="Q214" s="27"/>
    </row>
    <row r="215" spans="6:17">
      <c r="Q215" s="27"/>
    </row>
    <row r="216" spans="6:17">
      <c r="Q216" s="27"/>
    </row>
    <row r="217" spans="6:17">
      <c r="Q217" s="27"/>
    </row>
    <row r="218" spans="6:17">
      <c r="Q218" s="27"/>
    </row>
    <row r="219" spans="6:17">
      <c r="Q219" s="27"/>
    </row>
    <row r="220" spans="6:17">
      <c r="Q220" s="27"/>
    </row>
    <row r="221" spans="6:17">
      <c r="Q221" s="27"/>
    </row>
    <row r="222" spans="6:17">
      <c r="Q222" s="27"/>
    </row>
    <row r="223" spans="6:17">
      <c r="Q223" s="27"/>
    </row>
    <row r="224" spans="6:17">
      <c r="Q224" s="27"/>
    </row>
    <row r="225" spans="17:17">
      <c r="Q225" s="27"/>
    </row>
    <row r="226" spans="17:17">
      <c r="Q226" s="27"/>
    </row>
    <row r="227" spans="17:17">
      <c r="Q227" s="27"/>
    </row>
    <row r="228" spans="17:17">
      <c r="Q228" s="27"/>
    </row>
    <row r="229" spans="17:17">
      <c r="Q229" s="27"/>
    </row>
    <row r="230" spans="17:17">
      <c r="Q230" s="27"/>
    </row>
    <row r="231" spans="17:17">
      <c r="Q231" s="27"/>
    </row>
    <row r="232" spans="17:17">
      <c r="Q232" s="27"/>
    </row>
    <row r="233" spans="17:17">
      <c r="Q233" s="27"/>
    </row>
    <row r="234" spans="17:17">
      <c r="Q234" s="27"/>
    </row>
    <row r="235" spans="17:17">
      <c r="Q235" s="27"/>
    </row>
    <row r="236" spans="17:17">
      <c r="Q236" s="27"/>
    </row>
  </sheetData>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148"/>
  <sheetViews>
    <sheetView showGridLines="0" zoomScale="85" zoomScaleNormal="85" workbookViewId="0"/>
  </sheetViews>
  <sheetFormatPr defaultRowHeight="12.75"/>
  <cols>
    <col min="1" max="1" width="3.85546875" style="417" customWidth="1"/>
    <col min="2" max="2" width="59.140625" style="417" customWidth="1"/>
    <col min="3" max="3" width="8.140625" style="417" bestFit="1" customWidth="1"/>
    <col min="4" max="4" width="31" style="417" customWidth="1"/>
    <col min="5" max="5" width="13.85546875" style="417" customWidth="1"/>
    <col min="6" max="6" width="16.28515625" style="417" customWidth="1"/>
    <col min="7" max="7" width="5.42578125" style="417" customWidth="1"/>
    <col min="8" max="8" width="18.140625" style="417" customWidth="1"/>
    <col min="9" max="9" width="4.42578125" style="417" customWidth="1"/>
    <col min="10" max="10" width="15" style="417" customWidth="1"/>
    <col min="11" max="11" width="4.28515625" style="417" customWidth="1"/>
    <col min="12" max="12" width="9.140625" style="417"/>
    <col min="13" max="13" width="10.28515625" style="417" bestFit="1" customWidth="1"/>
    <col min="14" max="16384" width="9.140625" style="417"/>
  </cols>
  <sheetData>
    <row r="1" spans="1:43" s="258" customFormat="1"/>
    <row r="2" spans="1:43" s="434" customFormat="1" ht="32.25" customHeight="1">
      <c r="B2" s="435" t="s">
        <v>1144</v>
      </c>
    </row>
    <row r="3" spans="1:43" s="258" customFormat="1">
      <c r="A3" s="419"/>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row>
    <row r="4" spans="1:43" s="436" customFormat="1">
      <c r="B4" s="437" t="s">
        <v>1145</v>
      </c>
    </row>
    <row r="5" spans="1:43" s="438" customFormat="1">
      <c r="B5" s="427" t="s">
        <v>1146</v>
      </c>
    </row>
    <row r="6" spans="1:43" s="439" customFormat="1">
      <c r="B6" s="440" t="s">
        <v>1147</v>
      </c>
    </row>
    <row r="7" spans="1:43" s="436" customFormat="1">
      <c r="B7" s="418" t="s">
        <v>1139</v>
      </c>
      <c r="C7" s="441"/>
    </row>
    <row r="8" spans="1:43" s="436" customFormat="1">
      <c r="B8" s="418"/>
      <c r="C8" s="441"/>
    </row>
    <row r="9" spans="1:43" s="258" customFormat="1">
      <c r="A9" s="419"/>
      <c r="B9" s="419" t="s">
        <v>1140</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row>
    <row r="10" spans="1:43" s="248" customFormat="1">
      <c r="A10" s="419"/>
      <c r="B10" s="427" t="s">
        <v>1148</v>
      </c>
      <c r="C10" s="427"/>
      <c r="D10" s="427"/>
      <c r="E10" s="427"/>
      <c r="F10" s="427"/>
      <c r="G10" s="427"/>
      <c r="H10" s="427"/>
      <c r="I10" s="427"/>
      <c r="J10" s="427"/>
      <c r="K10" s="427"/>
      <c r="L10" s="427"/>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c r="AJ10" s="419"/>
      <c r="AK10" s="419"/>
      <c r="AL10" s="419"/>
      <c r="AM10" s="419"/>
      <c r="AN10" s="419"/>
      <c r="AO10" s="419"/>
      <c r="AP10" s="419"/>
      <c r="AQ10" s="419"/>
    </row>
    <row r="11" spans="1:43" s="258" customFormat="1">
      <c r="A11" s="419"/>
      <c r="B11" s="427" t="s">
        <v>1141</v>
      </c>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c r="AJ11" s="419"/>
      <c r="AK11" s="419"/>
      <c r="AL11" s="419"/>
      <c r="AM11" s="419"/>
      <c r="AN11" s="419"/>
      <c r="AO11" s="419"/>
      <c r="AP11" s="419"/>
      <c r="AQ11" s="419"/>
    </row>
    <row r="12" spans="1:43" s="258" customFormat="1">
      <c r="A12" s="419"/>
      <c r="B12" s="427" t="s">
        <v>1142</v>
      </c>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row>
    <row r="13" spans="1:43" s="258" customForma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419"/>
      <c r="AN13" s="419"/>
      <c r="AO13" s="419"/>
      <c r="AP13" s="419"/>
      <c r="AQ13" s="419"/>
    </row>
    <row r="14" spans="1:43" s="258" customFormat="1">
      <c r="A14" s="419"/>
      <c r="B14" s="419" t="s">
        <v>1143</v>
      </c>
      <c r="C14" s="419"/>
      <c r="D14" s="419"/>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c r="AL14" s="419"/>
      <c r="AM14" s="419"/>
      <c r="AN14" s="419"/>
      <c r="AO14" s="419"/>
      <c r="AP14" s="419"/>
      <c r="AQ14" s="419"/>
    </row>
    <row r="15" spans="1:43" s="258" customFormat="1">
      <c r="A15" s="419"/>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419"/>
      <c r="AN15" s="419"/>
      <c r="AO15" s="419"/>
      <c r="AP15" s="419"/>
      <c r="AQ15" s="419"/>
    </row>
    <row r="16" spans="1:43" s="436" customFormat="1">
      <c r="B16" s="429"/>
      <c r="C16" s="441"/>
    </row>
    <row r="17" spans="1:43" s="422" customFormat="1">
      <c r="A17" s="420"/>
      <c r="B17" s="421" t="s">
        <v>1158</v>
      </c>
      <c r="C17" s="420"/>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c r="AJ17" s="420"/>
      <c r="AK17" s="420"/>
      <c r="AL17" s="420"/>
      <c r="AM17" s="420"/>
      <c r="AN17" s="420"/>
      <c r="AO17" s="420"/>
      <c r="AP17" s="420"/>
    </row>
    <row r="19" spans="1:43">
      <c r="B19" s="431" t="s">
        <v>1041</v>
      </c>
      <c r="C19" s="431"/>
      <c r="D19" s="431"/>
      <c r="F19" s="431" t="s">
        <v>100</v>
      </c>
      <c r="G19" s="431"/>
      <c r="H19" s="431"/>
      <c r="I19" s="419"/>
      <c r="J19" s="419"/>
    </row>
    <row r="20" spans="1:43">
      <c r="B20" s="431" t="s">
        <v>1159</v>
      </c>
      <c r="C20" s="444"/>
      <c r="D20" s="431"/>
      <c r="F20" s="431" t="s">
        <v>1160</v>
      </c>
      <c r="G20" s="444"/>
      <c r="H20" s="431"/>
      <c r="I20" s="419"/>
      <c r="J20" s="419"/>
    </row>
    <row r="21" spans="1:43">
      <c r="B21" s="419"/>
      <c r="C21" s="419"/>
      <c r="D21" s="419"/>
      <c r="F21" s="419"/>
      <c r="G21" s="419"/>
      <c r="H21" s="419"/>
      <c r="I21" s="419"/>
      <c r="J21" s="419"/>
    </row>
    <row r="22" spans="1:43">
      <c r="B22" s="424" t="s">
        <v>1043</v>
      </c>
      <c r="C22" s="424" t="s">
        <v>1</v>
      </c>
      <c r="D22" s="424" t="s">
        <v>1049</v>
      </c>
      <c r="E22" s="429" t="s">
        <v>1050</v>
      </c>
      <c r="F22" s="424" t="s">
        <v>1044</v>
      </c>
      <c r="G22" s="424"/>
      <c r="H22" s="424" t="s">
        <v>1045</v>
      </c>
      <c r="I22" s="418"/>
      <c r="J22" s="424" t="s">
        <v>1046</v>
      </c>
    </row>
    <row r="23" spans="1:43">
      <c r="B23" s="417" t="s">
        <v>139</v>
      </c>
      <c r="C23" s="417">
        <v>2009</v>
      </c>
      <c r="D23" s="417" t="s">
        <v>1161</v>
      </c>
      <c r="E23" s="417" t="s">
        <v>1162</v>
      </c>
      <c r="F23" s="8">
        <v>2629752.9294278631</v>
      </c>
      <c r="H23" s="155">
        <f>J23-F23</f>
        <v>3870.6718545453623</v>
      </c>
      <c r="J23" s="445">
        <v>2633623.6012824085</v>
      </c>
    </row>
    <row r="24" spans="1:43" s="418" customFormat="1">
      <c r="B24" s="418" t="s">
        <v>148</v>
      </c>
      <c r="C24" s="417">
        <v>2009</v>
      </c>
      <c r="D24" s="417" t="s">
        <v>1161</v>
      </c>
      <c r="E24" s="417" t="s">
        <v>1163</v>
      </c>
      <c r="F24" s="8">
        <v>126152182.66004021</v>
      </c>
      <c r="H24" s="155">
        <f>J24-F24</f>
        <v>188534.11530907452</v>
      </c>
      <c r="J24" s="445">
        <v>126340716.77534929</v>
      </c>
    </row>
    <row r="25" spans="1:43" s="418" customFormat="1">
      <c r="B25" s="417" t="s">
        <v>139</v>
      </c>
      <c r="C25" s="417">
        <v>2010</v>
      </c>
      <c r="D25" s="417" t="s">
        <v>1161</v>
      </c>
      <c r="E25" s="418" t="s">
        <v>1164</v>
      </c>
      <c r="F25" s="8">
        <v>3500662.5394385778</v>
      </c>
      <c r="H25" s="155">
        <f t="shared" ref="H25:H29" si="0">J25-F25</f>
        <v>4572.8485842500813</v>
      </c>
      <c r="J25" s="445">
        <v>3505235.3880228279</v>
      </c>
    </row>
    <row r="26" spans="1:43" s="418" customFormat="1">
      <c r="B26" s="418" t="s">
        <v>148</v>
      </c>
      <c r="C26" s="417">
        <v>2010</v>
      </c>
      <c r="D26" s="417" t="s">
        <v>1161</v>
      </c>
      <c r="E26" s="418" t="s">
        <v>1165</v>
      </c>
      <c r="F26" s="8">
        <v>167815816.66858175</v>
      </c>
      <c r="H26" s="155">
        <f t="shared" si="0"/>
        <v>202794.86907073855</v>
      </c>
      <c r="J26" s="445">
        <v>168018611.53765249</v>
      </c>
    </row>
    <row r="27" spans="1:43" s="418" customFormat="1">
      <c r="B27" s="417" t="s">
        <v>139</v>
      </c>
      <c r="C27" s="417">
        <v>2011</v>
      </c>
      <c r="D27" s="417" t="s">
        <v>1161</v>
      </c>
      <c r="E27" s="418" t="s">
        <v>1166</v>
      </c>
      <c r="F27" s="8">
        <v>4746887.6108585615</v>
      </c>
      <c r="H27" s="155">
        <f t="shared" si="0"/>
        <v>4860.91250745859</v>
      </c>
      <c r="J27" s="445">
        <v>4751748.5233660201</v>
      </c>
    </row>
    <row r="28" spans="1:43" s="418" customFormat="1">
      <c r="B28" s="418" t="s">
        <v>148</v>
      </c>
      <c r="C28" s="417">
        <v>2011</v>
      </c>
      <c r="D28" s="417" t="s">
        <v>1161</v>
      </c>
      <c r="E28" s="418" t="s">
        <v>1167</v>
      </c>
      <c r="F28" s="8">
        <v>227996749.83003405</v>
      </c>
      <c r="H28" s="155">
        <f t="shared" si="0"/>
        <v>200975.87959936261</v>
      </c>
      <c r="J28" s="445">
        <v>228197725.70963341</v>
      </c>
    </row>
    <row r="29" spans="1:43" s="418" customFormat="1">
      <c r="B29" s="417" t="s">
        <v>139</v>
      </c>
      <c r="C29" s="417">
        <v>2012</v>
      </c>
      <c r="D29" s="417" t="s">
        <v>1161</v>
      </c>
      <c r="E29" s="418" t="s">
        <v>1168</v>
      </c>
      <c r="F29" s="87">
        <v>6528277.3988695238</v>
      </c>
      <c r="H29" s="155">
        <f t="shared" si="0"/>
        <v>4987.2962326519191</v>
      </c>
      <c r="J29" s="445">
        <v>6533264.6951021757</v>
      </c>
    </row>
    <row r="30" spans="1:43" s="418" customFormat="1">
      <c r="B30" s="418" t="s">
        <v>148</v>
      </c>
      <c r="C30" s="417">
        <v>2012</v>
      </c>
      <c r="D30" s="417" t="s">
        <v>1161</v>
      </c>
      <c r="E30" s="418" t="s">
        <v>1169</v>
      </c>
      <c r="F30" s="87">
        <v>311756584.35689867</v>
      </c>
      <c r="H30" s="155">
        <f>J30-F30</f>
        <v>201213.95623624325</v>
      </c>
      <c r="J30" s="445">
        <v>311957798.31313491</v>
      </c>
    </row>
    <row r="32" spans="1:43" s="422" customFormat="1">
      <c r="A32" s="420"/>
      <c r="B32" s="421" t="s">
        <v>1132</v>
      </c>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c r="AO32" s="420"/>
      <c r="AP32" s="420"/>
      <c r="AQ32" s="420"/>
    </row>
    <row r="33" spans="1:43" s="418" customForma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419"/>
      <c r="AL33" s="419"/>
      <c r="AM33" s="419"/>
      <c r="AN33" s="419"/>
      <c r="AO33" s="419"/>
      <c r="AP33" s="419"/>
      <c r="AQ33" s="419"/>
    </row>
    <row r="34" spans="1:43" s="418" customFormat="1">
      <c r="A34" s="419"/>
      <c r="B34" s="419" t="s">
        <v>1041</v>
      </c>
      <c r="C34" s="419"/>
      <c r="D34" s="419"/>
      <c r="E34" s="419"/>
      <c r="F34" s="427" t="s">
        <v>1131</v>
      </c>
      <c r="G34" s="427"/>
      <c r="H34" s="427"/>
      <c r="I34" s="427"/>
      <c r="J34" s="427"/>
      <c r="K34" s="427"/>
      <c r="L34" s="427"/>
      <c r="M34" s="427"/>
      <c r="N34" s="427"/>
      <c r="O34" s="419"/>
      <c r="P34" s="419"/>
      <c r="Q34" s="419"/>
      <c r="R34" s="419"/>
      <c r="S34" s="419"/>
      <c r="T34" s="419"/>
      <c r="U34" s="419"/>
      <c r="V34" s="419"/>
      <c r="W34" s="419"/>
      <c r="X34" s="419"/>
      <c r="Y34" s="419"/>
      <c r="Z34" s="419"/>
      <c r="AA34" s="419"/>
      <c r="AB34" s="419"/>
      <c r="AC34" s="419"/>
      <c r="AD34" s="419"/>
      <c r="AE34" s="419"/>
      <c r="AF34" s="419"/>
      <c r="AG34" s="419"/>
      <c r="AH34" s="419"/>
      <c r="AI34" s="419"/>
      <c r="AJ34" s="419"/>
      <c r="AK34" s="419"/>
      <c r="AL34" s="419"/>
      <c r="AM34" s="419"/>
      <c r="AN34" s="419"/>
      <c r="AO34" s="419"/>
      <c r="AP34" s="419"/>
      <c r="AQ34" s="419"/>
    </row>
    <row r="35" spans="1:43" s="418" customFormat="1">
      <c r="A35" s="419"/>
      <c r="B35" s="423" t="s">
        <v>1042</v>
      </c>
      <c r="C35" s="419"/>
      <c r="D35" s="419"/>
      <c r="E35" s="419"/>
      <c r="F35" s="507" t="s">
        <v>1130</v>
      </c>
      <c r="G35" s="507"/>
      <c r="H35" s="507"/>
      <c r="I35" s="507"/>
      <c r="J35" s="507"/>
      <c r="K35" s="507"/>
      <c r="L35" s="507"/>
      <c r="M35" s="507"/>
      <c r="N35" s="507"/>
      <c r="O35" s="419"/>
      <c r="P35" s="419"/>
      <c r="Q35" s="419"/>
      <c r="R35" s="419"/>
      <c r="S35" s="419"/>
      <c r="T35" s="419"/>
      <c r="U35" s="419"/>
      <c r="V35" s="419"/>
      <c r="W35" s="419"/>
      <c r="X35" s="419"/>
      <c r="Y35" s="419"/>
      <c r="Z35" s="419"/>
      <c r="AA35" s="419"/>
      <c r="AB35" s="419"/>
      <c r="AC35" s="419"/>
      <c r="AD35" s="419"/>
      <c r="AE35" s="419"/>
      <c r="AF35" s="419"/>
      <c r="AG35" s="419"/>
      <c r="AH35" s="419"/>
      <c r="AI35" s="419"/>
      <c r="AJ35" s="419"/>
      <c r="AK35" s="419"/>
      <c r="AL35" s="419"/>
      <c r="AM35" s="419"/>
      <c r="AN35" s="419"/>
      <c r="AO35" s="419"/>
      <c r="AP35" s="419"/>
      <c r="AQ35" s="419"/>
    </row>
    <row r="36" spans="1:43" s="418" customFormat="1">
      <c r="A36" s="419"/>
      <c r="B36" s="419"/>
      <c r="C36" s="419"/>
      <c r="D36" s="419"/>
      <c r="E36" s="419"/>
      <c r="F36" s="419"/>
      <c r="G36" s="419"/>
      <c r="H36" s="419"/>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419"/>
      <c r="AK36" s="419"/>
      <c r="AL36" s="419"/>
      <c r="AM36" s="419"/>
      <c r="AN36" s="419"/>
      <c r="AO36" s="419"/>
      <c r="AP36" s="419"/>
      <c r="AQ36" s="419"/>
    </row>
    <row r="37" spans="1:43" s="418" customFormat="1">
      <c r="A37" s="419"/>
      <c r="B37" s="424" t="s">
        <v>1043</v>
      </c>
      <c r="C37" s="424" t="s">
        <v>1</v>
      </c>
      <c r="D37" s="424" t="s">
        <v>1049</v>
      </c>
      <c r="E37" s="429" t="s">
        <v>1050</v>
      </c>
      <c r="F37" s="424" t="s">
        <v>1044</v>
      </c>
      <c r="G37" s="424"/>
      <c r="H37" s="424"/>
      <c r="J37" s="424" t="s">
        <v>1046</v>
      </c>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419"/>
      <c r="AK37" s="419"/>
      <c r="AL37" s="419"/>
      <c r="AM37" s="419"/>
      <c r="AN37" s="419"/>
      <c r="AO37" s="419"/>
      <c r="AP37" s="419"/>
      <c r="AQ37" s="419"/>
    </row>
    <row r="38" spans="1:43">
      <c r="B38" s="417" t="s">
        <v>1072</v>
      </c>
      <c r="C38" s="417">
        <v>2010</v>
      </c>
      <c r="D38" s="417" t="s">
        <v>1068</v>
      </c>
      <c r="E38" s="417" t="s">
        <v>1069</v>
      </c>
      <c r="F38" s="430">
        <v>0</v>
      </c>
      <c r="J38" s="146">
        <v>45000</v>
      </c>
    </row>
    <row r="39" spans="1:43">
      <c r="B39" s="417" t="s">
        <v>1071</v>
      </c>
      <c r="C39" s="417">
        <v>2010</v>
      </c>
      <c r="D39" s="417" t="s">
        <v>1068</v>
      </c>
      <c r="E39" s="417" t="s">
        <v>1070</v>
      </c>
      <c r="F39" s="430">
        <v>0</v>
      </c>
      <c r="J39" s="146">
        <v>66000</v>
      </c>
    </row>
    <row r="40" spans="1:43">
      <c r="B40" s="417" t="s">
        <v>1100</v>
      </c>
      <c r="C40" s="417">
        <v>2010</v>
      </c>
      <c r="D40" s="417" t="s">
        <v>1068</v>
      </c>
      <c r="E40" s="417" t="s">
        <v>1104</v>
      </c>
      <c r="F40" s="430">
        <v>0</v>
      </c>
      <c r="J40" s="146">
        <v>701920627.31632304</v>
      </c>
    </row>
    <row r="41" spans="1:43">
      <c r="B41" s="417" t="s">
        <v>1101</v>
      </c>
      <c r="C41" s="417">
        <v>2010</v>
      </c>
      <c r="D41" s="417" t="s">
        <v>1068</v>
      </c>
      <c r="E41" s="417" t="s">
        <v>1105</v>
      </c>
      <c r="F41" s="430">
        <v>0</v>
      </c>
      <c r="J41" s="146">
        <v>64467324.410593003</v>
      </c>
    </row>
    <row r="42" spans="1:43">
      <c r="B42" s="417" t="s">
        <v>1102</v>
      </c>
      <c r="C42" s="417">
        <v>2010</v>
      </c>
      <c r="D42" s="417" t="s">
        <v>1068</v>
      </c>
      <c r="E42" s="417" t="s">
        <v>1106</v>
      </c>
      <c r="F42" s="146">
        <v>19890953.550000001</v>
      </c>
      <c r="J42" s="146">
        <v>42560365.516598105</v>
      </c>
    </row>
    <row r="43" spans="1:43">
      <c r="B43" s="417" t="s">
        <v>1103</v>
      </c>
      <c r="C43" s="417">
        <v>2010</v>
      </c>
      <c r="D43" s="417" t="s">
        <v>1068</v>
      </c>
      <c r="E43" s="417" t="s">
        <v>1107</v>
      </c>
      <c r="F43" s="146">
        <v>6249659.021892</v>
      </c>
      <c r="J43" s="146">
        <v>11623227.804853581</v>
      </c>
    </row>
    <row r="44" spans="1:43">
      <c r="B44" s="417" t="s">
        <v>1102</v>
      </c>
      <c r="C44" s="417">
        <v>2010</v>
      </c>
      <c r="D44" s="417" t="s">
        <v>1068</v>
      </c>
      <c r="E44" s="417" t="s">
        <v>1108</v>
      </c>
      <c r="F44" s="146">
        <v>200795499.338337</v>
      </c>
      <c r="J44" s="146">
        <v>218270484.3766703</v>
      </c>
    </row>
    <row r="45" spans="1:43">
      <c r="B45" s="417" t="s">
        <v>1103</v>
      </c>
      <c r="C45" s="417">
        <v>2010</v>
      </c>
      <c r="D45" s="417" t="s">
        <v>1068</v>
      </c>
      <c r="E45" s="417" t="s">
        <v>1109</v>
      </c>
      <c r="F45" s="146">
        <v>39403202.117064901</v>
      </c>
      <c r="J45" s="146">
        <v>46201617.45597703</v>
      </c>
    </row>
    <row r="46" spans="1:43">
      <c r="B46" s="417" t="s">
        <v>1102</v>
      </c>
      <c r="C46" s="417">
        <v>2010</v>
      </c>
      <c r="D46" s="417" t="s">
        <v>1068</v>
      </c>
      <c r="E46" s="417" t="s">
        <v>1110</v>
      </c>
      <c r="F46" s="430">
        <v>0</v>
      </c>
      <c r="J46" s="146">
        <v>238454441.167153</v>
      </c>
    </row>
    <row r="47" spans="1:43">
      <c r="B47" s="417" t="s">
        <v>1103</v>
      </c>
      <c r="C47" s="417">
        <v>2010</v>
      </c>
      <c r="D47" s="417" t="s">
        <v>1068</v>
      </c>
      <c r="E47" s="417" t="s">
        <v>1111</v>
      </c>
      <c r="F47" s="430">
        <v>0</v>
      </c>
      <c r="J47" s="146">
        <v>57743278.195998959</v>
      </c>
    </row>
    <row r="48" spans="1:43">
      <c r="B48" s="417" t="s">
        <v>1102</v>
      </c>
      <c r="C48" s="417">
        <v>2010</v>
      </c>
      <c r="D48" s="417" t="s">
        <v>1068</v>
      </c>
      <c r="E48" s="417" t="s">
        <v>1112</v>
      </c>
      <c r="F48" s="430">
        <v>0</v>
      </c>
      <c r="J48" s="146">
        <v>19890953.550000001</v>
      </c>
    </row>
    <row r="49" spans="2:10">
      <c r="B49" s="417" t="s">
        <v>1103</v>
      </c>
      <c r="C49" s="417">
        <v>2010</v>
      </c>
      <c r="D49" s="417" t="s">
        <v>1068</v>
      </c>
      <c r="E49" s="417" t="s">
        <v>1113</v>
      </c>
      <c r="F49" s="430">
        <v>0</v>
      </c>
      <c r="J49" s="146">
        <v>6249659.021892</v>
      </c>
    </row>
    <row r="50" spans="2:10">
      <c r="B50" s="417" t="s">
        <v>1102</v>
      </c>
      <c r="C50" s="417">
        <v>2010</v>
      </c>
      <c r="D50" s="417" t="s">
        <v>1068</v>
      </c>
      <c r="E50" s="417" t="s">
        <v>1114</v>
      </c>
      <c r="F50" s="430">
        <v>0</v>
      </c>
      <c r="J50" s="146">
        <v>22669411.966598101</v>
      </c>
    </row>
    <row r="51" spans="2:10">
      <c r="B51" s="417" t="s">
        <v>1103</v>
      </c>
      <c r="C51" s="417">
        <v>2010</v>
      </c>
      <c r="D51" s="417" t="s">
        <v>1068</v>
      </c>
      <c r="E51" s="417" t="s">
        <v>1115</v>
      </c>
      <c r="F51" s="430">
        <v>0</v>
      </c>
      <c r="J51" s="146">
        <v>5373568.78296158</v>
      </c>
    </row>
    <row r="52" spans="2:10">
      <c r="B52" s="417" t="s">
        <v>1102</v>
      </c>
      <c r="C52" s="417">
        <v>2010</v>
      </c>
      <c r="D52" s="417" t="s">
        <v>1068</v>
      </c>
      <c r="E52" s="417" t="s">
        <v>1116</v>
      </c>
      <c r="F52" s="430">
        <v>0</v>
      </c>
      <c r="J52" s="146">
        <v>200795499.338337</v>
      </c>
    </row>
    <row r="53" spans="2:10">
      <c r="B53" s="417" t="s">
        <v>1103</v>
      </c>
      <c r="C53" s="417">
        <v>2010</v>
      </c>
      <c r="D53" s="417" t="s">
        <v>1068</v>
      </c>
      <c r="E53" s="417" t="s">
        <v>1117</v>
      </c>
      <c r="F53" s="430">
        <v>0</v>
      </c>
      <c r="J53" s="146">
        <v>39403202.117064901</v>
      </c>
    </row>
    <row r="54" spans="2:10">
      <c r="B54" s="417" t="s">
        <v>1102</v>
      </c>
      <c r="C54" s="417">
        <v>2010</v>
      </c>
      <c r="D54" s="417" t="s">
        <v>1068</v>
      </c>
      <c r="E54" s="417" t="s">
        <v>1118</v>
      </c>
      <c r="F54" s="430">
        <v>0</v>
      </c>
      <c r="J54" s="146">
        <v>17474985.038333301</v>
      </c>
    </row>
    <row r="55" spans="2:10">
      <c r="B55" s="417" t="s">
        <v>1103</v>
      </c>
      <c r="C55" s="417">
        <v>2010</v>
      </c>
      <c r="D55" s="417" t="s">
        <v>1068</v>
      </c>
      <c r="E55" s="417" t="s">
        <v>1119</v>
      </c>
      <c r="F55" s="430">
        <v>0</v>
      </c>
      <c r="J55" s="146">
        <v>6798415.3389121303</v>
      </c>
    </row>
    <row r="56" spans="2:10">
      <c r="B56" s="417" t="s">
        <v>1102</v>
      </c>
      <c r="C56" s="417">
        <v>2010</v>
      </c>
      <c r="D56" s="417" t="s">
        <v>1068</v>
      </c>
      <c r="E56" s="417" t="s">
        <v>1120</v>
      </c>
      <c r="F56" s="430">
        <v>0</v>
      </c>
      <c r="J56" s="146">
        <v>232067856.33715299</v>
      </c>
    </row>
    <row r="57" spans="2:10">
      <c r="B57" s="417" t="s">
        <v>1103</v>
      </c>
      <c r="C57" s="417">
        <v>2010</v>
      </c>
      <c r="D57" s="417" t="s">
        <v>1068</v>
      </c>
      <c r="E57" s="417" t="s">
        <v>1121</v>
      </c>
      <c r="F57" s="430">
        <v>0</v>
      </c>
      <c r="J57" s="146">
        <v>56133842.82</v>
      </c>
    </row>
    <row r="58" spans="2:10">
      <c r="B58" s="417" t="s">
        <v>1102</v>
      </c>
      <c r="C58" s="417">
        <v>2010</v>
      </c>
      <c r="D58" s="417" t="s">
        <v>1068</v>
      </c>
      <c r="E58" s="417" t="s">
        <v>1122</v>
      </c>
      <c r="F58" s="430">
        <v>0</v>
      </c>
      <c r="J58" s="146">
        <v>6386584.8300000001</v>
      </c>
    </row>
    <row r="59" spans="2:10">
      <c r="B59" s="417" t="s">
        <v>1103</v>
      </c>
      <c r="C59" s="417">
        <v>2010</v>
      </c>
      <c r="D59" s="417" t="s">
        <v>1068</v>
      </c>
      <c r="E59" s="417" t="s">
        <v>1123</v>
      </c>
      <c r="F59" s="430">
        <v>0</v>
      </c>
      <c r="J59" s="146">
        <v>1609435.3759989601</v>
      </c>
    </row>
    <row r="60" spans="2:10">
      <c r="B60" s="417" t="s">
        <v>1102</v>
      </c>
      <c r="C60" s="417">
        <v>2011</v>
      </c>
      <c r="D60" s="417" t="s">
        <v>1068</v>
      </c>
      <c r="E60" s="417" t="s">
        <v>1124</v>
      </c>
      <c r="F60" s="146">
        <v>216471739.68324199</v>
      </c>
      <c r="J60" s="146">
        <v>235447455.37324199</v>
      </c>
    </row>
    <row r="61" spans="2:10">
      <c r="B61" s="417" t="s">
        <v>1103</v>
      </c>
      <c r="C61" s="417">
        <v>2011</v>
      </c>
      <c r="D61" s="417" t="s">
        <v>1068</v>
      </c>
      <c r="E61" s="417" t="s">
        <v>1127</v>
      </c>
      <c r="F61" s="146">
        <v>36981739.341618776</v>
      </c>
      <c r="J61" s="146">
        <v>41851682.109690897</v>
      </c>
    </row>
    <row r="62" spans="2:10">
      <c r="B62" s="417" t="s">
        <v>1102</v>
      </c>
      <c r="C62" s="417">
        <v>2011</v>
      </c>
      <c r="D62" s="417" t="s">
        <v>1068</v>
      </c>
      <c r="E62" s="417" t="s">
        <v>1125</v>
      </c>
      <c r="F62" s="430">
        <v>0</v>
      </c>
      <c r="J62" s="146">
        <v>216471739.68324199</v>
      </c>
    </row>
    <row r="63" spans="2:10">
      <c r="B63" s="417" t="s">
        <v>1103</v>
      </c>
      <c r="C63" s="417">
        <v>2011</v>
      </c>
      <c r="D63" s="417" t="s">
        <v>1068</v>
      </c>
      <c r="E63" s="417" t="s">
        <v>1128</v>
      </c>
      <c r="F63" s="430">
        <v>0</v>
      </c>
      <c r="J63" s="146">
        <v>36981739.341618776</v>
      </c>
    </row>
    <row r="64" spans="2:10">
      <c r="B64" s="417" t="s">
        <v>1102</v>
      </c>
      <c r="C64" s="417">
        <v>2011</v>
      </c>
      <c r="D64" s="417" t="s">
        <v>1068</v>
      </c>
      <c r="E64" s="417" t="s">
        <v>1126</v>
      </c>
      <c r="F64" s="430">
        <v>0</v>
      </c>
      <c r="J64" s="146">
        <v>18975715.690000001</v>
      </c>
    </row>
    <row r="65" spans="1:43">
      <c r="B65" s="417" t="s">
        <v>1103</v>
      </c>
      <c r="C65" s="417">
        <v>2011</v>
      </c>
      <c r="D65" s="417" t="s">
        <v>1068</v>
      </c>
      <c r="E65" s="417" t="s">
        <v>1129</v>
      </c>
      <c r="F65" s="430">
        <v>0</v>
      </c>
      <c r="J65" s="146">
        <v>4869942.7680721181</v>
      </c>
    </row>
    <row r="66" spans="1:43" s="418" customFormat="1">
      <c r="A66" s="419"/>
      <c r="B66" s="419"/>
      <c r="C66" s="419"/>
      <c r="D66" s="419"/>
      <c r="E66" s="419"/>
      <c r="F66" s="419"/>
      <c r="G66" s="419"/>
      <c r="H66" s="419"/>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c r="AJ66" s="419"/>
      <c r="AK66" s="419"/>
      <c r="AL66" s="419"/>
      <c r="AM66" s="419"/>
      <c r="AN66" s="419"/>
      <c r="AO66" s="419"/>
      <c r="AP66" s="419"/>
      <c r="AQ66" s="419"/>
    </row>
    <row r="67" spans="1:43" s="422" customFormat="1">
      <c r="A67" s="420"/>
      <c r="B67" s="421" t="s">
        <v>1176</v>
      </c>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c r="AJ67" s="420"/>
      <c r="AK67" s="420"/>
      <c r="AL67" s="420"/>
      <c r="AM67" s="420"/>
      <c r="AN67" s="420"/>
      <c r="AO67" s="420"/>
      <c r="AP67" s="420"/>
      <c r="AQ67" s="420"/>
    </row>
    <row r="68" spans="1:43" s="418" customFormat="1">
      <c r="A68" s="419"/>
      <c r="B68" s="419"/>
      <c r="C68" s="419"/>
      <c r="D68" s="419"/>
      <c r="E68" s="419"/>
      <c r="F68" s="419"/>
      <c r="G68" s="419"/>
      <c r="H68" s="419"/>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c r="AJ68" s="419"/>
      <c r="AK68" s="419"/>
      <c r="AL68" s="419"/>
      <c r="AM68" s="419"/>
      <c r="AN68" s="419"/>
      <c r="AO68" s="419"/>
      <c r="AP68" s="419"/>
      <c r="AQ68" s="419"/>
    </row>
    <row r="69" spans="1:43" s="418" customFormat="1">
      <c r="A69" s="419"/>
      <c r="B69" s="419" t="s">
        <v>1041</v>
      </c>
      <c r="C69" s="419"/>
      <c r="D69" s="419"/>
      <c r="E69" s="419"/>
      <c r="F69" s="427" t="s">
        <v>1047</v>
      </c>
      <c r="G69" s="427"/>
      <c r="H69" s="427"/>
      <c r="I69" s="427"/>
      <c r="J69" s="427"/>
      <c r="K69" s="427"/>
      <c r="L69" s="427"/>
      <c r="M69" s="427"/>
      <c r="N69" s="427"/>
      <c r="O69" s="419"/>
      <c r="P69" s="419"/>
      <c r="Q69" s="419"/>
      <c r="R69" s="419"/>
      <c r="S69" s="419"/>
      <c r="T69" s="419"/>
      <c r="U69" s="419"/>
      <c r="V69" s="419"/>
      <c r="W69" s="419"/>
      <c r="X69" s="419"/>
      <c r="Y69" s="419"/>
      <c r="Z69" s="419"/>
      <c r="AA69" s="419"/>
      <c r="AB69" s="419"/>
      <c r="AC69" s="419"/>
      <c r="AD69" s="419"/>
      <c r="AE69" s="419"/>
      <c r="AF69" s="419"/>
      <c r="AG69" s="419"/>
      <c r="AH69" s="419"/>
      <c r="AI69" s="419"/>
      <c r="AJ69" s="419"/>
      <c r="AK69" s="419"/>
      <c r="AL69" s="419"/>
      <c r="AM69" s="419"/>
      <c r="AN69" s="419"/>
      <c r="AO69" s="419"/>
      <c r="AP69" s="419"/>
      <c r="AQ69" s="419"/>
    </row>
    <row r="70" spans="1:43" s="418" customFormat="1">
      <c r="A70" s="419"/>
      <c r="B70" s="423" t="s">
        <v>1042</v>
      </c>
      <c r="C70" s="419"/>
      <c r="D70" s="419"/>
      <c r="E70" s="419"/>
      <c r="F70" s="507" t="s">
        <v>1048</v>
      </c>
      <c r="G70" s="507"/>
      <c r="H70" s="507"/>
      <c r="I70" s="507"/>
      <c r="J70" s="507"/>
      <c r="K70" s="507"/>
      <c r="L70" s="507"/>
      <c r="M70" s="507"/>
      <c r="N70" s="507"/>
      <c r="O70" s="419"/>
      <c r="P70" s="419"/>
      <c r="Q70" s="419"/>
      <c r="R70" s="419"/>
      <c r="S70" s="419"/>
      <c r="T70" s="419"/>
      <c r="U70" s="419"/>
      <c r="V70" s="419"/>
      <c r="W70" s="419"/>
      <c r="X70" s="419"/>
      <c r="Y70" s="419"/>
      <c r="Z70" s="419"/>
      <c r="AA70" s="419"/>
      <c r="AB70" s="419"/>
      <c r="AC70" s="419"/>
      <c r="AD70" s="419"/>
      <c r="AE70" s="419"/>
      <c r="AF70" s="419"/>
      <c r="AG70" s="419"/>
      <c r="AH70" s="419"/>
      <c r="AI70" s="419"/>
      <c r="AJ70" s="419"/>
      <c r="AK70" s="419"/>
      <c r="AL70" s="419"/>
      <c r="AM70" s="419"/>
      <c r="AN70" s="419"/>
      <c r="AO70" s="419"/>
      <c r="AP70" s="419"/>
      <c r="AQ70" s="419"/>
    </row>
    <row r="71" spans="1:43" s="418" customFormat="1">
      <c r="A71" s="419"/>
      <c r="B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c r="AJ71" s="419"/>
      <c r="AK71" s="419"/>
      <c r="AL71" s="419"/>
      <c r="AM71" s="419"/>
      <c r="AN71" s="419"/>
      <c r="AO71" s="419"/>
      <c r="AP71" s="419"/>
      <c r="AQ71" s="419"/>
    </row>
    <row r="72" spans="1:43" s="418" customFormat="1">
      <c r="A72" s="419"/>
      <c r="B72" s="424" t="s">
        <v>1043</v>
      </c>
      <c r="C72" s="424" t="s">
        <v>1</v>
      </c>
      <c r="D72" s="425" t="s">
        <v>1049</v>
      </c>
      <c r="E72" s="425" t="s">
        <v>1050</v>
      </c>
      <c r="F72" s="424" t="s">
        <v>1044</v>
      </c>
      <c r="G72" s="424"/>
      <c r="H72" s="424" t="s">
        <v>1045</v>
      </c>
      <c r="J72" s="424" t="s">
        <v>1046</v>
      </c>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c r="AJ72" s="419"/>
      <c r="AK72" s="419"/>
      <c r="AL72" s="419"/>
      <c r="AM72" s="419"/>
      <c r="AN72" s="419"/>
      <c r="AO72" s="419"/>
      <c r="AP72" s="419"/>
      <c r="AQ72" s="419"/>
    </row>
    <row r="73" spans="1:43" s="418" customFormat="1">
      <c r="A73" s="419"/>
      <c r="B73" s="419" t="s">
        <v>1060</v>
      </c>
      <c r="C73" s="419">
        <v>2010</v>
      </c>
      <c r="D73" s="419" t="s">
        <v>1051</v>
      </c>
      <c r="E73" s="419" t="s">
        <v>1084</v>
      </c>
      <c r="F73" s="146">
        <v>145539.04091748325</v>
      </c>
      <c r="G73" s="417"/>
      <c r="H73" s="146">
        <f>'Berekening kosten dub. deb.'!G112-F73</f>
        <v>0</v>
      </c>
      <c r="I73" s="417"/>
      <c r="J73" s="196">
        <f t="shared" ref="J73:J80" si="1">F73+H73</f>
        <v>145539.04091748325</v>
      </c>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c r="AJ73" s="419"/>
      <c r="AK73" s="419"/>
      <c r="AL73" s="419"/>
      <c r="AM73" s="419"/>
      <c r="AN73" s="419"/>
      <c r="AO73" s="419"/>
      <c r="AP73" s="419"/>
      <c r="AQ73" s="419"/>
    </row>
    <row r="74" spans="1:43">
      <c r="B74" s="419" t="s">
        <v>1061</v>
      </c>
      <c r="C74" s="419">
        <v>2010</v>
      </c>
      <c r="D74" s="419" t="s">
        <v>1051</v>
      </c>
      <c r="E74" s="417" t="s">
        <v>1085</v>
      </c>
      <c r="F74" s="146">
        <v>51910.339464715638</v>
      </c>
      <c r="H74" s="146">
        <f>'Berekening kosten dub. deb.'!H112-F74</f>
        <v>0</v>
      </c>
      <c r="J74" s="196">
        <f t="shared" si="1"/>
        <v>51910.339464715638</v>
      </c>
    </row>
    <row r="75" spans="1:43">
      <c r="B75" s="419" t="s">
        <v>1062</v>
      </c>
      <c r="C75" s="419">
        <v>2010</v>
      </c>
      <c r="D75" s="419" t="s">
        <v>1051</v>
      </c>
      <c r="E75" s="417" t="s">
        <v>1086</v>
      </c>
      <c r="F75" s="146">
        <v>132326.63772377957</v>
      </c>
      <c r="H75" s="146">
        <f>'Berekening kosten dub. deb.'!I112-F75</f>
        <v>82235.364263652562</v>
      </c>
      <c r="J75" s="196">
        <f t="shared" si="1"/>
        <v>214562.00198743213</v>
      </c>
    </row>
    <row r="76" spans="1:43">
      <c r="B76" s="419" t="s">
        <v>1063</v>
      </c>
      <c r="C76" s="419">
        <v>2010</v>
      </c>
      <c r="D76" s="419" t="s">
        <v>1051</v>
      </c>
      <c r="E76" s="417" t="s">
        <v>1087</v>
      </c>
      <c r="F76" s="146">
        <v>721686.70721503545</v>
      </c>
      <c r="H76" s="146">
        <f>'Berekening kosten dub. deb.'!J112-F76</f>
        <v>0</v>
      </c>
      <c r="J76" s="196">
        <f t="shared" si="1"/>
        <v>721686.70721503545</v>
      </c>
    </row>
    <row r="77" spans="1:43">
      <c r="B77" s="419" t="s">
        <v>1064</v>
      </c>
      <c r="C77" s="419">
        <v>2010</v>
      </c>
      <c r="D77" s="419" t="s">
        <v>1051</v>
      </c>
      <c r="E77" s="417" t="s">
        <v>1088</v>
      </c>
      <c r="F77" s="146">
        <v>1324010.6575595569</v>
      </c>
      <c r="H77" s="146">
        <f>'Berekening kosten dub. deb.'!K112-F77</f>
        <v>16249.931654578075</v>
      </c>
      <c r="J77" s="196">
        <f t="shared" si="1"/>
        <v>1340260.589214135</v>
      </c>
    </row>
    <row r="78" spans="1:43">
      <c r="B78" s="419" t="s">
        <v>1065</v>
      </c>
      <c r="C78" s="419">
        <v>2010</v>
      </c>
      <c r="D78" s="419" t="s">
        <v>1051</v>
      </c>
      <c r="E78" s="417" t="s">
        <v>1089</v>
      </c>
      <c r="F78" s="146">
        <v>45851.076654846896</v>
      </c>
      <c r="H78" s="146">
        <f>'Berekening kosten dub. deb.'!L112-F78</f>
        <v>0</v>
      </c>
      <c r="J78" s="196">
        <f t="shared" si="1"/>
        <v>45851.076654846896</v>
      </c>
    </row>
    <row r="79" spans="1:43">
      <c r="B79" s="419" t="s">
        <v>1066</v>
      </c>
      <c r="C79" s="419">
        <v>2010</v>
      </c>
      <c r="D79" s="419" t="s">
        <v>1051</v>
      </c>
      <c r="E79" s="417" t="s">
        <v>1090</v>
      </c>
      <c r="F79" s="146">
        <v>2310844.4214120531</v>
      </c>
      <c r="H79" s="146">
        <f>'Berekening kosten dub. deb.'!M112-F79</f>
        <v>0</v>
      </c>
      <c r="J79" s="196">
        <f t="shared" si="1"/>
        <v>2310844.4214120531</v>
      </c>
    </row>
    <row r="80" spans="1:43">
      <c r="B80" s="419" t="s">
        <v>1067</v>
      </c>
      <c r="C80" s="419">
        <v>2010</v>
      </c>
      <c r="D80" s="419" t="s">
        <v>1051</v>
      </c>
      <c r="E80" s="417" t="s">
        <v>1091</v>
      </c>
      <c r="F80" s="146">
        <v>182858.68439422306</v>
      </c>
      <c r="H80" s="146">
        <f>'Berekening kosten dub. deb.'!N112-F80</f>
        <v>-110024.86449816036</v>
      </c>
      <c r="J80" s="196">
        <f t="shared" si="1"/>
        <v>72833.819896062705</v>
      </c>
    </row>
    <row r="82" spans="2:10">
      <c r="B82" s="419" t="s">
        <v>1060</v>
      </c>
      <c r="C82" s="419">
        <v>2011</v>
      </c>
      <c r="D82" s="419" t="s">
        <v>1051</v>
      </c>
      <c r="E82" s="419" t="s">
        <v>1092</v>
      </c>
      <c r="F82" s="146">
        <v>130396.61332902484</v>
      </c>
      <c r="H82" s="146">
        <f>'Berekening kosten dub. deb.'!G113-F82</f>
        <v>0</v>
      </c>
      <c r="J82" s="196">
        <f t="shared" ref="J82:J89" si="2">F82+H82</f>
        <v>130396.61332902484</v>
      </c>
    </row>
    <row r="83" spans="2:10">
      <c r="B83" s="419" t="s">
        <v>1061</v>
      </c>
      <c r="C83" s="419">
        <v>2011</v>
      </c>
      <c r="D83" s="419" t="s">
        <v>1051</v>
      </c>
      <c r="E83" s="417" t="s">
        <v>1093</v>
      </c>
      <c r="F83" s="146">
        <v>110267.60818553306</v>
      </c>
      <c r="H83" s="146">
        <f>'Berekening kosten dub. deb.'!H113-F83</f>
        <v>0</v>
      </c>
      <c r="J83" s="196">
        <f t="shared" si="2"/>
        <v>110267.60818553306</v>
      </c>
    </row>
    <row r="84" spans="2:10">
      <c r="B84" s="419" t="s">
        <v>1062</v>
      </c>
      <c r="C84" s="419">
        <v>2011</v>
      </c>
      <c r="D84" s="419" t="s">
        <v>1051</v>
      </c>
      <c r="E84" s="417" t="s">
        <v>1094</v>
      </c>
      <c r="F84" s="146">
        <v>229306.39462592729</v>
      </c>
      <c r="H84" s="146">
        <f>'Berekening kosten dub. deb.'!I113-F84</f>
        <v>0</v>
      </c>
      <c r="J84" s="196">
        <f t="shared" si="2"/>
        <v>229306.39462592729</v>
      </c>
    </row>
    <row r="85" spans="2:10">
      <c r="B85" s="419" t="s">
        <v>1063</v>
      </c>
      <c r="C85" s="419">
        <v>2011</v>
      </c>
      <c r="D85" s="419" t="s">
        <v>1051</v>
      </c>
      <c r="E85" s="417" t="s">
        <v>1095</v>
      </c>
      <c r="F85" s="146">
        <v>366151.94490542519</v>
      </c>
      <c r="H85" s="146">
        <f>'Berekening kosten dub. deb.'!J113-F85</f>
        <v>15359.00309617829</v>
      </c>
      <c r="J85" s="196">
        <f t="shared" si="2"/>
        <v>381510.94800160348</v>
      </c>
    </row>
    <row r="86" spans="2:10">
      <c r="B86" s="419" t="s">
        <v>1064</v>
      </c>
      <c r="C86" s="419">
        <v>2011</v>
      </c>
      <c r="D86" s="419" t="s">
        <v>1051</v>
      </c>
      <c r="E86" s="417" t="s">
        <v>1096</v>
      </c>
      <c r="F86" s="146">
        <v>1072130.6580823995</v>
      </c>
      <c r="H86" s="146">
        <f>'Berekening kosten dub. deb.'!K113-F86</f>
        <v>0</v>
      </c>
      <c r="J86" s="196">
        <f t="shared" si="2"/>
        <v>1072130.6580823995</v>
      </c>
    </row>
    <row r="87" spans="2:10">
      <c r="B87" s="419" t="s">
        <v>1065</v>
      </c>
      <c r="C87" s="419">
        <v>2011</v>
      </c>
      <c r="D87" s="419" t="s">
        <v>1051</v>
      </c>
      <c r="E87" s="417" t="s">
        <v>1097</v>
      </c>
      <c r="F87" s="146">
        <v>53330.463202488841</v>
      </c>
      <c r="H87" s="146">
        <f>'Berekening kosten dub. deb.'!L113-F87</f>
        <v>0</v>
      </c>
      <c r="J87" s="196">
        <f t="shared" si="2"/>
        <v>53330.463202488841</v>
      </c>
    </row>
    <row r="88" spans="2:10">
      <c r="B88" s="419" t="s">
        <v>1066</v>
      </c>
      <c r="C88" s="419">
        <v>2011</v>
      </c>
      <c r="D88" s="419" t="s">
        <v>1051</v>
      </c>
      <c r="E88" s="417" t="s">
        <v>1098</v>
      </c>
      <c r="F88" s="146">
        <v>1802985.1917154682</v>
      </c>
      <c r="H88" s="146">
        <f>'Berekening kosten dub. deb.'!M113-F88</f>
        <v>0</v>
      </c>
      <c r="J88" s="196">
        <f t="shared" si="2"/>
        <v>1802985.1917154682</v>
      </c>
    </row>
    <row r="89" spans="2:10">
      <c r="B89" s="419" t="s">
        <v>1067</v>
      </c>
      <c r="C89" s="419">
        <v>2011</v>
      </c>
      <c r="D89" s="419" t="s">
        <v>1051</v>
      </c>
      <c r="E89" s="417" t="s">
        <v>1099</v>
      </c>
      <c r="F89" s="146">
        <v>8482.3863113544157</v>
      </c>
      <c r="H89" s="146">
        <f>'Berekening kosten dub. deb.'!N113-F89</f>
        <v>0</v>
      </c>
      <c r="J89" s="196">
        <f t="shared" si="2"/>
        <v>8482.3863113544157</v>
      </c>
    </row>
    <row r="91" spans="2:10">
      <c r="B91" s="419" t="s">
        <v>1060</v>
      </c>
      <c r="C91" s="419">
        <v>2012</v>
      </c>
      <c r="D91" s="419" t="s">
        <v>1051</v>
      </c>
      <c r="E91" s="419" t="s">
        <v>1052</v>
      </c>
      <c r="F91" s="146">
        <v>56728.389292617765</v>
      </c>
      <c r="H91" s="146">
        <f>'Berekening kosten dub. deb.'!G114-F91</f>
        <v>0</v>
      </c>
      <c r="J91" s="196">
        <f t="shared" ref="J91:J98" si="3">F91+H91</f>
        <v>56728.389292617765</v>
      </c>
    </row>
    <row r="92" spans="2:10">
      <c r="B92" s="419" t="s">
        <v>1061</v>
      </c>
      <c r="C92" s="419">
        <v>2012</v>
      </c>
      <c r="D92" s="419" t="s">
        <v>1051</v>
      </c>
      <c r="E92" s="417" t="s">
        <v>1053</v>
      </c>
      <c r="F92" s="146">
        <v>1000</v>
      </c>
      <c r="H92" s="146">
        <f>'Berekening kosten dub. deb.'!H114-F92</f>
        <v>-1000</v>
      </c>
      <c r="J92" s="196">
        <f t="shared" si="3"/>
        <v>0</v>
      </c>
    </row>
    <row r="93" spans="2:10">
      <c r="B93" s="419" t="s">
        <v>1062</v>
      </c>
      <c r="C93" s="419">
        <v>2012</v>
      </c>
      <c r="D93" s="419" t="s">
        <v>1051</v>
      </c>
      <c r="E93" s="417" t="s">
        <v>1054</v>
      </c>
      <c r="F93" s="146">
        <v>243484.29073145855</v>
      </c>
      <c r="H93" s="146">
        <f>'Berekening kosten dub. deb.'!I114-F93</f>
        <v>0</v>
      </c>
      <c r="J93" s="196">
        <f t="shared" si="3"/>
        <v>243484.29073145855</v>
      </c>
    </row>
    <row r="94" spans="2:10">
      <c r="B94" s="419" t="s">
        <v>1063</v>
      </c>
      <c r="C94" s="419">
        <v>2012</v>
      </c>
      <c r="D94" s="419" t="s">
        <v>1051</v>
      </c>
      <c r="E94" s="417" t="s">
        <v>1055</v>
      </c>
      <c r="F94" s="146">
        <v>834318.88587106334</v>
      </c>
      <c r="H94" s="146">
        <f>'Berekening kosten dub. deb.'!J114-F94</f>
        <v>0</v>
      </c>
      <c r="J94" s="196">
        <f t="shared" si="3"/>
        <v>834318.88587106334</v>
      </c>
    </row>
    <row r="95" spans="2:10">
      <c r="B95" s="419" t="s">
        <v>1064</v>
      </c>
      <c r="C95" s="419">
        <v>2012</v>
      </c>
      <c r="D95" s="419" t="s">
        <v>1051</v>
      </c>
      <c r="E95" s="417" t="s">
        <v>1056</v>
      </c>
      <c r="F95" s="146">
        <v>2798308.817236715</v>
      </c>
      <c r="H95" s="146">
        <f>'Berekening kosten dub. deb.'!K114-F95</f>
        <v>-1905310</v>
      </c>
      <c r="J95" s="196">
        <f t="shared" si="3"/>
        <v>892998.817236715</v>
      </c>
    </row>
    <row r="96" spans="2:10">
      <c r="B96" s="419" t="s">
        <v>1065</v>
      </c>
      <c r="C96" s="419">
        <v>2012</v>
      </c>
      <c r="D96" s="419" t="s">
        <v>1051</v>
      </c>
      <c r="E96" s="417" t="s">
        <v>1057</v>
      </c>
      <c r="F96" s="146">
        <v>34671.981218030065</v>
      </c>
      <c r="H96" s="146">
        <f>'Berekening kosten dub. deb.'!L114-F96</f>
        <v>0</v>
      </c>
      <c r="J96" s="196">
        <f t="shared" si="3"/>
        <v>34671.981218030065</v>
      </c>
    </row>
    <row r="97" spans="1:43">
      <c r="B97" s="419" t="s">
        <v>1066</v>
      </c>
      <c r="C97" s="419">
        <v>2012</v>
      </c>
      <c r="D97" s="419" t="s">
        <v>1051</v>
      </c>
      <c r="E97" s="417" t="s">
        <v>1058</v>
      </c>
      <c r="F97" s="146">
        <v>4156203.4105809024</v>
      </c>
      <c r="H97" s="146">
        <f>'Berekening kosten dub. deb.'!M114-F97</f>
        <v>-2127868</v>
      </c>
      <c r="J97" s="196">
        <f t="shared" si="3"/>
        <v>2028335.4105809024</v>
      </c>
    </row>
    <row r="98" spans="1:43">
      <c r="B98" s="419" t="s">
        <v>1067</v>
      </c>
      <c r="C98" s="419">
        <v>2012</v>
      </c>
      <c r="D98" s="419" t="s">
        <v>1051</v>
      </c>
      <c r="E98" s="417" t="s">
        <v>1059</v>
      </c>
      <c r="F98" s="146">
        <v>19096.105720589199</v>
      </c>
      <c r="H98" s="146">
        <f>'Berekening kosten dub. deb.'!N114-F98</f>
        <v>0</v>
      </c>
      <c r="J98" s="196">
        <f t="shared" si="3"/>
        <v>19096.105720589199</v>
      </c>
    </row>
    <row r="100" spans="1:43" s="422" customFormat="1">
      <c r="A100" s="420"/>
      <c r="B100" s="421" t="s">
        <v>1133</v>
      </c>
      <c r="C100" s="420"/>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c r="AJ100" s="420"/>
      <c r="AK100" s="420"/>
      <c r="AL100" s="420"/>
      <c r="AM100" s="420"/>
      <c r="AN100" s="420"/>
      <c r="AO100" s="420"/>
      <c r="AP100" s="420"/>
      <c r="AQ100" s="420"/>
    </row>
    <row r="102" spans="1:43">
      <c r="B102" s="417" t="s">
        <v>1074</v>
      </c>
      <c r="F102" s="417" t="s">
        <v>1134</v>
      </c>
    </row>
    <row r="104" spans="1:43">
      <c r="B104" s="424" t="s">
        <v>1043</v>
      </c>
      <c r="C104" s="424" t="s">
        <v>1</v>
      </c>
      <c r="D104" s="424" t="s">
        <v>1049</v>
      </c>
      <c r="E104" s="429" t="s">
        <v>1050</v>
      </c>
      <c r="F104" s="424" t="s">
        <v>1044</v>
      </c>
      <c r="G104" s="424"/>
      <c r="H104" s="424" t="s">
        <v>1045</v>
      </c>
      <c r="I104" s="418"/>
      <c r="J104" s="424" t="s">
        <v>1046</v>
      </c>
    </row>
    <row r="105" spans="1:43">
      <c r="B105" s="25" t="s">
        <v>124</v>
      </c>
      <c r="C105" s="417">
        <v>2009</v>
      </c>
      <c r="D105" s="417" t="s">
        <v>1076</v>
      </c>
      <c r="E105" s="417" t="s">
        <v>1135</v>
      </c>
      <c r="F105" s="87">
        <v>4386203.3390829172</v>
      </c>
      <c r="H105" s="146">
        <v>-218000</v>
      </c>
      <c r="J105" s="196">
        <f>F105+H105</f>
        <v>4168203.3390829172</v>
      </c>
    </row>
    <row r="106" spans="1:43">
      <c r="B106" s="25" t="s">
        <v>124</v>
      </c>
      <c r="C106" s="417">
        <v>2009</v>
      </c>
      <c r="D106" s="417" t="s">
        <v>1077</v>
      </c>
      <c r="E106" s="417" t="s">
        <v>1136</v>
      </c>
      <c r="F106" s="87">
        <v>6348003.5191888027</v>
      </c>
      <c r="H106" s="146">
        <v>-41000</v>
      </c>
      <c r="J106" s="196">
        <f t="shared" ref="J106:J107" si="4">F106+H106</f>
        <v>6307003.5191888027</v>
      </c>
    </row>
    <row r="107" spans="1:43">
      <c r="B107" s="25" t="s">
        <v>124</v>
      </c>
      <c r="C107" s="417">
        <v>2009</v>
      </c>
      <c r="D107" s="417" t="s">
        <v>1077</v>
      </c>
      <c r="E107" s="417" t="s">
        <v>1137</v>
      </c>
      <c r="F107" s="87">
        <v>183399.97331561829</v>
      </c>
      <c r="H107" s="146">
        <v>-8000</v>
      </c>
      <c r="J107" s="196">
        <f t="shared" si="4"/>
        <v>175399.97331561829</v>
      </c>
    </row>
    <row r="109" spans="1:43">
      <c r="A109" s="420"/>
      <c r="B109" s="421" t="s">
        <v>1073</v>
      </c>
      <c r="C109" s="420"/>
      <c r="D109" s="420"/>
      <c r="E109" s="420"/>
      <c r="F109" s="420"/>
      <c r="G109" s="420"/>
      <c r="H109" s="420"/>
      <c r="I109" s="420"/>
      <c r="J109" s="420"/>
    </row>
    <row r="111" spans="1:43">
      <c r="B111" s="417" t="s">
        <v>1074</v>
      </c>
      <c r="F111" s="431" t="s">
        <v>1075</v>
      </c>
    </row>
    <row r="112" spans="1:43">
      <c r="F112" s="431"/>
    </row>
    <row r="113" spans="2:10">
      <c r="B113" s="424" t="s">
        <v>1043</v>
      </c>
      <c r="C113" s="424" t="s">
        <v>1</v>
      </c>
      <c r="D113" s="424" t="s">
        <v>1049</v>
      </c>
      <c r="E113" s="429" t="s">
        <v>1050</v>
      </c>
      <c r="F113" s="424" t="s">
        <v>1044</v>
      </c>
      <c r="G113" s="424"/>
      <c r="H113" s="424" t="s">
        <v>1045</v>
      </c>
      <c r="I113" s="418"/>
      <c r="J113" s="424" t="s">
        <v>1046</v>
      </c>
    </row>
    <row r="114" spans="2:10">
      <c r="B114" s="25" t="s">
        <v>123</v>
      </c>
      <c r="C114" s="417">
        <v>2009</v>
      </c>
      <c r="D114" s="417" t="s">
        <v>1076</v>
      </c>
      <c r="E114" s="417" t="s">
        <v>1078</v>
      </c>
      <c r="F114" s="146">
        <v>23771770.375</v>
      </c>
      <c r="H114" s="146">
        <f>-8016250*6.2%</f>
        <v>-497007.5</v>
      </c>
      <c r="J114" s="196">
        <f>F114+H114</f>
        <v>23274762.875</v>
      </c>
    </row>
    <row r="115" spans="2:10">
      <c r="B115" s="25" t="s">
        <v>123</v>
      </c>
      <c r="C115" s="417">
        <v>2009</v>
      </c>
      <c r="D115" s="417" t="s">
        <v>1076</v>
      </c>
      <c r="E115" s="417" t="s">
        <v>1079</v>
      </c>
      <c r="F115" s="146">
        <v>73057503.959663898</v>
      </c>
      <c r="H115" s="146">
        <f>-8016250*25.6%</f>
        <v>-2052160</v>
      </c>
      <c r="J115" s="196">
        <f t="shared" ref="J115" si="5">F115+H115</f>
        <v>71005343.959663898</v>
      </c>
    </row>
    <row r="118" spans="2:10">
      <c r="B118" s="417" t="s">
        <v>1074</v>
      </c>
      <c r="F118" s="431" t="s">
        <v>1138</v>
      </c>
    </row>
    <row r="119" spans="2:10">
      <c r="F119" s="431"/>
    </row>
    <row r="120" spans="2:10">
      <c r="B120" s="424" t="s">
        <v>1043</v>
      </c>
      <c r="C120" s="424" t="s">
        <v>1</v>
      </c>
      <c r="D120" s="424" t="s">
        <v>1049</v>
      </c>
      <c r="E120" s="429" t="s">
        <v>1050</v>
      </c>
      <c r="F120" s="424" t="s">
        <v>1044</v>
      </c>
      <c r="G120" s="424"/>
      <c r="H120" s="424" t="s">
        <v>1045</v>
      </c>
      <c r="I120" s="418"/>
      <c r="J120" s="424" t="s">
        <v>1046</v>
      </c>
    </row>
    <row r="121" spans="2:10">
      <c r="B121" s="25" t="s">
        <v>123</v>
      </c>
      <c r="C121" s="417">
        <v>2009</v>
      </c>
      <c r="D121" s="417" t="s">
        <v>1076</v>
      </c>
      <c r="E121" s="417" t="s">
        <v>1078</v>
      </c>
      <c r="F121" s="134">
        <f>J114</f>
        <v>23274762.875</v>
      </c>
      <c r="H121" s="146">
        <f>-307930*6.2%</f>
        <v>-19091.66</v>
      </c>
      <c r="J121" s="196">
        <f>F121+H121</f>
        <v>23255671.215</v>
      </c>
    </row>
    <row r="122" spans="2:10">
      <c r="B122" s="25" t="s">
        <v>123</v>
      </c>
      <c r="C122" s="417">
        <v>2009</v>
      </c>
      <c r="D122" s="417" t="s">
        <v>1076</v>
      </c>
      <c r="E122" s="417" t="s">
        <v>1079</v>
      </c>
      <c r="F122" s="134">
        <f>J115</f>
        <v>71005343.959663898</v>
      </c>
      <c r="H122" s="146">
        <f>-307930*25.6%</f>
        <v>-78830.080000000002</v>
      </c>
      <c r="J122" s="196">
        <f>F122+H122</f>
        <v>70926513.8796639</v>
      </c>
    </row>
    <row r="125" spans="2:10">
      <c r="B125" s="417" t="s">
        <v>1074</v>
      </c>
      <c r="F125" s="431" t="s">
        <v>1154</v>
      </c>
    </row>
    <row r="126" spans="2:10">
      <c r="F126" s="431"/>
    </row>
    <row r="127" spans="2:10">
      <c r="B127" s="424" t="s">
        <v>1043</v>
      </c>
      <c r="C127" s="424" t="s">
        <v>1</v>
      </c>
      <c r="D127" s="424" t="s">
        <v>1049</v>
      </c>
      <c r="E127" s="429" t="s">
        <v>1050</v>
      </c>
      <c r="F127" s="424" t="s">
        <v>1044</v>
      </c>
      <c r="G127" s="424"/>
      <c r="H127" s="424" t="s">
        <v>1045</v>
      </c>
      <c r="I127" s="418"/>
      <c r="J127" s="424" t="s">
        <v>1046</v>
      </c>
    </row>
    <row r="128" spans="2:10">
      <c r="B128" s="25" t="s">
        <v>123</v>
      </c>
      <c r="C128" s="417">
        <v>2010</v>
      </c>
      <c r="D128" s="417" t="s">
        <v>1076</v>
      </c>
      <c r="E128" s="417" t="s">
        <v>1155</v>
      </c>
      <c r="F128" s="134">
        <v>22667526.526000001</v>
      </c>
      <c r="H128" s="146">
        <f>1200000*(F128/SUM(F128:F129))</f>
        <v>339901.09335032915</v>
      </c>
      <c r="J128" s="196">
        <f>F128+H128</f>
        <v>23007427.619350329</v>
      </c>
    </row>
    <row r="129" spans="1:43">
      <c r="B129" s="25" t="s">
        <v>123</v>
      </c>
      <c r="C129" s="417">
        <v>2010</v>
      </c>
      <c r="D129" s="417" t="s">
        <v>1076</v>
      </c>
      <c r="E129" s="417" t="s">
        <v>1117</v>
      </c>
      <c r="F129" s="134">
        <v>57358788.079479799</v>
      </c>
      <c r="H129" s="146">
        <f>1200000*(F129/SUM(F128:F129))</f>
        <v>860098.9066496708</v>
      </c>
      <c r="J129" s="196">
        <f>F129+H129</f>
        <v>58218886.98612947</v>
      </c>
    </row>
    <row r="130" spans="1:43">
      <c r="B130" s="25" t="s">
        <v>1171</v>
      </c>
      <c r="C130" s="417">
        <v>2010</v>
      </c>
      <c r="D130" s="417" t="s">
        <v>1170</v>
      </c>
      <c r="E130" s="417" t="s">
        <v>1172</v>
      </c>
      <c r="F130" s="134">
        <v>5876000</v>
      </c>
      <c r="H130" s="146">
        <v>300000</v>
      </c>
      <c r="J130" s="196">
        <f>F130+H130</f>
        <v>6176000</v>
      </c>
    </row>
    <row r="131" spans="1:43">
      <c r="B131" s="25" t="s">
        <v>1171</v>
      </c>
      <c r="C131" s="417">
        <v>2010</v>
      </c>
      <c r="D131" s="417" t="s">
        <v>1170</v>
      </c>
      <c r="E131" s="417" t="s">
        <v>1173</v>
      </c>
      <c r="F131" s="134">
        <v>5609700</v>
      </c>
      <c r="H131" s="146">
        <v>300000</v>
      </c>
      <c r="J131" s="196">
        <f>F131+H131</f>
        <v>5909700</v>
      </c>
    </row>
    <row r="133" spans="1:43">
      <c r="A133" s="420"/>
      <c r="B133" s="421" t="s">
        <v>1080</v>
      </c>
      <c r="C133" s="420"/>
      <c r="D133" s="420"/>
      <c r="E133" s="420"/>
      <c r="F133" s="420"/>
      <c r="G133" s="420"/>
      <c r="H133" s="420"/>
      <c r="I133" s="420"/>
      <c r="J133" s="420"/>
    </row>
    <row r="135" spans="1:43">
      <c r="B135" s="417" t="s">
        <v>1074</v>
      </c>
      <c r="F135" s="431" t="s">
        <v>1081</v>
      </c>
    </row>
    <row r="136" spans="1:43">
      <c r="F136" s="431"/>
    </row>
    <row r="137" spans="1:43">
      <c r="B137" s="424" t="s">
        <v>1043</v>
      </c>
      <c r="C137" s="424" t="s">
        <v>1</v>
      </c>
      <c r="D137" s="424" t="s">
        <v>1049</v>
      </c>
      <c r="E137" s="429" t="s">
        <v>1050</v>
      </c>
      <c r="F137" s="424" t="s">
        <v>1044</v>
      </c>
      <c r="G137" s="424"/>
      <c r="H137" s="424" t="s">
        <v>1045</v>
      </c>
      <c r="I137" s="418"/>
      <c r="J137" s="424" t="s">
        <v>1046</v>
      </c>
    </row>
    <row r="138" spans="1:43">
      <c r="B138" s="417" t="s">
        <v>1082</v>
      </c>
      <c r="C138" s="417">
        <v>2009</v>
      </c>
      <c r="D138" s="417" t="s">
        <v>1076</v>
      </c>
      <c r="E138" s="417" t="s">
        <v>1156</v>
      </c>
      <c r="F138" s="146">
        <v>45792442.119944803</v>
      </c>
      <c r="H138" s="432">
        <f>-2446442*21%*(49343/(49343+49499))</f>
        <v>-256470.9880137998</v>
      </c>
      <c r="J138" s="196">
        <f>F138+H138</f>
        <v>45535971.131931007</v>
      </c>
    </row>
    <row r="139" spans="1:43">
      <c r="B139" s="417" t="s">
        <v>1083</v>
      </c>
      <c r="C139" s="417">
        <v>2009</v>
      </c>
      <c r="D139" s="417" t="s">
        <v>1076</v>
      </c>
      <c r="E139" s="417" t="s">
        <v>1157</v>
      </c>
      <c r="F139" s="146">
        <v>45936348.3945041</v>
      </c>
      <c r="H139" s="432">
        <f>-2446442*21%*(49499/(49343+49499))</f>
        <v>-257281.83198620018</v>
      </c>
      <c r="J139" s="196">
        <f>F139+H139</f>
        <v>45679066.562517896</v>
      </c>
    </row>
    <row r="141" spans="1:43" s="422" customFormat="1">
      <c r="A141" s="420"/>
      <c r="B141" s="421" t="s">
        <v>1153</v>
      </c>
      <c r="C141" s="420"/>
      <c r="D141" s="420"/>
      <c r="E141" s="420"/>
      <c r="F141" s="420"/>
      <c r="G141" s="420"/>
      <c r="H141" s="420"/>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c r="AJ141" s="420"/>
      <c r="AK141" s="420"/>
      <c r="AL141" s="420"/>
      <c r="AM141" s="420"/>
      <c r="AN141" s="420"/>
      <c r="AO141" s="420"/>
      <c r="AP141" s="420"/>
      <c r="AQ141" s="420"/>
    </row>
    <row r="143" spans="1:43">
      <c r="B143" s="417" t="s">
        <v>1074</v>
      </c>
      <c r="F143" s="417" t="s">
        <v>1152</v>
      </c>
    </row>
    <row r="145" spans="2:10">
      <c r="B145" s="424" t="s">
        <v>1043</v>
      </c>
      <c r="C145" s="424"/>
      <c r="D145" s="424" t="s">
        <v>1049</v>
      </c>
      <c r="E145" s="429" t="s">
        <v>1050</v>
      </c>
      <c r="F145" s="424" t="s">
        <v>1044</v>
      </c>
      <c r="G145" s="424"/>
      <c r="I145" s="418"/>
      <c r="J145" s="424" t="s">
        <v>1046</v>
      </c>
    </row>
    <row r="146" spans="2:10">
      <c r="B146" s="258" t="s">
        <v>681</v>
      </c>
      <c r="D146" s="417" t="s">
        <v>93</v>
      </c>
      <c r="E146" s="417" t="s">
        <v>1149</v>
      </c>
      <c r="F146" s="442">
        <v>-1.1893216085974691E-2</v>
      </c>
      <c r="J146" s="443">
        <v>-9.6570955999744374E-3</v>
      </c>
    </row>
    <row r="147" spans="2:10">
      <c r="B147" s="258" t="s">
        <v>682</v>
      </c>
      <c r="D147" s="417" t="s">
        <v>93</v>
      </c>
      <c r="E147" s="417" t="s">
        <v>1150</v>
      </c>
      <c r="F147" s="442">
        <v>7.1468510838910183E-3</v>
      </c>
      <c r="J147" s="443">
        <v>5.875799769662504E-3</v>
      </c>
    </row>
    <row r="148" spans="2:10">
      <c r="B148" s="258" t="s">
        <v>683</v>
      </c>
      <c r="D148" s="417" t="s">
        <v>93</v>
      </c>
      <c r="E148" s="417" t="s">
        <v>1151</v>
      </c>
      <c r="F148" s="442">
        <v>2.9755159545272341E-2</v>
      </c>
      <c r="J148" s="443">
        <v>2.2651810875410197E-2</v>
      </c>
    </row>
  </sheetData>
  <mergeCells count="2">
    <mergeCell ref="F35:N35"/>
    <mergeCell ref="F70:N70"/>
  </mergeCells>
  <pageMargins left="0.70866141732283472" right="0.70866141732283472" top="0.74803149606299213" bottom="0.74803149606299213" header="0.31496062992125984" footer="0.31496062992125984"/>
  <pageSetup paperSize="8" scale="5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B1:Q91"/>
  <sheetViews>
    <sheetView showGridLines="0" zoomScale="85" zoomScaleNormal="85" workbookViewId="0"/>
  </sheetViews>
  <sheetFormatPr defaultRowHeight="12.75"/>
  <cols>
    <col min="1" max="1" width="2.5703125" style="258" customWidth="1"/>
    <col min="2" max="2" width="71.140625" style="258" customWidth="1"/>
    <col min="3" max="3" width="2.5703125" style="258" customWidth="1"/>
    <col min="4" max="4" width="15" style="258" customWidth="1"/>
    <col min="5" max="5" width="2.5703125" style="258" customWidth="1"/>
    <col min="6" max="6" width="21.42578125" style="258" customWidth="1"/>
    <col min="7" max="15" width="14.5703125" style="258" customWidth="1"/>
    <col min="16" max="16" width="6.5703125" style="258" customWidth="1"/>
    <col min="17" max="17" width="22.28515625" style="258" customWidth="1"/>
    <col min="18" max="16384" width="9.140625" style="258"/>
  </cols>
  <sheetData>
    <row r="1" spans="2:17" ht="12" customHeight="1"/>
    <row r="2" spans="2:17" s="1" customFormat="1" ht="36">
      <c r="B2" s="268" t="s">
        <v>731</v>
      </c>
      <c r="F2" s="5" t="s">
        <v>105</v>
      </c>
      <c r="G2" s="5" t="s">
        <v>96</v>
      </c>
      <c r="H2" s="5" t="s">
        <v>97</v>
      </c>
      <c r="I2" s="5" t="s">
        <v>98</v>
      </c>
      <c r="J2" s="5" t="s">
        <v>99</v>
      </c>
      <c r="K2" s="5" t="s">
        <v>100</v>
      </c>
      <c r="L2" s="5" t="s">
        <v>101</v>
      </c>
      <c r="M2" s="5" t="s">
        <v>102</v>
      </c>
      <c r="N2" s="5" t="s">
        <v>103</v>
      </c>
      <c r="O2" s="5" t="s">
        <v>197</v>
      </c>
      <c r="Q2" s="5" t="s">
        <v>567</v>
      </c>
    </row>
    <row r="4" spans="2:17">
      <c r="B4" s="51" t="s">
        <v>790</v>
      </c>
    </row>
    <row r="5" spans="2:17">
      <c r="B5" s="51"/>
    </row>
    <row r="6" spans="2:17">
      <c r="B6" s="51"/>
    </row>
    <row r="7" spans="2:17" s="9" customFormat="1">
      <c r="B7" s="2" t="s">
        <v>41</v>
      </c>
      <c r="D7" s="2" t="s">
        <v>140</v>
      </c>
    </row>
    <row r="9" spans="2:17">
      <c r="B9" s="261" t="s">
        <v>80</v>
      </c>
    </row>
    <row r="10" spans="2:17">
      <c r="B10" s="258" t="s">
        <v>505</v>
      </c>
      <c r="D10" s="258" t="s">
        <v>130</v>
      </c>
      <c r="E10" s="259"/>
      <c r="F10" s="21">
        <f>SUM(G10:O10)</f>
        <v>952199960.20669317</v>
      </c>
      <c r="G10" s="97">
        <f>'Standaardisatie Output'!G112</f>
        <v>18602806.471755944</v>
      </c>
      <c r="H10" s="97">
        <f>'Standaardisatie Output'!H112</f>
        <v>26252926.931199878</v>
      </c>
      <c r="I10" s="97">
        <f>'Standaardisatie Output'!I112</f>
        <v>54149044.070964202</v>
      </c>
      <c r="J10" s="97">
        <f>'Standaardisatie Output'!J112</f>
        <v>278093764.483477</v>
      </c>
      <c r="K10" s="97">
        <f>'Standaardisatie Output'!K112</f>
        <v>291017796.09836721</v>
      </c>
      <c r="L10" s="97">
        <f>'Standaardisatie Output'!L112</f>
        <v>13591051.650013473</v>
      </c>
      <c r="M10" s="97">
        <f>'Standaardisatie Output'!M112</f>
        <v>248099816.98072332</v>
      </c>
      <c r="N10" s="97">
        <f>'Standaardisatie Output'!N112</f>
        <v>17433298.230841704</v>
      </c>
      <c r="O10" s="97">
        <f>'Standaardisatie Output'!O112</f>
        <v>4959455.2893504025</v>
      </c>
    </row>
    <row r="11" spans="2:17">
      <c r="B11" s="51" t="s">
        <v>506</v>
      </c>
      <c r="D11" s="258" t="s">
        <v>130</v>
      </c>
      <c r="E11" s="259"/>
      <c r="F11" s="21">
        <f>SUM(G11:O11)</f>
        <v>233720649.2617642</v>
      </c>
      <c r="G11" s="39">
        <f>'Standaardisatie Output'!G129</f>
        <v>4658089.0302374391</v>
      </c>
      <c r="H11" s="39">
        <f>'Standaardisatie Output'!H129</f>
        <v>6353090.0980012454</v>
      </c>
      <c r="I11" s="39">
        <f>'Standaardisatie Output'!I129</f>
        <v>13522115.535801111</v>
      </c>
      <c r="J11" s="39">
        <f>'Standaardisatie Output'!J129</f>
        <v>68064360.392972559</v>
      </c>
      <c r="K11" s="39">
        <f>'Standaardisatie Output'!K129</f>
        <v>74261338.748653978</v>
      </c>
      <c r="L11" s="39">
        <f>'Standaardisatie Output'!L129</f>
        <v>3321037.3519224315</v>
      </c>
      <c r="M11" s="39">
        <f>'Standaardisatie Output'!M129</f>
        <v>61307697.098168708</v>
      </c>
      <c r="N11" s="39">
        <f>'Standaardisatie Output'!N129</f>
        <v>2232921.0060067587</v>
      </c>
      <c r="O11" s="39">
        <f>'Standaardisatie Output'!O129</f>
        <v>0</v>
      </c>
    </row>
    <row r="12" spans="2:17">
      <c r="B12" s="258" t="s">
        <v>104</v>
      </c>
      <c r="D12" s="258" t="s">
        <v>130</v>
      </c>
      <c r="E12" s="259"/>
      <c r="F12" s="70">
        <f>SUM(G12:O12)</f>
        <v>1185920609.4684575</v>
      </c>
      <c r="G12" s="21">
        <f t="shared" ref="G12:O12" si="0">SUM(G10:G11)</f>
        <v>23260895.501993384</v>
      </c>
      <c r="H12" s="21">
        <f t="shared" si="0"/>
        <v>32606017.029201124</v>
      </c>
      <c r="I12" s="21">
        <f t="shared" si="0"/>
        <v>67671159.606765315</v>
      </c>
      <c r="J12" s="21">
        <f t="shared" si="0"/>
        <v>346158124.87644958</v>
      </c>
      <c r="K12" s="21">
        <f t="shared" si="0"/>
        <v>365279134.84702122</v>
      </c>
      <c r="L12" s="21">
        <f t="shared" si="0"/>
        <v>16912089.001935903</v>
      </c>
      <c r="M12" s="21">
        <f t="shared" si="0"/>
        <v>309407514.07889205</v>
      </c>
      <c r="N12" s="21">
        <f t="shared" si="0"/>
        <v>19666219.236848462</v>
      </c>
      <c r="O12" s="21">
        <f t="shared" si="0"/>
        <v>4959455.2893504025</v>
      </c>
    </row>
    <row r="13" spans="2:17">
      <c r="E13" s="259"/>
    </row>
    <row r="14" spans="2:17">
      <c r="B14" s="261" t="s">
        <v>44</v>
      </c>
      <c r="E14" s="259"/>
      <c r="G14" s="258" t="s">
        <v>70</v>
      </c>
      <c r="H14" s="258" t="s">
        <v>71</v>
      </c>
      <c r="I14" s="258" t="s">
        <v>72</v>
      </c>
    </row>
    <row r="15" spans="2:17">
      <c r="B15" s="258" t="s">
        <v>78</v>
      </c>
      <c r="D15" s="258" t="s">
        <v>135</v>
      </c>
      <c r="E15" s="259"/>
      <c r="F15" s="259" t="s">
        <v>75</v>
      </c>
      <c r="G15" s="71">
        <f>CPI!P43</f>
        <v>6.5341969999999749E-2</v>
      </c>
      <c r="H15" s="71">
        <f>CPI!Q43</f>
        <v>4.9598000000000031E-2</v>
      </c>
      <c r="I15" s="71">
        <f>CPI!R43</f>
        <v>2.3E-2</v>
      </c>
    </row>
    <row r="16" spans="2:17">
      <c r="B16" s="258" t="s">
        <v>81</v>
      </c>
      <c r="D16" s="258" t="s">
        <v>135</v>
      </c>
      <c r="E16" s="259"/>
      <c r="F16" s="71">
        <f>WACC!F11</f>
        <v>0.02</v>
      </c>
      <c r="G16" s="54"/>
      <c r="H16" s="54"/>
      <c r="I16" s="54"/>
      <c r="J16" s="54"/>
      <c r="K16" s="54"/>
      <c r="L16" s="54"/>
      <c r="M16" s="54"/>
      <c r="N16" s="54"/>
      <c r="O16" s="54"/>
    </row>
    <row r="17" spans="2:17">
      <c r="E17" s="259"/>
      <c r="F17" s="259"/>
    </row>
    <row r="18" spans="2:17">
      <c r="B18" s="258" t="s">
        <v>42</v>
      </c>
      <c r="D18" s="258" t="s">
        <v>135</v>
      </c>
      <c r="E18" s="259"/>
      <c r="F18" s="33">
        <f>Productiviteitsverandering!F51</f>
        <v>7.7145491791583698E-3</v>
      </c>
      <c r="H18" s="179"/>
    </row>
    <row r="19" spans="2:17">
      <c r="E19" s="259"/>
    </row>
    <row r="20" spans="2:17">
      <c r="B20" s="55" t="s">
        <v>193</v>
      </c>
      <c r="E20" s="259"/>
    </row>
    <row r="21" spans="2:17">
      <c r="B21" s="78" t="s">
        <v>365</v>
      </c>
      <c r="D21" s="258" t="s">
        <v>183</v>
      </c>
      <c r="E21" s="259"/>
      <c r="F21" s="39">
        <f>'Kostenbasis Eff.Kosten 2013'!F162</f>
        <v>1000926867.0294549</v>
      </c>
      <c r="I21" s="29"/>
      <c r="J21" s="29"/>
      <c r="K21" s="29"/>
      <c r="L21" s="29"/>
      <c r="M21" s="29"/>
      <c r="N21" s="29"/>
      <c r="O21" s="29"/>
    </row>
    <row r="22" spans="2:17">
      <c r="B22" s="78" t="s">
        <v>529</v>
      </c>
      <c r="D22" s="258" t="s">
        <v>184</v>
      </c>
      <c r="E22" s="259"/>
      <c r="F22" s="39">
        <f>'Kostenbasis Eff.Kosten 2013'!F163</f>
        <v>1027059980.0694196</v>
      </c>
      <c r="I22" s="29"/>
      <c r="J22" s="29"/>
      <c r="K22" s="29"/>
      <c r="L22" s="29"/>
      <c r="M22" s="29"/>
      <c r="N22" s="29"/>
      <c r="O22" s="29"/>
    </row>
    <row r="23" spans="2:17">
      <c r="B23" s="78" t="s">
        <v>530</v>
      </c>
      <c r="D23" s="258" t="s">
        <v>185</v>
      </c>
      <c r="E23" s="259"/>
      <c r="F23" s="39">
        <f>'Kostenbasis Eff.Kosten 2013'!F164</f>
        <v>1084519676.3183136</v>
      </c>
      <c r="I23" s="29"/>
      <c r="J23" s="29"/>
      <c r="K23" s="29"/>
      <c r="L23" s="29"/>
      <c r="M23" s="29"/>
      <c r="N23" s="29"/>
      <c r="O23" s="29"/>
    </row>
    <row r="24" spans="2:17">
      <c r="B24" s="78"/>
      <c r="E24" s="259"/>
      <c r="F24" s="29"/>
      <c r="I24" s="29"/>
      <c r="J24" s="29"/>
      <c r="K24" s="29"/>
      <c r="L24" s="29"/>
      <c r="M24" s="29"/>
      <c r="N24" s="29"/>
      <c r="O24" s="29"/>
    </row>
    <row r="25" spans="2:17">
      <c r="B25" s="55" t="s">
        <v>364</v>
      </c>
      <c r="E25" s="259"/>
      <c r="F25" s="29"/>
      <c r="I25" s="29"/>
      <c r="J25" s="29"/>
      <c r="K25" s="29"/>
      <c r="L25" s="29"/>
      <c r="M25" s="29"/>
      <c r="N25" s="29"/>
      <c r="O25" s="29"/>
    </row>
    <row r="26" spans="2:17">
      <c r="B26" s="78" t="s">
        <v>531</v>
      </c>
      <c r="D26" s="51" t="s">
        <v>186</v>
      </c>
      <c r="E26" s="259"/>
      <c r="F26" s="97">
        <f>'Berekening wegingsfactoren'!F723</f>
        <v>0</v>
      </c>
      <c r="I26" s="29"/>
      <c r="J26" s="29"/>
      <c r="K26" s="29"/>
      <c r="L26" s="29"/>
      <c r="M26" s="29"/>
      <c r="N26" s="29"/>
      <c r="O26" s="29"/>
    </row>
    <row r="27" spans="2:17">
      <c r="B27" s="78" t="s">
        <v>502</v>
      </c>
      <c r="D27" s="258" t="s">
        <v>183</v>
      </c>
      <c r="E27" s="259"/>
      <c r="F27" s="98">
        <f>$F$26/(1+G15)</f>
        <v>0</v>
      </c>
      <c r="H27" s="11"/>
      <c r="I27" s="29"/>
      <c r="J27" s="29"/>
      <c r="K27" s="29"/>
      <c r="L27" s="29"/>
      <c r="M27" s="29"/>
      <c r="N27" s="29"/>
      <c r="O27" s="29"/>
    </row>
    <row r="28" spans="2:17">
      <c r="B28" s="78" t="s">
        <v>503</v>
      </c>
      <c r="D28" s="258" t="s">
        <v>184</v>
      </c>
      <c r="E28" s="259"/>
      <c r="F28" s="98">
        <f>$F$26/(1+H15)</f>
        <v>0</v>
      </c>
      <c r="H28" s="78"/>
      <c r="I28" s="29"/>
      <c r="J28" s="29"/>
      <c r="K28" s="29"/>
      <c r="L28" s="29"/>
      <c r="M28" s="29"/>
      <c r="N28" s="29"/>
      <c r="O28" s="29"/>
    </row>
    <row r="29" spans="2:17">
      <c r="B29" s="78" t="s">
        <v>504</v>
      </c>
      <c r="D29" s="258" t="s">
        <v>185</v>
      </c>
      <c r="E29" s="259"/>
      <c r="F29" s="98">
        <f>$F$26/(1+I15)</f>
        <v>0</v>
      </c>
      <c r="I29" s="29"/>
      <c r="J29" s="29"/>
      <c r="K29" s="29"/>
      <c r="L29" s="29"/>
      <c r="M29" s="29"/>
      <c r="N29" s="29"/>
      <c r="O29" s="29"/>
    </row>
    <row r="30" spans="2:17">
      <c r="B30" s="259"/>
      <c r="E30" s="259"/>
      <c r="Q30" s="259"/>
    </row>
    <row r="31" spans="2:17">
      <c r="B31" s="55" t="s">
        <v>193</v>
      </c>
      <c r="E31" s="259"/>
    </row>
    <row r="32" spans="2:17">
      <c r="B32" s="259" t="s">
        <v>45</v>
      </c>
      <c r="D32" s="258" t="s">
        <v>183</v>
      </c>
      <c r="E32" s="259"/>
      <c r="F32" s="98">
        <f>F21+F27</f>
        <v>1000926867.0294549</v>
      </c>
      <c r="I32" s="29"/>
      <c r="J32" s="29"/>
      <c r="K32" s="29"/>
      <c r="L32" s="29"/>
      <c r="M32" s="29"/>
      <c r="N32" s="29"/>
      <c r="O32" s="29"/>
    </row>
    <row r="33" spans="2:17">
      <c r="B33" s="259" t="s">
        <v>46</v>
      </c>
      <c r="D33" s="258" t="s">
        <v>184</v>
      </c>
      <c r="E33" s="259"/>
      <c r="F33" s="98">
        <f>F22+F28</f>
        <v>1027059980.0694196</v>
      </c>
      <c r="I33" s="29"/>
      <c r="J33" s="29"/>
      <c r="K33" s="29"/>
      <c r="L33" s="29"/>
      <c r="M33" s="29"/>
      <c r="N33" s="29"/>
      <c r="O33" s="29"/>
    </row>
    <row r="34" spans="2:17">
      <c r="B34" s="259" t="s">
        <v>47</v>
      </c>
      <c r="D34" s="258" t="s">
        <v>185</v>
      </c>
      <c r="E34" s="259"/>
      <c r="F34" s="98">
        <f>F23+F29</f>
        <v>1084519676.3183136</v>
      </c>
      <c r="I34" s="29"/>
      <c r="J34" s="29"/>
      <c r="K34" s="29"/>
      <c r="L34" s="29"/>
      <c r="M34" s="29"/>
      <c r="N34" s="29"/>
      <c r="O34" s="29"/>
    </row>
    <row r="35" spans="2:17">
      <c r="E35" s="259"/>
      <c r="Q35" s="259"/>
    </row>
    <row r="36" spans="2:17">
      <c r="B36" s="261" t="s">
        <v>192</v>
      </c>
      <c r="E36" s="259"/>
      <c r="Q36" s="259"/>
    </row>
    <row r="37" spans="2:17">
      <c r="B37" s="13" t="s">
        <v>188</v>
      </c>
      <c r="D37" s="258" t="s">
        <v>183</v>
      </c>
      <c r="E37" s="259"/>
      <c r="F37" s="21">
        <f>SUM(G37:O37)</f>
        <v>25767467.23244568</v>
      </c>
      <c r="G37" s="39">
        <f>'Kostenbasis Eff.Kosten 2013'!G44</f>
        <v>778514.38979668741</v>
      </c>
      <c r="H37" s="39">
        <f>'Kostenbasis Eff.Kosten 2013'!H44</f>
        <v>271771.83</v>
      </c>
      <c r="I37" s="39">
        <f>'Kostenbasis Eff.Kosten 2013'!I44</f>
        <v>0</v>
      </c>
      <c r="J37" s="39">
        <f>'Kostenbasis Eff.Kosten 2013'!J44</f>
        <v>2000900.5351747454</v>
      </c>
      <c r="K37" s="39">
        <f>'Kostenbasis Eff.Kosten 2013'!K44</f>
        <v>7686459.2046175497</v>
      </c>
      <c r="L37" s="39">
        <f>'Kostenbasis Eff.Kosten 2013'!L44</f>
        <v>2458378.2728566979</v>
      </c>
      <c r="M37" s="39">
        <f>'Kostenbasis Eff.Kosten 2013'!M44</f>
        <v>12568949</v>
      </c>
      <c r="N37" s="39">
        <f>'Kostenbasis Eff.Kosten 2013'!N44</f>
        <v>2494</v>
      </c>
      <c r="O37" s="39">
        <f>'Kostenbasis Eff.Kosten 2013'!O44</f>
        <v>0</v>
      </c>
      <c r="Q37" s="259"/>
    </row>
    <row r="38" spans="2:17">
      <c r="B38" s="13" t="s">
        <v>189</v>
      </c>
      <c r="D38" s="258" t="s">
        <v>184</v>
      </c>
      <c r="E38" s="259"/>
      <c r="F38" s="21">
        <f>SUM(G38:O38)</f>
        <v>28923681.886229016</v>
      </c>
      <c r="G38" s="39">
        <f>'Kostenbasis Eff.Kosten 2013'!G89</f>
        <v>1946.0000000006942</v>
      </c>
      <c r="H38" s="39">
        <f>'Kostenbasis Eff.Kosten 2013'!H89</f>
        <v>368104</v>
      </c>
      <c r="I38" s="39">
        <f>'Kostenbasis Eff.Kosten 2013'!I89</f>
        <v>0</v>
      </c>
      <c r="J38" s="39">
        <f>'Kostenbasis Eff.Kosten 2013'!J89</f>
        <v>2044213.0164371445</v>
      </c>
      <c r="K38" s="39">
        <f>'Kostenbasis Eff.Kosten 2013'!K89</f>
        <v>11315354.953036755</v>
      </c>
      <c r="L38" s="39">
        <f>'Kostenbasis Eff.Kosten 2013'!L89</f>
        <v>2393907.9167551147</v>
      </c>
      <c r="M38" s="39">
        <f>'Kostenbasis Eff.Kosten 2013'!M89</f>
        <v>12785218</v>
      </c>
      <c r="N38" s="39">
        <f>'Kostenbasis Eff.Kosten 2013'!N89</f>
        <v>14938</v>
      </c>
      <c r="O38" s="39">
        <f>'Kostenbasis Eff.Kosten 2013'!O89</f>
        <v>0</v>
      </c>
      <c r="Q38" s="259"/>
    </row>
    <row r="39" spans="2:17">
      <c r="B39" s="13" t="s">
        <v>190</v>
      </c>
      <c r="D39" s="258" t="s">
        <v>185</v>
      </c>
      <c r="E39" s="259"/>
      <c r="F39" s="21">
        <f>SUM(G39:O39)</f>
        <v>31465364.137769409</v>
      </c>
      <c r="G39" s="39">
        <f>'Kostenbasis Eff.Kosten 2013'!G134</f>
        <v>1401.9999999999966</v>
      </c>
      <c r="H39" s="39">
        <f>'Kostenbasis Eff.Kosten 2013'!H134</f>
        <v>391176.4</v>
      </c>
      <c r="I39" s="39">
        <f>'Kostenbasis Eff.Kosten 2013'!I134</f>
        <v>0</v>
      </c>
      <c r="J39" s="39">
        <f>'Kostenbasis Eff.Kosten 2013'!J134</f>
        <v>2115319.5372981504</v>
      </c>
      <c r="K39" s="39">
        <f>'Kostenbasis Eff.Kosten 2013'!K134</f>
        <v>13691948</v>
      </c>
      <c r="L39" s="39">
        <f>'Kostenbasis Eff.Kosten 2013'!L134</f>
        <v>2359695.2004712597</v>
      </c>
      <c r="M39" s="39">
        <f>'Kostenbasis Eff.Kosten 2013'!M134</f>
        <v>12898160</v>
      </c>
      <c r="N39" s="39">
        <f>'Kostenbasis Eff.Kosten 2013'!N134</f>
        <v>7663</v>
      </c>
      <c r="O39" s="39">
        <f>'Kostenbasis Eff.Kosten 2013'!O134</f>
        <v>0</v>
      </c>
      <c r="Q39" s="259"/>
    </row>
    <row r="40" spans="2:17">
      <c r="Q40" s="259"/>
    </row>
    <row r="41" spans="2:17">
      <c r="B41" s="261" t="s">
        <v>43</v>
      </c>
    </row>
    <row r="42" spans="2:17">
      <c r="B42" s="51" t="s">
        <v>728</v>
      </c>
      <c r="D42" s="258" t="s">
        <v>183</v>
      </c>
      <c r="F42" s="97">
        <f>'Genormaliseerde totale kosten'!F151</f>
        <v>1160000</v>
      </c>
    </row>
    <row r="43" spans="2:17">
      <c r="B43" s="51" t="s">
        <v>729</v>
      </c>
      <c r="D43" s="258" t="s">
        <v>184</v>
      </c>
      <c r="F43" s="97">
        <f>'Genormaliseerde totale kosten'!F152</f>
        <v>1603000</v>
      </c>
    </row>
    <row r="44" spans="2:17">
      <c r="B44" s="51" t="s">
        <v>730</v>
      </c>
      <c r="D44" s="258" t="s">
        <v>185</v>
      </c>
      <c r="F44" s="97">
        <f>'Genormaliseerde totale kosten'!F153</f>
        <v>1785000</v>
      </c>
    </row>
    <row r="45" spans="2:17">
      <c r="B45" s="261"/>
      <c r="F45" s="29"/>
    </row>
    <row r="46" spans="2:17">
      <c r="B46" s="258" t="s">
        <v>732</v>
      </c>
      <c r="D46" s="258" t="s">
        <v>186</v>
      </c>
      <c r="F46" s="39">
        <f>'Data marktmodel'!M20</f>
        <v>20526000</v>
      </c>
      <c r="H46" s="259"/>
      <c r="Q46" s="51" t="s">
        <v>733</v>
      </c>
    </row>
    <row r="47" spans="2:17">
      <c r="B47" s="258" t="s">
        <v>734</v>
      </c>
      <c r="D47" s="258" t="s">
        <v>186</v>
      </c>
      <c r="F47" s="97">
        <f>'Data marktmodel'!O20</f>
        <v>22474000</v>
      </c>
      <c r="H47" s="259"/>
    </row>
    <row r="49" spans="2:17">
      <c r="B49" s="135" t="s">
        <v>684</v>
      </c>
      <c r="D49" s="258" t="s">
        <v>183</v>
      </c>
      <c r="F49" s="97">
        <f>'Berekening kosten dub. deb.'!F119</f>
        <v>4903487.9967617635</v>
      </c>
    </row>
    <row r="50" spans="2:17">
      <c r="B50" s="135" t="s">
        <v>685</v>
      </c>
      <c r="D50" s="258" t="s">
        <v>184</v>
      </c>
      <c r="F50" s="97">
        <f>'Berekening kosten dub. deb.'!F120</f>
        <v>3788410.2634537998</v>
      </c>
    </row>
    <row r="51" spans="2:17">
      <c r="B51" s="135" t="s">
        <v>686</v>
      </c>
      <c r="D51" s="258" t="s">
        <v>185</v>
      </c>
      <c r="F51" s="97">
        <f>'Berekening kosten dub. deb.'!F121</f>
        <v>4109633.8806513762</v>
      </c>
    </row>
    <row r="52" spans="2:17">
      <c r="B52" s="188" t="s">
        <v>688</v>
      </c>
      <c r="D52" s="51" t="s">
        <v>186</v>
      </c>
      <c r="F52" s="98">
        <f>AVERAGE(F49*(1+G15),F50*(1+H15),F51*(1+I15))</f>
        <v>4468118.2859828221</v>
      </c>
    </row>
    <row r="54" spans="2:17">
      <c r="B54" s="51" t="s">
        <v>689</v>
      </c>
      <c r="D54" s="51" t="s">
        <v>186</v>
      </c>
      <c r="F54" s="107">
        <f>F46-F52</f>
        <v>16057881.714017179</v>
      </c>
    </row>
    <row r="55" spans="2:17">
      <c r="B55" s="51" t="s">
        <v>690</v>
      </c>
      <c r="D55" s="51" t="s">
        <v>186</v>
      </c>
      <c r="F55" s="107">
        <f>F47-F52</f>
        <v>18005881.714017179</v>
      </c>
    </row>
    <row r="58" spans="2:17" s="9" customFormat="1">
      <c r="B58" s="2" t="s">
        <v>735</v>
      </c>
      <c r="D58" s="2" t="s">
        <v>140</v>
      </c>
    </row>
    <row r="60" spans="2:17">
      <c r="B60" s="261" t="s">
        <v>194</v>
      </c>
    </row>
    <row r="61" spans="2:17">
      <c r="B61" s="258" t="s">
        <v>48</v>
      </c>
      <c r="D61" s="258" t="s">
        <v>186</v>
      </c>
      <c r="F61" s="24">
        <f>((F32-F42)*(1-$F$18)^3+F42)*(1+G15)</f>
        <v>1041868925.1794479</v>
      </c>
      <c r="G61" s="259"/>
      <c r="H61" s="259"/>
      <c r="I61" s="259"/>
      <c r="J61" s="259"/>
      <c r="K61" s="259"/>
      <c r="L61" s="259"/>
      <c r="M61" s="259"/>
      <c r="N61" s="259"/>
      <c r="O61" s="259"/>
      <c r="Q61" s="51" t="s">
        <v>965</v>
      </c>
    </row>
    <row r="62" spans="2:17">
      <c r="B62" s="258" t="s">
        <v>57</v>
      </c>
      <c r="D62" s="258" t="s">
        <v>186</v>
      </c>
      <c r="F62" s="24">
        <f>((F33-F43)*(1-$F$18)^2+F43)*(1+H15)</f>
        <v>1061457547.1721405</v>
      </c>
      <c r="G62" s="259"/>
      <c r="H62" s="259"/>
      <c r="I62" s="259"/>
      <c r="J62" s="259"/>
      <c r="K62" s="259"/>
      <c r="L62" s="259"/>
      <c r="M62" s="259"/>
      <c r="N62" s="259"/>
      <c r="O62" s="259"/>
    </row>
    <row r="63" spans="2:17">
      <c r="B63" s="258" t="s">
        <v>58</v>
      </c>
      <c r="D63" s="258" t="s">
        <v>186</v>
      </c>
      <c r="F63" s="24">
        <f>((F34-F44)*(1-$F$18)+F44)*(1+I15)</f>
        <v>1100918704.3373029</v>
      </c>
      <c r="G63" s="259"/>
      <c r="H63" s="259"/>
      <c r="I63" s="259"/>
      <c r="J63" s="259"/>
      <c r="K63" s="259"/>
      <c r="L63" s="259"/>
      <c r="M63" s="259"/>
      <c r="N63" s="259"/>
      <c r="O63" s="259"/>
    </row>
    <row r="65" spans="2:17">
      <c r="B65" s="258" t="s">
        <v>59</v>
      </c>
      <c r="D65" s="258" t="s">
        <v>186</v>
      </c>
      <c r="F65" s="21">
        <f>AVERAGE(F61:F63)</f>
        <v>1068081725.5629638</v>
      </c>
      <c r="G65" s="63"/>
      <c r="Q65" s="51" t="s">
        <v>964</v>
      </c>
    </row>
    <row r="66" spans="2:17">
      <c r="F66" s="54"/>
      <c r="G66" s="259"/>
      <c r="H66" s="259"/>
      <c r="I66" s="259"/>
      <c r="J66" s="259"/>
      <c r="K66" s="259"/>
      <c r="L66" s="259"/>
      <c r="M66" s="259"/>
      <c r="N66" s="259"/>
      <c r="O66" s="259"/>
    </row>
    <row r="67" spans="2:17">
      <c r="B67" s="261" t="s">
        <v>60</v>
      </c>
    </row>
    <row r="68" spans="2:17">
      <c r="B68" s="258" t="s">
        <v>61</v>
      </c>
      <c r="D68" s="258" t="s">
        <v>186</v>
      </c>
      <c r="F68" s="21">
        <f>SUM(G68:O68)</f>
        <v>27451164.303324122</v>
      </c>
      <c r="G68" s="24">
        <f t="shared" ref="G68:O68" si="1">G37*(1+$G$15)</f>
        <v>829384.05369935068</v>
      </c>
      <c r="H68" s="24">
        <f t="shared" si="1"/>
        <v>289529.93676270504</v>
      </c>
      <c r="I68" s="24">
        <f t="shared" si="1"/>
        <v>0</v>
      </c>
      <c r="J68" s="24">
        <f t="shared" si="1"/>
        <v>2131643.3179171169</v>
      </c>
      <c r="K68" s="24">
        <f t="shared" si="1"/>
        <v>8188707.5913718911</v>
      </c>
      <c r="L68" s="24">
        <f t="shared" si="1"/>
        <v>2619013.5522103515</v>
      </c>
      <c r="M68" s="24">
        <f t="shared" si="1"/>
        <v>13390228.888489528</v>
      </c>
      <c r="N68" s="24">
        <f t="shared" si="1"/>
        <v>2656.9628731799994</v>
      </c>
      <c r="O68" s="24">
        <f t="shared" si="1"/>
        <v>0</v>
      </c>
      <c r="Q68" s="259"/>
    </row>
    <row r="69" spans="2:17">
      <c r="B69" s="258" t="s">
        <v>62</v>
      </c>
      <c r="D69" s="258" t="s">
        <v>186</v>
      </c>
      <c r="F69" s="21">
        <f>SUM(G69:O69)</f>
        <v>30358238.660422202</v>
      </c>
      <c r="G69" s="24">
        <f t="shared" ref="G69:O69" si="2">G38*(1+$H$15)</f>
        <v>2042.5177080007286</v>
      </c>
      <c r="H69" s="24">
        <f t="shared" si="2"/>
        <v>386361.22219200002</v>
      </c>
      <c r="I69" s="24">
        <f t="shared" si="2"/>
        <v>0</v>
      </c>
      <c r="J69" s="24">
        <f t="shared" si="2"/>
        <v>2145601.8936263942</v>
      </c>
      <c r="K69" s="24">
        <f t="shared" si="2"/>
        <v>11876573.927997472</v>
      </c>
      <c r="L69" s="24">
        <f t="shared" si="2"/>
        <v>2512640.9616103349</v>
      </c>
      <c r="M69" s="24">
        <f t="shared" si="2"/>
        <v>13419339.242364001</v>
      </c>
      <c r="N69" s="24">
        <f t="shared" si="2"/>
        <v>15678.894924</v>
      </c>
      <c r="O69" s="24">
        <f t="shared" si="2"/>
        <v>0</v>
      </c>
    </row>
    <row r="70" spans="2:17">
      <c r="B70" s="258" t="s">
        <v>63</v>
      </c>
      <c r="D70" s="258" t="s">
        <v>186</v>
      </c>
      <c r="F70" s="21">
        <f>SUM(G70:O70)</f>
        <v>32189067.512938108</v>
      </c>
      <c r="G70" s="24">
        <f t="shared" ref="G70:O70" si="3">G39*(1+$I$15)</f>
        <v>1434.2459999999965</v>
      </c>
      <c r="H70" s="24">
        <f t="shared" si="3"/>
        <v>400173.4572</v>
      </c>
      <c r="I70" s="24">
        <f t="shared" si="3"/>
        <v>0</v>
      </c>
      <c r="J70" s="24">
        <f t="shared" si="3"/>
        <v>2163971.8866560077</v>
      </c>
      <c r="K70" s="24">
        <f t="shared" si="3"/>
        <v>14006862.804</v>
      </c>
      <c r="L70" s="24">
        <f t="shared" si="3"/>
        <v>2413968.1900820984</v>
      </c>
      <c r="M70" s="24">
        <f t="shared" si="3"/>
        <v>13194817.68</v>
      </c>
      <c r="N70" s="24">
        <f t="shared" si="3"/>
        <v>7839.2489999999989</v>
      </c>
      <c r="O70" s="24">
        <f t="shared" si="3"/>
        <v>0</v>
      </c>
      <c r="Q70" s="259"/>
    </row>
    <row r="72" spans="2:17">
      <c r="B72" s="258" t="s">
        <v>64</v>
      </c>
      <c r="D72" s="258" t="s">
        <v>186</v>
      </c>
      <c r="F72" s="21">
        <f>AVERAGE(F68:F70)</f>
        <v>29999490.158894811</v>
      </c>
      <c r="G72" s="21">
        <f t="shared" ref="G72:O72" si="4">AVERAGE(G68:G70)</f>
        <v>277620.27246911713</v>
      </c>
      <c r="H72" s="21">
        <f t="shared" si="4"/>
        <v>358688.20538490172</v>
      </c>
      <c r="I72" s="21">
        <f t="shared" si="4"/>
        <v>0</v>
      </c>
      <c r="J72" s="21">
        <f t="shared" si="4"/>
        <v>2147072.3660665066</v>
      </c>
      <c r="K72" s="21">
        <f t="shared" si="4"/>
        <v>11357381.44112312</v>
      </c>
      <c r="L72" s="21">
        <f t="shared" si="4"/>
        <v>2515207.5679675951</v>
      </c>
      <c r="M72" s="21">
        <f t="shared" si="4"/>
        <v>13334795.270284509</v>
      </c>
      <c r="N72" s="21">
        <f t="shared" si="4"/>
        <v>8725.0355990600001</v>
      </c>
      <c r="O72" s="21">
        <f t="shared" si="4"/>
        <v>0</v>
      </c>
      <c r="Q72" s="51" t="s">
        <v>586</v>
      </c>
    </row>
    <row r="75" spans="2:17" s="9" customFormat="1">
      <c r="B75" s="2" t="s">
        <v>736</v>
      </c>
      <c r="D75" s="2" t="s">
        <v>140</v>
      </c>
    </row>
    <row r="77" spans="2:17">
      <c r="B77" s="261" t="s">
        <v>736</v>
      </c>
    </row>
    <row r="78" spans="2:17">
      <c r="B78" s="258" t="s">
        <v>532</v>
      </c>
      <c r="D78" s="258" t="s">
        <v>186</v>
      </c>
      <c r="F78" s="21">
        <f>F65-F54</f>
        <v>1052023843.8489467</v>
      </c>
      <c r="Q78" s="51" t="s">
        <v>964</v>
      </c>
    </row>
    <row r="79" spans="2:17">
      <c r="B79" s="258" t="s">
        <v>533</v>
      </c>
      <c r="D79" s="258" t="s">
        <v>65</v>
      </c>
      <c r="F79" s="75">
        <f>F78/F12</f>
        <v>0.88709466337757237</v>
      </c>
      <c r="Q79" s="51" t="s">
        <v>967</v>
      </c>
    </row>
    <row r="81" spans="2:17">
      <c r="B81" s="51" t="s">
        <v>737</v>
      </c>
      <c r="D81" s="258" t="s">
        <v>186</v>
      </c>
      <c r="F81" s="21">
        <f>SUM(G81:O81)</f>
        <v>1052023843.8489467</v>
      </c>
      <c r="G81" s="24">
        <f t="shared" ref="G81:O81" si="5">$F$79*G12</f>
        <v>20634616.26520171</v>
      </c>
      <c r="H81" s="24">
        <f t="shared" si="5"/>
        <v>28924623.700602565</v>
      </c>
      <c r="I81" s="24">
        <f t="shared" si="5"/>
        <v>60030724.551733449</v>
      </c>
      <c r="J81" s="24">
        <f t="shared" si="5"/>
        <v>307075025.26268572</v>
      </c>
      <c r="K81" s="24">
        <f t="shared" si="5"/>
        <v>324037171.16596913</v>
      </c>
      <c r="L81" s="24">
        <f t="shared" si="5"/>
        <v>15002623.900183873</v>
      </c>
      <c r="M81" s="24">
        <f t="shared" si="5"/>
        <v>274473754.54830623</v>
      </c>
      <c r="N81" s="24">
        <f t="shared" si="5"/>
        <v>17445798.133821625</v>
      </c>
      <c r="O81" s="24">
        <f t="shared" si="5"/>
        <v>4399506.3204424158</v>
      </c>
      <c r="Q81" s="51" t="s">
        <v>964</v>
      </c>
    </row>
    <row r="82" spans="2:17">
      <c r="B82" s="51" t="s">
        <v>738</v>
      </c>
      <c r="D82" s="258" t="s">
        <v>186</v>
      </c>
      <c r="F82" s="21">
        <f>SUM(G82:O82)</f>
        <v>29999490.158894811</v>
      </c>
      <c r="G82" s="35">
        <f t="shared" ref="G82:O82" si="6">G72</f>
        <v>277620.27246911713</v>
      </c>
      <c r="H82" s="35">
        <f t="shared" si="6"/>
        <v>358688.20538490172</v>
      </c>
      <c r="I82" s="35">
        <f t="shared" si="6"/>
        <v>0</v>
      </c>
      <c r="J82" s="35">
        <f t="shared" si="6"/>
        <v>2147072.3660665066</v>
      </c>
      <c r="K82" s="35">
        <f t="shared" si="6"/>
        <v>11357381.44112312</v>
      </c>
      <c r="L82" s="35">
        <f t="shared" si="6"/>
        <v>2515207.5679675951</v>
      </c>
      <c r="M82" s="35">
        <f t="shared" si="6"/>
        <v>13334795.270284509</v>
      </c>
      <c r="N82" s="35">
        <f t="shared" si="6"/>
        <v>8725.0355990600001</v>
      </c>
      <c r="O82" s="35">
        <f t="shared" si="6"/>
        <v>0</v>
      </c>
      <c r="Q82" s="51" t="s">
        <v>587</v>
      </c>
    </row>
    <row r="83" spans="2:17">
      <c r="B83" s="51" t="s">
        <v>739</v>
      </c>
      <c r="D83" s="258" t="s">
        <v>186</v>
      </c>
      <c r="F83" s="21">
        <f>SUM(G83:O83)</f>
        <v>1082023334.0078416</v>
      </c>
      <c r="G83" s="150">
        <f>G81+G82</f>
        <v>20912236.537670828</v>
      </c>
      <c r="H83" s="150">
        <f t="shared" ref="H83:O83" si="7">H81+H82</f>
        <v>29283311.905987468</v>
      </c>
      <c r="I83" s="150">
        <f t="shared" si="7"/>
        <v>60030724.551733449</v>
      </c>
      <c r="J83" s="150">
        <f t="shared" si="7"/>
        <v>309222097.62875223</v>
      </c>
      <c r="K83" s="150">
        <f t="shared" si="7"/>
        <v>335394552.60709226</v>
      </c>
      <c r="L83" s="150">
        <f t="shared" si="7"/>
        <v>17517831.468151469</v>
      </c>
      <c r="M83" s="150">
        <f t="shared" si="7"/>
        <v>287808549.81859076</v>
      </c>
      <c r="N83" s="150">
        <f t="shared" si="7"/>
        <v>17454523.169420686</v>
      </c>
      <c r="O83" s="150">
        <f t="shared" si="7"/>
        <v>4399506.3204424158</v>
      </c>
      <c r="Q83" s="51" t="s">
        <v>964</v>
      </c>
    </row>
    <row r="87" spans="2:17">
      <c r="G87" s="63"/>
    </row>
    <row r="89" spans="2:17">
      <c r="G89" s="82"/>
    </row>
    <row r="90" spans="2:17">
      <c r="G90" s="82"/>
    </row>
    <row r="91" spans="2:17">
      <c r="G91" s="82"/>
    </row>
  </sheetData>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P107"/>
  <sheetViews>
    <sheetView showGridLines="0" zoomScale="85" zoomScaleNormal="85" workbookViewId="0"/>
  </sheetViews>
  <sheetFormatPr defaultRowHeight="12.75"/>
  <cols>
    <col min="1" max="1" width="2.5703125" style="258" customWidth="1"/>
    <col min="2" max="2" width="66.140625" style="258" customWidth="1"/>
    <col min="3" max="3" width="2.5703125" style="258" customWidth="1"/>
    <col min="4" max="4" width="14.5703125" style="258" customWidth="1"/>
    <col min="5" max="5" width="2.5703125" style="258" customWidth="1"/>
    <col min="6" max="6" width="21.42578125" style="258" customWidth="1"/>
    <col min="7" max="14" width="14.85546875" style="258" customWidth="1"/>
    <col min="15" max="15" width="5.7109375" style="258" customWidth="1"/>
    <col min="16" max="16" width="27.42578125" style="258" customWidth="1"/>
    <col min="17" max="16384" width="9.140625" style="258"/>
  </cols>
  <sheetData>
    <row r="1" spans="2:16" ht="12" customHeight="1"/>
    <row r="2" spans="2:16" s="1" customFormat="1" ht="36">
      <c r="B2" s="268" t="s">
        <v>740</v>
      </c>
      <c r="F2" s="5" t="s">
        <v>105</v>
      </c>
      <c r="G2" s="5"/>
      <c r="H2" s="5"/>
      <c r="I2" s="5"/>
      <c r="J2" s="5"/>
      <c r="K2" s="5"/>
      <c r="L2" s="5"/>
      <c r="M2" s="5"/>
      <c r="N2" s="5"/>
      <c r="O2" s="5"/>
      <c r="P2" s="5" t="s">
        <v>567</v>
      </c>
    </row>
    <row r="4" spans="2:16">
      <c r="B4" s="51" t="s">
        <v>795</v>
      </c>
    </row>
    <row r="5" spans="2:16">
      <c r="B5" s="51" t="s">
        <v>796</v>
      </c>
    </row>
    <row r="6" spans="2:16">
      <c r="B6" s="51" t="s">
        <v>741</v>
      </c>
    </row>
    <row r="7" spans="2:16">
      <c r="B7" s="51" t="s">
        <v>797</v>
      </c>
    </row>
    <row r="8" spans="2:16">
      <c r="B8" s="51"/>
      <c r="F8" s="53"/>
    </row>
    <row r="9" spans="2:16">
      <c r="F9" s="47"/>
    </row>
    <row r="10" spans="2:16" s="2" customFormat="1">
      <c r="B10" s="2" t="s">
        <v>742</v>
      </c>
      <c r="F10" s="49"/>
    </row>
    <row r="11" spans="2:16">
      <c r="F11" s="47"/>
    </row>
    <row r="12" spans="2:16">
      <c r="B12" s="261" t="s">
        <v>51</v>
      </c>
      <c r="F12" s="47"/>
    </row>
    <row r="13" spans="2:16">
      <c r="F13" s="4"/>
    </row>
    <row r="14" spans="2:16">
      <c r="B14" s="261" t="s">
        <v>743</v>
      </c>
      <c r="F14" s="4"/>
    </row>
    <row r="15" spans="2:16">
      <c r="B15" s="51" t="s">
        <v>744</v>
      </c>
      <c r="D15" s="258" t="s">
        <v>186</v>
      </c>
      <c r="F15" s="111">
        <f>'Efficiënte kosten 2013'!F65</f>
        <v>1068081725.5629638</v>
      </c>
    </row>
    <row r="16" spans="2:16">
      <c r="B16" s="258" t="s">
        <v>64</v>
      </c>
      <c r="D16" s="258" t="s">
        <v>186</v>
      </c>
      <c r="F16" s="111">
        <f>'Efficiënte kosten 2013'!F72</f>
        <v>29999490.158894811</v>
      </c>
    </row>
    <row r="17" spans="2:7">
      <c r="F17" s="4"/>
    </row>
    <row r="18" spans="2:7">
      <c r="B18" s="261" t="s">
        <v>798</v>
      </c>
      <c r="F18" s="4"/>
    </row>
    <row r="19" spans="2:7">
      <c r="B19" s="188" t="s">
        <v>688</v>
      </c>
      <c r="D19" s="51" t="s">
        <v>186</v>
      </c>
      <c r="F19" s="97">
        <f>'Efficiënte kosten 2013'!F52</f>
        <v>4468118.2859828221</v>
      </c>
    </row>
    <row r="20" spans="2:7">
      <c r="B20" s="51" t="s">
        <v>745</v>
      </c>
      <c r="D20" s="258" t="s">
        <v>186</v>
      </c>
      <c r="F20" s="39">
        <f>'Data marktmodel'!L20</f>
        <v>5176555.555555556</v>
      </c>
    </row>
    <row r="21" spans="2:7">
      <c r="B21" s="188" t="s">
        <v>987</v>
      </c>
      <c r="D21" s="258" t="s">
        <v>186</v>
      </c>
      <c r="F21" s="39">
        <f>'Berekeningen netverliezen'!F88</f>
        <v>0</v>
      </c>
      <c r="G21" s="179"/>
    </row>
    <row r="22" spans="2:7">
      <c r="B22" s="188" t="s">
        <v>986</v>
      </c>
      <c r="D22" s="258" t="s">
        <v>186</v>
      </c>
      <c r="F22" s="39">
        <f>'Berekening wegingsfactoren'!F723</f>
        <v>0</v>
      </c>
      <c r="G22" s="179"/>
    </row>
    <row r="23" spans="2:7">
      <c r="F23" s="4"/>
    </row>
    <row r="24" spans="2:7">
      <c r="B24" s="261" t="s">
        <v>746</v>
      </c>
      <c r="F24" s="4"/>
    </row>
    <row r="25" spans="2:7">
      <c r="F25" s="4"/>
    </row>
    <row r="26" spans="2:7">
      <c r="B26" s="261" t="s">
        <v>828</v>
      </c>
      <c r="F26" s="4"/>
    </row>
    <row r="27" spans="2:7">
      <c r="B27" s="51" t="s">
        <v>829</v>
      </c>
      <c r="D27" s="258" t="s">
        <v>186</v>
      </c>
      <c r="F27" s="202">
        <f>F15+F16+F19-F20-F21-F22</f>
        <v>1097372778.452286</v>
      </c>
    </row>
    <row r="28" spans="2:7">
      <c r="F28" s="4"/>
    </row>
    <row r="29" spans="2:7">
      <c r="F29" s="4"/>
    </row>
    <row r="30" spans="2:7">
      <c r="F30" s="4"/>
    </row>
    <row r="31" spans="2:7">
      <c r="F31" s="4"/>
    </row>
    <row r="32" spans="2:7">
      <c r="F32" s="4"/>
    </row>
    <row r="33" spans="6:6">
      <c r="F33" s="4"/>
    </row>
    <row r="34" spans="6:6">
      <c r="F34" s="4"/>
    </row>
    <row r="35" spans="6:6">
      <c r="F35" s="4"/>
    </row>
    <row r="36" spans="6:6">
      <c r="F36" s="4"/>
    </row>
    <row r="37" spans="6:6">
      <c r="F37" s="4"/>
    </row>
    <row r="38" spans="6:6">
      <c r="F38" s="4"/>
    </row>
    <row r="39" spans="6:6">
      <c r="F39" s="4"/>
    </row>
    <row r="40" spans="6:6">
      <c r="F40" s="4"/>
    </row>
    <row r="41" spans="6:6">
      <c r="F41" s="4"/>
    </row>
    <row r="42" spans="6:6">
      <c r="F42" s="4"/>
    </row>
    <row r="43" spans="6:6">
      <c r="F43" s="4"/>
    </row>
    <row r="44" spans="6:6">
      <c r="F44" s="4"/>
    </row>
    <row r="45" spans="6:6">
      <c r="F45" s="4"/>
    </row>
    <row r="46" spans="6:6">
      <c r="F46" s="4"/>
    </row>
    <row r="47" spans="6:6">
      <c r="F47" s="4"/>
    </row>
    <row r="48" spans="6:6">
      <c r="F48" s="4"/>
    </row>
    <row r="49" spans="6:6">
      <c r="F49" s="4"/>
    </row>
    <row r="50" spans="6:6">
      <c r="F50" s="4"/>
    </row>
    <row r="51" spans="6:6">
      <c r="F51" s="4"/>
    </row>
    <row r="52" spans="6:6">
      <c r="F52" s="4"/>
    </row>
    <row r="53" spans="6:6">
      <c r="F53" s="4"/>
    </row>
    <row r="54" spans="6:6">
      <c r="F54" s="4"/>
    </row>
    <row r="55" spans="6:6">
      <c r="F55" s="4"/>
    </row>
    <row r="56" spans="6:6">
      <c r="F56" s="4"/>
    </row>
    <row r="57" spans="6:6">
      <c r="F57" s="4"/>
    </row>
    <row r="58" spans="6:6">
      <c r="F58" s="4"/>
    </row>
    <row r="59" spans="6:6">
      <c r="F59" s="4"/>
    </row>
    <row r="60" spans="6:6">
      <c r="F60" s="4"/>
    </row>
    <row r="61" spans="6:6">
      <c r="F61" s="4"/>
    </row>
    <row r="62" spans="6:6">
      <c r="F62" s="4"/>
    </row>
    <row r="63" spans="6:6">
      <c r="F63" s="4"/>
    </row>
    <row r="64" spans="6:6">
      <c r="F64" s="4"/>
    </row>
    <row r="65" spans="6:6">
      <c r="F65" s="4"/>
    </row>
    <row r="66" spans="6:6">
      <c r="F66" s="4"/>
    </row>
    <row r="67" spans="6:6">
      <c r="F67" s="4"/>
    </row>
    <row r="68" spans="6:6">
      <c r="F68" s="4"/>
    </row>
    <row r="69" spans="6:6">
      <c r="F69" s="4"/>
    </row>
    <row r="70" spans="6:6">
      <c r="F70" s="4"/>
    </row>
    <row r="71" spans="6:6">
      <c r="F71" s="4"/>
    </row>
    <row r="72" spans="6:6">
      <c r="F72" s="4"/>
    </row>
    <row r="73" spans="6:6">
      <c r="F73" s="4"/>
    </row>
    <row r="74" spans="6:6">
      <c r="F74" s="4"/>
    </row>
    <row r="75" spans="6:6">
      <c r="F75" s="4"/>
    </row>
    <row r="76" spans="6:6">
      <c r="F76" s="4"/>
    </row>
    <row r="77" spans="6:6">
      <c r="F77" s="4"/>
    </row>
    <row r="78" spans="6:6">
      <c r="F78" s="4"/>
    </row>
    <row r="79" spans="6:6">
      <c r="F79" s="4"/>
    </row>
    <row r="80" spans="6:6">
      <c r="F80" s="4"/>
    </row>
    <row r="81" spans="6:16">
      <c r="F81" s="4"/>
    </row>
    <row r="82" spans="6:16">
      <c r="F82" s="4"/>
    </row>
    <row r="83" spans="6:16">
      <c r="P83" s="27"/>
    </row>
    <row r="84" spans="6:16">
      <c r="P84" s="27"/>
    </row>
    <row r="85" spans="6:16">
      <c r="P85" s="27"/>
    </row>
    <row r="86" spans="6:16">
      <c r="P86" s="27"/>
    </row>
    <row r="87" spans="6:16">
      <c r="P87" s="27"/>
    </row>
    <row r="88" spans="6:16">
      <c r="P88" s="27"/>
    </row>
    <row r="89" spans="6:16">
      <c r="P89" s="27"/>
    </row>
    <row r="90" spans="6:16">
      <c r="P90" s="27"/>
    </row>
    <row r="91" spans="6:16">
      <c r="P91" s="27"/>
    </row>
    <row r="92" spans="6:16">
      <c r="P92" s="27"/>
    </row>
    <row r="93" spans="6:16">
      <c r="P93" s="27"/>
    </row>
    <row r="94" spans="6:16">
      <c r="P94" s="27"/>
    </row>
    <row r="95" spans="6:16">
      <c r="P95" s="27"/>
    </row>
    <row r="96" spans="6:16">
      <c r="P96" s="27"/>
    </row>
    <row r="97" spans="16:16">
      <c r="P97" s="27"/>
    </row>
    <row r="98" spans="16:16">
      <c r="P98" s="27"/>
    </row>
    <row r="99" spans="16:16">
      <c r="P99" s="27"/>
    </row>
    <row r="100" spans="16:16">
      <c r="P100" s="27"/>
    </row>
    <row r="101" spans="16:16">
      <c r="P101" s="27"/>
    </row>
    <row r="102" spans="16:16">
      <c r="P102" s="27"/>
    </row>
    <row r="103" spans="16:16">
      <c r="P103" s="27"/>
    </row>
    <row r="104" spans="16:16">
      <c r="P104" s="27"/>
    </row>
    <row r="105" spans="16:16">
      <c r="P105" s="27"/>
    </row>
    <row r="106" spans="16:16">
      <c r="P106" s="27"/>
    </row>
    <row r="107" spans="16:16">
      <c r="P107" s="27"/>
    </row>
  </sheetData>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Q104"/>
  <sheetViews>
    <sheetView showGridLines="0" zoomScale="85" zoomScaleNormal="85" workbookViewId="0"/>
  </sheetViews>
  <sheetFormatPr defaultRowHeight="12.75"/>
  <cols>
    <col min="1" max="1" width="2.5703125" style="258" customWidth="1"/>
    <col min="2" max="2" width="82.5703125" style="258" customWidth="1"/>
    <col min="3" max="3" width="2.5703125" style="258" customWidth="1"/>
    <col min="4" max="4" width="14.5703125" style="258" customWidth="1"/>
    <col min="5" max="5" width="2.5703125" style="258" customWidth="1"/>
    <col min="6" max="6" width="21.42578125" style="258" customWidth="1"/>
    <col min="7" max="15" width="14.85546875" style="258" customWidth="1"/>
    <col min="16" max="16" width="5.7109375" style="258" customWidth="1"/>
    <col min="17" max="17" width="27.42578125" style="258" customWidth="1"/>
    <col min="18" max="16384" width="9.140625" style="258"/>
  </cols>
  <sheetData>
    <row r="1" spans="2:17" ht="12" customHeight="1"/>
    <row r="2" spans="2:17" s="1" customFormat="1" ht="36">
      <c r="B2" s="269" t="s">
        <v>747</v>
      </c>
      <c r="F2" s="5" t="s">
        <v>105</v>
      </c>
      <c r="G2" s="5" t="s">
        <v>96</v>
      </c>
      <c r="H2" s="5" t="s">
        <v>97</v>
      </c>
      <c r="I2" s="5" t="s">
        <v>98</v>
      </c>
      <c r="J2" s="5" t="s">
        <v>99</v>
      </c>
      <c r="K2" s="5" t="s">
        <v>100</v>
      </c>
      <c r="L2" s="5" t="s">
        <v>101</v>
      </c>
      <c r="M2" s="5" t="s">
        <v>102</v>
      </c>
      <c r="N2" s="5" t="s">
        <v>103</v>
      </c>
      <c r="O2" s="5" t="s">
        <v>197</v>
      </c>
      <c r="P2" s="5"/>
      <c r="Q2" s="5" t="s">
        <v>567</v>
      </c>
    </row>
    <row r="4" spans="2:17">
      <c r="B4" s="51" t="s">
        <v>748</v>
      </c>
    </row>
    <row r="5" spans="2:17">
      <c r="B5" s="51" t="s">
        <v>749</v>
      </c>
    </row>
    <row r="6" spans="2:17">
      <c r="B6" s="51"/>
      <c r="F6" s="53"/>
    </row>
    <row r="7" spans="2:17">
      <c r="F7" s="47"/>
    </row>
    <row r="8" spans="2:17" s="2" customFormat="1">
      <c r="B8" s="2" t="s">
        <v>750</v>
      </c>
      <c r="F8" s="49"/>
    </row>
    <row r="9" spans="2:17">
      <c r="F9" s="47"/>
    </row>
    <row r="10" spans="2:17">
      <c r="B10" s="51" t="s">
        <v>799</v>
      </c>
      <c r="D10" s="258" t="s">
        <v>186</v>
      </c>
      <c r="F10" s="270">
        <f>SUM(G10:O10)</f>
        <v>1118965827.3322861</v>
      </c>
      <c r="G10" s="97">
        <f>'BeginInkomsten (obv RV&amp;Tar2013)'!G297</f>
        <v>22196901.84770564</v>
      </c>
      <c r="H10" s="97">
        <f>'BeginInkomsten (obv RV&amp;Tar2013)'!H297</f>
        <v>30603336.272270575</v>
      </c>
      <c r="I10" s="97">
        <f>'BeginInkomsten (obv RV&amp;Tar2013)'!I297</f>
        <v>62282919.272606239</v>
      </c>
      <c r="J10" s="97">
        <f>'BeginInkomsten (obv RV&amp;Tar2013)'!J297</f>
        <v>320334771.2753402</v>
      </c>
      <c r="K10" s="97">
        <f>'BeginInkomsten (obv RV&amp;Tar2013)'!K297</f>
        <v>342731735.95406991</v>
      </c>
      <c r="L10" s="97">
        <f>'BeginInkomsten (obv RV&amp;Tar2013)'!L297</f>
        <v>18354485.758633368</v>
      </c>
      <c r="M10" s="97">
        <f>'BeginInkomsten (obv RV&amp;Tar2013)'!M297</f>
        <v>297632151.81264526</v>
      </c>
      <c r="N10" s="97">
        <f>'BeginInkomsten (obv RV&amp;Tar2013)'!N297</f>
        <v>18389510.971848741</v>
      </c>
      <c r="O10" s="97">
        <f>'BeginInkomsten (obv RV&amp;Tar2013)'!O297</f>
        <v>6440014.167166301</v>
      </c>
      <c r="Q10" s="258" t="s">
        <v>585</v>
      </c>
    </row>
    <row r="11" spans="2:17">
      <c r="B11" s="51" t="s">
        <v>739</v>
      </c>
      <c r="D11" s="258" t="s">
        <v>186</v>
      </c>
      <c r="F11" s="270">
        <f>SUM(G11:O11)</f>
        <v>1082023334.0078416</v>
      </c>
      <c r="G11" s="97">
        <f>'Efficiënte kosten 2013'!G83</f>
        <v>20912236.537670828</v>
      </c>
      <c r="H11" s="97">
        <f>'Efficiënte kosten 2013'!H83</f>
        <v>29283311.905987468</v>
      </c>
      <c r="I11" s="97">
        <f>'Efficiënte kosten 2013'!I83</f>
        <v>60030724.551733449</v>
      </c>
      <c r="J11" s="97">
        <f>'Efficiënte kosten 2013'!J83</f>
        <v>309222097.62875223</v>
      </c>
      <c r="K11" s="97">
        <f>'Efficiënte kosten 2013'!K83</f>
        <v>335394552.60709226</v>
      </c>
      <c r="L11" s="97">
        <f>'Efficiënte kosten 2013'!L83</f>
        <v>17517831.468151469</v>
      </c>
      <c r="M11" s="97">
        <f>'Efficiënte kosten 2013'!M83</f>
        <v>287808549.81859076</v>
      </c>
      <c r="N11" s="97">
        <f>'Efficiënte kosten 2013'!N83</f>
        <v>17454523.169420686</v>
      </c>
      <c r="O11" s="97">
        <f>'Efficiënte kosten 2013'!O83</f>
        <v>4399506.3204424158</v>
      </c>
      <c r="Q11" s="258" t="s">
        <v>967</v>
      </c>
    </row>
    <row r="12" spans="2:17">
      <c r="F12" s="4"/>
    </row>
    <row r="13" spans="2:17">
      <c r="B13" s="51" t="s">
        <v>800</v>
      </c>
      <c r="D13" s="258" t="s">
        <v>186</v>
      </c>
      <c r="F13" s="270">
        <f>SUM(G13:O13)</f>
        <v>36942493.324444667</v>
      </c>
      <c r="G13" s="150">
        <f>G10-G11</f>
        <v>1284665.3100348115</v>
      </c>
      <c r="H13" s="150">
        <f t="shared" ref="H13:O13" si="0">H10-H11</f>
        <v>1320024.3662831075</v>
      </c>
      <c r="I13" s="150">
        <f t="shared" si="0"/>
        <v>2252194.7208727896</v>
      </c>
      <c r="J13" s="150">
        <f t="shared" si="0"/>
        <v>11112673.646587968</v>
      </c>
      <c r="K13" s="150">
        <f t="shared" si="0"/>
        <v>7337183.3469776511</v>
      </c>
      <c r="L13" s="150">
        <f t="shared" si="0"/>
        <v>836654.29048189893</v>
      </c>
      <c r="M13" s="150">
        <f t="shared" si="0"/>
        <v>9823601.9940544963</v>
      </c>
      <c r="N13" s="150">
        <f t="shared" si="0"/>
        <v>934987.80242805555</v>
      </c>
      <c r="O13" s="150">
        <f t="shared" si="0"/>
        <v>2040507.8467238853</v>
      </c>
      <c r="Q13" s="258" t="s">
        <v>575</v>
      </c>
    </row>
    <row r="14" spans="2:17">
      <c r="F14" s="4"/>
    </row>
    <row r="15" spans="2:17">
      <c r="F15" s="4"/>
    </row>
    <row r="16" spans="2:17" s="2" customFormat="1">
      <c r="B16" s="2" t="s">
        <v>751</v>
      </c>
      <c r="F16" s="49"/>
    </row>
    <row r="17" spans="2:17">
      <c r="F17" s="47"/>
    </row>
    <row r="18" spans="2:17">
      <c r="B18" s="51" t="s">
        <v>802</v>
      </c>
      <c r="D18" s="258" t="s">
        <v>186</v>
      </c>
      <c r="F18" s="271">
        <f>'BeginInkomsten (obv RV&amp;Tar2013)'!F297</f>
        <v>1118965827.3322861</v>
      </c>
      <c r="G18" s="29"/>
      <c r="H18" s="29"/>
      <c r="I18" s="29"/>
      <c r="J18" s="29"/>
      <c r="K18" s="29"/>
      <c r="L18" s="29"/>
      <c r="M18" s="29"/>
      <c r="N18" s="29"/>
      <c r="O18" s="29"/>
    </row>
    <row r="19" spans="2:17">
      <c r="B19" s="51" t="s">
        <v>830</v>
      </c>
      <c r="D19" s="258" t="s">
        <v>186</v>
      </c>
      <c r="F19" s="271">
        <f>'Inschatting kosten 2013'!F27</f>
        <v>1097372778.452286</v>
      </c>
      <c r="G19" s="29"/>
      <c r="H19" s="29"/>
      <c r="I19" s="29"/>
      <c r="J19" s="29"/>
      <c r="K19" s="29"/>
      <c r="L19" s="29"/>
      <c r="M19" s="29"/>
      <c r="N19" s="29"/>
      <c r="O19" s="29"/>
      <c r="Q19" s="258" t="s">
        <v>584</v>
      </c>
    </row>
    <row r="20" spans="2:17">
      <c r="F20" s="4"/>
      <c r="G20" s="259"/>
      <c r="H20" s="259"/>
      <c r="I20" s="259"/>
      <c r="J20" s="259"/>
      <c r="K20" s="259"/>
      <c r="L20" s="259"/>
      <c r="M20" s="259"/>
      <c r="N20" s="259"/>
      <c r="O20" s="259"/>
    </row>
    <row r="21" spans="2:17">
      <c r="B21" s="51" t="s">
        <v>801</v>
      </c>
      <c r="D21" s="258" t="s">
        <v>186</v>
      </c>
      <c r="F21" s="150">
        <f>F18-F19</f>
        <v>21593048.880000114</v>
      </c>
      <c r="G21" s="54"/>
      <c r="H21" s="54"/>
      <c r="I21" s="54"/>
      <c r="J21" s="54"/>
      <c r="K21" s="54"/>
      <c r="L21" s="54"/>
      <c r="M21" s="54"/>
      <c r="N21" s="54"/>
      <c r="O21" s="54"/>
      <c r="Q21" s="258" t="s">
        <v>968</v>
      </c>
    </row>
    <row r="22" spans="2:17">
      <c r="B22" s="51" t="s">
        <v>825</v>
      </c>
      <c r="D22" s="310" t="s">
        <v>135</v>
      </c>
      <c r="F22" s="312">
        <f>F21/F10</f>
        <v>1.9297326471068254E-2</v>
      </c>
      <c r="G22" s="54"/>
      <c r="H22" s="54"/>
      <c r="I22" s="54"/>
      <c r="J22" s="54"/>
      <c r="K22" s="54"/>
      <c r="L22" s="54"/>
      <c r="M22" s="54"/>
      <c r="N22" s="54"/>
      <c r="O22" s="54"/>
    </row>
    <row r="23" spans="2:17">
      <c r="F23" s="4"/>
    </row>
    <row r="24" spans="2:17">
      <c r="F24" s="4"/>
    </row>
    <row r="25" spans="2:17" s="2" customFormat="1">
      <c r="B25" s="2" t="s">
        <v>804</v>
      </c>
      <c r="F25" s="49"/>
    </row>
    <row r="26" spans="2:17">
      <c r="F26" s="47"/>
    </row>
    <row r="27" spans="2:17">
      <c r="B27" s="51" t="s">
        <v>803</v>
      </c>
      <c r="G27" s="29"/>
      <c r="H27" s="29"/>
      <c r="I27" s="29"/>
      <c r="J27" s="29"/>
      <c r="K27" s="29"/>
      <c r="L27" s="29"/>
      <c r="M27" s="29"/>
      <c r="N27" s="29"/>
      <c r="O27" s="29"/>
    </row>
    <row r="28" spans="2:17">
      <c r="F28" s="4"/>
    </row>
    <row r="29" spans="2:17">
      <c r="B29" s="51" t="s">
        <v>805</v>
      </c>
      <c r="D29" s="258" t="s">
        <v>186</v>
      </c>
      <c r="F29" s="270">
        <f>SUM(G29:O29)</f>
        <v>1118965827.3322861</v>
      </c>
      <c r="G29" s="150">
        <f>G10</f>
        <v>22196901.84770564</v>
      </c>
      <c r="H29" s="150">
        <f t="shared" ref="H29:O29" si="1">H10</f>
        <v>30603336.272270575</v>
      </c>
      <c r="I29" s="150">
        <f t="shared" si="1"/>
        <v>62282919.272606239</v>
      </c>
      <c r="J29" s="150">
        <f t="shared" si="1"/>
        <v>320334771.2753402</v>
      </c>
      <c r="K29" s="150">
        <f t="shared" si="1"/>
        <v>342731735.95406991</v>
      </c>
      <c r="L29" s="150">
        <f t="shared" si="1"/>
        <v>18354485.758633368</v>
      </c>
      <c r="M29" s="150">
        <f t="shared" si="1"/>
        <v>297632151.81264526</v>
      </c>
      <c r="N29" s="150">
        <f t="shared" si="1"/>
        <v>18389510.971848741</v>
      </c>
      <c r="O29" s="150">
        <f t="shared" si="1"/>
        <v>6440014.167166301</v>
      </c>
      <c r="Q29" s="258" t="s">
        <v>966</v>
      </c>
    </row>
    <row r="30" spans="2:17">
      <c r="F30" s="4"/>
    </row>
    <row r="31" spans="2:17">
      <c r="B31" s="51"/>
      <c r="C31" s="51"/>
      <c r="D31" s="51"/>
      <c r="E31" s="51"/>
      <c r="F31" s="51"/>
      <c r="G31" s="51"/>
      <c r="H31" s="51"/>
      <c r="I31" s="51"/>
      <c r="J31" s="51"/>
      <c r="K31" s="51"/>
      <c r="L31" s="51"/>
      <c r="M31" s="51"/>
      <c r="N31" s="51"/>
      <c r="O31" s="51"/>
    </row>
    <row r="32" spans="2:17">
      <c r="B32" s="51"/>
      <c r="C32" s="51"/>
      <c r="D32" s="51"/>
      <c r="E32" s="51"/>
      <c r="F32" s="51"/>
      <c r="G32" s="51"/>
      <c r="H32" s="51"/>
      <c r="I32" s="51"/>
      <c r="J32" s="51"/>
      <c r="K32" s="51"/>
      <c r="L32" s="51"/>
      <c r="M32" s="51"/>
      <c r="N32" s="51"/>
      <c r="O32" s="51"/>
    </row>
    <row r="33" spans="2:15">
      <c r="B33" s="51"/>
      <c r="C33" s="51"/>
      <c r="D33" s="51"/>
      <c r="E33" s="51"/>
      <c r="F33" s="51"/>
      <c r="G33" s="51"/>
      <c r="H33" s="51"/>
      <c r="I33" s="51"/>
      <c r="J33" s="51"/>
      <c r="K33" s="51"/>
      <c r="L33" s="51"/>
      <c r="M33" s="51"/>
      <c r="N33" s="51"/>
      <c r="O33" s="51"/>
    </row>
    <row r="34" spans="2:15">
      <c r="B34" s="51"/>
      <c r="C34" s="51"/>
      <c r="D34" s="51"/>
      <c r="E34" s="51"/>
      <c r="F34" s="51"/>
      <c r="G34" s="51"/>
      <c r="H34" s="51"/>
      <c r="I34" s="51"/>
      <c r="J34" s="51"/>
      <c r="K34" s="51"/>
      <c r="L34" s="51"/>
      <c r="M34" s="51"/>
      <c r="N34" s="51"/>
      <c r="O34" s="51"/>
    </row>
    <row r="35" spans="2:15">
      <c r="B35" s="51"/>
      <c r="C35" s="51"/>
      <c r="D35" s="51"/>
      <c r="E35" s="51"/>
      <c r="F35" s="51"/>
      <c r="G35" s="51"/>
      <c r="H35" s="51"/>
      <c r="I35" s="51"/>
      <c r="J35" s="51"/>
      <c r="K35" s="51"/>
      <c r="L35" s="51"/>
      <c r="M35" s="51"/>
      <c r="N35" s="51"/>
      <c r="O35" s="51"/>
    </row>
    <row r="36" spans="2:15">
      <c r="B36" s="51"/>
      <c r="C36" s="51"/>
      <c r="D36" s="51"/>
      <c r="E36" s="51"/>
      <c r="F36" s="51"/>
      <c r="G36" s="51"/>
      <c r="H36" s="51"/>
      <c r="I36" s="51"/>
      <c r="J36" s="51"/>
      <c r="K36" s="51"/>
      <c r="L36" s="51"/>
      <c r="M36" s="51"/>
      <c r="N36" s="51"/>
      <c r="O36" s="51"/>
    </row>
    <row r="37" spans="2:15">
      <c r="B37" s="51"/>
      <c r="C37" s="51"/>
      <c r="D37" s="51"/>
      <c r="E37" s="51"/>
      <c r="F37" s="51"/>
      <c r="G37" s="51"/>
      <c r="H37" s="51"/>
      <c r="I37" s="51"/>
      <c r="J37" s="51"/>
      <c r="K37" s="51"/>
      <c r="L37" s="51"/>
      <c r="M37" s="51"/>
      <c r="N37" s="51"/>
      <c r="O37" s="51"/>
    </row>
    <row r="38" spans="2:15">
      <c r="B38" s="51"/>
      <c r="C38" s="51"/>
      <c r="D38" s="51"/>
      <c r="E38" s="51"/>
      <c r="F38" s="51"/>
      <c r="G38" s="51"/>
      <c r="H38" s="51"/>
      <c r="I38" s="51"/>
      <c r="J38" s="51"/>
      <c r="K38" s="51"/>
      <c r="L38" s="51"/>
      <c r="M38" s="51"/>
      <c r="N38" s="51"/>
      <c r="O38" s="51"/>
    </row>
    <row r="39" spans="2:15">
      <c r="B39" s="51"/>
      <c r="C39" s="51"/>
      <c r="D39" s="51"/>
      <c r="E39" s="51"/>
      <c r="F39" s="51"/>
      <c r="G39" s="51"/>
      <c r="H39" s="51"/>
      <c r="I39" s="51"/>
      <c r="J39" s="51"/>
      <c r="K39" s="51"/>
      <c r="L39" s="51"/>
      <c r="M39" s="51"/>
      <c r="N39" s="51"/>
      <c r="O39" s="51"/>
    </row>
    <row r="40" spans="2:15">
      <c r="B40" s="261"/>
      <c r="C40" s="51"/>
      <c r="D40" s="51"/>
      <c r="E40" s="51"/>
      <c r="F40" s="51"/>
      <c r="G40" s="51"/>
      <c r="H40" s="51"/>
      <c r="I40" s="51"/>
      <c r="J40" s="51"/>
      <c r="K40" s="51"/>
      <c r="L40" s="51"/>
      <c r="M40" s="51"/>
      <c r="N40" s="51"/>
      <c r="O40" s="51"/>
    </row>
    <row r="41" spans="2:15">
      <c r="B41" s="51"/>
      <c r="C41" s="51"/>
      <c r="D41" s="51"/>
      <c r="E41" s="51"/>
      <c r="F41" s="272"/>
      <c r="G41" s="51"/>
      <c r="H41" s="51"/>
      <c r="I41" s="51"/>
      <c r="J41" s="51"/>
      <c r="K41" s="51"/>
      <c r="L41" s="51"/>
      <c r="M41" s="51"/>
      <c r="N41" s="51"/>
      <c r="O41" s="51"/>
    </row>
    <row r="42" spans="2:15">
      <c r="B42" s="51"/>
      <c r="C42" s="51"/>
      <c r="D42" s="51"/>
      <c r="E42" s="51"/>
      <c r="F42" s="51"/>
      <c r="G42" s="51"/>
      <c r="H42" s="51"/>
      <c r="I42" s="51"/>
      <c r="J42" s="51"/>
      <c r="K42" s="51"/>
      <c r="L42" s="51"/>
      <c r="M42" s="51"/>
      <c r="N42" s="51"/>
      <c r="O42" s="51"/>
    </row>
    <row r="43" spans="2:15">
      <c r="B43" s="51"/>
      <c r="C43" s="51"/>
      <c r="D43" s="51"/>
      <c r="E43" s="51"/>
      <c r="F43" s="51"/>
      <c r="G43" s="51"/>
      <c r="H43" s="51"/>
      <c r="I43" s="51"/>
      <c r="J43" s="51"/>
      <c r="K43" s="51"/>
      <c r="L43" s="51"/>
      <c r="M43" s="51"/>
      <c r="N43" s="51"/>
      <c r="O43" s="51"/>
    </row>
    <row r="44" spans="2:15">
      <c r="B44" s="51"/>
      <c r="C44" s="51"/>
      <c r="D44" s="51"/>
      <c r="E44" s="51"/>
      <c r="F44" s="51"/>
      <c r="G44" s="51"/>
      <c r="H44" s="51"/>
      <c r="I44" s="51"/>
      <c r="J44" s="51"/>
      <c r="K44" s="51"/>
      <c r="L44" s="51"/>
      <c r="M44" s="51"/>
      <c r="N44" s="51"/>
      <c r="O44" s="51"/>
    </row>
    <row r="45" spans="2:15">
      <c r="B45" s="51"/>
      <c r="C45" s="51"/>
      <c r="D45" s="51"/>
      <c r="E45" s="51"/>
      <c r="F45" s="51"/>
      <c r="G45" s="51"/>
      <c r="H45" s="51"/>
      <c r="I45" s="51"/>
      <c r="J45" s="51"/>
      <c r="K45" s="51"/>
      <c r="L45" s="51"/>
      <c r="M45" s="51"/>
      <c r="N45" s="51"/>
      <c r="O45" s="51"/>
    </row>
    <row r="46" spans="2:15">
      <c r="B46" s="51"/>
      <c r="C46" s="51"/>
      <c r="D46" s="51"/>
      <c r="E46" s="51"/>
      <c r="F46" s="51"/>
      <c r="G46" s="51"/>
      <c r="H46" s="51"/>
      <c r="I46" s="51"/>
      <c r="J46" s="51"/>
      <c r="K46" s="51"/>
      <c r="L46" s="51"/>
      <c r="M46" s="51"/>
      <c r="N46" s="51"/>
      <c r="O46" s="51"/>
    </row>
    <row r="47" spans="2:15">
      <c r="B47" s="51"/>
      <c r="C47" s="51"/>
      <c r="D47" s="51"/>
      <c r="E47" s="51"/>
      <c r="F47" s="51"/>
      <c r="G47" s="51"/>
      <c r="H47" s="51"/>
      <c r="I47" s="51"/>
      <c r="J47" s="51"/>
      <c r="K47" s="51"/>
      <c r="L47" s="51"/>
      <c r="M47" s="51"/>
      <c r="N47" s="51"/>
      <c r="O47" s="51"/>
    </row>
    <row r="48" spans="2:15">
      <c r="B48" s="51"/>
      <c r="C48" s="51"/>
      <c r="D48" s="51"/>
      <c r="E48" s="51"/>
      <c r="F48" s="51"/>
      <c r="G48" s="51"/>
      <c r="H48" s="51"/>
      <c r="I48" s="51"/>
      <c r="J48" s="51"/>
      <c r="K48" s="51"/>
      <c r="L48" s="51"/>
      <c r="M48" s="51"/>
      <c r="N48" s="51"/>
      <c r="O48" s="51"/>
    </row>
    <row r="49" spans="2:15">
      <c r="B49" s="51"/>
      <c r="C49" s="51"/>
      <c r="D49" s="51"/>
      <c r="E49" s="51"/>
      <c r="F49" s="51"/>
      <c r="G49" s="51"/>
      <c r="H49" s="51"/>
      <c r="I49" s="51"/>
      <c r="J49" s="51"/>
      <c r="K49" s="51"/>
      <c r="L49" s="51"/>
      <c r="M49" s="51"/>
      <c r="N49" s="51"/>
      <c r="O49" s="51"/>
    </row>
    <row r="50" spans="2:15">
      <c r="F50" s="4"/>
    </row>
    <row r="51" spans="2:15">
      <c r="F51" s="4"/>
    </row>
    <row r="52" spans="2:15">
      <c r="F52" s="4"/>
    </row>
    <row r="53" spans="2:15">
      <c r="F53" s="4"/>
    </row>
    <row r="54" spans="2:15">
      <c r="F54" s="4"/>
    </row>
    <row r="55" spans="2:15">
      <c r="F55" s="4"/>
    </row>
    <row r="56" spans="2:15">
      <c r="F56" s="4"/>
    </row>
    <row r="57" spans="2:15">
      <c r="F57" s="4"/>
    </row>
    <row r="58" spans="2:15">
      <c r="F58" s="4"/>
    </row>
    <row r="59" spans="2:15">
      <c r="F59" s="4"/>
    </row>
    <row r="60" spans="2:15">
      <c r="F60" s="4"/>
    </row>
    <row r="61" spans="2:15">
      <c r="F61" s="4"/>
    </row>
    <row r="62" spans="2:15">
      <c r="F62" s="4"/>
    </row>
    <row r="63" spans="2:15">
      <c r="F63" s="4"/>
    </row>
    <row r="64" spans="2:15">
      <c r="F64" s="4"/>
    </row>
    <row r="65" spans="6:17">
      <c r="F65" s="4"/>
    </row>
    <row r="66" spans="6:17">
      <c r="F66" s="4"/>
    </row>
    <row r="67" spans="6:17">
      <c r="F67" s="4"/>
    </row>
    <row r="68" spans="6:17">
      <c r="F68" s="4"/>
    </row>
    <row r="69" spans="6:17">
      <c r="F69" s="4"/>
    </row>
    <row r="70" spans="6:17">
      <c r="F70" s="4"/>
    </row>
    <row r="71" spans="6:17">
      <c r="F71" s="4"/>
    </row>
    <row r="72" spans="6:17">
      <c r="F72" s="4"/>
    </row>
    <row r="73" spans="6:17">
      <c r="F73" s="4"/>
    </row>
    <row r="74" spans="6:17">
      <c r="F74" s="4"/>
    </row>
    <row r="75" spans="6:17">
      <c r="F75" s="4"/>
    </row>
    <row r="76" spans="6:17">
      <c r="F76" s="4"/>
    </row>
    <row r="77" spans="6:17">
      <c r="F77" s="4"/>
    </row>
    <row r="78" spans="6:17">
      <c r="F78" s="4"/>
    </row>
    <row r="79" spans="6:17">
      <c r="F79" s="4"/>
    </row>
    <row r="80" spans="6:17">
      <c r="Q80" s="27"/>
    </row>
    <row r="81" spans="17:17">
      <c r="Q81" s="27"/>
    </row>
    <row r="82" spans="17:17">
      <c r="Q82" s="27"/>
    </row>
    <row r="83" spans="17:17">
      <c r="Q83" s="27"/>
    </row>
    <row r="84" spans="17:17">
      <c r="Q84" s="27"/>
    </row>
    <row r="85" spans="17:17">
      <c r="Q85" s="27"/>
    </row>
    <row r="86" spans="17:17">
      <c r="Q86" s="27"/>
    </row>
    <row r="87" spans="17:17">
      <c r="Q87" s="27"/>
    </row>
    <row r="88" spans="17:17">
      <c r="Q88" s="27"/>
    </row>
    <row r="89" spans="17:17">
      <c r="Q89" s="27"/>
    </row>
    <row r="90" spans="17:17">
      <c r="Q90" s="27"/>
    </row>
    <row r="91" spans="17:17">
      <c r="Q91" s="27"/>
    </row>
    <row r="92" spans="17:17">
      <c r="Q92" s="27"/>
    </row>
    <row r="93" spans="17:17">
      <c r="Q93" s="27"/>
    </row>
    <row r="94" spans="17:17">
      <c r="Q94" s="27"/>
    </row>
    <row r="95" spans="17:17">
      <c r="Q95" s="27"/>
    </row>
    <row r="96" spans="17:17">
      <c r="Q96" s="27"/>
    </row>
    <row r="97" spans="17:17">
      <c r="Q97" s="27"/>
    </row>
    <row r="98" spans="17:17">
      <c r="Q98" s="27"/>
    </row>
    <row r="99" spans="17:17">
      <c r="Q99" s="27"/>
    </row>
    <row r="100" spans="17:17">
      <c r="Q100" s="27"/>
    </row>
    <row r="101" spans="17:17">
      <c r="Q101" s="27"/>
    </row>
    <row r="102" spans="17:17">
      <c r="Q102" s="27"/>
    </row>
    <row r="103" spans="17:17">
      <c r="Q103" s="27"/>
    </row>
    <row r="104" spans="17:17">
      <c r="Q104" s="27"/>
    </row>
  </sheetData>
  <pageMargins left="0.75" right="0.75" top="1" bottom="1"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sheetPr>
  <dimension ref="B1:Q106"/>
  <sheetViews>
    <sheetView showGridLines="0" zoomScale="85" zoomScaleNormal="85" workbookViewId="0"/>
  </sheetViews>
  <sheetFormatPr defaultRowHeight="12.75"/>
  <cols>
    <col min="1" max="1" width="2.5703125" customWidth="1"/>
    <col min="2" max="2" width="88.5703125" customWidth="1"/>
    <col min="3" max="3" width="2.5703125" customWidth="1"/>
    <col min="4" max="4" width="15" customWidth="1"/>
    <col min="5" max="5" width="2.5703125" customWidth="1"/>
    <col min="6" max="6" width="21.42578125" customWidth="1"/>
    <col min="7" max="15" width="14.5703125" customWidth="1"/>
    <col min="16" max="16" width="6.5703125" customWidth="1"/>
    <col min="17" max="17" width="22.28515625" customWidth="1"/>
  </cols>
  <sheetData>
    <row r="1" spans="2:17" ht="12" customHeight="1"/>
    <row r="2" spans="2:17" s="1" customFormat="1" ht="18">
      <c r="B2" s="1" t="s">
        <v>2</v>
      </c>
      <c r="F2" s="5" t="s">
        <v>105</v>
      </c>
      <c r="G2" s="5" t="s">
        <v>96</v>
      </c>
      <c r="H2" s="5" t="s">
        <v>97</v>
      </c>
      <c r="I2" s="5" t="s">
        <v>98</v>
      </c>
      <c r="J2" s="5" t="s">
        <v>99</v>
      </c>
      <c r="K2" s="5" t="s">
        <v>100</v>
      </c>
      <c r="L2" s="5" t="s">
        <v>101</v>
      </c>
      <c r="M2" s="5" t="s">
        <v>102</v>
      </c>
      <c r="N2" s="5" t="s">
        <v>103</v>
      </c>
      <c r="O2" s="5" t="s">
        <v>197</v>
      </c>
      <c r="Q2" s="5" t="s">
        <v>567</v>
      </c>
    </row>
    <row r="5" spans="2:17" s="9" customFormat="1">
      <c r="B5" s="2" t="s">
        <v>41</v>
      </c>
      <c r="D5" s="2" t="s">
        <v>140</v>
      </c>
    </row>
    <row r="7" spans="2:17">
      <c r="B7" s="3" t="s">
        <v>80</v>
      </c>
    </row>
    <row r="8" spans="2:17">
      <c r="B8" t="s">
        <v>505</v>
      </c>
      <c r="D8" t="s">
        <v>130</v>
      </c>
      <c r="E8" s="28"/>
      <c r="F8" s="21">
        <f>SUM(G8:O8)</f>
        <v>952199960.20669317</v>
      </c>
      <c r="G8" s="97">
        <f>'Standaardisatie Output'!G112</f>
        <v>18602806.471755944</v>
      </c>
      <c r="H8" s="97">
        <f>'Standaardisatie Output'!H112</f>
        <v>26252926.931199878</v>
      </c>
      <c r="I8" s="97">
        <f>'Standaardisatie Output'!I112</f>
        <v>54149044.070964202</v>
      </c>
      <c r="J8" s="97">
        <f>'Standaardisatie Output'!J112</f>
        <v>278093764.483477</v>
      </c>
      <c r="K8" s="97">
        <f>'Standaardisatie Output'!K112</f>
        <v>291017796.09836721</v>
      </c>
      <c r="L8" s="97">
        <f>'Standaardisatie Output'!L112</f>
        <v>13591051.650013473</v>
      </c>
      <c r="M8" s="97">
        <f>'Standaardisatie Output'!M112</f>
        <v>248099816.98072332</v>
      </c>
      <c r="N8" s="97">
        <f>'Standaardisatie Output'!N112</f>
        <v>17433298.230841704</v>
      </c>
      <c r="O8" s="97">
        <f>'Standaardisatie Output'!O112</f>
        <v>4959455.2893504025</v>
      </c>
    </row>
    <row r="9" spans="2:17">
      <c r="B9" s="51" t="s">
        <v>506</v>
      </c>
      <c r="D9" t="s">
        <v>130</v>
      </c>
      <c r="E9" s="28"/>
      <c r="F9" s="21">
        <f>SUM(G9:O9)</f>
        <v>233720649.2617642</v>
      </c>
      <c r="G9" s="39">
        <f>'Standaardisatie Output'!G129</f>
        <v>4658089.0302374391</v>
      </c>
      <c r="H9" s="39">
        <f>'Standaardisatie Output'!H129</f>
        <v>6353090.0980012454</v>
      </c>
      <c r="I9" s="39">
        <f>'Standaardisatie Output'!I129</f>
        <v>13522115.535801111</v>
      </c>
      <c r="J9" s="39">
        <f>'Standaardisatie Output'!J129</f>
        <v>68064360.392972559</v>
      </c>
      <c r="K9" s="39">
        <f>'Standaardisatie Output'!K129</f>
        <v>74261338.748653978</v>
      </c>
      <c r="L9" s="39">
        <f>'Standaardisatie Output'!L129</f>
        <v>3321037.3519224315</v>
      </c>
      <c r="M9" s="39">
        <f>'Standaardisatie Output'!M129</f>
        <v>61307697.098168708</v>
      </c>
      <c r="N9" s="39">
        <f>'Standaardisatie Output'!N129</f>
        <v>2232921.0060067587</v>
      </c>
      <c r="O9" s="39">
        <f>'Standaardisatie Output'!O129</f>
        <v>0</v>
      </c>
    </row>
    <row r="10" spans="2:17">
      <c r="B10" t="s">
        <v>104</v>
      </c>
      <c r="D10" t="s">
        <v>130</v>
      </c>
      <c r="E10" s="28"/>
      <c r="F10" s="70">
        <f>SUM(G10:O10)</f>
        <v>1185920609.4684575</v>
      </c>
      <c r="G10" s="21">
        <f t="shared" ref="G10:O10" si="0">SUM(G8:G9)</f>
        <v>23260895.501993384</v>
      </c>
      <c r="H10" s="21">
        <f t="shared" si="0"/>
        <v>32606017.029201124</v>
      </c>
      <c r="I10" s="21">
        <f t="shared" si="0"/>
        <v>67671159.606765315</v>
      </c>
      <c r="J10" s="21">
        <f t="shared" si="0"/>
        <v>346158124.87644958</v>
      </c>
      <c r="K10" s="21">
        <f t="shared" si="0"/>
        <v>365279134.84702122</v>
      </c>
      <c r="L10" s="21">
        <f t="shared" si="0"/>
        <v>16912089.001935903</v>
      </c>
      <c r="M10" s="21">
        <f t="shared" si="0"/>
        <v>309407514.07889205</v>
      </c>
      <c r="N10" s="21">
        <f t="shared" si="0"/>
        <v>19666219.236848462</v>
      </c>
      <c r="O10" s="21">
        <f t="shared" si="0"/>
        <v>4959455.2893504025</v>
      </c>
    </row>
    <row r="11" spans="2:17">
      <c r="E11" s="28"/>
    </row>
    <row r="12" spans="2:17">
      <c r="B12" s="3" t="s">
        <v>44</v>
      </c>
      <c r="E12" s="28"/>
      <c r="G12" t="s">
        <v>70</v>
      </c>
      <c r="H12" t="s">
        <v>71</v>
      </c>
      <c r="I12" t="s">
        <v>72</v>
      </c>
    </row>
    <row r="13" spans="2:17">
      <c r="B13" t="s">
        <v>78</v>
      </c>
      <c r="D13" t="s">
        <v>135</v>
      </c>
      <c r="E13" s="28"/>
      <c r="F13" s="28" t="s">
        <v>75</v>
      </c>
      <c r="G13" s="71">
        <f>CPI!P43</f>
        <v>6.5341969999999749E-2</v>
      </c>
      <c r="H13" s="71">
        <f>CPI!Q43</f>
        <v>4.9598000000000031E-2</v>
      </c>
      <c r="I13" s="71">
        <f>CPI!R43</f>
        <v>2.3E-2</v>
      </c>
    </row>
    <row r="14" spans="2:17">
      <c r="B14" t="s">
        <v>81</v>
      </c>
      <c r="D14" t="s">
        <v>135</v>
      </c>
      <c r="E14" s="28"/>
      <c r="F14" s="71">
        <f>WACC!F11</f>
        <v>0.02</v>
      </c>
      <c r="G14" s="54"/>
      <c r="H14" s="54"/>
      <c r="I14" s="54"/>
      <c r="J14" s="54"/>
      <c r="K14" s="54"/>
      <c r="L14" s="54"/>
      <c r="M14" s="54"/>
      <c r="N14" s="54"/>
      <c r="O14" s="54"/>
    </row>
    <row r="15" spans="2:17">
      <c r="E15" s="28"/>
      <c r="F15" s="28"/>
    </row>
    <row r="16" spans="2:17">
      <c r="B16" t="s">
        <v>42</v>
      </c>
      <c r="D16" t="s">
        <v>135</v>
      </c>
      <c r="E16" s="28"/>
      <c r="F16" s="33">
        <f>Productiviteitsverandering!F51</f>
        <v>7.7145491791583698E-3</v>
      </c>
      <c r="H16" s="179"/>
    </row>
    <row r="17" spans="2:17">
      <c r="E17" s="28"/>
    </row>
    <row r="18" spans="2:17">
      <c r="B18" s="55" t="s">
        <v>193</v>
      </c>
      <c r="E18" s="28"/>
    </row>
    <row r="19" spans="2:17">
      <c r="B19" s="78" t="s">
        <v>365</v>
      </c>
      <c r="C19" s="258"/>
      <c r="D19" t="s">
        <v>183</v>
      </c>
      <c r="E19" s="28"/>
      <c r="F19" s="39">
        <f>'Genormaliseerde totale kosten'!F165</f>
        <v>839797436.28506279</v>
      </c>
      <c r="I19" s="29"/>
      <c r="J19" s="29"/>
      <c r="K19" s="29"/>
      <c r="L19" s="29"/>
      <c r="M19" s="29"/>
      <c r="N19" s="29"/>
      <c r="O19" s="29"/>
    </row>
    <row r="20" spans="2:17">
      <c r="B20" s="78" t="s">
        <v>529</v>
      </c>
      <c r="C20" s="258"/>
      <c r="D20" t="s">
        <v>184</v>
      </c>
      <c r="E20" s="28"/>
      <c r="F20" s="39">
        <f>'Genormaliseerde totale kosten'!F166</f>
        <v>860888215.96299303</v>
      </c>
      <c r="I20" s="29"/>
      <c r="J20" s="29"/>
      <c r="K20" s="29"/>
      <c r="L20" s="29"/>
      <c r="M20" s="29"/>
      <c r="N20" s="29"/>
      <c r="O20" s="29"/>
    </row>
    <row r="21" spans="2:17">
      <c r="B21" s="78" t="s">
        <v>530</v>
      </c>
      <c r="C21" s="258"/>
      <c r="D21" t="s">
        <v>185</v>
      </c>
      <c r="E21" s="28"/>
      <c r="F21" s="39">
        <f>'Genormaliseerde totale kosten'!F167</f>
        <v>910111853.8534925</v>
      </c>
      <c r="I21" s="29"/>
      <c r="J21" s="29"/>
      <c r="K21" s="29"/>
      <c r="L21" s="29"/>
      <c r="M21" s="29"/>
      <c r="N21" s="29"/>
      <c r="O21" s="29"/>
    </row>
    <row r="22" spans="2:17">
      <c r="B22" s="78"/>
      <c r="C22" s="258"/>
      <c r="E22" s="28"/>
      <c r="F22" s="29"/>
      <c r="I22" s="29"/>
      <c r="J22" s="29"/>
      <c r="K22" s="29"/>
      <c r="L22" s="29"/>
      <c r="M22" s="29"/>
      <c r="N22" s="29"/>
      <c r="O22" s="29"/>
    </row>
    <row r="23" spans="2:17">
      <c r="B23" s="55" t="s">
        <v>364</v>
      </c>
      <c r="C23" s="258"/>
      <c r="E23" s="28"/>
      <c r="F23" s="29"/>
      <c r="I23" s="29"/>
      <c r="J23" s="29"/>
      <c r="K23" s="29"/>
      <c r="L23" s="29"/>
      <c r="M23" s="29"/>
      <c r="N23" s="29"/>
      <c r="O23" s="29"/>
    </row>
    <row r="24" spans="2:17">
      <c r="B24" s="78" t="s">
        <v>531</v>
      </c>
      <c r="C24" s="258"/>
      <c r="D24" s="51" t="s">
        <v>186</v>
      </c>
      <c r="E24" s="28"/>
      <c r="F24" s="97">
        <f>'Berekening wegingsfactoren'!F723</f>
        <v>0</v>
      </c>
      <c r="I24" s="29"/>
      <c r="J24" s="29"/>
      <c r="K24" s="29"/>
      <c r="L24" s="29"/>
      <c r="M24" s="29"/>
      <c r="N24" s="29"/>
      <c r="O24" s="29"/>
    </row>
    <row r="25" spans="2:17">
      <c r="B25" s="78" t="s">
        <v>502</v>
      </c>
      <c r="C25" s="258"/>
      <c r="D25" t="s">
        <v>183</v>
      </c>
      <c r="E25" s="28"/>
      <c r="F25" s="98">
        <f>$F$24/(1+G13)</f>
        <v>0</v>
      </c>
      <c r="H25" s="11"/>
      <c r="I25" s="29"/>
      <c r="J25" s="29"/>
      <c r="K25" s="29"/>
      <c r="L25" s="29"/>
      <c r="M25" s="29"/>
      <c r="N25" s="29"/>
      <c r="O25" s="29"/>
    </row>
    <row r="26" spans="2:17">
      <c r="B26" s="78" t="s">
        <v>503</v>
      </c>
      <c r="C26" s="258"/>
      <c r="D26" t="s">
        <v>184</v>
      </c>
      <c r="E26" s="28"/>
      <c r="F26" s="98">
        <f>$F$24/(1+H13)</f>
        <v>0</v>
      </c>
      <c r="H26" s="78"/>
      <c r="I26" s="29"/>
      <c r="J26" s="29"/>
      <c r="K26" s="29"/>
      <c r="L26" s="29"/>
      <c r="M26" s="29"/>
      <c r="N26" s="29"/>
      <c r="O26" s="29"/>
    </row>
    <row r="27" spans="2:17">
      <c r="B27" s="78" t="s">
        <v>504</v>
      </c>
      <c r="C27" s="258"/>
      <c r="D27" t="s">
        <v>185</v>
      </c>
      <c r="E27" s="28"/>
      <c r="F27" s="98">
        <f>$F$24/(1+I13)</f>
        <v>0</v>
      </c>
      <c r="I27" s="29"/>
      <c r="J27" s="29"/>
      <c r="K27" s="29"/>
      <c r="L27" s="29"/>
      <c r="M27" s="29"/>
      <c r="N27" s="29"/>
      <c r="O27" s="29"/>
    </row>
    <row r="28" spans="2:17">
      <c r="B28" s="28"/>
      <c r="C28" s="258"/>
      <c r="E28" s="28"/>
      <c r="Q28" s="28"/>
    </row>
    <row r="29" spans="2:17">
      <c r="B29" s="55" t="s">
        <v>193</v>
      </c>
      <c r="C29" s="258"/>
      <c r="E29" s="28"/>
    </row>
    <row r="30" spans="2:17">
      <c r="B30" s="28" t="s">
        <v>45</v>
      </c>
      <c r="C30" s="258"/>
      <c r="D30" t="s">
        <v>183</v>
      </c>
      <c r="E30" s="28"/>
      <c r="F30" s="98">
        <f>F19+F25</f>
        <v>839797436.28506279</v>
      </c>
      <c r="I30" s="29"/>
      <c r="J30" s="29"/>
      <c r="K30" s="29"/>
      <c r="L30" s="29"/>
      <c r="M30" s="29"/>
      <c r="N30" s="29"/>
      <c r="O30" s="29"/>
    </row>
    <row r="31" spans="2:17">
      <c r="B31" s="28" t="s">
        <v>46</v>
      </c>
      <c r="C31" s="258"/>
      <c r="D31" t="s">
        <v>184</v>
      </c>
      <c r="E31" s="28"/>
      <c r="F31" s="98">
        <f>F20+F26</f>
        <v>860888215.96299303</v>
      </c>
      <c r="I31" s="29"/>
      <c r="J31" s="29"/>
      <c r="K31" s="29"/>
      <c r="L31" s="29"/>
      <c r="M31" s="29"/>
      <c r="N31" s="29"/>
      <c r="O31" s="29"/>
    </row>
    <row r="32" spans="2:17">
      <c r="B32" s="28" t="s">
        <v>47</v>
      </c>
      <c r="C32" s="258"/>
      <c r="D32" t="s">
        <v>185</v>
      </c>
      <c r="E32" s="28"/>
      <c r="F32" s="98">
        <f>F21+F27</f>
        <v>910111853.8534925</v>
      </c>
      <c r="I32" s="29"/>
      <c r="J32" s="29"/>
      <c r="K32" s="29"/>
      <c r="L32" s="29"/>
      <c r="M32" s="29"/>
      <c r="N32" s="29"/>
      <c r="O32" s="29"/>
    </row>
    <row r="33" spans="2:17">
      <c r="C33" s="258"/>
      <c r="E33" s="28"/>
      <c r="Q33" s="28"/>
    </row>
    <row r="34" spans="2:17">
      <c r="B34" s="3" t="s">
        <v>192</v>
      </c>
      <c r="C34" s="258"/>
      <c r="E34" s="28"/>
      <c r="Q34" s="28"/>
    </row>
    <row r="35" spans="2:17">
      <c r="B35" s="13" t="s">
        <v>188</v>
      </c>
      <c r="C35" s="258"/>
      <c r="D35" t="s">
        <v>183</v>
      </c>
      <c r="E35" s="28"/>
      <c r="F35" s="21">
        <f>SUM(G35:O35)</f>
        <v>25188796.555960834</v>
      </c>
      <c r="G35" s="39">
        <f>'Genormaliseerde totale kosten'!G46</f>
        <v>778514.38979668741</v>
      </c>
      <c r="H35" s="39">
        <f>'Genormaliseerde totale kosten'!H46</f>
        <v>271771.83</v>
      </c>
      <c r="I35" s="39">
        <f>'Genormaliseerde totale kosten'!I46</f>
        <v>0</v>
      </c>
      <c r="J35" s="39">
        <f>'Genormaliseerde totale kosten'!J46</f>
        <v>1751711.9073223823</v>
      </c>
      <c r="K35" s="39">
        <f>'Genormaliseerde totale kosten'!K46</f>
        <v>7686459.2046175497</v>
      </c>
      <c r="L35" s="39">
        <f>'Genormaliseerde totale kosten'!L46</f>
        <v>2128896.2242242154</v>
      </c>
      <c r="M35" s="39">
        <f>'Genormaliseerde totale kosten'!M46</f>
        <v>12568949</v>
      </c>
      <c r="N35" s="39">
        <f>'Genormaliseerde totale kosten'!N46</f>
        <v>2494</v>
      </c>
      <c r="O35" s="39">
        <f>'Genormaliseerde totale kosten'!O46</f>
        <v>0</v>
      </c>
      <c r="Q35" s="28"/>
    </row>
    <row r="36" spans="2:17">
      <c r="B36" s="13" t="s">
        <v>189</v>
      </c>
      <c r="C36" s="258"/>
      <c r="D36" t="s">
        <v>184</v>
      </c>
      <c r="E36" s="28"/>
      <c r="F36" s="21">
        <f>SUM(G36:O36)</f>
        <v>28399211.389289655</v>
      </c>
      <c r="G36" s="39">
        <f>'Genormaliseerde totale kosten'!G91</f>
        <v>1946.0000000006955</v>
      </c>
      <c r="H36" s="39">
        <f>'Genormaliseerde totale kosten'!H91</f>
        <v>368104</v>
      </c>
      <c r="I36" s="39">
        <f>'Genormaliseerde totale kosten'!I91</f>
        <v>0</v>
      </c>
      <c r="J36" s="39">
        <f>'Genormaliseerde totale kosten'!J91</f>
        <v>1812363.7639395087</v>
      </c>
      <c r="K36" s="39">
        <f>'Genormaliseerde totale kosten'!K91</f>
        <v>11315354.953036755</v>
      </c>
      <c r="L36" s="39">
        <f>'Genormaliseerde totale kosten'!L91</f>
        <v>2101286.6723133917</v>
      </c>
      <c r="M36" s="39">
        <f>'Genormaliseerde totale kosten'!M91</f>
        <v>12785218</v>
      </c>
      <c r="N36" s="39">
        <f>'Genormaliseerde totale kosten'!N91</f>
        <v>14938</v>
      </c>
      <c r="O36" s="39">
        <f>'Genormaliseerde totale kosten'!O91</f>
        <v>0</v>
      </c>
      <c r="Q36" s="28"/>
    </row>
    <row r="37" spans="2:17">
      <c r="B37" s="13" t="s">
        <v>190</v>
      </c>
      <c r="C37" s="258"/>
      <c r="D37" t="s">
        <v>185</v>
      </c>
      <c r="E37" s="28"/>
      <c r="F37" s="21">
        <f>SUM(G37:O37)</f>
        <v>30991772.533834398</v>
      </c>
      <c r="G37" s="39">
        <f>'Genormaliseerde totale kosten'!G136</f>
        <v>1401.9999999999982</v>
      </c>
      <c r="H37" s="39">
        <f>'Genormaliseerde totale kosten'!H136</f>
        <v>391176.4</v>
      </c>
      <c r="I37" s="39">
        <f>'Genormaliseerde totale kosten'!I136</f>
        <v>0</v>
      </c>
      <c r="J37" s="39">
        <f>'Genormaliseerde totale kosten'!J136</f>
        <v>1899067.4163321736</v>
      </c>
      <c r="K37" s="39">
        <f>'Genormaliseerde totale kosten'!K136</f>
        <v>13691948</v>
      </c>
      <c r="L37" s="39">
        <f>'Genormaliseerde totale kosten'!L136</f>
        <v>2102355.7175022243</v>
      </c>
      <c r="M37" s="39">
        <f>'Genormaliseerde totale kosten'!M136</f>
        <v>12898160</v>
      </c>
      <c r="N37" s="39">
        <f>'Genormaliseerde totale kosten'!N136</f>
        <v>7663</v>
      </c>
      <c r="O37" s="39">
        <f>'Genormaliseerde totale kosten'!O136</f>
        <v>0</v>
      </c>
      <c r="Q37" s="28"/>
    </row>
    <row r="38" spans="2:17">
      <c r="C38" s="258"/>
      <c r="Q38" s="28"/>
    </row>
    <row r="39" spans="2:17">
      <c r="B39" s="3" t="s">
        <v>43</v>
      </c>
      <c r="C39" s="258"/>
    </row>
    <row r="40" spans="2:17">
      <c r="B40" s="51" t="s">
        <v>728</v>
      </c>
      <c r="D40" t="s">
        <v>183</v>
      </c>
      <c r="F40" s="97">
        <f>'Genormaliseerde totale kosten'!F151</f>
        <v>1160000</v>
      </c>
    </row>
    <row r="41" spans="2:17">
      <c r="B41" s="51" t="s">
        <v>729</v>
      </c>
      <c r="D41" t="s">
        <v>184</v>
      </c>
      <c r="F41" s="97">
        <f>'Genormaliseerde totale kosten'!F152</f>
        <v>1603000</v>
      </c>
    </row>
    <row r="42" spans="2:17">
      <c r="B42" s="51" t="s">
        <v>730</v>
      </c>
      <c r="D42" t="s">
        <v>185</v>
      </c>
      <c r="F42" s="97">
        <f>'Genormaliseerde totale kosten'!F153</f>
        <v>1785000</v>
      </c>
    </row>
    <row r="43" spans="2:17">
      <c r="B43" s="3"/>
      <c r="F43" s="29"/>
    </row>
    <row r="44" spans="2:17">
      <c r="B44" t="s">
        <v>732</v>
      </c>
      <c r="D44" t="s">
        <v>186</v>
      </c>
      <c r="F44" s="39">
        <f>'Data marktmodel'!M20</f>
        <v>20526000</v>
      </c>
      <c r="H44" s="28"/>
      <c r="Q44" s="51" t="s">
        <v>733</v>
      </c>
    </row>
    <row r="45" spans="2:17">
      <c r="B45" t="s">
        <v>734</v>
      </c>
      <c r="D45" t="s">
        <v>186</v>
      </c>
      <c r="F45" s="97">
        <f>'Data marktmodel'!O20</f>
        <v>22474000</v>
      </c>
      <c r="H45" s="28"/>
    </row>
    <row r="47" spans="2:17">
      <c r="B47" s="135" t="s">
        <v>684</v>
      </c>
      <c r="D47" t="s">
        <v>183</v>
      </c>
      <c r="F47" s="97">
        <f>'Berekening kosten dub. deb.'!F119</f>
        <v>4903487.9967617635</v>
      </c>
    </row>
    <row r="48" spans="2:17">
      <c r="B48" s="135" t="s">
        <v>685</v>
      </c>
      <c r="D48" t="s">
        <v>184</v>
      </c>
      <c r="F48" s="97">
        <f>'Berekening kosten dub. deb.'!F120</f>
        <v>3788410.2634537998</v>
      </c>
    </row>
    <row r="49" spans="2:17">
      <c r="B49" s="135" t="s">
        <v>686</v>
      </c>
      <c r="D49" t="s">
        <v>185</v>
      </c>
      <c r="F49" s="97">
        <f>'Berekening kosten dub. deb.'!F121</f>
        <v>4109633.8806513762</v>
      </c>
    </row>
    <row r="50" spans="2:17">
      <c r="B50" s="188" t="s">
        <v>688</v>
      </c>
      <c r="D50" s="51" t="s">
        <v>186</v>
      </c>
      <c r="F50" s="98">
        <f>AVERAGE(F47*(1+G13),F48*(1+H13),F49*(1+I13))</f>
        <v>4468118.2859828221</v>
      </c>
    </row>
    <row r="52" spans="2:17">
      <c r="B52" s="51" t="s">
        <v>689</v>
      </c>
      <c r="D52" s="51" t="s">
        <v>186</v>
      </c>
      <c r="F52" s="107">
        <f>F44-F50</f>
        <v>16057881.714017179</v>
      </c>
    </row>
    <row r="53" spans="2:17">
      <c r="B53" s="51" t="s">
        <v>690</v>
      </c>
      <c r="D53" s="51" t="s">
        <v>186</v>
      </c>
      <c r="F53" s="107">
        <f>F45-F50</f>
        <v>18005881.714017179</v>
      </c>
    </row>
    <row r="56" spans="2:17" s="9" customFormat="1">
      <c r="B56" s="2" t="s">
        <v>791</v>
      </c>
      <c r="D56" s="2" t="s">
        <v>140</v>
      </c>
    </row>
    <row r="58" spans="2:17">
      <c r="B58" s="3" t="s">
        <v>194</v>
      </c>
    </row>
    <row r="59" spans="2:17">
      <c r="B59" t="s">
        <v>48</v>
      </c>
      <c r="D59" t="s">
        <v>186</v>
      </c>
      <c r="F59" s="24">
        <f>((F30-F40)*(1-$F$16)^3+F40)*(1+G13)</f>
        <v>874153201.50654685</v>
      </c>
      <c r="G59" s="28"/>
      <c r="H59" s="28"/>
      <c r="I59" s="28"/>
      <c r="J59" s="28"/>
      <c r="K59" s="28"/>
      <c r="L59" s="28"/>
      <c r="M59" s="28"/>
      <c r="N59" s="28"/>
      <c r="O59" s="28"/>
      <c r="Q59" s="51" t="s">
        <v>965</v>
      </c>
    </row>
    <row r="60" spans="2:17">
      <c r="B60" t="s">
        <v>57</v>
      </c>
      <c r="D60" t="s">
        <v>186</v>
      </c>
      <c r="F60" s="24">
        <f>((F31-F41)*(1-$F$16)^2+F41)*(1+H13)</f>
        <v>889724659.65200317</v>
      </c>
      <c r="G60" s="28"/>
      <c r="H60" s="28"/>
      <c r="I60" s="28"/>
      <c r="J60" s="28"/>
      <c r="K60" s="28"/>
      <c r="L60" s="28"/>
      <c r="M60" s="28"/>
      <c r="N60" s="28"/>
      <c r="O60" s="28"/>
    </row>
    <row r="61" spans="2:17">
      <c r="B61" t="s">
        <v>58</v>
      </c>
      <c r="D61" t="s">
        <v>186</v>
      </c>
      <c r="F61" s="24">
        <f>((F32-F42)*(1-$F$16)+F42)*(1+I13)</f>
        <v>923875925.66706932</v>
      </c>
      <c r="G61" s="28"/>
      <c r="H61" s="28"/>
      <c r="I61" s="28"/>
      <c r="J61" s="28"/>
      <c r="K61" s="28"/>
      <c r="L61" s="28"/>
      <c r="M61" s="28"/>
      <c r="N61" s="28"/>
      <c r="O61" s="28"/>
    </row>
    <row r="63" spans="2:17">
      <c r="B63" t="s">
        <v>59</v>
      </c>
      <c r="D63" t="s">
        <v>186</v>
      </c>
      <c r="F63" s="21">
        <f>AVERAGE(F59:F61)</f>
        <v>895917928.94187307</v>
      </c>
      <c r="G63" s="63"/>
      <c r="Q63" s="51" t="s">
        <v>590</v>
      </c>
    </row>
    <row r="64" spans="2:17">
      <c r="F64" s="54"/>
      <c r="G64" s="28"/>
      <c r="H64" s="28"/>
      <c r="I64" s="28"/>
      <c r="J64" s="28"/>
      <c r="K64" s="28"/>
      <c r="L64" s="28"/>
      <c r="M64" s="28"/>
      <c r="N64" s="28"/>
      <c r="O64" s="28"/>
    </row>
    <row r="65" spans="2:17">
      <c r="B65" s="3" t="s">
        <v>60</v>
      </c>
    </row>
    <row r="66" spans="2:17">
      <c r="B66" t="s">
        <v>61</v>
      </c>
      <c r="D66" t="s">
        <v>186</v>
      </c>
      <c r="F66" s="21">
        <f>SUM(G66:O66)</f>
        <v>26834682.144856524</v>
      </c>
      <c r="G66" s="24">
        <f t="shared" ref="G66:O66" si="1">G35*(1+$G$13)</f>
        <v>829384.05369935068</v>
      </c>
      <c r="H66" s="24">
        <f t="shared" si="1"/>
        <v>289529.93676270504</v>
      </c>
      <c r="I66" s="24">
        <f t="shared" si="1"/>
        <v>0</v>
      </c>
      <c r="J66" s="24">
        <f t="shared" si="1"/>
        <v>1866172.2142192838</v>
      </c>
      <c r="K66" s="24">
        <f t="shared" si="1"/>
        <v>8188707.5913718911</v>
      </c>
      <c r="L66" s="24">
        <f t="shared" si="1"/>
        <v>2268002.4974405868</v>
      </c>
      <c r="M66" s="24">
        <f t="shared" si="1"/>
        <v>13390228.888489528</v>
      </c>
      <c r="N66" s="24">
        <f t="shared" si="1"/>
        <v>2656.9628731799994</v>
      </c>
      <c r="O66" s="24">
        <f t="shared" si="1"/>
        <v>0</v>
      </c>
      <c r="Q66" s="28"/>
    </row>
    <row r="67" spans="2:17">
      <c r="B67" t="s">
        <v>62</v>
      </c>
      <c r="D67" t="s">
        <v>186</v>
      </c>
      <c r="F67" s="21">
        <f>SUM(G67:O67)</f>
        <v>29807755.475775644</v>
      </c>
      <c r="G67" s="24">
        <f t="shared" ref="G67:O67" si="2">G36*(1+$H$13)</f>
        <v>2042.5177080007302</v>
      </c>
      <c r="H67" s="24">
        <f t="shared" si="2"/>
        <v>386361.22219200002</v>
      </c>
      <c r="I67" s="24">
        <f t="shared" si="2"/>
        <v>0</v>
      </c>
      <c r="J67" s="24">
        <f t="shared" si="2"/>
        <v>1902253.3819033806</v>
      </c>
      <c r="K67" s="24">
        <f t="shared" si="2"/>
        <v>11876573.927997472</v>
      </c>
      <c r="L67" s="24">
        <f t="shared" si="2"/>
        <v>2205506.2886867914</v>
      </c>
      <c r="M67" s="24">
        <f t="shared" si="2"/>
        <v>13419339.242364001</v>
      </c>
      <c r="N67" s="24">
        <f t="shared" si="2"/>
        <v>15678.894924</v>
      </c>
      <c r="O67" s="24">
        <f t="shared" si="2"/>
        <v>0</v>
      </c>
    </row>
    <row r="68" spans="2:17">
      <c r="B68" t="s">
        <v>63</v>
      </c>
      <c r="D68" t="s">
        <v>186</v>
      </c>
      <c r="F68" s="21">
        <f>SUM(G68:O68)</f>
        <v>31704583.302112591</v>
      </c>
      <c r="G68" s="24">
        <f t="shared" ref="G68:O68" si="3">G37*(1+$I$13)</f>
        <v>1434.245999999998</v>
      </c>
      <c r="H68" s="24">
        <f t="shared" si="3"/>
        <v>400173.4572</v>
      </c>
      <c r="I68" s="24">
        <f t="shared" si="3"/>
        <v>0</v>
      </c>
      <c r="J68" s="24">
        <f t="shared" si="3"/>
        <v>1942745.9669078134</v>
      </c>
      <c r="K68" s="24">
        <f t="shared" si="3"/>
        <v>14006862.804</v>
      </c>
      <c r="L68" s="24">
        <f t="shared" si="3"/>
        <v>2150709.8990047751</v>
      </c>
      <c r="M68" s="24">
        <f t="shared" si="3"/>
        <v>13194817.68</v>
      </c>
      <c r="N68" s="24">
        <f t="shared" si="3"/>
        <v>7839.2489999999989</v>
      </c>
      <c r="O68" s="24">
        <f t="shared" si="3"/>
        <v>0</v>
      </c>
      <c r="Q68" s="28"/>
    </row>
    <row r="70" spans="2:17">
      <c r="B70" t="s">
        <v>64</v>
      </c>
      <c r="D70" t="s">
        <v>186</v>
      </c>
      <c r="F70" s="21">
        <f>AVERAGE(F66:F68)</f>
        <v>29449006.974248257</v>
      </c>
      <c r="G70" s="21">
        <f t="shared" ref="G70:N70" si="4">AVERAGE(G66:G68)</f>
        <v>277620.27246911713</v>
      </c>
      <c r="H70" s="21">
        <f t="shared" si="4"/>
        <v>358688.20538490172</v>
      </c>
      <c r="I70" s="21">
        <f t="shared" si="4"/>
        <v>0</v>
      </c>
      <c r="J70" s="21">
        <f t="shared" si="4"/>
        <v>1903723.8543434925</v>
      </c>
      <c r="K70" s="21">
        <f t="shared" si="4"/>
        <v>11357381.44112312</v>
      </c>
      <c r="L70" s="21">
        <f t="shared" si="4"/>
        <v>2208072.8950440511</v>
      </c>
      <c r="M70" s="21">
        <f t="shared" si="4"/>
        <v>13334795.270284509</v>
      </c>
      <c r="N70" s="21">
        <f t="shared" si="4"/>
        <v>8725.0355990600001</v>
      </c>
      <c r="O70" s="21">
        <f t="shared" ref="O70" si="5">AVERAGE(O66:O68)</f>
        <v>0</v>
      </c>
      <c r="Q70" s="51" t="s">
        <v>587</v>
      </c>
    </row>
    <row r="73" spans="2:17" s="9" customFormat="1">
      <c r="B73" s="2" t="s">
        <v>792</v>
      </c>
      <c r="D73" s="2" t="s">
        <v>140</v>
      </c>
    </row>
    <row r="74" spans="2:17">
      <c r="B74" s="258"/>
    </row>
    <row r="75" spans="2:17">
      <c r="B75" s="261" t="s">
        <v>826</v>
      </c>
    </row>
    <row r="76" spans="2:17">
      <c r="B76" s="51" t="s">
        <v>827</v>
      </c>
      <c r="D76" t="s">
        <v>186</v>
      </c>
      <c r="F76" s="21">
        <f>F63-F52</f>
        <v>879860047.22785592</v>
      </c>
      <c r="Q76" s="51" t="s">
        <v>964</v>
      </c>
    </row>
    <row r="77" spans="2:17">
      <c r="C77" s="258"/>
    </row>
    <row r="78" spans="2:17">
      <c r="B78" s="261" t="s">
        <v>66</v>
      </c>
      <c r="C78" s="258"/>
    </row>
    <row r="79" spans="2:17">
      <c r="B79" s="258" t="s">
        <v>81</v>
      </c>
      <c r="C79" s="258"/>
      <c r="D79" s="51" t="s">
        <v>135</v>
      </c>
      <c r="F79" s="71">
        <f>F14</f>
        <v>0.02</v>
      </c>
    </row>
    <row r="80" spans="2:17">
      <c r="B80" s="258" t="s">
        <v>793</v>
      </c>
      <c r="C80" s="258"/>
      <c r="D80" s="51" t="s">
        <v>82</v>
      </c>
      <c r="F80" s="21">
        <f>(F76 +F52-F53) *(1-$F$16)^3 *(1+F79)^3</f>
        <v>910251482.53489399</v>
      </c>
      <c r="H80" s="63"/>
      <c r="Q80" s="51" t="s">
        <v>963</v>
      </c>
    </row>
    <row r="81" spans="2:17">
      <c r="B81" s="258" t="s">
        <v>534</v>
      </c>
      <c r="C81" s="258"/>
      <c r="D81" s="51" t="s">
        <v>535</v>
      </c>
      <c r="F81" s="75">
        <f>F80/F10</f>
        <v>0.76754841366900495</v>
      </c>
      <c r="Q81" s="51" t="s">
        <v>962</v>
      </c>
    </row>
    <row r="82" spans="2:17">
      <c r="C82" s="258"/>
      <c r="F82" s="28"/>
    </row>
    <row r="83" spans="2:17">
      <c r="B83" s="258" t="s">
        <v>794</v>
      </c>
      <c r="C83" s="258"/>
      <c r="D83" s="51" t="s">
        <v>82</v>
      </c>
      <c r="F83" s="21">
        <f>SUM(G83:O83)</f>
        <v>910251482.53489399</v>
      </c>
      <c r="G83" s="24">
        <f t="shared" ref="G83:O83" si="6">$F$81*G10</f>
        <v>17853863.443075515</v>
      </c>
      <c r="H83" s="24">
        <f t="shared" si="6"/>
        <v>25026696.646827884</v>
      </c>
      <c r="I83" s="24">
        <f t="shared" si="6"/>
        <v>51940891.207314759</v>
      </c>
      <c r="J83" s="24">
        <f t="shared" si="6"/>
        <v>265693119.6275562</v>
      </c>
      <c r="K83" s="24">
        <f t="shared" si="6"/>
        <v>280369420.4982177</v>
      </c>
      <c r="L83" s="24">
        <f t="shared" si="6"/>
        <v>12980847.085264927</v>
      </c>
      <c r="M83" s="24">
        <f t="shared" si="6"/>
        <v>237485246.60852391</v>
      </c>
      <c r="N83" s="24">
        <f t="shared" si="6"/>
        <v>15094775.378109906</v>
      </c>
      <c r="O83" s="24">
        <f t="shared" si="6"/>
        <v>3806622.0400032573</v>
      </c>
      <c r="Q83" s="51" t="s">
        <v>960</v>
      </c>
    </row>
    <row r="84" spans="2:17">
      <c r="B84" s="258" t="s">
        <v>69</v>
      </c>
      <c r="C84" s="258"/>
      <c r="D84" s="51" t="s">
        <v>82</v>
      </c>
      <c r="F84" s="21">
        <f>SUM(G84:O84)</f>
        <v>31251521.793128036</v>
      </c>
      <c r="G84" s="35">
        <f t="shared" ref="G84:O84" si="7">G70*(1+$F$79)^3</f>
        <v>294612.85410640686</v>
      </c>
      <c r="H84" s="35">
        <f t="shared" si="7"/>
        <v>380642.79306010075</v>
      </c>
      <c r="I84" s="35">
        <f t="shared" si="7"/>
        <v>0</v>
      </c>
      <c r="J84" s="35">
        <f t="shared" si="7"/>
        <v>2020246.9840201489</v>
      </c>
      <c r="K84" s="35">
        <f t="shared" si="7"/>
        <v>12052544.044371383</v>
      </c>
      <c r="L84" s="35">
        <f t="shared" si="7"/>
        <v>2343224.620803907</v>
      </c>
      <c r="M84" s="35">
        <f t="shared" si="7"/>
        <v>14150991.419188082</v>
      </c>
      <c r="N84" s="35">
        <f t="shared" si="7"/>
        <v>9259.0775780072636</v>
      </c>
      <c r="O84" s="35">
        <f t="shared" si="7"/>
        <v>0</v>
      </c>
      <c r="Q84" s="51" t="s">
        <v>961</v>
      </c>
    </row>
    <row r="85" spans="2:17">
      <c r="B85" s="258" t="s">
        <v>68</v>
      </c>
      <c r="C85" s="258"/>
      <c r="D85" s="51" t="s">
        <v>82</v>
      </c>
      <c r="F85" s="21">
        <f>SUM(G85:O85)</f>
        <v>941503004.32802212</v>
      </c>
      <c r="G85" s="21">
        <f>G83+G84</f>
        <v>18148476.297181923</v>
      </c>
      <c r="H85" s="21">
        <f t="shared" ref="H85:O85" si="8">H83+H84</f>
        <v>25407339.439887986</v>
      </c>
      <c r="I85" s="21">
        <f t="shared" si="8"/>
        <v>51940891.207314759</v>
      </c>
      <c r="J85" s="21">
        <f t="shared" si="8"/>
        <v>267713366.61157635</v>
      </c>
      <c r="K85" s="21">
        <f t="shared" si="8"/>
        <v>292421964.54258907</v>
      </c>
      <c r="L85" s="21">
        <f t="shared" si="8"/>
        <v>15324071.706068834</v>
      </c>
      <c r="M85" s="21">
        <f t="shared" si="8"/>
        <v>251636238.02771199</v>
      </c>
      <c r="N85" s="21">
        <f t="shared" si="8"/>
        <v>15104034.455687914</v>
      </c>
      <c r="O85" s="21">
        <f t="shared" si="8"/>
        <v>3806622.0400032573</v>
      </c>
      <c r="Q85" s="51" t="s">
        <v>960</v>
      </c>
    </row>
    <row r="86" spans="2:17">
      <c r="B86" s="258" t="s">
        <v>35</v>
      </c>
      <c r="C86" s="258"/>
      <c r="D86" s="51" t="s">
        <v>82</v>
      </c>
      <c r="F86" s="54"/>
      <c r="G86" s="150">
        <f>G85</f>
        <v>18148476.297181923</v>
      </c>
      <c r="H86" s="150">
        <f t="shared" ref="H86:O86" si="9">H85</f>
        <v>25407339.439887986</v>
      </c>
      <c r="I86" s="150">
        <f t="shared" si="9"/>
        <v>51940891.207314759</v>
      </c>
      <c r="J86" s="150">
        <f t="shared" si="9"/>
        <v>267713366.61157635</v>
      </c>
      <c r="K86" s="150">
        <f t="shared" si="9"/>
        <v>292421964.54258907</v>
      </c>
      <c r="L86" s="150">
        <f t="shared" si="9"/>
        <v>15324071.706068834</v>
      </c>
      <c r="M86" s="150">
        <f t="shared" si="9"/>
        <v>251636238.02771199</v>
      </c>
      <c r="N86" s="150">
        <f t="shared" si="9"/>
        <v>15104034.455687914</v>
      </c>
      <c r="O86" s="150">
        <f t="shared" si="9"/>
        <v>3806622.0400032573</v>
      </c>
      <c r="Q86" s="51" t="s">
        <v>960</v>
      </c>
    </row>
    <row r="87" spans="2:17">
      <c r="C87" s="258"/>
    </row>
    <row r="89" spans="2:17" s="9" customFormat="1">
      <c r="B89" s="2" t="s">
        <v>67</v>
      </c>
      <c r="D89" s="2" t="s">
        <v>140</v>
      </c>
    </row>
    <row r="91" spans="2:17">
      <c r="B91" s="51" t="s">
        <v>34</v>
      </c>
      <c r="C91" s="258"/>
      <c r="D91" t="s">
        <v>186</v>
      </c>
      <c r="F91" s="21">
        <f>SUM(G91:O91)</f>
        <v>1118965827.3322861</v>
      </c>
      <c r="G91" s="35">
        <f>'Toetsen toepassing one-off'!G29</f>
        <v>22196901.84770564</v>
      </c>
      <c r="H91" s="35">
        <f>'Toetsen toepassing one-off'!H29</f>
        <v>30603336.272270575</v>
      </c>
      <c r="I91" s="35">
        <f>'Toetsen toepassing one-off'!I29</f>
        <v>62282919.272606239</v>
      </c>
      <c r="J91" s="35">
        <f>'Toetsen toepassing one-off'!J29</f>
        <v>320334771.2753402</v>
      </c>
      <c r="K91" s="35">
        <f>'Toetsen toepassing one-off'!K29</f>
        <v>342731735.95406991</v>
      </c>
      <c r="L91" s="35">
        <f>'Toetsen toepassing one-off'!L29</f>
        <v>18354485.758633368</v>
      </c>
      <c r="M91" s="35">
        <f>'Toetsen toepassing one-off'!M29</f>
        <v>297632151.81264526</v>
      </c>
      <c r="N91" s="35">
        <f>'Toetsen toepassing one-off'!N29</f>
        <v>18389510.971848741</v>
      </c>
      <c r="O91" s="35">
        <f>'Toetsen toepassing one-off'!O29</f>
        <v>6440014.167166301</v>
      </c>
    </row>
    <row r="92" spans="2:17">
      <c r="B92" s="51" t="s">
        <v>35</v>
      </c>
      <c r="C92" s="258"/>
      <c r="D92" t="s">
        <v>82</v>
      </c>
      <c r="F92" s="21">
        <f>SUM(G92:O92)</f>
        <v>941503004.32802212</v>
      </c>
      <c r="G92" s="111">
        <f>G86</f>
        <v>18148476.297181923</v>
      </c>
      <c r="H92" s="111">
        <f t="shared" ref="H92:O92" si="10">H86</f>
        <v>25407339.439887986</v>
      </c>
      <c r="I92" s="111">
        <f t="shared" si="10"/>
        <v>51940891.207314759</v>
      </c>
      <c r="J92" s="111">
        <f t="shared" si="10"/>
        <v>267713366.61157635</v>
      </c>
      <c r="K92" s="111">
        <f t="shared" si="10"/>
        <v>292421964.54258907</v>
      </c>
      <c r="L92" s="111">
        <f t="shared" si="10"/>
        <v>15324071.706068834</v>
      </c>
      <c r="M92" s="111">
        <f t="shared" si="10"/>
        <v>251636238.02771199</v>
      </c>
      <c r="N92" s="111">
        <f t="shared" si="10"/>
        <v>15104034.455687914</v>
      </c>
      <c r="O92" s="111">
        <f t="shared" si="10"/>
        <v>3806622.0400032573</v>
      </c>
    </row>
    <row r="93" spans="2:17">
      <c r="C93" s="258"/>
    </row>
    <row r="94" spans="2:17">
      <c r="B94" s="13" t="s">
        <v>40</v>
      </c>
      <c r="C94" s="258"/>
      <c r="F94" s="76">
        <f t="shared" ref="F94:O94" si="11">(1+$F$79-(F92/F91)^(1/3))*100</f>
        <v>7.5935582912802673</v>
      </c>
      <c r="G94" s="76">
        <f t="shared" si="11"/>
        <v>8.4918921709523527</v>
      </c>
      <c r="H94" s="76">
        <f t="shared" si="11"/>
        <v>8.0139339581457687</v>
      </c>
      <c r="I94" s="76">
        <f t="shared" si="11"/>
        <v>7.8731599992610368</v>
      </c>
      <c r="J94" s="76">
        <f t="shared" si="11"/>
        <v>7.8062708541440484</v>
      </c>
      <c r="K94" s="76">
        <f t="shared" si="11"/>
        <v>7.1541011692528356</v>
      </c>
      <c r="L94" s="76">
        <f t="shared" si="11"/>
        <v>7.8376436124622302</v>
      </c>
      <c r="M94" s="76">
        <f t="shared" si="11"/>
        <v>7.4421084238564639</v>
      </c>
      <c r="N94" s="76">
        <f t="shared" si="11"/>
        <v>8.3500400906094558</v>
      </c>
      <c r="O94" s="76">
        <f t="shared" si="11"/>
        <v>18.076360089250187</v>
      </c>
      <c r="Q94" s="51" t="s">
        <v>959</v>
      </c>
    </row>
    <row r="95" spans="2:17">
      <c r="C95" s="258"/>
    </row>
    <row r="96" spans="2:17">
      <c r="B96" s="3" t="s">
        <v>39</v>
      </c>
      <c r="F96" s="73">
        <f>IF(F94&gt;0,ROUNDDOWN(F94,2),ROUNDUP(F94,2))</f>
        <v>7.59</v>
      </c>
      <c r="G96" s="74">
        <f>IF(G94&gt;0,ROUNDDOWN(G94,2),ROUNDUP(G94,2))</f>
        <v>8.49</v>
      </c>
      <c r="H96" s="74">
        <f t="shared" ref="H96:N96" si="12">IF(H94&gt;0,ROUNDDOWN(H94,2),ROUNDUP(H94,2))</f>
        <v>8.01</v>
      </c>
      <c r="I96" s="74">
        <f t="shared" si="12"/>
        <v>7.87</v>
      </c>
      <c r="J96" s="74">
        <f t="shared" si="12"/>
        <v>7.8</v>
      </c>
      <c r="K96" s="74">
        <f t="shared" si="12"/>
        <v>7.15</v>
      </c>
      <c r="L96" s="74">
        <f t="shared" si="12"/>
        <v>7.83</v>
      </c>
      <c r="M96" s="74">
        <f t="shared" si="12"/>
        <v>7.44</v>
      </c>
      <c r="N96" s="74">
        <f t="shared" si="12"/>
        <v>8.35</v>
      </c>
      <c r="O96" s="74">
        <f t="shared" ref="O96" si="13">IF(O94&gt;0,ROUNDDOWN(O94,2),ROUNDUP(O94,2))</f>
        <v>18.07</v>
      </c>
    </row>
    <row r="102" spans="7:7">
      <c r="G102" s="63"/>
    </row>
    <row r="104" spans="7:7">
      <c r="G104" s="82"/>
    </row>
    <row r="105" spans="7:7">
      <c r="G105" s="82"/>
    </row>
    <row r="106" spans="7:7">
      <c r="G106" s="82"/>
    </row>
  </sheetData>
  <phoneticPr fontId="4" type="noConversion"/>
  <pageMargins left="0.75" right="0.75" top="1" bottom="1" header="0.5" footer="0.5"/>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sheetPr>
  <dimension ref="B1:Q36"/>
  <sheetViews>
    <sheetView showGridLines="0" zoomScale="85" zoomScaleNormal="85" workbookViewId="0"/>
  </sheetViews>
  <sheetFormatPr defaultRowHeight="12.75"/>
  <cols>
    <col min="1" max="1" width="2.5703125" customWidth="1"/>
    <col min="2" max="2" width="66.28515625" customWidth="1"/>
    <col min="3" max="3" width="2.5703125" customWidth="1"/>
    <col min="4" max="4" width="15" customWidth="1"/>
    <col min="5" max="5" width="2.5703125" customWidth="1"/>
    <col min="6" max="6" width="21.42578125" customWidth="1"/>
    <col min="7" max="8" width="14.7109375" customWidth="1"/>
    <col min="9" max="10" width="14.85546875" customWidth="1"/>
    <col min="11" max="11" width="17.42578125" customWidth="1"/>
    <col min="12" max="13" width="14.85546875" customWidth="1"/>
    <col min="14" max="15" width="17.28515625" bestFit="1" customWidth="1"/>
    <col min="16" max="16" width="9.42578125" customWidth="1"/>
    <col min="17" max="17" width="19.28515625" customWidth="1"/>
  </cols>
  <sheetData>
    <row r="1" spans="2:17" ht="12" customHeight="1"/>
    <row r="2" spans="2:17" s="1" customFormat="1" ht="18">
      <c r="B2" s="1" t="s">
        <v>198</v>
      </c>
      <c r="F2" s="5" t="s">
        <v>105</v>
      </c>
      <c r="G2" s="5" t="s">
        <v>96</v>
      </c>
      <c r="H2" s="5" t="s">
        <v>97</v>
      </c>
      <c r="I2" s="5" t="s">
        <v>98</v>
      </c>
      <c r="J2" s="5" t="s">
        <v>99</v>
      </c>
      <c r="K2" s="5" t="s">
        <v>100</v>
      </c>
      <c r="L2" s="5" t="s">
        <v>101</v>
      </c>
      <c r="M2" s="5" t="s">
        <v>102</v>
      </c>
      <c r="N2" s="5" t="s">
        <v>103</v>
      </c>
      <c r="O2" s="5" t="s">
        <v>197</v>
      </c>
      <c r="Q2" s="5" t="s">
        <v>567</v>
      </c>
    </row>
    <row r="4" spans="2:17">
      <c r="B4" s="51" t="s">
        <v>560</v>
      </c>
    </row>
    <row r="5" spans="2:17">
      <c r="B5" s="51" t="s">
        <v>561</v>
      </c>
    </row>
    <row r="8" spans="2:17" s="9" customFormat="1">
      <c r="B8" s="2" t="s">
        <v>41</v>
      </c>
      <c r="D8" s="2" t="s">
        <v>140</v>
      </c>
    </row>
    <row r="10" spans="2:17">
      <c r="B10" s="3" t="s">
        <v>79</v>
      </c>
    </row>
    <row r="11" spans="2:17">
      <c r="B11" s="51" t="s">
        <v>536</v>
      </c>
      <c r="D11" t="s">
        <v>186</v>
      </c>
      <c r="F11" s="54"/>
      <c r="G11" s="39">
        <f>'X-factorberekening'!G91</f>
        <v>22196901.84770564</v>
      </c>
      <c r="H11" s="39">
        <f>'X-factorberekening'!H91</f>
        <v>30603336.272270575</v>
      </c>
      <c r="I11" s="39">
        <f>'X-factorberekening'!I91</f>
        <v>62282919.272606239</v>
      </c>
      <c r="J11" s="39">
        <f>'X-factorberekening'!J91</f>
        <v>320334771.2753402</v>
      </c>
      <c r="K11" s="39">
        <f>'X-factorberekening'!K91</f>
        <v>342731735.95406991</v>
      </c>
      <c r="L11" s="39">
        <f>'X-factorberekening'!L91</f>
        <v>18354485.758633368</v>
      </c>
      <c r="M11" s="39">
        <f>'X-factorberekening'!M91</f>
        <v>297632151.81264526</v>
      </c>
      <c r="N11" s="39">
        <f>'X-factorberekening'!N91</f>
        <v>18389510.971848741</v>
      </c>
      <c r="O11" s="39">
        <f>'X-factorberekening'!O91</f>
        <v>6440014.167166301</v>
      </c>
    </row>
    <row r="12" spans="2:17">
      <c r="B12" t="s">
        <v>39</v>
      </c>
      <c r="G12" s="246">
        <f>'X-factorberekening'!G96</f>
        <v>8.49</v>
      </c>
      <c r="H12" s="246">
        <f>'X-factorberekening'!H96</f>
        <v>8.01</v>
      </c>
      <c r="I12" s="246">
        <f>'X-factorberekening'!I96</f>
        <v>7.87</v>
      </c>
      <c r="J12" s="246">
        <f>'X-factorberekening'!J96</f>
        <v>7.8</v>
      </c>
      <c r="K12" s="246">
        <f>'X-factorberekening'!K96</f>
        <v>7.15</v>
      </c>
      <c r="L12" s="246">
        <f>'X-factorberekening'!L96</f>
        <v>7.83</v>
      </c>
      <c r="M12" s="246">
        <f>'X-factorberekening'!M96</f>
        <v>7.44</v>
      </c>
      <c r="N12" s="246">
        <f>'X-factorberekening'!N96</f>
        <v>8.35</v>
      </c>
      <c r="O12" s="246">
        <f>'X-factorberekening'!O96</f>
        <v>18.07</v>
      </c>
    </row>
    <row r="13" spans="2:17">
      <c r="B13" s="51" t="s">
        <v>537</v>
      </c>
      <c r="G13" s="87">
        <v>0</v>
      </c>
      <c r="H13" s="87">
        <v>0</v>
      </c>
      <c r="I13" s="87">
        <v>0</v>
      </c>
      <c r="J13" s="87">
        <v>0</v>
      </c>
      <c r="K13" s="87">
        <v>0</v>
      </c>
      <c r="L13" s="87">
        <v>0</v>
      </c>
      <c r="M13" s="87">
        <v>0</v>
      </c>
      <c r="N13" s="87">
        <v>0</v>
      </c>
      <c r="O13" s="87">
        <v>0</v>
      </c>
      <c r="Q13" s="51" t="s">
        <v>538</v>
      </c>
    </row>
    <row r="14" spans="2:17">
      <c r="B14" t="s">
        <v>81</v>
      </c>
      <c r="D14" t="s">
        <v>135</v>
      </c>
      <c r="E14" s="28"/>
      <c r="F14" s="71">
        <f>WACC!F11</f>
        <v>0.02</v>
      </c>
      <c r="G14" s="28"/>
      <c r="H14" s="28"/>
      <c r="I14" s="28"/>
      <c r="J14" s="28"/>
      <c r="K14" s="28"/>
      <c r="L14" s="28"/>
      <c r="M14" s="28"/>
      <c r="N14" s="28"/>
      <c r="O14" s="28"/>
    </row>
    <row r="17" spans="2:15" s="9" customFormat="1">
      <c r="B17" s="2" t="s">
        <v>196</v>
      </c>
      <c r="D17" s="2" t="s">
        <v>140</v>
      </c>
    </row>
    <row r="19" spans="2:15">
      <c r="B19" s="3" t="s">
        <v>195</v>
      </c>
    </row>
    <row r="20" spans="2:15">
      <c r="B20" s="13" t="s">
        <v>85</v>
      </c>
      <c r="D20" t="s">
        <v>83</v>
      </c>
      <c r="F20" s="21">
        <f>SUM(G20:O20)</f>
        <v>1056335979.5937883</v>
      </c>
      <c r="G20" s="24">
        <f t="shared" ref="G20:O20" si="0">G11*(1-G12/100+G13/100+$F$14)</f>
        <v>20756322.917789545</v>
      </c>
      <c r="H20" s="24">
        <f t="shared" si="0"/>
        <v>28764075.762307111</v>
      </c>
      <c r="I20" s="24">
        <f t="shared" si="0"/>
        <v>58626911.911304258</v>
      </c>
      <c r="J20" s="24">
        <f t="shared" si="0"/>
        <v>301755354.54137051</v>
      </c>
      <c r="K20" s="24">
        <f t="shared" si="0"/>
        <v>325081051.55243534</v>
      </c>
      <c r="L20" s="24">
        <f t="shared" si="0"/>
        <v>17284419.238905042</v>
      </c>
      <c r="M20" s="24">
        <f t="shared" si="0"/>
        <v>281440962.75403738</v>
      </c>
      <c r="N20" s="24">
        <f t="shared" si="0"/>
        <v>17221777.025136348</v>
      </c>
      <c r="O20" s="24">
        <f t="shared" si="0"/>
        <v>5405103.8905026764</v>
      </c>
    </row>
    <row r="21" spans="2:15">
      <c r="B21" s="13" t="s">
        <v>86</v>
      </c>
      <c r="D21" t="s">
        <v>84</v>
      </c>
      <c r="F21" s="21">
        <f>SUM(G21:O21)</f>
        <v>997295035.78381789</v>
      </c>
      <c r="G21" s="21">
        <f t="shared" ref="G21:O21" si="1">G20*(1-G12/100+G13/100+$F$14)</f>
        <v>19409237.560425006</v>
      </c>
      <c r="H21" s="21">
        <f t="shared" si="1"/>
        <v>27035354.808992453</v>
      </c>
      <c r="I21" s="21">
        <f t="shared" si="1"/>
        <v>55185512.182110697</v>
      </c>
      <c r="J21" s="21">
        <f t="shared" si="1"/>
        <v>284253543.97797102</v>
      </c>
      <c r="K21" s="21">
        <f t="shared" si="1"/>
        <v>308339377.3974849</v>
      </c>
      <c r="L21" s="21">
        <f t="shared" si="1"/>
        <v>16276737.597276878</v>
      </c>
      <c r="M21" s="21">
        <f t="shared" si="1"/>
        <v>266130574.38021773</v>
      </c>
      <c r="N21" s="21">
        <f t="shared" si="1"/>
        <v>16128194.184040191</v>
      </c>
      <c r="O21" s="21">
        <f t="shared" si="1"/>
        <v>4536503.6952988962</v>
      </c>
    </row>
    <row r="22" spans="2:15">
      <c r="B22" s="13" t="s">
        <v>87</v>
      </c>
      <c r="D22" t="s">
        <v>82</v>
      </c>
      <c r="F22" s="21">
        <f>SUM(G22:O22)</f>
        <v>941625384.86761689</v>
      </c>
      <c r="G22" s="21">
        <f t="shared" ref="G22:O22" si="2">G21*(1-G12/100+G13/100+$F$14)</f>
        <v>18149578.042753424</v>
      </c>
      <c r="H22" s="21">
        <f t="shared" si="2"/>
        <v>25410529.984972004</v>
      </c>
      <c r="I22" s="21">
        <f t="shared" si="2"/>
        <v>51946122.617020801</v>
      </c>
      <c r="J22" s="21">
        <f t="shared" si="2"/>
        <v>267766838.42724872</v>
      </c>
      <c r="K22" s="21">
        <f t="shared" si="2"/>
        <v>292459899.46151441</v>
      </c>
      <c r="L22" s="21">
        <f t="shared" si="2"/>
        <v>15327803.795355635</v>
      </c>
      <c r="M22" s="21">
        <f t="shared" si="2"/>
        <v>251653071.13393387</v>
      </c>
      <c r="N22" s="21">
        <f t="shared" si="2"/>
        <v>15104053.853353638</v>
      </c>
      <c r="O22" s="21">
        <f t="shared" si="2"/>
        <v>3807487.5514643639</v>
      </c>
    </row>
    <row r="23" spans="2:15">
      <c r="F23" s="54"/>
      <c r="G23" s="28"/>
      <c r="H23" s="28"/>
      <c r="I23" s="28"/>
      <c r="J23" s="28"/>
      <c r="K23" s="28"/>
      <c r="L23" s="28"/>
      <c r="M23" s="28"/>
      <c r="N23" s="28"/>
      <c r="O23" s="28"/>
    </row>
    <row r="25" spans="2:15">
      <c r="C25" s="465"/>
      <c r="D25" s="465"/>
      <c r="E25" s="465"/>
      <c r="F25" s="465"/>
      <c r="G25" s="465"/>
      <c r="H25" s="465"/>
      <c r="I25" s="465"/>
      <c r="J25" s="465"/>
      <c r="K25" s="465"/>
      <c r="L25" s="465"/>
      <c r="M25" s="465"/>
      <c r="N25" s="465"/>
      <c r="O25" s="465"/>
    </row>
    <row r="26" spans="2:15">
      <c r="C26" s="465"/>
      <c r="D26" s="465"/>
      <c r="E26" s="465"/>
      <c r="F26" s="465"/>
      <c r="G26" s="465"/>
      <c r="H26" s="465"/>
      <c r="I26" s="465"/>
      <c r="J26" s="465"/>
      <c r="K26" s="465"/>
      <c r="L26" s="465"/>
      <c r="M26" s="465"/>
      <c r="N26" s="465"/>
      <c r="O26" s="465"/>
    </row>
    <row r="27" spans="2:15">
      <c r="C27" s="465"/>
      <c r="D27" s="465"/>
      <c r="E27" s="465"/>
      <c r="F27" s="465"/>
      <c r="G27" s="465"/>
      <c r="H27" s="465"/>
      <c r="I27" s="465"/>
      <c r="J27" s="465"/>
      <c r="K27" s="465"/>
      <c r="L27" s="465"/>
      <c r="M27" s="465"/>
      <c r="N27" s="465"/>
      <c r="O27" s="465"/>
    </row>
    <row r="28" spans="2:15">
      <c r="C28" s="465"/>
      <c r="D28" s="465"/>
      <c r="E28" s="465"/>
      <c r="F28" s="465"/>
      <c r="G28" s="465"/>
      <c r="H28" s="465"/>
      <c r="I28" s="465"/>
      <c r="J28" s="465"/>
      <c r="K28" s="465"/>
      <c r="L28" s="465"/>
      <c r="M28" s="465"/>
      <c r="N28" s="465"/>
      <c r="O28" s="465"/>
    </row>
    <row r="29" spans="2:15">
      <c r="C29" s="465"/>
      <c r="D29" s="465"/>
      <c r="E29" s="465"/>
      <c r="F29" s="465"/>
      <c r="G29" s="465"/>
      <c r="H29" s="465"/>
      <c r="I29" s="465"/>
      <c r="J29" s="465"/>
      <c r="K29" s="465"/>
      <c r="L29" s="465"/>
      <c r="M29" s="465"/>
      <c r="N29" s="465"/>
      <c r="O29" s="465"/>
    </row>
    <row r="30" spans="2:15">
      <c r="C30" s="465"/>
      <c r="D30" s="465"/>
      <c r="E30" s="465"/>
      <c r="F30" s="465"/>
      <c r="G30" s="465"/>
      <c r="H30" s="465"/>
      <c r="I30" s="465"/>
      <c r="J30" s="465"/>
      <c r="K30" s="465"/>
      <c r="L30" s="465"/>
      <c r="M30" s="465"/>
      <c r="N30" s="465"/>
      <c r="O30" s="465"/>
    </row>
    <row r="31" spans="2:15">
      <c r="C31" s="465"/>
      <c r="D31" s="465"/>
      <c r="E31" s="465"/>
      <c r="F31" s="465"/>
      <c r="G31" s="465"/>
      <c r="H31" s="465"/>
      <c r="I31" s="465"/>
      <c r="J31" s="465"/>
      <c r="K31" s="465"/>
      <c r="L31" s="465"/>
      <c r="M31" s="465"/>
      <c r="N31" s="465"/>
      <c r="O31" s="465"/>
    </row>
    <row r="33" spans="7:8">
      <c r="G33" s="34"/>
    </row>
    <row r="34" spans="7:8">
      <c r="G34" s="34"/>
    </row>
    <row r="36" spans="7:8">
      <c r="G36" s="86"/>
      <c r="H36" s="86"/>
    </row>
  </sheetData>
  <phoneticPr fontId="4" type="noConversion"/>
  <pageMargins left="0.75" right="0.75" top="1" bottom="1"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E721"/>
    <pageSetUpPr fitToPage="1"/>
  </sheetPr>
  <dimension ref="B1:P24"/>
  <sheetViews>
    <sheetView showGridLines="0" zoomScale="85" zoomScaleNormal="85" workbookViewId="0"/>
  </sheetViews>
  <sheetFormatPr defaultRowHeight="12.75"/>
  <cols>
    <col min="1" max="1" width="2.5703125" style="248" customWidth="1"/>
    <col min="2" max="2" width="40.85546875" style="248" customWidth="1"/>
    <col min="3" max="3" width="2.5703125" style="248" customWidth="1"/>
    <col min="4" max="4" width="11.5703125" style="248" customWidth="1"/>
    <col min="5" max="5" width="2.5703125" style="248" customWidth="1"/>
    <col min="6" max="6" width="14.28515625" style="248" customWidth="1"/>
    <col min="7" max="15" width="12.42578125" style="248" customWidth="1"/>
    <col min="16" max="16" width="19.28515625" style="248" customWidth="1"/>
    <col min="17" max="16384" width="9.140625" style="248"/>
  </cols>
  <sheetData>
    <row r="1" spans="2:16" ht="12" customHeight="1"/>
    <row r="2" spans="2:16" s="406" customFormat="1" ht="18">
      <c r="B2" s="406" t="s">
        <v>1012</v>
      </c>
      <c r="F2" s="407"/>
      <c r="G2" s="407"/>
      <c r="H2" s="407"/>
      <c r="I2" s="407"/>
      <c r="J2" s="407"/>
      <c r="K2" s="407"/>
      <c r="L2" s="407"/>
      <c r="M2" s="407"/>
      <c r="N2" s="407"/>
      <c r="P2" s="407"/>
    </row>
    <row r="4" spans="2:16">
      <c r="B4" s="400" t="s">
        <v>1174</v>
      </c>
    </row>
    <row r="6" spans="2:16" s="403" customFormat="1">
      <c r="B6" s="402" t="s">
        <v>1175</v>
      </c>
      <c r="D6" s="402" t="s">
        <v>140</v>
      </c>
      <c r="F6" s="402" t="s">
        <v>1004</v>
      </c>
      <c r="G6" s="2" t="s">
        <v>96</v>
      </c>
      <c r="H6" s="2" t="s">
        <v>97</v>
      </c>
      <c r="I6" s="2" t="s">
        <v>98</v>
      </c>
      <c r="J6" s="2" t="s">
        <v>99</v>
      </c>
      <c r="K6" s="2" t="s">
        <v>100</v>
      </c>
      <c r="L6" s="2" t="s">
        <v>101</v>
      </c>
      <c r="M6" s="2" t="s">
        <v>102</v>
      </c>
      <c r="N6" s="2" t="s">
        <v>103</v>
      </c>
      <c r="O6" s="2" t="s">
        <v>197</v>
      </c>
    </row>
    <row r="7" spans="2:16">
      <c r="B7" s="400"/>
    </row>
    <row r="8" spans="2:16">
      <c r="B8" s="399" t="s">
        <v>1351</v>
      </c>
    </row>
    <row r="9" spans="2:16">
      <c r="B9" s="51" t="s">
        <v>34</v>
      </c>
      <c r="D9" s="465" t="s">
        <v>186</v>
      </c>
      <c r="F9" s="408">
        <f>SUM(G9:N9)</f>
        <v>1112525813.1651199</v>
      </c>
      <c r="G9" s="409">
        <f>'X-factorberekening'!G91</f>
        <v>22196901.84770564</v>
      </c>
      <c r="H9" s="409">
        <f>'X-factorberekening'!H91</f>
        <v>30603336.272270575</v>
      </c>
      <c r="I9" s="409">
        <f>'X-factorberekening'!I91</f>
        <v>62282919.272606239</v>
      </c>
      <c r="J9" s="409">
        <f>'X-factorberekening'!J91</f>
        <v>320334771.2753402</v>
      </c>
      <c r="K9" s="409">
        <f>'X-factorberekening'!K91</f>
        <v>342731735.95406991</v>
      </c>
      <c r="L9" s="409">
        <f>'X-factorberekening'!L91</f>
        <v>18354485.758633368</v>
      </c>
      <c r="M9" s="409">
        <f>'X-factorberekening'!M91</f>
        <v>297632151.81264526</v>
      </c>
      <c r="N9" s="409">
        <f>'X-factorberekening'!N91</f>
        <v>18389510.971848741</v>
      </c>
      <c r="O9" s="409">
        <f>'X-factorberekening'!O91</f>
        <v>6440014.167166301</v>
      </c>
    </row>
    <row r="10" spans="2:16">
      <c r="B10" s="51" t="s">
        <v>35</v>
      </c>
      <c r="D10" s="465" t="s">
        <v>186</v>
      </c>
      <c r="F10" s="408">
        <f>SUM(G10:N10)</f>
        <v>937696382.28801882</v>
      </c>
      <c r="G10" s="409">
        <f>'X-factorberekening'!G92</f>
        <v>18148476.297181923</v>
      </c>
      <c r="H10" s="409">
        <f>'X-factorberekening'!H92</f>
        <v>25407339.439887986</v>
      </c>
      <c r="I10" s="409">
        <f>'X-factorberekening'!I92</f>
        <v>51940891.207314759</v>
      </c>
      <c r="J10" s="409">
        <f>'X-factorberekening'!J92</f>
        <v>267713366.61157635</v>
      </c>
      <c r="K10" s="409">
        <f>'X-factorberekening'!K92</f>
        <v>292421964.54258907</v>
      </c>
      <c r="L10" s="409">
        <f>'X-factorberekening'!L92</f>
        <v>15324071.706068834</v>
      </c>
      <c r="M10" s="409">
        <f>'X-factorberekening'!M92</f>
        <v>251636238.02771199</v>
      </c>
      <c r="N10" s="409">
        <f>'X-factorberekening'!N92</f>
        <v>15104034.455687914</v>
      </c>
      <c r="O10" s="409">
        <f>'X-factorberekening'!O92</f>
        <v>3806622.0400032573</v>
      </c>
    </row>
    <row r="11" spans="2:16">
      <c r="B11" s="51"/>
      <c r="F11" s="410"/>
      <c r="G11" s="38"/>
      <c r="H11" s="38"/>
      <c r="I11" s="38"/>
      <c r="J11" s="38"/>
      <c r="K11" s="38"/>
      <c r="L11" s="38"/>
      <c r="M11" s="38"/>
      <c r="N11" s="38"/>
    </row>
    <row r="12" spans="2:16">
      <c r="B12" s="400" t="s">
        <v>1005</v>
      </c>
      <c r="G12" s="411">
        <f>'X-factorberekening'!G96</f>
        <v>8.49</v>
      </c>
      <c r="H12" s="411">
        <f>'X-factorberekening'!H96</f>
        <v>8.01</v>
      </c>
      <c r="I12" s="411">
        <f>'X-factorberekening'!I96</f>
        <v>7.87</v>
      </c>
      <c r="J12" s="411">
        <f>'X-factorberekening'!J96</f>
        <v>7.8</v>
      </c>
      <c r="K12" s="411">
        <f>'X-factorberekening'!K96</f>
        <v>7.15</v>
      </c>
      <c r="L12" s="411">
        <f>'X-factorberekening'!L96</f>
        <v>7.83</v>
      </c>
      <c r="M12" s="411">
        <f>'X-factorberekening'!M96</f>
        <v>7.44</v>
      </c>
      <c r="N12" s="411">
        <f>'X-factorberekening'!N96</f>
        <v>8.35</v>
      </c>
      <c r="O12" s="411">
        <f>'X-factorberekening'!O96</f>
        <v>18.07</v>
      </c>
    </row>
    <row r="13" spans="2:16" s="404" customFormat="1">
      <c r="B13" s="401"/>
      <c r="F13" s="410"/>
      <c r="G13" s="29"/>
      <c r="H13" s="29"/>
      <c r="I13" s="29"/>
      <c r="J13" s="29"/>
      <c r="K13" s="29"/>
      <c r="L13" s="29"/>
      <c r="M13" s="29"/>
      <c r="N13" s="29"/>
    </row>
    <row r="14" spans="2:16" s="403" customFormat="1">
      <c r="B14" s="402" t="s">
        <v>1006</v>
      </c>
      <c r="D14" s="402" t="s">
        <v>140</v>
      </c>
      <c r="F14" s="402" t="s">
        <v>1004</v>
      </c>
      <c r="G14" s="402" t="s">
        <v>96</v>
      </c>
      <c r="H14" s="402" t="s">
        <v>97</v>
      </c>
      <c r="I14" s="402" t="s">
        <v>98</v>
      </c>
      <c r="J14" s="402" t="s">
        <v>99</v>
      </c>
      <c r="K14" s="402" t="s">
        <v>100</v>
      </c>
      <c r="L14" s="402" t="s">
        <v>101</v>
      </c>
      <c r="M14" s="402" t="s">
        <v>102</v>
      </c>
      <c r="N14" s="402" t="s">
        <v>103</v>
      </c>
      <c r="O14" s="2" t="s">
        <v>197</v>
      </c>
    </row>
    <row r="16" spans="2:16">
      <c r="B16" s="400" t="s">
        <v>1007</v>
      </c>
      <c r="D16" s="248" t="s">
        <v>135</v>
      </c>
      <c r="F16" s="71">
        <f>WACC!F9</f>
        <v>3.5999999999999997E-2</v>
      </c>
    </row>
    <row r="18" spans="2:15">
      <c r="B18" s="399" t="s">
        <v>1008</v>
      </c>
      <c r="E18" s="404"/>
      <c r="F18" s="159"/>
      <c r="G18" s="404"/>
      <c r="H18" s="404"/>
      <c r="I18" s="404"/>
      <c r="J18" s="404"/>
      <c r="K18" s="404"/>
      <c r="L18" s="404"/>
      <c r="M18" s="404"/>
      <c r="N18" s="404"/>
    </row>
    <row r="19" spans="2:15">
      <c r="B19" s="400" t="s">
        <v>1009</v>
      </c>
      <c r="D19" s="400" t="s">
        <v>130</v>
      </c>
      <c r="F19" s="408">
        <f>SUM(G19:O19)</f>
        <v>1185920609.4684575</v>
      </c>
      <c r="G19" s="39">
        <f>'X-factorberekening'!G10</f>
        <v>23260895.501993384</v>
      </c>
      <c r="H19" s="39">
        <f>'X-factorberekening'!H10</f>
        <v>32606017.029201124</v>
      </c>
      <c r="I19" s="39">
        <f>'X-factorberekening'!I10</f>
        <v>67671159.606765315</v>
      </c>
      <c r="J19" s="39">
        <f>'X-factorberekening'!J10</f>
        <v>346158124.87644958</v>
      </c>
      <c r="K19" s="39">
        <f>'X-factorberekening'!K10</f>
        <v>365279134.84702122</v>
      </c>
      <c r="L19" s="39">
        <f>'X-factorberekening'!L10</f>
        <v>16912089.001935903</v>
      </c>
      <c r="M19" s="39">
        <f>'X-factorberekening'!M10</f>
        <v>309407514.07889205</v>
      </c>
      <c r="N19" s="39">
        <f>'X-factorberekening'!N10</f>
        <v>19666219.236848462</v>
      </c>
      <c r="O19" s="39">
        <f>'X-factorberekening'!O10</f>
        <v>4959455.2893504025</v>
      </c>
    </row>
    <row r="20" spans="2:15">
      <c r="B20" s="400" t="s">
        <v>1010</v>
      </c>
      <c r="D20" s="248" t="s">
        <v>135</v>
      </c>
      <c r="F20" s="405">
        <f>SUM(G20:O20)</f>
        <v>0.99999999999999989</v>
      </c>
      <c r="G20" s="405">
        <f t="shared" ref="G20:O20" si="0">G19/$F$19*100%</f>
        <v>1.9614209683411415E-2</v>
      </c>
      <c r="H20" s="405">
        <f t="shared" si="0"/>
        <v>2.7494266284667654E-2</v>
      </c>
      <c r="I20" s="405">
        <f t="shared" si="0"/>
        <v>5.7062133052141042E-2</v>
      </c>
      <c r="J20" s="405">
        <f t="shared" si="0"/>
        <v>0.29188979608980858</v>
      </c>
      <c r="K20" s="405">
        <f t="shared" si="0"/>
        <v>0.30801314348583864</v>
      </c>
      <c r="L20" s="405">
        <f t="shared" si="0"/>
        <v>1.4260726111772428E-2</v>
      </c>
      <c r="M20" s="405">
        <f t="shared" si="0"/>
        <v>0.26090069740635663</v>
      </c>
      <c r="N20" s="405">
        <f t="shared" si="0"/>
        <v>1.6583082442308744E-2</v>
      </c>
      <c r="O20" s="405">
        <f t="shared" si="0"/>
        <v>4.1819454436948225E-3</v>
      </c>
    </row>
    <row r="22" spans="2:15">
      <c r="B22" s="399" t="s">
        <v>93</v>
      </c>
      <c r="G22" s="412" t="s">
        <v>1013</v>
      </c>
      <c r="H22" s="412" t="s">
        <v>1014</v>
      </c>
      <c r="I22" s="412" t="s">
        <v>1015</v>
      </c>
      <c r="J22" s="412" t="s">
        <v>1016</v>
      </c>
      <c r="K22" s="412" t="s">
        <v>1017</v>
      </c>
      <c r="L22" s="412" t="s">
        <v>1018</v>
      </c>
      <c r="M22" s="412" t="s">
        <v>1019</v>
      </c>
    </row>
    <row r="23" spans="2:15">
      <c r="B23" s="248" t="s">
        <v>1022</v>
      </c>
      <c r="D23" s="248" t="s">
        <v>135</v>
      </c>
      <c r="G23" s="413">
        <f>Productiviteitsverandering!G48</f>
        <v>3.4336984622197176E-3</v>
      </c>
      <c r="H23" s="413">
        <f>Productiviteitsverandering!H48</f>
        <v>-9.6159535007804657E-3</v>
      </c>
      <c r="I23" s="413">
        <f>Productiviteitsverandering!I48</f>
        <v>5.669638437281856E-3</v>
      </c>
      <c r="J23" s="413">
        <f>Productiviteitsverandering!J48</f>
        <v>2.2718773518675534E-2</v>
      </c>
      <c r="K23" s="413">
        <f>Productiviteitsverandering!K48</f>
        <v>4.0933998445390918E-2</v>
      </c>
      <c r="L23" s="413">
        <f>Productiviteitsverandering!L48</f>
        <v>-5.0751527634833593E-3</v>
      </c>
      <c r="M23" s="413">
        <f>Productiviteitsverandering!M48</f>
        <v>-3.1143448211270464E-3</v>
      </c>
      <c r="N23" s="414"/>
    </row>
    <row r="24" spans="2:15">
      <c r="B24" s="248" t="s">
        <v>1021</v>
      </c>
      <c r="D24" s="248" t="s">
        <v>135</v>
      </c>
      <c r="F24" s="413">
        <f>Productiviteitsverandering!F51</f>
        <v>7.7145491791583698E-3</v>
      </c>
    </row>
  </sheetData>
  <pageMargins left="0.25" right="0.25" top="0.75" bottom="0.75" header="0.3" footer="0.3"/>
  <pageSetup scale="7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1:XFD54"/>
  <sheetViews>
    <sheetView showGridLines="0" zoomScale="85" zoomScaleNormal="85" workbookViewId="0"/>
  </sheetViews>
  <sheetFormatPr defaultRowHeight="12.75"/>
  <cols>
    <col min="1" max="1" width="2.5703125" style="248" customWidth="1"/>
    <col min="2" max="2" width="56.7109375" style="248" customWidth="1"/>
    <col min="3" max="3" width="2.5703125" style="248" customWidth="1"/>
    <col min="4" max="4" width="12.5703125" style="248" bestFit="1" customWidth="1"/>
    <col min="5" max="5" width="2.5703125" style="248" customWidth="1"/>
    <col min="6" max="6" width="15.42578125" style="248" bestFit="1" customWidth="1"/>
    <col min="7" max="7" width="13" style="248" customWidth="1"/>
    <col min="8" max="11" width="14.28515625" style="248" customWidth="1"/>
    <col min="12" max="12" width="12.7109375" style="248" customWidth="1"/>
    <col min="13" max="14" width="14.28515625" style="248" customWidth="1"/>
    <col min="15" max="15" width="12.42578125" style="248" customWidth="1"/>
    <col min="16" max="16" width="19.28515625" style="248" customWidth="1"/>
    <col min="17" max="16384" width="9.140625" style="248"/>
  </cols>
  <sheetData>
    <row r="1" spans="2:16" ht="12" customHeight="1"/>
    <row r="2" spans="2:16" s="406" customFormat="1" ht="18">
      <c r="B2" s="406" t="s">
        <v>1012</v>
      </c>
      <c r="F2" s="407"/>
      <c r="G2" s="407"/>
      <c r="H2" s="407"/>
      <c r="I2" s="407"/>
      <c r="J2" s="407"/>
      <c r="K2" s="407"/>
      <c r="L2" s="407"/>
      <c r="M2" s="407"/>
      <c r="N2" s="407"/>
      <c r="P2" s="407"/>
    </row>
    <row r="4" spans="2:16">
      <c r="B4" s="400" t="s">
        <v>1174</v>
      </c>
    </row>
    <row r="6" spans="2:16" s="403" customFormat="1">
      <c r="B6" s="402" t="s">
        <v>1175</v>
      </c>
      <c r="D6" s="402" t="s">
        <v>140</v>
      </c>
      <c r="F6" s="402" t="s">
        <v>1004</v>
      </c>
      <c r="G6" s="2" t="s">
        <v>96</v>
      </c>
      <c r="H6" s="2" t="s">
        <v>97</v>
      </c>
      <c r="I6" s="2" t="s">
        <v>98</v>
      </c>
      <c r="J6" s="2" t="s">
        <v>99</v>
      </c>
      <c r="K6" s="2" t="s">
        <v>100</v>
      </c>
      <c r="L6" s="2" t="s">
        <v>101</v>
      </c>
      <c r="M6" s="2" t="s">
        <v>102</v>
      </c>
      <c r="N6" s="2" t="s">
        <v>103</v>
      </c>
      <c r="O6" s="2" t="s">
        <v>197</v>
      </c>
    </row>
    <row r="7" spans="2:16">
      <c r="B7" s="400"/>
    </row>
    <row r="8" spans="2:16">
      <c r="B8" s="399" t="s">
        <v>1020</v>
      </c>
    </row>
    <row r="9" spans="2:16">
      <c r="B9" s="51" t="s">
        <v>34</v>
      </c>
      <c r="D9" s="258" t="s">
        <v>186</v>
      </c>
      <c r="F9" s="408">
        <f>SUM(G9:N9)</f>
        <v>1112525813.1651199</v>
      </c>
      <c r="G9" s="409">
        <f>'X-factorberekening'!G91</f>
        <v>22196901.84770564</v>
      </c>
      <c r="H9" s="409">
        <f>'X-factorberekening'!H91</f>
        <v>30603336.272270575</v>
      </c>
      <c r="I9" s="409">
        <f>'X-factorberekening'!I91</f>
        <v>62282919.272606239</v>
      </c>
      <c r="J9" s="409">
        <f>'X-factorberekening'!J91</f>
        <v>320334771.2753402</v>
      </c>
      <c r="K9" s="409">
        <f>'X-factorberekening'!K91</f>
        <v>342731735.95406991</v>
      </c>
      <c r="L9" s="409">
        <f>'X-factorberekening'!L91</f>
        <v>18354485.758633368</v>
      </c>
      <c r="M9" s="409">
        <f>'X-factorberekening'!M91</f>
        <v>297632151.81264526</v>
      </c>
      <c r="N9" s="409">
        <f>'X-factorberekening'!N91</f>
        <v>18389510.971848741</v>
      </c>
      <c r="O9" s="409">
        <f>'X-factorberekening'!O91</f>
        <v>6440014.167166301</v>
      </c>
    </row>
    <row r="10" spans="2:16">
      <c r="B10" s="51" t="s">
        <v>35</v>
      </c>
      <c r="D10" s="258" t="s">
        <v>186</v>
      </c>
      <c r="F10" s="408">
        <f>SUM(G10:N10)</f>
        <v>937696382.28801882</v>
      </c>
      <c r="G10" s="409">
        <f>'X-factorberekening'!G92</f>
        <v>18148476.297181923</v>
      </c>
      <c r="H10" s="409">
        <f>'X-factorberekening'!H92</f>
        <v>25407339.439887986</v>
      </c>
      <c r="I10" s="409">
        <f>'X-factorberekening'!I92</f>
        <v>51940891.207314759</v>
      </c>
      <c r="J10" s="409">
        <f>'X-factorberekening'!J92</f>
        <v>267713366.61157635</v>
      </c>
      <c r="K10" s="409">
        <f>'X-factorberekening'!K92</f>
        <v>292421964.54258907</v>
      </c>
      <c r="L10" s="409">
        <f>'X-factorberekening'!L92</f>
        <v>15324071.706068834</v>
      </c>
      <c r="M10" s="409">
        <f>'X-factorberekening'!M92</f>
        <v>251636238.02771199</v>
      </c>
      <c r="N10" s="409">
        <f>'X-factorberekening'!N92</f>
        <v>15104034.455687914</v>
      </c>
      <c r="O10" s="409">
        <f>'X-factorberekening'!O92</f>
        <v>3806622.0400032573</v>
      </c>
    </row>
    <row r="11" spans="2:16">
      <c r="B11" s="51"/>
      <c r="F11" s="410"/>
      <c r="G11" s="38"/>
      <c r="H11" s="38"/>
      <c r="I11" s="38"/>
      <c r="J11" s="38"/>
      <c r="K11" s="38"/>
      <c r="L11" s="38"/>
      <c r="M11" s="38"/>
      <c r="N11" s="38"/>
    </row>
    <row r="12" spans="2:16">
      <c r="B12" s="400" t="s">
        <v>1005</v>
      </c>
      <c r="G12" s="411">
        <f>'X-factorberekening'!G96</f>
        <v>8.49</v>
      </c>
      <c r="H12" s="411">
        <f>'X-factorberekening'!H96</f>
        <v>8.01</v>
      </c>
      <c r="I12" s="411">
        <f>'X-factorberekening'!I96</f>
        <v>7.87</v>
      </c>
      <c r="J12" s="411">
        <f>'X-factorberekening'!J96</f>
        <v>7.8</v>
      </c>
      <c r="K12" s="411">
        <f>'X-factorberekening'!K96</f>
        <v>7.15</v>
      </c>
      <c r="L12" s="411">
        <f>'X-factorberekening'!L96</f>
        <v>7.83</v>
      </c>
      <c r="M12" s="411">
        <f>'X-factorberekening'!M96</f>
        <v>7.44</v>
      </c>
      <c r="N12" s="411">
        <f>'X-factorberekening'!N96</f>
        <v>8.35</v>
      </c>
      <c r="O12" s="411">
        <f>'X-factorberekening'!O96</f>
        <v>18.07</v>
      </c>
    </row>
    <row r="13" spans="2:16" s="404" customFormat="1">
      <c r="B13" s="401"/>
      <c r="F13" s="410"/>
      <c r="G13" s="29"/>
      <c r="H13" s="29"/>
      <c r="I13" s="29"/>
      <c r="J13" s="29"/>
      <c r="K13" s="29"/>
      <c r="L13" s="29"/>
      <c r="M13" s="29"/>
      <c r="N13" s="29"/>
    </row>
    <row r="14" spans="2:16" s="403" customFormat="1">
      <c r="B14" s="402" t="s">
        <v>1006</v>
      </c>
      <c r="D14" s="402" t="s">
        <v>140</v>
      </c>
      <c r="F14" s="402" t="s">
        <v>1004</v>
      </c>
      <c r="G14" s="402" t="s">
        <v>96</v>
      </c>
      <c r="H14" s="402" t="s">
        <v>97</v>
      </c>
      <c r="I14" s="402" t="s">
        <v>98</v>
      </c>
      <c r="J14" s="402" t="s">
        <v>99</v>
      </c>
      <c r="K14" s="402" t="s">
        <v>100</v>
      </c>
      <c r="L14" s="402" t="s">
        <v>101</v>
      </c>
      <c r="M14" s="402" t="s">
        <v>102</v>
      </c>
      <c r="N14" s="402" t="s">
        <v>103</v>
      </c>
      <c r="O14" s="2" t="s">
        <v>197</v>
      </c>
    </row>
    <row r="16" spans="2:16">
      <c r="B16" s="400" t="s">
        <v>1007</v>
      </c>
      <c r="D16" s="248" t="s">
        <v>135</v>
      </c>
      <c r="F16" s="71">
        <f>WACC!F9</f>
        <v>3.5999999999999997E-2</v>
      </c>
    </row>
    <row r="18" spans="2:15">
      <c r="B18" s="399" t="s">
        <v>1008</v>
      </c>
      <c r="E18" s="404"/>
      <c r="F18" s="159"/>
      <c r="G18" s="404"/>
      <c r="H18" s="404"/>
      <c r="I18" s="404"/>
      <c r="J18" s="404"/>
      <c r="K18" s="404"/>
      <c r="L18" s="404"/>
      <c r="M18" s="404"/>
      <c r="N18" s="404"/>
    </row>
    <row r="19" spans="2:15">
      <c r="B19" s="400" t="s">
        <v>1009</v>
      </c>
      <c r="D19" s="400" t="s">
        <v>130</v>
      </c>
      <c r="F19" s="408">
        <f>SUM(G19:O19)</f>
        <v>1185920609.4684575</v>
      </c>
      <c r="G19" s="39">
        <f>'X-factorberekening'!G10</f>
        <v>23260895.501993384</v>
      </c>
      <c r="H19" s="39">
        <f>'X-factorberekening'!H10</f>
        <v>32606017.029201124</v>
      </c>
      <c r="I19" s="39">
        <f>'X-factorberekening'!I10</f>
        <v>67671159.606765315</v>
      </c>
      <c r="J19" s="39">
        <f>'X-factorberekening'!J10</f>
        <v>346158124.87644958</v>
      </c>
      <c r="K19" s="39">
        <f>'X-factorberekening'!K10</f>
        <v>365279134.84702122</v>
      </c>
      <c r="L19" s="39">
        <f>'X-factorberekening'!L10</f>
        <v>16912089.001935903</v>
      </c>
      <c r="M19" s="39">
        <f>'X-factorberekening'!M10</f>
        <v>309407514.07889205</v>
      </c>
      <c r="N19" s="39">
        <f>'X-factorberekening'!N10</f>
        <v>19666219.236848462</v>
      </c>
      <c r="O19" s="39">
        <f>'X-factorberekening'!O10</f>
        <v>4959455.2893504025</v>
      </c>
    </row>
    <row r="20" spans="2:15">
      <c r="B20" s="400" t="s">
        <v>1010</v>
      </c>
      <c r="D20" s="248" t="s">
        <v>135</v>
      </c>
      <c r="F20" s="405">
        <f>SUM(G20:O20)</f>
        <v>0.99999999999999989</v>
      </c>
      <c r="G20" s="405">
        <f t="shared" ref="G20:O20" si="0">G19/$F$19*100%</f>
        <v>1.9614209683411415E-2</v>
      </c>
      <c r="H20" s="405">
        <f t="shared" si="0"/>
        <v>2.7494266284667654E-2</v>
      </c>
      <c r="I20" s="405">
        <f t="shared" si="0"/>
        <v>5.7062133052141042E-2</v>
      </c>
      <c r="J20" s="405">
        <f t="shared" si="0"/>
        <v>0.29188979608980858</v>
      </c>
      <c r="K20" s="405">
        <f t="shared" si="0"/>
        <v>0.30801314348583864</v>
      </c>
      <c r="L20" s="405">
        <f t="shared" si="0"/>
        <v>1.4260726111772428E-2</v>
      </c>
      <c r="M20" s="405">
        <f t="shared" si="0"/>
        <v>0.26090069740635663</v>
      </c>
      <c r="N20" s="405">
        <f t="shared" si="0"/>
        <v>1.6583082442308744E-2</v>
      </c>
      <c r="O20" s="405">
        <f t="shared" si="0"/>
        <v>4.1819454436948225E-3</v>
      </c>
    </row>
    <row r="22" spans="2:15">
      <c r="B22" s="399" t="s">
        <v>93</v>
      </c>
      <c r="G22" s="412" t="s">
        <v>1013</v>
      </c>
      <c r="H22" s="412" t="s">
        <v>1014</v>
      </c>
      <c r="I22" s="412" t="s">
        <v>1015</v>
      </c>
      <c r="J22" s="412" t="s">
        <v>1016</v>
      </c>
      <c r="K22" s="412" t="s">
        <v>1017</v>
      </c>
      <c r="L22" s="412" t="s">
        <v>1018</v>
      </c>
      <c r="M22" s="412" t="s">
        <v>1019</v>
      </c>
    </row>
    <row r="23" spans="2:15">
      <c r="B23" s="248" t="s">
        <v>1022</v>
      </c>
      <c r="D23" s="248" t="s">
        <v>135</v>
      </c>
      <c r="G23" s="413">
        <f>Productiviteitsverandering!G48</f>
        <v>3.4336984622197176E-3</v>
      </c>
      <c r="H23" s="413">
        <f>Productiviteitsverandering!H48</f>
        <v>-9.6159535007804657E-3</v>
      </c>
      <c r="I23" s="413">
        <f>Productiviteitsverandering!I48</f>
        <v>5.669638437281856E-3</v>
      </c>
      <c r="J23" s="413">
        <f>Productiviteitsverandering!J48</f>
        <v>2.2718773518675534E-2</v>
      </c>
      <c r="K23" s="413">
        <f>Productiviteitsverandering!K48</f>
        <v>4.0933998445390918E-2</v>
      </c>
      <c r="L23" s="413">
        <f>Productiviteitsverandering!L48</f>
        <v>-5.0751527634833593E-3</v>
      </c>
      <c r="M23" s="413">
        <f>Productiviteitsverandering!M48</f>
        <v>-3.1143448211270464E-3</v>
      </c>
      <c r="N23" s="414"/>
    </row>
    <row r="24" spans="2:15">
      <c r="B24" s="248" t="s">
        <v>1021</v>
      </c>
      <c r="D24" s="248" t="s">
        <v>135</v>
      </c>
      <c r="F24" s="413">
        <f>Productiviteitsverandering!F51</f>
        <v>7.7145491791583698E-3</v>
      </c>
    </row>
    <row r="26" spans="2:15" s="9" customFormat="1">
      <c r="B26" s="2" t="s">
        <v>1023</v>
      </c>
      <c r="D26" s="2" t="s">
        <v>140</v>
      </c>
      <c r="F26" s="402" t="s">
        <v>1004</v>
      </c>
      <c r="G26" s="402" t="s">
        <v>96</v>
      </c>
      <c r="H26" s="402" t="s">
        <v>97</v>
      </c>
      <c r="I26" s="402" t="s">
        <v>98</v>
      </c>
      <c r="J26" s="402" t="s">
        <v>99</v>
      </c>
      <c r="K26" s="402" t="s">
        <v>100</v>
      </c>
      <c r="L26" s="402" t="s">
        <v>101</v>
      </c>
      <c r="M26" s="402" t="s">
        <v>102</v>
      </c>
      <c r="N26" s="402" t="s">
        <v>103</v>
      </c>
      <c r="O26" s="2" t="s">
        <v>197</v>
      </c>
    </row>
    <row r="27" spans="2:15" s="258" customFormat="1"/>
    <row r="28" spans="2:15" s="258" customFormat="1">
      <c r="B28" s="51" t="s">
        <v>1030</v>
      </c>
    </row>
    <row r="29" spans="2:15" s="258" customFormat="1">
      <c r="B29" s="51" t="s">
        <v>1025</v>
      </c>
    </row>
    <row r="31" spans="2:15">
      <c r="B31" s="51" t="s">
        <v>1026</v>
      </c>
      <c r="G31" s="416">
        <v>8.3800000000000008</v>
      </c>
      <c r="H31" s="416">
        <v>7.89</v>
      </c>
      <c r="I31" s="416">
        <v>7.74</v>
      </c>
      <c r="J31" s="416">
        <v>7.68</v>
      </c>
      <c r="K31" s="416">
        <v>7.02</v>
      </c>
      <c r="L31" s="416">
        <v>7.73</v>
      </c>
      <c r="M31" s="416">
        <v>7.32</v>
      </c>
      <c r="N31" s="416">
        <v>8.27</v>
      </c>
      <c r="O31" s="416">
        <v>18.11</v>
      </c>
    </row>
    <row r="32" spans="2:15">
      <c r="B32" s="51"/>
    </row>
    <row r="33" spans="1:16384">
      <c r="B33" s="27" t="s">
        <v>1027</v>
      </c>
    </row>
    <row r="34" spans="1:16384">
      <c r="B34" s="51"/>
    </row>
    <row r="35" spans="1:16384" s="9" customFormat="1">
      <c r="B35" s="2" t="s">
        <v>1033</v>
      </c>
      <c r="D35" s="2" t="s">
        <v>140</v>
      </c>
      <c r="F35" s="402" t="s">
        <v>1004</v>
      </c>
      <c r="G35" s="402" t="s">
        <v>96</v>
      </c>
      <c r="H35" s="402" t="s">
        <v>97</v>
      </c>
      <c r="I35" s="402" t="s">
        <v>98</v>
      </c>
      <c r="J35" s="402" t="s">
        <v>99</v>
      </c>
      <c r="K35" s="402" t="s">
        <v>100</v>
      </c>
      <c r="L35" s="402" t="s">
        <v>101</v>
      </c>
      <c r="M35" s="402" t="s">
        <v>102</v>
      </c>
      <c r="N35" s="402" t="s">
        <v>103</v>
      </c>
      <c r="O35" s="2" t="s">
        <v>197</v>
      </c>
    </row>
    <row r="36" spans="1:16384" s="258" customFormat="1"/>
    <row r="37" spans="1:16384" s="258" customFormat="1">
      <c r="A37" s="51"/>
      <c r="B37" s="51" t="s">
        <v>1029</v>
      </c>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c r="EK37" s="51"/>
      <c r="EL37" s="51"/>
      <c r="EM37" s="51"/>
      <c r="EN37" s="51"/>
      <c r="EO37" s="51"/>
      <c r="EP37" s="51"/>
      <c r="EQ37" s="51"/>
      <c r="ER37" s="51"/>
      <c r="ES37" s="51"/>
      <c r="ET37" s="51"/>
      <c r="EU37" s="51"/>
      <c r="EV37" s="51"/>
      <c r="EW37" s="51"/>
      <c r="EX37" s="51"/>
      <c r="EY37" s="51"/>
      <c r="EZ37" s="51"/>
      <c r="FA37" s="51"/>
      <c r="FB37" s="51"/>
      <c r="FC37" s="51"/>
      <c r="FD37" s="51"/>
      <c r="FE37" s="51"/>
      <c r="FF37" s="51"/>
      <c r="FG37" s="51"/>
      <c r="FH37" s="51"/>
      <c r="FI37" s="51"/>
      <c r="FJ37" s="51"/>
      <c r="FK37" s="51"/>
      <c r="FL37" s="51"/>
      <c r="FM37" s="51"/>
      <c r="FN37" s="51"/>
      <c r="FO37" s="51"/>
      <c r="FP37" s="51"/>
      <c r="FQ37" s="51"/>
      <c r="FR37" s="51"/>
      <c r="FS37" s="51"/>
      <c r="FT37" s="51"/>
      <c r="FU37" s="51"/>
      <c r="FV37" s="51"/>
      <c r="FW37" s="51"/>
      <c r="FX37" s="51"/>
      <c r="FY37" s="51"/>
      <c r="FZ37" s="51"/>
      <c r="GA37" s="51"/>
      <c r="GB37" s="51"/>
      <c r="GC37" s="51"/>
      <c r="GD37" s="51"/>
      <c r="GE37" s="51"/>
      <c r="GF37" s="51"/>
      <c r="GG37" s="51"/>
      <c r="GH37" s="51"/>
      <c r="GI37" s="51"/>
      <c r="GJ37" s="51"/>
      <c r="GK37" s="51"/>
      <c r="GL37" s="51"/>
      <c r="GM37" s="51"/>
      <c r="GN37" s="51"/>
      <c r="GO37" s="51"/>
      <c r="GP37" s="51"/>
      <c r="GQ37" s="51"/>
      <c r="GR37" s="51"/>
      <c r="GS37" s="51"/>
      <c r="GT37" s="51"/>
      <c r="GU37" s="51"/>
      <c r="GV37" s="51"/>
      <c r="GW37" s="51"/>
      <c r="GX37" s="51"/>
      <c r="GY37" s="51"/>
      <c r="GZ37" s="51"/>
      <c r="HA37" s="51"/>
      <c r="HB37" s="51"/>
      <c r="HC37" s="51"/>
      <c r="HD37" s="51"/>
      <c r="HE37" s="51"/>
      <c r="HF37" s="51"/>
      <c r="HG37" s="51"/>
      <c r="HH37" s="51"/>
      <c r="HI37" s="51"/>
      <c r="HJ37" s="51"/>
      <c r="HK37" s="51"/>
      <c r="HL37" s="51"/>
      <c r="HM37" s="51"/>
      <c r="HN37" s="51"/>
      <c r="HO37" s="51"/>
      <c r="HP37" s="51"/>
      <c r="HQ37" s="51"/>
      <c r="HR37" s="51"/>
      <c r="HS37" s="51"/>
      <c r="HT37" s="51"/>
      <c r="HU37" s="51"/>
      <c r="HV37" s="51"/>
      <c r="HW37" s="51"/>
      <c r="HX37" s="51"/>
      <c r="HY37" s="51"/>
      <c r="HZ37" s="51"/>
      <c r="IA37" s="51"/>
      <c r="IB37" s="51"/>
      <c r="IC37" s="51"/>
      <c r="ID37" s="51"/>
      <c r="IE37" s="51"/>
      <c r="IF37" s="51"/>
      <c r="IG37" s="51"/>
      <c r="IH37" s="51"/>
      <c r="II37" s="51"/>
      <c r="IJ37" s="51"/>
      <c r="IK37" s="51"/>
      <c r="IL37" s="51"/>
      <c r="IM37" s="51"/>
      <c r="IN37" s="51"/>
      <c r="IO37" s="51"/>
      <c r="IP37" s="51"/>
      <c r="IQ37" s="51"/>
      <c r="IR37" s="51"/>
      <c r="IS37" s="51"/>
      <c r="IT37" s="51"/>
      <c r="IU37" s="51"/>
      <c r="IV37" s="51"/>
      <c r="IW37" s="51"/>
      <c r="IX37" s="51"/>
      <c r="IY37" s="51"/>
      <c r="IZ37" s="51"/>
      <c r="JA37" s="51"/>
      <c r="JB37" s="51"/>
      <c r="JC37" s="51"/>
      <c r="JD37" s="51"/>
      <c r="JE37" s="51"/>
      <c r="JF37" s="51"/>
      <c r="JG37" s="51"/>
      <c r="JH37" s="51"/>
      <c r="JI37" s="51"/>
      <c r="JJ37" s="51"/>
      <c r="JK37" s="51"/>
      <c r="JL37" s="51"/>
      <c r="JM37" s="51"/>
      <c r="JN37" s="51"/>
      <c r="JO37" s="51"/>
      <c r="JP37" s="51"/>
      <c r="JQ37" s="51"/>
      <c r="JR37" s="51"/>
      <c r="JS37" s="51"/>
      <c r="JT37" s="51"/>
      <c r="JU37" s="51"/>
      <c r="JV37" s="51"/>
      <c r="JW37" s="51"/>
      <c r="JX37" s="51"/>
      <c r="JY37" s="51"/>
      <c r="JZ37" s="51"/>
      <c r="KA37" s="51"/>
      <c r="KB37" s="51"/>
      <c r="KC37" s="51"/>
      <c r="KD37" s="51"/>
      <c r="KE37" s="51"/>
      <c r="KF37" s="51"/>
      <c r="KG37" s="51"/>
      <c r="KH37" s="51"/>
      <c r="KI37" s="51"/>
      <c r="KJ37" s="51"/>
      <c r="KK37" s="51"/>
      <c r="KL37" s="51"/>
      <c r="KM37" s="51"/>
      <c r="KN37" s="51"/>
      <c r="KO37" s="51"/>
      <c r="KP37" s="51"/>
      <c r="KQ37" s="51"/>
      <c r="KR37" s="51"/>
      <c r="KS37" s="51"/>
      <c r="KT37" s="51"/>
      <c r="KU37" s="51"/>
      <c r="KV37" s="51"/>
      <c r="KW37" s="51"/>
      <c r="KX37" s="51"/>
      <c r="KY37" s="51"/>
      <c r="KZ37" s="51"/>
      <c r="LA37" s="51"/>
      <c r="LB37" s="51"/>
      <c r="LC37" s="51"/>
      <c r="LD37" s="51"/>
      <c r="LE37" s="51"/>
      <c r="LF37" s="51"/>
      <c r="LG37" s="51"/>
      <c r="LH37" s="51"/>
      <c r="LI37" s="51"/>
      <c r="LJ37" s="51"/>
      <c r="LK37" s="51"/>
      <c r="LL37" s="51"/>
      <c r="LM37" s="51"/>
      <c r="LN37" s="51"/>
      <c r="LO37" s="51"/>
      <c r="LP37" s="51"/>
      <c r="LQ37" s="51"/>
      <c r="LR37" s="51"/>
      <c r="LS37" s="51"/>
      <c r="LT37" s="51"/>
      <c r="LU37" s="51"/>
      <c r="LV37" s="51"/>
      <c r="LW37" s="51"/>
      <c r="LX37" s="51"/>
      <c r="LY37" s="51"/>
      <c r="LZ37" s="51"/>
      <c r="MA37" s="51"/>
      <c r="MB37" s="51"/>
      <c r="MC37" s="51"/>
      <c r="MD37" s="51"/>
      <c r="ME37" s="51"/>
      <c r="MF37" s="51"/>
      <c r="MG37" s="51"/>
      <c r="MH37" s="51"/>
      <c r="MI37" s="51"/>
      <c r="MJ37" s="51"/>
      <c r="MK37" s="51"/>
      <c r="ML37" s="51"/>
      <c r="MM37" s="51"/>
      <c r="MN37" s="51"/>
      <c r="MO37" s="51"/>
      <c r="MP37" s="51"/>
      <c r="MQ37" s="51"/>
      <c r="MR37" s="51"/>
      <c r="MS37" s="51"/>
      <c r="MT37" s="51"/>
      <c r="MU37" s="51"/>
      <c r="MV37" s="51"/>
      <c r="MW37" s="51"/>
      <c r="MX37" s="51"/>
      <c r="MY37" s="51"/>
      <c r="MZ37" s="51"/>
      <c r="NA37" s="51"/>
      <c r="NB37" s="51"/>
      <c r="NC37" s="51"/>
      <c r="ND37" s="51"/>
      <c r="NE37" s="51"/>
      <c r="NF37" s="51"/>
      <c r="NG37" s="51"/>
      <c r="NH37" s="51"/>
      <c r="NI37" s="51"/>
      <c r="NJ37" s="51"/>
      <c r="NK37" s="51"/>
      <c r="NL37" s="51"/>
      <c r="NM37" s="51"/>
      <c r="NN37" s="51"/>
      <c r="NO37" s="51"/>
      <c r="NP37" s="51"/>
      <c r="NQ37" s="51"/>
      <c r="NR37" s="51"/>
      <c r="NS37" s="51"/>
      <c r="NT37" s="51"/>
      <c r="NU37" s="51"/>
      <c r="NV37" s="51"/>
      <c r="NW37" s="51"/>
      <c r="NX37" s="51"/>
      <c r="NY37" s="51"/>
      <c r="NZ37" s="51"/>
      <c r="OA37" s="51"/>
      <c r="OB37" s="51"/>
      <c r="OC37" s="51"/>
      <c r="OD37" s="51"/>
      <c r="OE37" s="51"/>
      <c r="OF37" s="51"/>
      <c r="OG37" s="51"/>
      <c r="OH37" s="51"/>
      <c r="OI37" s="51"/>
      <c r="OJ37" s="51"/>
      <c r="OK37" s="51"/>
      <c r="OL37" s="51"/>
      <c r="OM37" s="51"/>
      <c r="ON37" s="51"/>
      <c r="OO37" s="51"/>
      <c r="OP37" s="51"/>
      <c r="OQ37" s="51"/>
      <c r="OR37" s="51"/>
      <c r="OS37" s="51"/>
      <c r="OT37" s="51"/>
      <c r="OU37" s="51"/>
      <c r="OV37" s="51"/>
      <c r="OW37" s="51"/>
      <c r="OX37" s="51"/>
      <c r="OY37" s="51"/>
      <c r="OZ37" s="51"/>
      <c r="PA37" s="51"/>
      <c r="PB37" s="51"/>
      <c r="PC37" s="51"/>
      <c r="PD37" s="51"/>
      <c r="PE37" s="51"/>
      <c r="PF37" s="51"/>
      <c r="PG37" s="51"/>
      <c r="PH37" s="51"/>
      <c r="PI37" s="51"/>
      <c r="PJ37" s="51"/>
      <c r="PK37" s="51"/>
      <c r="PL37" s="51"/>
      <c r="PM37" s="51"/>
      <c r="PN37" s="51"/>
      <c r="PO37" s="51"/>
      <c r="PP37" s="51"/>
      <c r="PQ37" s="51"/>
      <c r="PR37" s="51"/>
      <c r="PS37" s="51"/>
      <c r="PT37" s="51"/>
      <c r="PU37" s="51"/>
      <c r="PV37" s="51"/>
      <c r="PW37" s="51"/>
      <c r="PX37" s="51"/>
      <c r="PY37" s="51"/>
      <c r="PZ37" s="51"/>
      <c r="QA37" s="51"/>
      <c r="QB37" s="51"/>
      <c r="QC37" s="51"/>
      <c r="QD37" s="51"/>
      <c r="QE37" s="51"/>
      <c r="QF37" s="51"/>
      <c r="QG37" s="51"/>
      <c r="QH37" s="51"/>
      <c r="QI37" s="51"/>
      <c r="QJ37" s="51"/>
      <c r="QK37" s="51"/>
      <c r="QL37" s="51"/>
      <c r="QM37" s="51"/>
      <c r="QN37" s="51"/>
      <c r="QO37" s="51"/>
      <c r="QP37" s="51"/>
      <c r="QQ37" s="51"/>
      <c r="QR37" s="51"/>
      <c r="QS37" s="51"/>
      <c r="QT37" s="51"/>
      <c r="QU37" s="51"/>
      <c r="QV37" s="51"/>
      <c r="QW37" s="51"/>
      <c r="QX37" s="51"/>
      <c r="QY37" s="51"/>
      <c r="QZ37" s="51"/>
      <c r="RA37" s="51"/>
      <c r="RB37" s="51"/>
      <c r="RC37" s="51"/>
      <c r="RD37" s="51"/>
      <c r="RE37" s="51"/>
      <c r="RF37" s="51"/>
      <c r="RG37" s="51"/>
      <c r="RH37" s="51"/>
      <c r="RI37" s="51"/>
      <c r="RJ37" s="51"/>
      <c r="RK37" s="51"/>
      <c r="RL37" s="51"/>
      <c r="RM37" s="51"/>
      <c r="RN37" s="51"/>
      <c r="RO37" s="51"/>
      <c r="RP37" s="51"/>
      <c r="RQ37" s="51"/>
      <c r="RR37" s="51"/>
      <c r="RS37" s="51"/>
      <c r="RT37" s="51"/>
      <c r="RU37" s="51"/>
      <c r="RV37" s="51"/>
      <c r="RW37" s="51"/>
      <c r="RX37" s="51"/>
      <c r="RY37" s="51"/>
      <c r="RZ37" s="51"/>
      <c r="SA37" s="51"/>
      <c r="SB37" s="51"/>
      <c r="SC37" s="51"/>
      <c r="SD37" s="51"/>
      <c r="SE37" s="51"/>
      <c r="SF37" s="51"/>
      <c r="SG37" s="51"/>
      <c r="SH37" s="51"/>
      <c r="SI37" s="51"/>
      <c r="SJ37" s="51"/>
      <c r="SK37" s="51"/>
      <c r="SL37" s="51"/>
      <c r="SM37" s="51"/>
      <c r="SN37" s="51"/>
      <c r="SO37" s="51"/>
      <c r="SP37" s="51"/>
      <c r="SQ37" s="51"/>
      <c r="SR37" s="51"/>
      <c r="SS37" s="51"/>
      <c r="ST37" s="51"/>
      <c r="SU37" s="51"/>
      <c r="SV37" s="51"/>
      <c r="SW37" s="51"/>
      <c r="SX37" s="51"/>
      <c r="SY37" s="51"/>
      <c r="SZ37" s="51"/>
      <c r="TA37" s="51"/>
      <c r="TB37" s="51"/>
      <c r="TC37" s="51"/>
      <c r="TD37" s="51"/>
      <c r="TE37" s="51"/>
      <c r="TF37" s="51"/>
      <c r="TG37" s="51"/>
      <c r="TH37" s="51"/>
      <c r="TI37" s="51"/>
      <c r="TJ37" s="51"/>
      <c r="TK37" s="51"/>
      <c r="TL37" s="51"/>
      <c r="TM37" s="51"/>
      <c r="TN37" s="51"/>
      <c r="TO37" s="51"/>
      <c r="TP37" s="51"/>
      <c r="TQ37" s="51"/>
      <c r="TR37" s="51"/>
      <c r="TS37" s="51"/>
      <c r="TT37" s="51"/>
      <c r="TU37" s="51"/>
      <c r="TV37" s="51"/>
      <c r="TW37" s="51"/>
      <c r="TX37" s="51"/>
      <c r="TY37" s="51"/>
      <c r="TZ37" s="51"/>
      <c r="UA37" s="51"/>
      <c r="UB37" s="51"/>
      <c r="UC37" s="51"/>
      <c r="UD37" s="51"/>
      <c r="UE37" s="51"/>
      <c r="UF37" s="51"/>
      <c r="UG37" s="51"/>
      <c r="UH37" s="51"/>
      <c r="UI37" s="51"/>
      <c r="UJ37" s="51"/>
      <c r="UK37" s="51"/>
      <c r="UL37" s="51"/>
      <c r="UM37" s="51"/>
      <c r="UN37" s="51"/>
      <c r="UO37" s="51"/>
      <c r="UP37" s="51"/>
      <c r="UQ37" s="51"/>
      <c r="UR37" s="51"/>
      <c r="US37" s="51"/>
      <c r="UT37" s="51"/>
      <c r="UU37" s="51"/>
      <c r="UV37" s="51"/>
      <c r="UW37" s="51"/>
      <c r="UX37" s="51"/>
      <c r="UY37" s="51"/>
      <c r="UZ37" s="51"/>
      <c r="VA37" s="51"/>
      <c r="VB37" s="51"/>
      <c r="VC37" s="51"/>
      <c r="VD37" s="51"/>
      <c r="VE37" s="51"/>
      <c r="VF37" s="51"/>
      <c r="VG37" s="51"/>
      <c r="VH37" s="51"/>
      <c r="VI37" s="51"/>
      <c r="VJ37" s="51"/>
      <c r="VK37" s="51"/>
      <c r="VL37" s="51"/>
      <c r="VM37" s="51"/>
      <c r="VN37" s="51"/>
      <c r="VO37" s="51"/>
      <c r="VP37" s="51"/>
      <c r="VQ37" s="51"/>
      <c r="VR37" s="51"/>
      <c r="VS37" s="51"/>
      <c r="VT37" s="51"/>
      <c r="VU37" s="51"/>
      <c r="VV37" s="51"/>
      <c r="VW37" s="51"/>
      <c r="VX37" s="51"/>
      <c r="VY37" s="51"/>
      <c r="VZ37" s="51"/>
      <c r="WA37" s="51"/>
      <c r="WB37" s="51"/>
      <c r="WC37" s="51"/>
      <c r="WD37" s="51"/>
      <c r="WE37" s="51"/>
      <c r="WF37" s="51"/>
      <c r="WG37" s="51"/>
      <c r="WH37" s="51"/>
      <c r="WI37" s="51"/>
      <c r="WJ37" s="51"/>
      <c r="WK37" s="51"/>
      <c r="WL37" s="51"/>
      <c r="WM37" s="51"/>
      <c r="WN37" s="51"/>
      <c r="WO37" s="51"/>
      <c r="WP37" s="51"/>
      <c r="WQ37" s="51"/>
      <c r="WR37" s="51"/>
      <c r="WS37" s="51"/>
      <c r="WT37" s="51"/>
      <c r="WU37" s="51"/>
      <c r="WV37" s="51"/>
      <c r="WW37" s="51"/>
      <c r="WX37" s="51"/>
      <c r="WY37" s="51"/>
      <c r="WZ37" s="51"/>
      <c r="XA37" s="51"/>
      <c r="XB37" s="51"/>
      <c r="XC37" s="51"/>
      <c r="XD37" s="51"/>
      <c r="XE37" s="51"/>
      <c r="XF37" s="51"/>
      <c r="XG37" s="51"/>
      <c r="XH37" s="51"/>
      <c r="XI37" s="51"/>
      <c r="XJ37" s="51"/>
      <c r="XK37" s="51"/>
      <c r="XL37" s="51"/>
      <c r="XM37" s="51"/>
      <c r="XN37" s="51"/>
      <c r="XO37" s="51"/>
      <c r="XP37" s="51"/>
      <c r="XQ37" s="51"/>
      <c r="XR37" s="51"/>
      <c r="XS37" s="51"/>
      <c r="XT37" s="51"/>
      <c r="XU37" s="51"/>
      <c r="XV37" s="51"/>
      <c r="XW37" s="51"/>
      <c r="XX37" s="51"/>
      <c r="XY37" s="51"/>
      <c r="XZ37" s="51"/>
      <c r="YA37" s="51"/>
      <c r="YB37" s="51"/>
      <c r="YC37" s="51"/>
      <c r="YD37" s="51"/>
      <c r="YE37" s="51"/>
      <c r="YF37" s="51"/>
      <c r="YG37" s="51"/>
      <c r="YH37" s="51"/>
      <c r="YI37" s="51"/>
      <c r="YJ37" s="51"/>
      <c r="YK37" s="51"/>
      <c r="YL37" s="51"/>
      <c r="YM37" s="51"/>
      <c r="YN37" s="51"/>
      <c r="YO37" s="51"/>
      <c r="YP37" s="51"/>
      <c r="YQ37" s="51"/>
      <c r="YR37" s="51"/>
      <c r="YS37" s="51"/>
      <c r="YT37" s="51"/>
      <c r="YU37" s="51"/>
      <c r="YV37" s="51"/>
      <c r="YW37" s="51"/>
      <c r="YX37" s="51"/>
      <c r="YY37" s="51"/>
      <c r="YZ37" s="51"/>
      <c r="ZA37" s="51"/>
      <c r="ZB37" s="51"/>
      <c r="ZC37" s="51"/>
      <c r="ZD37" s="51"/>
      <c r="ZE37" s="51"/>
      <c r="ZF37" s="51"/>
      <c r="ZG37" s="51"/>
      <c r="ZH37" s="51"/>
      <c r="ZI37" s="51"/>
      <c r="ZJ37" s="51"/>
      <c r="ZK37" s="51"/>
      <c r="ZL37" s="51"/>
      <c r="ZM37" s="51"/>
      <c r="ZN37" s="51"/>
      <c r="ZO37" s="51"/>
      <c r="ZP37" s="51"/>
      <c r="ZQ37" s="51"/>
      <c r="ZR37" s="51"/>
      <c r="ZS37" s="51"/>
      <c r="ZT37" s="51"/>
      <c r="ZU37" s="51"/>
      <c r="ZV37" s="51"/>
      <c r="ZW37" s="51"/>
      <c r="ZX37" s="51"/>
      <c r="ZY37" s="51"/>
      <c r="ZZ37" s="51"/>
      <c r="AAA37" s="51"/>
      <c r="AAB37" s="51"/>
      <c r="AAC37" s="51"/>
      <c r="AAD37" s="51"/>
      <c r="AAE37" s="51"/>
      <c r="AAF37" s="51"/>
      <c r="AAG37" s="51"/>
      <c r="AAH37" s="51"/>
      <c r="AAI37" s="51"/>
      <c r="AAJ37" s="51"/>
      <c r="AAK37" s="51"/>
      <c r="AAL37" s="51"/>
      <c r="AAM37" s="51"/>
      <c r="AAN37" s="51"/>
      <c r="AAO37" s="51"/>
      <c r="AAP37" s="51"/>
      <c r="AAQ37" s="51"/>
      <c r="AAR37" s="51"/>
      <c r="AAS37" s="51"/>
      <c r="AAT37" s="51"/>
      <c r="AAU37" s="51"/>
      <c r="AAV37" s="51"/>
      <c r="AAW37" s="51"/>
      <c r="AAX37" s="51"/>
      <c r="AAY37" s="51"/>
      <c r="AAZ37" s="51"/>
      <c r="ABA37" s="51"/>
      <c r="ABB37" s="51"/>
      <c r="ABC37" s="51"/>
      <c r="ABD37" s="51"/>
      <c r="ABE37" s="51"/>
      <c r="ABF37" s="51"/>
      <c r="ABG37" s="51"/>
      <c r="ABH37" s="51"/>
      <c r="ABI37" s="51"/>
      <c r="ABJ37" s="51"/>
      <c r="ABK37" s="51"/>
      <c r="ABL37" s="51"/>
      <c r="ABM37" s="51"/>
      <c r="ABN37" s="51"/>
      <c r="ABO37" s="51"/>
      <c r="ABP37" s="51"/>
      <c r="ABQ37" s="51"/>
      <c r="ABR37" s="51"/>
      <c r="ABS37" s="51"/>
      <c r="ABT37" s="51"/>
      <c r="ABU37" s="51"/>
      <c r="ABV37" s="51"/>
      <c r="ABW37" s="51"/>
      <c r="ABX37" s="51"/>
      <c r="ABY37" s="51"/>
      <c r="ABZ37" s="51"/>
      <c r="ACA37" s="51"/>
      <c r="ACB37" s="51"/>
      <c r="ACC37" s="51"/>
      <c r="ACD37" s="51"/>
      <c r="ACE37" s="51"/>
      <c r="ACF37" s="51"/>
      <c r="ACG37" s="51"/>
      <c r="ACH37" s="51"/>
      <c r="ACI37" s="51"/>
      <c r="ACJ37" s="51"/>
      <c r="ACK37" s="51"/>
      <c r="ACL37" s="51"/>
      <c r="ACM37" s="51"/>
      <c r="ACN37" s="51"/>
      <c r="ACO37" s="51"/>
      <c r="ACP37" s="51"/>
      <c r="ACQ37" s="51"/>
      <c r="ACR37" s="51"/>
      <c r="ACS37" s="51"/>
      <c r="ACT37" s="51"/>
      <c r="ACU37" s="51"/>
      <c r="ACV37" s="51"/>
      <c r="ACW37" s="51"/>
      <c r="ACX37" s="51"/>
      <c r="ACY37" s="51"/>
      <c r="ACZ37" s="51"/>
      <c r="ADA37" s="51"/>
      <c r="ADB37" s="51"/>
      <c r="ADC37" s="51"/>
      <c r="ADD37" s="51"/>
      <c r="ADE37" s="51"/>
      <c r="ADF37" s="51"/>
      <c r="ADG37" s="51"/>
      <c r="ADH37" s="51"/>
      <c r="ADI37" s="51"/>
      <c r="ADJ37" s="51"/>
      <c r="ADK37" s="51"/>
      <c r="ADL37" s="51"/>
      <c r="ADM37" s="51"/>
      <c r="ADN37" s="51"/>
      <c r="ADO37" s="51"/>
      <c r="ADP37" s="51"/>
      <c r="ADQ37" s="51"/>
      <c r="ADR37" s="51"/>
      <c r="ADS37" s="51"/>
      <c r="ADT37" s="51"/>
      <c r="ADU37" s="51"/>
      <c r="ADV37" s="51"/>
      <c r="ADW37" s="51"/>
      <c r="ADX37" s="51"/>
      <c r="ADY37" s="51"/>
      <c r="ADZ37" s="51"/>
      <c r="AEA37" s="51"/>
      <c r="AEB37" s="51"/>
      <c r="AEC37" s="51"/>
      <c r="AED37" s="51"/>
      <c r="AEE37" s="51"/>
      <c r="AEF37" s="51"/>
      <c r="AEG37" s="51"/>
      <c r="AEH37" s="51"/>
      <c r="AEI37" s="51"/>
      <c r="AEJ37" s="51"/>
      <c r="AEK37" s="51"/>
      <c r="AEL37" s="51"/>
      <c r="AEM37" s="51"/>
      <c r="AEN37" s="51"/>
      <c r="AEO37" s="51"/>
      <c r="AEP37" s="51"/>
      <c r="AEQ37" s="51"/>
      <c r="AER37" s="51"/>
      <c r="AES37" s="51"/>
      <c r="AET37" s="51"/>
      <c r="AEU37" s="51"/>
      <c r="AEV37" s="51"/>
      <c r="AEW37" s="51"/>
      <c r="AEX37" s="51"/>
      <c r="AEY37" s="51"/>
      <c r="AEZ37" s="51"/>
      <c r="AFA37" s="51"/>
      <c r="AFB37" s="51"/>
      <c r="AFC37" s="51"/>
      <c r="AFD37" s="51"/>
      <c r="AFE37" s="51"/>
      <c r="AFF37" s="51"/>
      <c r="AFG37" s="51"/>
      <c r="AFH37" s="51"/>
      <c r="AFI37" s="51"/>
      <c r="AFJ37" s="51"/>
      <c r="AFK37" s="51"/>
      <c r="AFL37" s="51"/>
      <c r="AFM37" s="51"/>
      <c r="AFN37" s="51"/>
      <c r="AFO37" s="51"/>
      <c r="AFP37" s="51"/>
      <c r="AFQ37" s="51"/>
      <c r="AFR37" s="51"/>
      <c r="AFS37" s="51"/>
      <c r="AFT37" s="51"/>
      <c r="AFU37" s="51"/>
      <c r="AFV37" s="51"/>
      <c r="AFW37" s="51"/>
      <c r="AFX37" s="51"/>
      <c r="AFY37" s="51"/>
      <c r="AFZ37" s="51"/>
      <c r="AGA37" s="51"/>
      <c r="AGB37" s="51"/>
      <c r="AGC37" s="51"/>
      <c r="AGD37" s="51"/>
      <c r="AGE37" s="51"/>
      <c r="AGF37" s="51"/>
      <c r="AGG37" s="51"/>
      <c r="AGH37" s="51"/>
      <c r="AGI37" s="51"/>
      <c r="AGJ37" s="51"/>
      <c r="AGK37" s="51"/>
      <c r="AGL37" s="51"/>
      <c r="AGM37" s="51"/>
      <c r="AGN37" s="51"/>
      <c r="AGO37" s="51"/>
      <c r="AGP37" s="51"/>
      <c r="AGQ37" s="51"/>
      <c r="AGR37" s="51"/>
      <c r="AGS37" s="51"/>
      <c r="AGT37" s="51"/>
      <c r="AGU37" s="51"/>
      <c r="AGV37" s="51"/>
      <c r="AGW37" s="51"/>
      <c r="AGX37" s="51"/>
      <c r="AGY37" s="51"/>
      <c r="AGZ37" s="51"/>
      <c r="AHA37" s="51"/>
      <c r="AHB37" s="51"/>
      <c r="AHC37" s="51"/>
      <c r="AHD37" s="51"/>
      <c r="AHE37" s="51"/>
      <c r="AHF37" s="51"/>
      <c r="AHG37" s="51"/>
      <c r="AHH37" s="51"/>
      <c r="AHI37" s="51"/>
      <c r="AHJ37" s="51"/>
      <c r="AHK37" s="51"/>
      <c r="AHL37" s="51"/>
      <c r="AHM37" s="51"/>
      <c r="AHN37" s="51"/>
      <c r="AHO37" s="51"/>
      <c r="AHP37" s="51"/>
      <c r="AHQ37" s="51"/>
      <c r="AHR37" s="51"/>
      <c r="AHS37" s="51"/>
      <c r="AHT37" s="51"/>
      <c r="AHU37" s="51"/>
      <c r="AHV37" s="51"/>
      <c r="AHW37" s="51"/>
      <c r="AHX37" s="51"/>
      <c r="AHY37" s="51"/>
      <c r="AHZ37" s="51"/>
      <c r="AIA37" s="51"/>
      <c r="AIB37" s="51"/>
      <c r="AIC37" s="51"/>
      <c r="AID37" s="51"/>
      <c r="AIE37" s="51"/>
      <c r="AIF37" s="51"/>
      <c r="AIG37" s="51"/>
      <c r="AIH37" s="51"/>
      <c r="AII37" s="51"/>
      <c r="AIJ37" s="51"/>
      <c r="AIK37" s="51"/>
      <c r="AIL37" s="51"/>
      <c r="AIM37" s="51"/>
      <c r="AIN37" s="51"/>
      <c r="AIO37" s="51"/>
      <c r="AIP37" s="51"/>
      <c r="AIQ37" s="51"/>
      <c r="AIR37" s="51"/>
      <c r="AIS37" s="51"/>
      <c r="AIT37" s="51"/>
      <c r="AIU37" s="51"/>
      <c r="AIV37" s="51"/>
      <c r="AIW37" s="51"/>
      <c r="AIX37" s="51"/>
      <c r="AIY37" s="51"/>
      <c r="AIZ37" s="51"/>
      <c r="AJA37" s="51"/>
      <c r="AJB37" s="51"/>
      <c r="AJC37" s="51"/>
      <c r="AJD37" s="51"/>
      <c r="AJE37" s="51"/>
      <c r="AJF37" s="51"/>
      <c r="AJG37" s="51"/>
      <c r="AJH37" s="51"/>
      <c r="AJI37" s="51"/>
      <c r="AJJ37" s="51"/>
      <c r="AJK37" s="51"/>
      <c r="AJL37" s="51"/>
      <c r="AJM37" s="51"/>
      <c r="AJN37" s="51"/>
      <c r="AJO37" s="51"/>
      <c r="AJP37" s="51"/>
      <c r="AJQ37" s="51"/>
      <c r="AJR37" s="51"/>
      <c r="AJS37" s="51"/>
      <c r="AJT37" s="51"/>
      <c r="AJU37" s="51"/>
      <c r="AJV37" s="51"/>
      <c r="AJW37" s="51"/>
      <c r="AJX37" s="51"/>
      <c r="AJY37" s="51"/>
      <c r="AJZ37" s="51"/>
      <c r="AKA37" s="51"/>
      <c r="AKB37" s="51"/>
      <c r="AKC37" s="51"/>
      <c r="AKD37" s="51"/>
      <c r="AKE37" s="51"/>
      <c r="AKF37" s="51"/>
      <c r="AKG37" s="51"/>
      <c r="AKH37" s="51"/>
      <c r="AKI37" s="51"/>
      <c r="AKJ37" s="51"/>
      <c r="AKK37" s="51"/>
      <c r="AKL37" s="51"/>
      <c r="AKM37" s="51"/>
      <c r="AKN37" s="51"/>
      <c r="AKO37" s="51"/>
      <c r="AKP37" s="51"/>
      <c r="AKQ37" s="51"/>
      <c r="AKR37" s="51"/>
      <c r="AKS37" s="51"/>
      <c r="AKT37" s="51"/>
      <c r="AKU37" s="51"/>
      <c r="AKV37" s="51"/>
      <c r="AKW37" s="51"/>
      <c r="AKX37" s="51"/>
      <c r="AKY37" s="51"/>
      <c r="AKZ37" s="51"/>
      <c r="ALA37" s="51"/>
      <c r="ALB37" s="51"/>
      <c r="ALC37" s="51"/>
      <c r="ALD37" s="51"/>
      <c r="ALE37" s="51"/>
      <c r="ALF37" s="51"/>
      <c r="ALG37" s="51"/>
      <c r="ALH37" s="51"/>
      <c r="ALI37" s="51"/>
      <c r="ALJ37" s="51"/>
      <c r="ALK37" s="51"/>
      <c r="ALL37" s="51"/>
      <c r="ALM37" s="51"/>
      <c r="ALN37" s="51"/>
      <c r="ALO37" s="51"/>
      <c r="ALP37" s="51"/>
      <c r="ALQ37" s="51"/>
      <c r="ALR37" s="51"/>
      <c r="ALS37" s="51"/>
      <c r="ALT37" s="51"/>
      <c r="ALU37" s="51"/>
      <c r="ALV37" s="51"/>
      <c r="ALW37" s="51"/>
      <c r="ALX37" s="51"/>
      <c r="ALY37" s="51"/>
      <c r="ALZ37" s="51"/>
      <c r="AMA37" s="51"/>
      <c r="AMB37" s="51"/>
      <c r="AMC37" s="51"/>
      <c r="AMD37" s="51"/>
      <c r="AME37" s="51"/>
      <c r="AMF37" s="51"/>
      <c r="AMG37" s="51"/>
      <c r="AMH37" s="51"/>
      <c r="AMI37" s="51"/>
      <c r="AMJ37" s="51"/>
      <c r="AMK37" s="51"/>
      <c r="AML37" s="51"/>
      <c r="AMM37" s="51"/>
      <c r="AMN37" s="51"/>
      <c r="AMO37" s="51"/>
      <c r="AMP37" s="51"/>
      <c r="AMQ37" s="51"/>
      <c r="AMR37" s="51"/>
      <c r="AMS37" s="51"/>
      <c r="AMT37" s="51"/>
      <c r="AMU37" s="51"/>
      <c r="AMV37" s="51"/>
      <c r="AMW37" s="51"/>
      <c r="AMX37" s="51"/>
      <c r="AMY37" s="51"/>
      <c r="AMZ37" s="51"/>
      <c r="ANA37" s="51"/>
      <c r="ANB37" s="51"/>
      <c r="ANC37" s="51"/>
      <c r="AND37" s="51"/>
      <c r="ANE37" s="51"/>
      <c r="ANF37" s="51"/>
      <c r="ANG37" s="51"/>
      <c r="ANH37" s="51"/>
      <c r="ANI37" s="51"/>
      <c r="ANJ37" s="51"/>
      <c r="ANK37" s="51"/>
      <c r="ANL37" s="51"/>
      <c r="ANM37" s="51"/>
      <c r="ANN37" s="51"/>
      <c r="ANO37" s="51"/>
      <c r="ANP37" s="51"/>
      <c r="ANQ37" s="51"/>
      <c r="ANR37" s="51"/>
      <c r="ANS37" s="51"/>
      <c r="ANT37" s="51"/>
      <c r="ANU37" s="51"/>
      <c r="ANV37" s="51"/>
      <c r="ANW37" s="51"/>
      <c r="ANX37" s="51"/>
      <c r="ANY37" s="51"/>
      <c r="ANZ37" s="51"/>
      <c r="AOA37" s="51"/>
      <c r="AOB37" s="51"/>
      <c r="AOC37" s="51"/>
      <c r="AOD37" s="51"/>
      <c r="AOE37" s="51"/>
      <c r="AOF37" s="51"/>
      <c r="AOG37" s="51"/>
      <c r="AOH37" s="51"/>
      <c r="AOI37" s="51"/>
      <c r="AOJ37" s="51"/>
      <c r="AOK37" s="51"/>
      <c r="AOL37" s="51"/>
      <c r="AOM37" s="51"/>
      <c r="AON37" s="51"/>
      <c r="AOO37" s="51"/>
      <c r="AOP37" s="51"/>
      <c r="AOQ37" s="51"/>
      <c r="AOR37" s="51"/>
      <c r="AOS37" s="51"/>
      <c r="AOT37" s="51"/>
      <c r="AOU37" s="51"/>
      <c r="AOV37" s="51"/>
      <c r="AOW37" s="51"/>
      <c r="AOX37" s="51"/>
      <c r="AOY37" s="51"/>
      <c r="AOZ37" s="51"/>
      <c r="APA37" s="51"/>
      <c r="APB37" s="51"/>
      <c r="APC37" s="51"/>
      <c r="APD37" s="51"/>
      <c r="APE37" s="51"/>
      <c r="APF37" s="51"/>
      <c r="APG37" s="51"/>
      <c r="APH37" s="51"/>
      <c r="API37" s="51"/>
      <c r="APJ37" s="51"/>
      <c r="APK37" s="51"/>
      <c r="APL37" s="51"/>
      <c r="APM37" s="51"/>
      <c r="APN37" s="51"/>
      <c r="APO37" s="51"/>
      <c r="APP37" s="51"/>
      <c r="APQ37" s="51"/>
      <c r="APR37" s="51"/>
      <c r="APS37" s="51"/>
      <c r="APT37" s="51"/>
      <c r="APU37" s="51"/>
      <c r="APV37" s="51"/>
      <c r="APW37" s="51"/>
      <c r="APX37" s="51"/>
      <c r="APY37" s="51"/>
      <c r="APZ37" s="51"/>
      <c r="AQA37" s="51"/>
      <c r="AQB37" s="51"/>
      <c r="AQC37" s="51"/>
      <c r="AQD37" s="51"/>
      <c r="AQE37" s="51"/>
      <c r="AQF37" s="51"/>
      <c r="AQG37" s="51"/>
      <c r="AQH37" s="51"/>
      <c r="AQI37" s="51"/>
      <c r="AQJ37" s="51"/>
      <c r="AQK37" s="51"/>
      <c r="AQL37" s="51"/>
      <c r="AQM37" s="51"/>
      <c r="AQN37" s="51"/>
      <c r="AQO37" s="51"/>
      <c r="AQP37" s="51"/>
      <c r="AQQ37" s="51"/>
      <c r="AQR37" s="51"/>
      <c r="AQS37" s="51"/>
      <c r="AQT37" s="51"/>
      <c r="AQU37" s="51"/>
      <c r="AQV37" s="51"/>
      <c r="AQW37" s="51"/>
      <c r="AQX37" s="51"/>
      <c r="AQY37" s="51"/>
      <c r="AQZ37" s="51"/>
      <c r="ARA37" s="51"/>
      <c r="ARB37" s="51"/>
      <c r="ARC37" s="51"/>
      <c r="ARD37" s="51"/>
      <c r="ARE37" s="51"/>
      <c r="ARF37" s="51"/>
      <c r="ARG37" s="51"/>
      <c r="ARH37" s="51"/>
      <c r="ARI37" s="51"/>
      <c r="ARJ37" s="51"/>
      <c r="ARK37" s="51"/>
      <c r="ARL37" s="51"/>
      <c r="ARM37" s="51"/>
      <c r="ARN37" s="51"/>
      <c r="ARO37" s="51"/>
      <c r="ARP37" s="51"/>
      <c r="ARQ37" s="51"/>
      <c r="ARR37" s="51"/>
      <c r="ARS37" s="51"/>
      <c r="ART37" s="51"/>
      <c r="ARU37" s="51"/>
      <c r="ARV37" s="51"/>
      <c r="ARW37" s="51"/>
      <c r="ARX37" s="51"/>
      <c r="ARY37" s="51"/>
      <c r="ARZ37" s="51"/>
      <c r="ASA37" s="51"/>
      <c r="ASB37" s="51"/>
      <c r="ASC37" s="51"/>
      <c r="ASD37" s="51"/>
      <c r="ASE37" s="51"/>
      <c r="ASF37" s="51"/>
      <c r="ASG37" s="51"/>
      <c r="ASH37" s="51"/>
      <c r="ASI37" s="51"/>
      <c r="ASJ37" s="51"/>
      <c r="ASK37" s="51"/>
      <c r="ASL37" s="51"/>
      <c r="ASM37" s="51"/>
      <c r="ASN37" s="51"/>
      <c r="ASO37" s="51"/>
      <c r="ASP37" s="51"/>
      <c r="ASQ37" s="51"/>
      <c r="ASR37" s="51"/>
      <c r="ASS37" s="51"/>
      <c r="AST37" s="51"/>
      <c r="ASU37" s="51"/>
      <c r="ASV37" s="51"/>
      <c r="ASW37" s="51"/>
      <c r="ASX37" s="51"/>
      <c r="ASY37" s="51"/>
      <c r="ASZ37" s="51"/>
      <c r="ATA37" s="51"/>
      <c r="ATB37" s="51"/>
      <c r="ATC37" s="51"/>
      <c r="ATD37" s="51"/>
      <c r="ATE37" s="51"/>
      <c r="ATF37" s="51"/>
      <c r="ATG37" s="51"/>
      <c r="ATH37" s="51"/>
      <c r="ATI37" s="51"/>
      <c r="ATJ37" s="51"/>
      <c r="ATK37" s="51"/>
      <c r="ATL37" s="51"/>
      <c r="ATM37" s="51"/>
      <c r="ATN37" s="51"/>
      <c r="ATO37" s="51"/>
      <c r="ATP37" s="51"/>
      <c r="ATQ37" s="51"/>
      <c r="ATR37" s="51"/>
      <c r="ATS37" s="51"/>
      <c r="ATT37" s="51"/>
      <c r="ATU37" s="51"/>
      <c r="ATV37" s="51"/>
      <c r="ATW37" s="51"/>
      <c r="ATX37" s="51"/>
      <c r="ATY37" s="51"/>
      <c r="ATZ37" s="51"/>
      <c r="AUA37" s="51"/>
      <c r="AUB37" s="51"/>
      <c r="AUC37" s="51"/>
      <c r="AUD37" s="51"/>
      <c r="AUE37" s="51"/>
      <c r="AUF37" s="51"/>
      <c r="AUG37" s="51"/>
      <c r="AUH37" s="51"/>
      <c r="AUI37" s="51"/>
      <c r="AUJ37" s="51"/>
      <c r="AUK37" s="51"/>
      <c r="AUL37" s="51"/>
      <c r="AUM37" s="51"/>
      <c r="AUN37" s="51"/>
      <c r="AUO37" s="51"/>
      <c r="AUP37" s="51"/>
      <c r="AUQ37" s="51"/>
      <c r="AUR37" s="51"/>
      <c r="AUS37" s="51"/>
      <c r="AUT37" s="51"/>
      <c r="AUU37" s="51"/>
      <c r="AUV37" s="51"/>
      <c r="AUW37" s="51"/>
      <c r="AUX37" s="51"/>
      <c r="AUY37" s="51"/>
      <c r="AUZ37" s="51"/>
      <c r="AVA37" s="51"/>
      <c r="AVB37" s="51"/>
      <c r="AVC37" s="51"/>
      <c r="AVD37" s="51"/>
      <c r="AVE37" s="51"/>
      <c r="AVF37" s="51"/>
      <c r="AVG37" s="51"/>
      <c r="AVH37" s="51"/>
      <c r="AVI37" s="51"/>
      <c r="AVJ37" s="51"/>
      <c r="AVK37" s="51"/>
      <c r="AVL37" s="51"/>
      <c r="AVM37" s="51"/>
      <c r="AVN37" s="51"/>
      <c r="AVO37" s="51"/>
      <c r="AVP37" s="51"/>
      <c r="AVQ37" s="51"/>
      <c r="AVR37" s="51"/>
      <c r="AVS37" s="51"/>
      <c r="AVT37" s="51"/>
      <c r="AVU37" s="51"/>
      <c r="AVV37" s="51"/>
      <c r="AVW37" s="51"/>
      <c r="AVX37" s="51"/>
      <c r="AVY37" s="51"/>
      <c r="AVZ37" s="51"/>
      <c r="AWA37" s="51"/>
      <c r="AWB37" s="51"/>
      <c r="AWC37" s="51"/>
      <c r="AWD37" s="51"/>
      <c r="AWE37" s="51"/>
      <c r="AWF37" s="51"/>
      <c r="AWG37" s="51"/>
      <c r="AWH37" s="51"/>
      <c r="AWI37" s="51"/>
      <c r="AWJ37" s="51"/>
      <c r="AWK37" s="51"/>
      <c r="AWL37" s="51"/>
      <c r="AWM37" s="51"/>
      <c r="AWN37" s="51"/>
      <c r="AWO37" s="51"/>
      <c r="AWP37" s="51"/>
      <c r="AWQ37" s="51"/>
      <c r="AWR37" s="51"/>
      <c r="AWS37" s="51"/>
      <c r="AWT37" s="51"/>
      <c r="AWU37" s="51"/>
      <c r="AWV37" s="51"/>
      <c r="AWW37" s="51"/>
      <c r="AWX37" s="51"/>
      <c r="AWY37" s="51"/>
      <c r="AWZ37" s="51"/>
      <c r="AXA37" s="51"/>
      <c r="AXB37" s="51"/>
      <c r="AXC37" s="51"/>
      <c r="AXD37" s="51"/>
      <c r="AXE37" s="51"/>
      <c r="AXF37" s="51"/>
      <c r="AXG37" s="51"/>
      <c r="AXH37" s="51"/>
      <c r="AXI37" s="51"/>
      <c r="AXJ37" s="51"/>
      <c r="AXK37" s="51"/>
      <c r="AXL37" s="51"/>
      <c r="AXM37" s="51"/>
      <c r="AXN37" s="51"/>
      <c r="AXO37" s="51"/>
      <c r="AXP37" s="51"/>
      <c r="AXQ37" s="51"/>
      <c r="AXR37" s="51"/>
      <c r="AXS37" s="51"/>
      <c r="AXT37" s="51"/>
      <c r="AXU37" s="51"/>
      <c r="AXV37" s="51"/>
      <c r="AXW37" s="51"/>
      <c r="AXX37" s="51"/>
      <c r="AXY37" s="51"/>
      <c r="AXZ37" s="51"/>
      <c r="AYA37" s="51"/>
      <c r="AYB37" s="51"/>
      <c r="AYC37" s="51"/>
      <c r="AYD37" s="51"/>
      <c r="AYE37" s="51"/>
      <c r="AYF37" s="51"/>
      <c r="AYG37" s="51"/>
      <c r="AYH37" s="51"/>
      <c r="AYI37" s="51"/>
      <c r="AYJ37" s="51"/>
      <c r="AYK37" s="51"/>
      <c r="AYL37" s="51"/>
      <c r="AYM37" s="51"/>
      <c r="AYN37" s="51"/>
      <c r="AYO37" s="51"/>
      <c r="AYP37" s="51"/>
      <c r="AYQ37" s="51"/>
      <c r="AYR37" s="51"/>
      <c r="AYS37" s="51"/>
      <c r="AYT37" s="51"/>
      <c r="AYU37" s="51"/>
      <c r="AYV37" s="51"/>
      <c r="AYW37" s="51"/>
      <c r="AYX37" s="51"/>
      <c r="AYY37" s="51"/>
      <c r="AYZ37" s="51"/>
      <c r="AZA37" s="51"/>
      <c r="AZB37" s="51"/>
      <c r="AZC37" s="51"/>
      <c r="AZD37" s="51"/>
      <c r="AZE37" s="51"/>
      <c r="AZF37" s="51"/>
      <c r="AZG37" s="51"/>
      <c r="AZH37" s="51"/>
      <c r="AZI37" s="51"/>
      <c r="AZJ37" s="51"/>
      <c r="AZK37" s="51"/>
      <c r="AZL37" s="51"/>
      <c r="AZM37" s="51"/>
      <c r="AZN37" s="51"/>
      <c r="AZO37" s="51"/>
      <c r="AZP37" s="51"/>
      <c r="AZQ37" s="51"/>
      <c r="AZR37" s="51"/>
      <c r="AZS37" s="51"/>
      <c r="AZT37" s="51"/>
      <c r="AZU37" s="51"/>
      <c r="AZV37" s="51"/>
      <c r="AZW37" s="51"/>
      <c r="AZX37" s="51"/>
      <c r="AZY37" s="51"/>
      <c r="AZZ37" s="51"/>
      <c r="BAA37" s="51"/>
      <c r="BAB37" s="51"/>
      <c r="BAC37" s="51"/>
      <c r="BAD37" s="51"/>
      <c r="BAE37" s="51"/>
      <c r="BAF37" s="51"/>
      <c r="BAG37" s="51"/>
      <c r="BAH37" s="51"/>
      <c r="BAI37" s="51"/>
      <c r="BAJ37" s="51"/>
      <c r="BAK37" s="51"/>
      <c r="BAL37" s="51"/>
      <c r="BAM37" s="51"/>
      <c r="BAN37" s="51"/>
      <c r="BAO37" s="51"/>
      <c r="BAP37" s="51"/>
      <c r="BAQ37" s="51"/>
      <c r="BAR37" s="51"/>
      <c r="BAS37" s="51"/>
      <c r="BAT37" s="51"/>
      <c r="BAU37" s="51"/>
      <c r="BAV37" s="51"/>
      <c r="BAW37" s="51"/>
      <c r="BAX37" s="51"/>
      <c r="BAY37" s="51"/>
      <c r="BAZ37" s="51"/>
      <c r="BBA37" s="51"/>
      <c r="BBB37" s="51"/>
      <c r="BBC37" s="51"/>
      <c r="BBD37" s="51"/>
      <c r="BBE37" s="51"/>
      <c r="BBF37" s="51"/>
      <c r="BBG37" s="51"/>
      <c r="BBH37" s="51"/>
      <c r="BBI37" s="51"/>
      <c r="BBJ37" s="51"/>
      <c r="BBK37" s="51"/>
      <c r="BBL37" s="51"/>
      <c r="BBM37" s="51"/>
      <c r="BBN37" s="51"/>
      <c r="BBO37" s="51"/>
      <c r="BBP37" s="51"/>
      <c r="BBQ37" s="51"/>
      <c r="BBR37" s="51"/>
      <c r="BBS37" s="51"/>
      <c r="BBT37" s="51"/>
      <c r="BBU37" s="51"/>
      <c r="BBV37" s="51"/>
      <c r="BBW37" s="51"/>
      <c r="BBX37" s="51"/>
      <c r="BBY37" s="51"/>
      <c r="BBZ37" s="51"/>
      <c r="BCA37" s="51"/>
      <c r="BCB37" s="51"/>
      <c r="BCC37" s="51"/>
      <c r="BCD37" s="51"/>
      <c r="BCE37" s="51"/>
      <c r="BCF37" s="51"/>
      <c r="BCG37" s="51"/>
      <c r="BCH37" s="51"/>
      <c r="BCI37" s="51"/>
      <c r="BCJ37" s="51"/>
      <c r="BCK37" s="51"/>
      <c r="BCL37" s="51"/>
      <c r="BCM37" s="51"/>
      <c r="BCN37" s="51"/>
      <c r="BCO37" s="51"/>
      <c r="BCP37" s="51"/>
      <c r="BCQ37" s="51"/>
      <c r="BCR37" s="51"/>
      <c r="BCS37" s="51"/>
      <c r="BCT37" s="51"/>
      <c r="BCU37" s="51"/>
      <c r="BCV37" s="51"/>
      <c r="BCW37" s="51"/>
      <c r="BCX37" s="51"/>
      <c r="BCY37" s="51"/>
      <c r="BCZ37" s="51"/>
      <c r="BDA37" s="51"/>
      <c r="BDB37" s="51"/>
      <c r="BDC37" s="51"/>
      <c r="BDD37" s="51"/>
      <c r="BDE37" s="51"/>
      <c r="BDF37" s="51"/>
      <c r="BDG37" s="51"/>
      <c r="BDH37" s="51"/>
      <c r="BDI37" s="51"/>
      <c r="BDJ37" s="51"/>
      <c r="BDK37" s="51"/>
      <c r="BDL37" s="51"/>
      <c r="BDM37" s="51"/>
      <c r="BDN37" s="51"/>
      <c r="BDO37" s="51"/>
      <c r="BDP37" s="51"/>
      <c r="BDQ37" s="51"/>
      <c r="BDR37" s="51"/>
      <c r="BDS37" s="51"/>
      <c r="BDT37" s="51"/>
      <c r="BDU37" s="51"/>
      <c r="BDV37" s="51"/>
      <c r="BDW37" s="51"/>
      <c r="BDX37" s="51"/>
      <c r="BDY37" s="51"/>
      <c r="BDZ37" s="51"/>
      <c r="BEA37" s="51"/>
      <c r="BEB37" s="51"/>
      <c r="BEC37" s="51"/>
      <c r="BED37" s="51"/>
      <c r="BEE37" s="51"/>
      <c r="BEF37" s="51"/>
      <c r="BEG37" s="51"/>
      <c r="BEH37" s="51"/>
      <c r="BEI37" s="51"/>
      <c r="BEJ37" s="51"/>
      <c r="BEK37" s="51"/>
      <c r="BEL37" s="51"/>
      <c r="BEM37" s="51"/>
      <c r="BEN37" s="51"/>
      <c r="BEO37" s="51"/>
      <c r="BEP37" s="51"/>
      <c r="BEQ37" s="51"/>
      <c r="BER37" s="51"/>
      <c r="BES37" s="51"/>
      <c r="BET37" s="51"/>
      <c r="BEU37" s="51"/>
      <c r="BEV37" s="51"/>
      <c r="BEW37" s="51"/>
      <c r="BEX37" s="51"/>
      <c r="BEY37" s="51"/>
      <c r="BEZ37" s="51"/>
      <c r="BFA37" s="51"/>
      <c r="BFB37" s="51"/>
      <c r="BFC37" s="51"/>
      <c r="BFD37" s="51"/>
      <c r="BFE37" s="51"/>
      <c r="BFF37" s="51"/>
      <c r="BFG37" s="51"/>
      <c r="BFH37" s="51"/>
      <c r="BFI37" s="51"/>
      <c r="BFJ37" s="51"/>
      <c r="BFK37" s="51"/>
      <c r="BFL37" s="51"/>
      <c r="BFM37" s="51"/>
      <c r="BFN37" s="51"/>
      <c r="BFO37" s="51"/>
      <c r="BFP37" s="51"/>
      <c r="BFQ37" s="51"/>
      <c r="BFR37" s="51"/>
      <c r="BFS37" s="51"/>
      <c r="BFT37" s="51"/>
      <c r="BFU37" s="51"/>
      <c r="BFV37" s="51"/>
      <c r="BFW37" s="51"/>
      <c r="BFX37" s="51"/>
      <c r="BFY37" s="51"/>
      <c r="BFZ37" s="51"/>
      <c r="BGA37" s="51"/>
      <c r="BGB37" s="51"/>
      <c r="BGC37" s="51"/>
      <c r="BGD37" s="51"/>
      <c r="BGE37" s="51"/>
      <c r="BGF37" s="51"/>
      <c r="BGG37" s="51"/>
      <c r="BGH37" s="51"/>
      <c r="BGI37" s="51"/>
      <c r="BGJ37" s="51"/>
      <c r="BGK37" s="51"/>
      <c r="BGL37" s="51"/>
      <c r="BGM37" s="51"/>
      <c r="BGN37" s="51"/>
      <c r="BGO37" s="51"/>
      <c r="BGP37" s="51"/>
      <c r="BGQ37" s="51"/>
      <c r="BGR37" s="51"/>
      <c r="BGS37" s="51"/>
      <c r="BGT37" s="51"/>
      <c r="BGU37" s="51"/>
      <c r="BGV37" s="51"/>
      <c r="BGW37" s="51"/>
      <c r="BGX37" s="51"/>
      <c r="BGY37" s="51"/>
      <c r="BGZ37" s="51"/>
      <c r="BHA37" s="51"/>
      <c r="BHB37" s="51"/>
      <c r="BHC37" s="51"/>
      <c r="BHD37" s="51"/>
      <c r="BHE37" s="51"/>
      <c r="BHF37" s="51"/>
      <c r="BHG37" s="51"/>
      <c r="BHH37" s="51"/>
      <c r="BHI37" s="51"/>
      <c r="BHJ37" s="51"/>
      <c r="BHK37" s="51"/>
      <c r="BHL37" s="51"/>
      <c r="BHM37" s="51"/>
      <c r="BHN37" s="51"/>
      <c r="BHO37" s="51"/>
      <c r="BHP37" s="51"/>
      <c r="BHQ37" s="51"/>
      <c r="BHR37" s="51"/>
      <c r="BHS37" s="51"/>
      <c r="BHT37" s="51"/>
      <c r="BHU37" s="51"/>
      <c r="BHV37" s="51"/>
      <c r="BHW37" s="51"/>
      <c r="BHX37" s="51"/>
      <c r="BHY37" s="51"/>
      <c r="BHZ37" s="51"/>
      <c r="BIA37" s="51"/>
      <c r="BIB37" s="51"/>
      <c r="BIC37" s="51"/>
      <c r="BID37" s="51"/>
      <c r="BIE37" s="51"/>
      <c r="BIF37" s="51"/>
      <c r="BIG37" s="51"/>
      <c r="BIH37" s="51"/>
      <c r="BII37" s="51"/>
      <c r="BIJ37" s="51"/>
      <c r="BIK37" s="51"/>
      <c r="BIL37" s="51"/>
      <c r="BIM37" s="51"/>
      <c r="BIN37" s="51"/>
      <c r="BIO37" s="51"/>
      <c r="BIP37" s="51"/>
      <c r="BIQ37" s="51"/>
      <c r="BIR37" s="51"/>
      <c r="BIS37" s="51"/>
      <c r="BIT37" s="51"/>
      <c r="BIU37" s="51"/>
      <c r="BIV37" s="51"/>
      <c r="BIW37" s="51"/>
      <c r="BIX37" s="51"/>
      <c r="BIY37" s="51"/>
      <c r="BIZ37" s="51"/>
      <c r="BJA37" s="51"/>
      <c r="BJB37" s="51"/>
      <c r="BJC37" s="51"/>
      <c r="BJD37" s="51"/>
      <c r="BJE37" s="51"/>
      <c r="BJF37" s="51"/>
      <c r="BJG37" s="51"/>
      <c r="BJH37" s="51"/>
      <c r="BJI37" s="51"/>
      <c r="BJJ37" s="51"/>
      <c r="BJK37" s="51"/>
      <c r="BJL37" s="51"/>
      <c r="BJM37" s="51"/>
      <c r="BJN37" s="51"/>
      <c r="BJO37" s="51"/>
      <c r="BJP37" s="51"/>
      <c r="BJQ37" s="51"/>
      <c r="BJR37" s="51"/>
      <c r="BJS37" s="51"/>
      <c r="BJT37" s="51"/>
      <c r="BJU37" s="51"/>
      <c r="BJV37" s="51"/>
      <c r="BJW37" s="51"/>
      <c r="BJX37" s="51"/>
      <c r="BJY37" s="51"/>
      <c r="BJZ37" s="51"/>
      <c r="BKA37" s="51"/>
      <c r="BKB37" s="51"/>
      <c r="BKC37" s="51"/>
      <c r="BKD37" s="51"/>
      <c r="BKE37" s="51"/>
      <c r="BKF37" s="51"/>
      <c r="BKG37" s="51"/>
      <c r="BKH37" s="51"/>
      <c r="BKI37" s="51"/>
      <c r="BKJ37" s="51"/>
      <c r="BKK37" s="51"/>
      <c r="BKL37" s="51"/>
      <c r="BKM37" s="51"/>
      <c r="BKN37" s="51"/>
      <c r="BKO37" s="51"/>
      <c r="BKP37" s="51"/>
      <c r="BKQ37" s="51"/>
      <c r="BKR37" s="51"/>
      <c r="BKS37" s="51"/>
      <c r="BKT37" s="51"/>
      <c r="BKU37" s="51"/>
      <c r="BKV37" s="51"/>
      <c r="BKW37" s="51"/>
      <c r="BKX37" s="51"/>
      <c r="BKY37" s="51"/>
      <c r="BKZ37" s="51"/>
      <c r="BLA37" s="51"/>
      <c r="BLB37" s="51"/>
      <c r="BLC37" s="51"/>
      <c r="BLD37" s="51"/>
      <c r="BLE37" s="51"/>
      <c r="BLF37" s="51"/>
      <c r="BLG37" s="51"/>
      <c r="BLH37" s="51"/>
      <c r="BLI37" s="51"/>
      <c r="BLJ37" s="51"/>
      <c r="BLK37" s="51"/>
      <c r="BLL37" s="51"/>
      <c r="BLM37" s="51"/>
      <c r="BLN37" s="51"/>
      <c r="BLO37" s="51"/>
      <c r="BLP37" s="51"/>
      <c r="BLQ37" s="51"/>
      <c r="BLR37" s="51"/>
      <c r="BLS37" s="51"/>
      <c r="BLT37" s="51"/>
      <c r="BLU37" s="51"/>
      <c r="BLV37" s="51"/>
      <c r="BLW37" s="51"/>
      <c r="BLX37" s="51"/>
      <c r="BLY37" s="51"/>
      <c r="BLZ37" s="51"/>
      <c r="BMA37" s="51"/>
      <c r="BMB37" s="51"/>
      <c r="BMC37" s="51"/>
      <c r="BMD37" s="51"/>
      <c r="BME37" s="51"/>
      <c r="BMF37" s="51"/>
      <c r="BMG37" s="51"/>
      <c r="BMH37" s="51"/>
      <c r="BMI37" s="51"/>
      <c r="BMJ37" s="51"/>
      <c r="BMK37" s="51"/>
      <c r="BML37" s="51"/>
      <c r="BMM37" s="51"/>
      <c r="BMN37" s="51"/>
      <c r="BMO37" s="51"/>
      <c r="BMP37" s="51"/>
      <c r="BMQ37" s="51"/>
      <c r="BMR37" s="51"/>
      <c r="BMS37" s="51"/>
      <c r="BMT37" s="51"/>
      <c r="BMU37" s="51"/>
      <c r="BMV37" s="51"/>
      <c r="BMW37" s="51"/>
      <c r="BMX37" s="51"/>
      <c r="BMY37" s="51"/>
      <c r="BMZ37" s="51"/>
      <c r="BNA37" s="51"/>
      <c r="BNB37" s="51"/>
      <c r="BNC37" s="51"/>
      <c r="BND37" s="51"/>
      <c r="BNE37" s="51"/>
      <c r="BNF37" s="51"/>
      <c r="BNG37" s="51"/>
      <c r="BNH37" s="51"/>
      <c r="BNI37" s="51"/>
      <c r="BNJ37" s="51"/>
      <c r="BNK37" s="51"/>
      <c r="BNL37" s="51"/>
      <c r="BNM37" s="51"/>
      <c r="BNN37" s="51"/>
      <c r="BNO37" s="51"/>
      <c r="BNP37" s="51"/>
      <c r="BNQ37" s="51"/>
      <c r="BNR37" s="51"/>
      <c r="BNS37" s="51"/>
      <c r="BNT37" s="51"/>
      <c r="BNU37" s="51"/>
      <c r="BNV37" s="51"/>
      <c r="BNW37" s="51"/>
      <c r="BNX37" s="51"/>
      <c r="BNY37" s="51"/>
      <c r="BNZ37" s="51"/>
      <c r="BOA37" s="51"/>
      <c r="BOB37" s="51"/>
      <c r="BOC37" s="51"/>
      <c r="BOD37" s="51"/>
      <c r="BOE37" s="51"/>
      <c r="BOF37" s="51"/>
      <c r="BOG37" s="51"/>
      <c r="BOH37" s="51"/>
      <c r="BOI37" s="51"/>
      <c r="BOJ37" s="51"/>
      <c r="BOK37" s="51"/>
      <c r="BOL37" s="51"/>
      <c r="BOM37" s="51"/>
      <c r="BON37" s="51"/>
      <c r="BOO37" s="51"/>
      <c r="BOP37" s="51"/>
      <c r="BOQ37" s="51"/>
      <c r="BOR37" s="51"/>
      <c r="BOS37" s="51"/>
      <c r="BOT37" s="51"/>
      <c r="BOU37" s="51"/>
      <c r="BOV37" s="51"/>
      <c r="BOW37" s="51"/>
      <c r="BOX37" s="51"/>
      <c r="BOY37" s="51"/>
      <c r="BOZ37" s="51"/>
      <c r="BPA37" s="51"/>
      <c r="BPB37" s="51"/>
      <c r="BPC37" s="51"/>
      <c r="BPD37" s="51"/>
      <c r="BPE37" s="51"/>
      <c r="BPF37" s="51"/>
      <c r="BPG37" s="51"/>
      <c r="BPH37" s="51"/>
      <c r="BPI37" s="51"/>
      <c r="BPJ37" s="51"/>
      <c r="BPK37" s="51"/>
      <c r="BPL37" s="51"/>
      <c r="BPM37" s="51"/>
      <c r="BPN37" s="51"/>
      <c r="BPO37" s="51"/>
      <c r="BPP37" s="51"/>
      <c r="BPQ37" s="51"/>
      <c r="BPR37" s="51"/>
      <c r="BPS37" s="51"/>
      <c r="BPT37" s="51"/>
      <c r="BPU37" s="51"/>
      <c r="BPV37" s="51"/>
      <c r="BPW37" s="51"/>
      <c r="BPX37" s="51"/>
      <c r="BPY37" s="51"/>
      <c r="BPZ37" s="51"/>
      <c r="BQA37" s="51"/>
      <c r="BQB37" s="51"/>
      <c r="BQC37" s="51"/>
      <c r="BQD37" s="51"/>
      <c r="BQE37" s="51"/>
      <c r="BQF37" s="51"/>
      <c r="BQG37" s="51"/>
      <c r="BQH37" s="51"/>
      <c r="BQI37" s="51"/>
      <c r="BQJ37" s="51"/>
      <c r="BQK37" s="51"/>
      <c r="BQL37" s="51"/>
      <c r="BQM37" s="51"/>
      <c r="BQN37" s="51"/>
      <c r="BQO37" s="51"/>
      <c r="BQP37" s="51"/>
      <c r="BQQ37" s="51"/>
      <c r="BQR37" s="51"/>
      <c r="BQS37" s="51"/>
      <c r="BQT37" s="51"/>
      <c r="BQU37" s="51"/>
      <c r="BQV37" s="51"/>
      <c r="BQW37" s="51"/>
      <c r="BQX37" s="51"/>
      <c r="BQY37" s="51"/>
      <c r="BQZ37" s="51"/>
      <c r="BRA37" s="51"/>
      <c r="BRB37" s="51"/>
      <c r="BRC37" s="51"/>
      <c r="BRD37" s="51"/>
      <c r="BRE37" s="51"/>
      <c r="BRF37" s="51"/>
      <c r="BRG37" s="51"/>
      <c r="BRH37" s="51"/>
      <c r="BRI37" s="51"/>
      <c r="BRJ37" s="51"/>
      <c r="BRK37" s="51"/>
      <c r="BRL37" s="51"/>
      <c r="BRM37" s="51"/>
      <c r="BRN37" s="51"/>
      <c r="BRO37" s="51"/>
      <c r="BRP37" s="51"/>
      <c r="BRQ37" s="51"/>
      <c r="BRR37" s="51"/>
      <c r="BRS37" s="51"/>
      <c r="BRT37" s="51"/>
      <c r="BRU37" s="51"/>
      <c r="BRV37" s="51"/>
      <c r="BRW37" s="51"/>
      <c r="BRX37" s="51"/>
      <c r="BRY37" s="51"/>
      <c r="BRZ37" s="51"/>
      <c r="BSA37" s="51"/>
      <c r="BSB37" s="51"/>
      <c r="BSC37" s="51"/>
      <c r="BSD37" s="51"/>
      <c r="BSE37" s="51"/>
      <c r="BSF37" s="51"/>
      <c r="BSG37" s="51"/>
      <c r="BSH37" s="51"/>
      <c r="BSI37" s="51"/>
      <c r="BSJ37" s="51"/>
      <c r="BSK37" s="51"/>
      <c r="BSL37" s="51"/>
      <c r="BSM37" s="51"/>
      <c r="BSN37" s="51"/>
      <c r="BSO37" s="51"/>
      <c r="BSP37" s="51"/>
      <c r="BSQ37" s="51"/>
      <c r="BSR37" s="51"/>
      <c r="BSS37" s="51"/>
      <c r="BST37" s="51"/>
      <c r="BSU37" s="51"/>
      <c r="BSV37" s="51"/>
      <c r="BSW37" s="51"/>
      <c r="BSX37" s="51"/>
      <c r="BSY37" s="51"/>
      <c r="BSZ37" s="51"/>
      <c r="BTA37" s="51"/>
      <c r="BTB37" s="51"/>
      <c r="BTC37" s="51"/>
      <c r="BTD37" s="51"/>
      <c r="BTE37" s="51"/>
      <c r="BTF37" s="51"/>
      <c r="BTG37" s="51"/>
      <c r="BTH37" s="51"/>
      <c r="BTI37" s="51"/>
      <c r="BTJ37" s="51"/>
      <c r="BTK37" s="51"/>
      <c r="BTL37" s="51"/>
      <c r="BTM37" s="51"/>
      <c r="BTN37" s="51"/>
      <c r="BTO37" s="51"/>
      <c r="BTP37" s="51"/>
      <c r="BTQ37" s="51"/>
      <c r="BTR37" s="51"/>
      <c r="BTS37" s="51"/>
      <c r="BTT37" s="51"/>
      <c r="BTU37" s="51"/>
      <c r="BTV37" s="51"/>
      <c r="BTW37" s="51"/>
      <c r="BTX37" s="51"/>
      <c r="BTY37" s="51"/>
      <c r="BTZ37" s="51"/>
      <c r="BUA37" s="51"/>
      <c r="BUB37" s="51"/>
      <c r="BUC37" s="51"/>
      <c r="BUD37" s="51"/>
      <c r="BUE37" s="51"/>
      <c r="BUF37" s="51"/>
      <c r="BUG37" s="51"/>
      <c r="BUH37" s="51"/>
      <c r="BUI37" s="51"/>
      <c r="BUJ37" s="51"/>
      <c r="BUK37" s="51"/>
      <c r="BUL37" s="51"/>
      <c r="BUM37" s="51"/>
      <c r="BUN37" s="51"/>
      <c r="BUO37" s="51"/>
      <c r="BUP37" s="51"/>
      <c r="BUQ37" s="51"/>
      <c r="BUR37" s="51"/>
      <c r="BUS37" s="51"/>
      <c r="BUT37" s="51"/>
      <c r="BUU37" s="51"/>
      <c r="BUV37" s="51"/>
      <c r="BUW37" s="51"/>
      <c r="BUX37" s="51"/>
      <c r="BUY37" s="51"/>
      <c r="BUZ37" s="51"/>
      <c r="BVA37" s="51"/>
      <c r="BVB37" s="51"/>
      <c r="BVC37" s="51"/>
      <c r="BVD37" s="51"/>
      <c r="BVE37" s="51"/>
      <c r="BVF37" s="51"/>
      <c r="BVG37" s="51"/>
      <c r="BVH37" s="51"/>
      <c r="BVI37" s="51"/>
      <c r="BVJ37" s="51"/>
      <c r="BVK37" s="51"/>
      <c r="BVL37" s="51"/>
      <c r="BVM37" s="51"/>
      <c r="BVN37" s="51"/>
      <c r="BVO37" s="51"/>
      <c r="BVP37" s="51"/>
      <c r="BVQ37" s="51"/>
      <c r="BVR37" s="51"/>
      <c r="BVS37" s="51"/>
      <c r="BVT37" s="51"/>
      <c r="BVU37" s="51"/>
      <c r="BVV37" s="51"/>
      <c r="BVW37" s="51"/>
      <c r="BVX37" s="51"/>
      <c r="BVY37" s="51"/>
      <c r="BVZ37" s="51"/>
      <c r="BWA37" s="51"/>
      <c r="BWB37" s="51"/>
      <c r="BWC37" s="51"/>
      <c r="BWD37" s="51"/>
      <c r="BWE37" s="51"/>
      <c r="BWF37" s="51"/>
      <c r="BWG37" s="51"/>
      <c r="BWH37" s="51"/>
      <c r="BWI37" s="51"/>
      <c r="BWJ37" s="51"/>
      <c r="BWK37" s="51"/>
      <c r="BWL37" s="51"/>
      <c r="BWM37" s="51"/>
      <c r="BWN37" s="51"/>
      <c r="BWO37" s="51"/>
      <c r="BWP37" s="51"/>
      <c r="BWQ37" s="51"/>
      <c r="BWR37" s="51"/>
      <c r="BWS37" s="51"/>
      <c r="BWT37" s="51"/>
      <c r="BWU37" s="51"/>
      <c r="BWV37" s="51"/>
      <c r="BWW37" s="51"/>
      <c r="BWX37" s="51"/>
      <c r="BWY37" s="51"/>
      <c r="BWZ37" s="51"/>
      <c r="BXA37" s="51"/>
      <c r="BXB37" s="51"/>
      <c r="BXC37" s="51"/>
      <c r="BXD37" s="51"/>
      <c r="BXE37" s="51"/>
      <c r="BXF37" s="51"/>
      <c r="BXG37" s="51"/>
      <c r="BXH37" s="51"/>
      <c r="BXI37" s="51"/>
      <c r="BXJ37" s="51"/>
      <c r="BXK37" s="51"/>
      <c r="BXL37" s="51"/>
      <c r="BXM37" s="51"/>
      <c r="BXN37" s="51"/>
      <c r="BXO37" s="51"/>
      <c r="BXP37" s="51"/>
      <c r="BXQ37" s="51"/>
      <c r="BXR37" s="51"/>
      <c r="BXS37" s="51"/>
      <c r="BXT37" s="51"/>
      <c r="BXU37" s="51"/>
      <c r="BXV37" s="51"/>
      <c r="BXW37" s="51"/>
      <c r="BXX37" s="51"/>
      <c r="BXY37" s="51"/>
      <c r="BXZ37" s="51"/>
      <c r="BYA37" s="51"/>
      <c r="BYB37" s="51"/>
      <c r="BYC37" s="51"/>
      <c r="BYD37" s="51"/>
      <c r="BYE37" s="51"/>
      <c r="BYF37" s="51"/>
      <c r="BYG37" s="51"/>
      <c r="BYH37" s="51"/>
      <c r="BYI37" s="51"/>
      <c r="BYJ37" s="51"/>
      <c r="BYK37" s="51"/>
      <c r="BYL37" s="51"/>
      <c r="BYM37" s="51"/>
      <c r="BYN37" s="51"/>
      <c r="BYO37" s="51"/>
      <c r="BYP37" s="51"/>
      <c r="BYQ37" s="51"/>
      <c r="BYR37" s="51"/>
      <c r="BYS37" s="51"/>
      <c r="BYT37" s="51"/>
      <c r="BYU37" s="51"/>
      <c r="BYV37" s="51"/>
      <c r="BYW37" s="51"/>
      <c r="BYX37" s="51"/>
      <c r="BYY37" s="51"/>
      <c r="BYZ37" s="51"/>
      <c r="BZA37" s="51"/>
      <c r="BZB37" s="51"/>
      <c r="BZC37" s="51"/>
      <c r="BZD37" s="51"/>
      <c r="BZE37" s="51"/>
      <c r="BZF37" s="51"/>
      <c r="BZG37" s="51"/>
      <c r="BZH37" s="51"/>
      <c r="BZI37" s="51"/>
      <c r="BZJ37" s="51"/>
      <c r="BZK37" s="51"/>
      <c r="BZL37" s="51"/>
      <c r="BZM37" s="51"/>
      <c r="BZN37" s="51"/>
      <c r="BZO37" s="51"/>
      <c r="BZP37" s="51"/>
      <c r="BZQ37" s="51"/>
      <c r="BZR37" s="51"/>
      <c r="BZS37" s="51"/>
      <c r="BZT37" s="51"/>
      <c r="BZU37" s="51"/>
      <c r="BZV37" s="51"/>
      <c r="BZW37" s="51"/>
      <c r="BZX37" s="51"/>
      <c r="BZY37" s="51"/>
      <c r="BZZ37" s="51"/>
      <c r="CAA37" s="51"/>
      <c r="CAB37" s="51"/>
      <c r="CAC37" s="51"/>
      <c r="CAD37" s="51"/>
      <c r="CAE37" s="51"/>
      <c r="CAF37" s="51"/>
      <c r="CAG37" s="51"/>
      <c r="CAH37" s="51"/>
      <c r="CAI37" s="51"/>
      <c r="CAJ37" s="51"/>
      <c r="CAK37" s="51"/>
      <c r="CAL37" s="51"/>
      <c r="CAM37" s="51"/>
      <c r="CAN37" s="51"/>
      <c r="CAO37" s="51"/>
      <c r="CAP37" s="51"/>
      <c r="CAQ37" s="51"/>
      <c r="CAR37" s="51"/>
      <c r="CAS37" s="51"/>
      <c r="CAT37" s="51"/>
      <c r="CAU37" s="51"/>
      <c r="CAV37" s="51"/>
      <c r="CAW37" s="51"/>
      <c r="CAX37" s="51"/>
      <c r="CAY37" s="51"/>
      <c r="CAZ37" s="51"/>
      <c r="CBA37" s="51"/>
      <c r="CBB37" s="51"/>
      <c r="CBC37" s="51"/>
      <c r="CBD37" s="51"/>
      <c r="CBE37" s="51"/>
      <c r="CBF37" s="51"/>
      <c r="CBG37" s="51"/>
      <c r="CBH37" s="51"/>
      <c r="CBI37" s="51"/>
      <c r="CBJ37" s="51"/>
      <c r="CBK37" s="51"/>
      <c r="CBL37" s="51"/>
      <c r="CBM37" s="51"/>
      <c r="CBN37" s="51"/>
      <c r="CBO37" s="51"/>
      <c r="CBP37" s="51"/>
      <c r="CBQ37" s="51"/>
      <c r="CBR37" s="51"/>
      <c r="CBS37" s="51"/>
      <c r="CBT37" s="51"/>
      <c r="CBU37" s="51"/>
      <c r="CBV37" s="51"/>
      <c r="CBW37" s="51"/>
      <c r="CBX37" s="51"/>
      <c r="CBY37" s="51"/>
      <c r="CBZ37" s="51"/>
      <c r="CCA37" s="51"/>
      <c r="CCB37" s="51"/>
      <c r="CCC37" s="51"/>
      <c r="CCD37" s="51"/>
      <c r="CCE37" s="51"/>
      <c r="CCF37" s="51"/>
      <c r="CCG37" s="51"/>
      <c r="CCH37" s="51"/>
      <c r="CCI37" s="51"/>
      <c r="CCJ37" s="51"/>
      <c r="CCK37" s="51"/>
      <c r="CCL37" s="51"/>
      <c r="CCM37" s="51"/>
      <c r="CCN37" s="51"/>
      <c r="CCO37" s="51"/>
      <c r="CCP37" s="51"/>
      <c r="CCQ37" s="51"/>
      <c r="CCR37" s="51"/>
      <c r="CCS37" s="51"/>
      <c r="CCT37" s="51"/>
      <c r="CCU37" s="51"/>
      <c r="CCV37" s="51"/>
      <c r="CCW37" s="51"/>
      <c r="CCX37" s="51"/>
      <c r="CCY37" s="51"/>
      <c r="CCZ37" s="51"/>
      <c r="CDA37" s="51"/>
      <c r="CDB37" s="51"/>
      <c r="CDC37" s="51"/>
      <c r="CDD37" s="51"/>
      <c r="CDE37" s="51"/>
      <c r="CDF37" s="51"/>
      <c r="CDG37" s="51"/>
      <c r="CDH37" s="51"/>
      <c r="CDI37" s="51"/>
      <c r="CDJ37" s="51"/>
      <c r="CDK37" s="51"/>
      <c r="CDL37" s="51"/>
      <c r="CDM37" s="51"/>
      <c r="CDN37" s="51"/>
      <c r="CDO37" s="51"/>
      <c r="CDP37" s="51"/>
      <c r="CDQ37" s="51"/>
      <c r="CDR37" s="51"/>
      <c r="CDS37" s="51"/>
      <c r="CDT37" s="51"/>
      <c r="CDU37" s="51"/>
      <c r="CDV37" s="51"/>
      <c r="CDW37" s="51"/>
      <c r="CDX37" s="51"/>
      <c r="CDY37" s="51"/>
      <c r="CDZ37" s="51"/>
      <c r="CEA37" s="51"/>
      <c r="CEB37" s="51"/>
      <c r="CEC37" s="51"/>
      <c r="CED37" s="51"/>
      <c r="CEE37" s="51"/>
      <c r="CEF37" s="51"/>
      <c r="CEG37" s="51"/>
      <c r="CEH37" s="51"/>
      <c r="CEI37" s="51"/>
      <c r="CEJ37" s="51"/>
      <c r="CEK37" s="51"/>
      <c r="CEL37" s="51"/>
      <c r="CEM37" s="51"/>
      <c r="CEN37" s="51"/>
      <c r="CEO37" s="51"/>
      <c r="CEP37" s="51"/>
      <c r="CEQ37" s="51"/>
      <c r="CER37" s="51"/>
      <c r="CES37" s="51"/>
      <c r="CET37" s="51"/>
      <c r="CEU37" s="51"/>
      <c r="CEV37" s="51"/>
      <c r="CEW37" s="51"/>
      <c r="CEX37" s="51"/>
      <c r="CEY37" s="51"/>
      <c r="CEZ37" s="51"/>
      <c r="CFA37" s="51"/>
      <c r="CFB37" s="51"/>
      <c r="CFC37" s="51"/>
      <c r="CFD37" s="51"/>
      <c r="CFE37" s="51"/>
      <c r="CFF37" s="51"/>
      <c r="CFG37" s="51"/>
      <c r="CFH37" s="51"/>
      <c r="CFI37" s="51"/>
      <c r="CFJ37" s="51"/>
      <c r="CFK37" s="51"/>
      <c r="CFL37" s="51"/>
      <c r="CFM37" s="51"/>
      <c r="CFN37" s="51"/>
      <c r="CFO37" s="51"/>
      <c r="CFP37" s="51"/>
      <c r="CFQ37" s="51"/>
      <c r="CFR37" s="51"/>
      <c r="CFS37" s="51"/>
      <c r="CFT37" s="51"/>
      <c r="CFU37" s="51"/>
      <c r="CFV37" s="51"/>
      <c r="CFW37" s="51"/>
      <c r="CFX37" s="51"/>
      <c r="CFY37" s="51"/>
      <c r="CFZ37" s="51"/>
      <c r="CGA37" s="51"/>
      <c r="CGB37" s="51"/>
      <c r="CGC37" s="51"/>
      <c r="CGD37" s="51"/>
      <c r="CGE37" s="51"/>
      <c r="CGF37" s="51"/>
      <c r="CGG37" s="51"/>
      <c r="CGH37" s="51"/>
      <c r="CGI37" s="51"/>
      <c r="CGJ37" s="51"/>
      <c r="CGK37" s="51"/>
      <c r="CGL37" s="51"/>
      <c r="CGM37" s="51"/>
      <c r="CGN37" s="51"/>
      <c r="CGO37" s="51"/>
      <c r="CGP37" s="51"/>
      <c r="CGQ37" s="51"/>
      <c r="CGR37" s="51"/>
      <c r="CGS37" s="51"/>
      <c r="CGT37" s="51"/>
      <c r="CGU37" s="51"/>
      <c r="CGV37" s="51"/>
      <c r="CGW37" s="51"/>
      <c r="CGX37" s="51"/>
      <c r="CGY37" s="51"/>
      <c r="CGZ37" s="51"/>
      <c r="CHA37" s="51"/>
      <c r="CHB37" s="51"/>
      <c r="CHC37" s="51"/>
      <c r="CHD37" s="51"/>
      <c r="CHE37" s="51"/>
      <c r="CHF37" s="51"/>
      <c r="CHG37" s="51"/>
      <c r="CHH37" s="51"/>
      <c r="CHI37" s="51"/>
      <c r="CHJ37" s="51"/>
      <c r="CHK37" s="51"/>
      <c r="CHL37" s="51"/>
      <c r="CHM37" s="51"/>
      <c r="CHN37" s="51"/>
      <c r="CHO37" s="51"/>
      <c r="CHP37" s="51"/>
      <c r="CHQ37" s="51"/>
      <c r="CHR37" s="51"/>
      <c r="CHS37" s="51"/>
      <c r="CHT37" s="51"/>
      <c r="CHU37" s="51"/>
      <c r="CHV37" s="51"/>
      <c r="CHW37" s="51"/>
      <c r="CHX37" s="51"/>
      <c r="CHY37" s="51"/>
      <c r="CHZ37" s="51"/>
      <c r="CIA37" s="51"/>
      <c r="CIB37" s="51"/>
      <c r="CIC37" s="51"/>
      <c r="CID37" s="51"/>
      <c r="CIE37" s="51"/>
      <c r="CIF37" s="51"/>
      <c r="CIG37" s="51"/>
      <c r="CIH37" s="51"/>
      <c r="CII37" s="51"/>
      <c r="CIJ37" s="51"/>
      <c r="CIK37" s="51"/>
      <c r="CIL37" s="51"/>
      <c r="CIM37" s="51"/>
      <c r="CIN37" s="51"/>
      <c r="CIO37" s="51"/>
      <c r="CIP37" s="51"/>
      <c r="CIQ37" s="51"/>
      <c r="CIR37" s="51"/>
      <c r="CIS37" s="51"/>
      <c r="CIT37" s="51"/>
      <c r="CIU37" s="51"/>
      <c r="CIV37" s="51"/>
      <c r="CIW37" s="51"/>
      <c r="CIX37" s="51"/>
      <c r="CIY37" s="51"/>
      <c r="CIZ37" s="51"/>
      <c r="CJA37" s="51"/>
      <c r="CJB37" s="51"/>
      <c r="CJC37" s="51"/>
      <c r="CJD37" s="51"/>
      <c r="CJE37" s="51"/>
      <c r="CJF37" s="51"/>
      <c r="CJG37" s="51"/>
      <c r="CJH37" s="51"/>
      <c r="CJI37" s="51"/>
      <c r="CJJ37" s="51"/>
      <c r="CJK37" s="51"/>
      <c r="CJL37" s="51"/>
      <c r="CJM37" s="51"/>
      <c r="CJN37" s="51"/>
      <c r="CJO37" s="51"/>
      <c r="CJP37" s="51"/>
      <c r="CJQ37" s="51"/>
      <c r="CJR37" s="51"/>
      <c r="CJS37" s="51"/>
      <c r="CJT37" s="51"/>
      <c r="CJU37" s="51"/>
      <c r="CJV37" s="51"/>
      <c r="CJW37" s="51"/>
      <c r="CJX37" s="51"/>
      <c r="CJY37" s="51"/>
      <c r="CJZ37" s="51"/>
      <c r="CKA37" s="51"/>
      <c r="CKB37" s="51"/>
      <c r="CKC37" s="51"/>
      <c r="CKD37" s="51"/>
      <c r="CKE37" s="51"/>
      <c r="CKF37" s="51"/>
      <c r="CKG37" s="51"/>
      <c r="CKH37" s="51"/>
      <c r="CKI37" s="51"/>
      <c r="CKJ37" s="51"/>
      <c r="CKK37" s="51"/>
      <c r="CKL37" s="51"/>
      <c r="CKM37" s="51"/>
      <c r="CKN37" s="51"/>
      <c r="CKO37" s="51"/>
      <c r="CKP37" s="51"/>
      <c r="CKQ37" s="51"/>
      <c r="CKR37" s="51"/>
      <c r="CKS37" s="51"/>
      <c r="CKT37" s="51"/>
      <c r="CKU37" s="51"/>
      <c r="CKV37" s="51"/>
      <c r="CKW37" s="51"/>
      <c r="CKX37" s="51"/>
      <c r="CKY37" s="51"/>
      <c r="CKZ37" s="51"/>
      <c r="CLA37" s="51"/>
      <c r="CLB37" s="51"/>
      <c r="CLC37" s="51"/>
      <c r="CLD37" s="51"/>
      <c r="CLE37" s="51"/>
      <c r="CLF37" s="51"/>
      <c r="CLG37" s="51"/>
      <c r="CLH37" s="51"/>
      <c r="CLI37" s="51"/>
      <c r="CLJ37" s="51"/>
      <c r="CLK37" s="51"/>
      <c r="CLL37" s="51"/>
      <c r="CLM37" s="51"/>
      <c r="CLN37" s="51"/>
      <c r="CLO37" s="51"/>
      <c r="CLP37" s="51"/>
      <c r="CLQ37" s="51"/>
      <c r="CLR37" s="51"/>
      <c r="CLS37" s="51"/>
      <c r="CLT37" s="51"/>
      <c r="CLU37" s="51"/>
      <c r="CLV37" s="51"/>
      <c r="CLW37" s="51"/>
      <c r="CLX37" s="51"/>
      <c r="CLY37" s="51"/>
      <c r="CLZ37" s="51"/>
      <c r="CMA37" s="51"/>
      <c r="CMB37" s="51"/>
      <c r="CMC37" s="51"/>
      <c r="CMD37" s="51"/>
      <c r="CME37" s="51"/>
      <c r="CMF37" s="51"/>
      <c r="CMG37" s="51"/>
      <c r="CMH37" s="51"/>
      <c r="CMI37" s="51"/>
      <c r="CMJ37" s="51"/>
      <c r="CMK37" s="51"/>
      <c r="CML37" s="51"/>
      <c r="CMM37" s="51"/>
      <c r="CMN37" s="51"/>
      <c r="CMO37" s="51"/>
      <c r="CMP37" s="51"/>
      <c r="CMQ37" s="51"/>
      <c r="CMR37" s="51"/>
      <c r="CMS37" s="51"/>
      <c r="CMT37" s="51"/>
      <c r="CMU37" s="51"/>
      <c r="CMV37" s="51"/>
      <c r="CMW37" s="51"/>
      <c r="CMX37" s="51"/>
      <c r="CMY37" s="51"/>
      <c r="CMZ37" s="51"/>
      <c r="CNA37" s="51"/>
      <c r="CNB37" s="51"/>
      <c r="CNC37" s="51"/>
      <c r="CND37" s="51"/>
      <c r="CNE37" s="51"/>
      <c r="CNF37" s="51"/>
      <c r="CNG37" s="51"/>
      <c r="CNH37" s="51"/>
      <c r="CNI37" s="51"/>
      <c r="CNJ37" s="51"/>
      <c r="CNK37" s="51"/>
      <c r="CNL37" s="51"/>
      <c r="CNM37" s="51"/>
      <c r="CNN37" s="51"/>
      <c r="CNO37" s="51"/>
      <c r="CNP37" s="51"/>
      <c r="CNQ37" s="51"/>
      <c r="CNR37" s="51"/>
      <c r="CNS37" s="51"/>
      <c r="CNT37" s="51"/>
      <c r="CNU37" s="51"/>
      <c r="CNV37" s="51"/>
      <c r="CNW37" s="51"/>
      <c r="CNX37" s="51"/>
      <c r="CNY37" s="51"/>
      <c r="CNZ37" s="51"/>
      <c r="COA37" s="51"/>
      <c r="COB37" s="51"/>
      <c r="COC37" s="51"/>
      <c r="COD37" s="51"/>
      <c r="COE37" s="51"/>
      <c r="COF37" s="51"/>
      <c r="COG37" s="51"/>
      <c r="COH37" s="51"/>
      <c r="COI37" s="51"/>
      <c r="COJ37" s="51"/>
      <c r="COK37" s="51"/>
      <c r="COL37" s="51"/>
      <c r="COM37" s="51"/>
      <c r="CON37" s="51"/>
      <c r="COO37" s="51"/>
      <c r="COP37" s="51"/>
      <c r="COQ37" s="51"/>
      <c r="COR37" s="51"/>
      <c r="COS37" s="51"/>
      <c r="COT37" s="51"/>
      <c r="COU37" s="51"/>
      <c r="COV37" s="51"/>
      <c r="COW37" s="51"/>
      <c r="COX37" s="51"/>
      <c r="COY37" s="51"/>
      <c r="COZ37" s="51"/>
      <c r="CPA37" s="51"/>
      <c r="CPB37" s="51"/>
      <c r="CPC37" s="51"/>
      <c r="CPD37" s="51"/>
      <c r="CPE37" s="51"/>
      <c r="CPF37" s="51"/>
      <c r="CPG37" s="51"/>
      <c r="CPH37" s="51"/>
      <c r="CPI37" s="51"/>
      <c r="CPJ37" s="51"/>
      <c r="CPK37" s="51"/>
      <c r="CPL37" s="51"/>
      <c r="CPM37" s="51"/>
      <c r="CPN37" s="51"/>
      <c r="CPO37" s="51"/>
      <c r="CPP37" s="51"/>
      <c r="CPQ37" s="51"/>
      <c r="CPR37" s="51"/>
      <c r="CPS37" s="51"/>
      <c r="CPT37" s="51"/>
      <c r="CPU37" s="51"/>
      <c r="CPV37" s="51"/>
      <c r="CPW37" s="51"/>
      <c r="CPX37" s="51"/>
      <c r="CPY37" s="51"/>
      <c r="CPZ37" s="51"/>
      <c r="CQA37" s="51"/>
      <c r="CQB37" s="51"/>
      <c r="CQC37" s="51"/>
      <c r="CQD37" s="51"/>
      <c r="CQE37" s="51"/>
      <c r="CQF37" s="51"/>
      <c r="CQG37" s="51"/>
      <c r="CQH37" s="51"/>
      <c r="CQI37" s="51"/>
      <c r="CQJ37" s="51"/>
      <c r="CQK37" s="51"/>
      <c r="CQL37" s="51"/>
      <c r="CQM37" s="51"/>
      <c r="CQN37" s="51"/>
      <c r="CQO37" s="51"/>
      <c r="CQP37" s="51"/>
      <c r="CQQ37" s="51"/>
      <c r="CQR37" s="51"/>
      <c r="CQS37" s="51"/>
      <c r="CQT37" s="51"/>
      <c r="CQU37" s="51"/>
      <c r="CQV37" s="51"/>
      <c r="CQW37" s="51"/>
      <c r="CQX37" s="51"/>
      <c r="CQY37" s="51"/>
      <c r="CQZ37" s="51"/>
      <c r="CRA37" s="51"/>
      <c r="CRB37" s="51"/>
      <c r="CRC37" s="51"/>
      <c r="CRD37" s="51"/>
      <c r="CRE37" s="51"/>
      <c r="CRF37" s="51"/>
      <c r="CRG37" s="51"/>
      <c r="CRH37" s="51"/>
      <c r="CRI37" s="51"/>
      <c r="CRJ37" s="51"/>
      <c r="CRK37" s="51"/>
      <c r="CRL37" s="51"/>
      <c r="CRM37" s="51"/>
      <c r="CRN37" s="51"/>
      <c r="CRO37" s="51"/>
      <c r="CRP37" s="51"/>
      <c r="CRQ37" s="51"/>
      <c r="CRR37" s="51"/>
      <c r="CRS37" s="51"/>
      <c r="CRT37" s="51"/>
      <c r="CRU37" s="51"/>
      <c r="CRV37" s="51"/>
      <c r="CRW37" s="51"/>
      <c r="CRX37" s="51"/>
      <c r="CRY37" s="51"/>
      <c r="CRZ37" s="51"/>
      <c r="CSA37" s="51"/>
      <c r="CSB37" s="51"/>
      <c r="CSC37" s="51"/>
      <c r="CSD37" s="51"/>
      <c r="CSE37" s="51"/>
      <c r="CSF37" s="51"/>
      <c r="CSG37" s="51"/>
      <c r="CSH37" s="51"/>
      <c r="CSI37" s="51"/>
      <c r="CSJ37" s="51"/>
      <c r="CSK37" s="51"/>
      <c r="CSL37" s="51"/>
      <c r="CSM37" s="51"/>
      <c r="CSN37" s="51"/>
      <c r="CSO37" s="51"/>
      <c r="CSP37" s="51"/>
      <c r="CSQ37" s="51"/>
      <c r="CSR37" s="51"/>
      <c r="CSS37" s="51"/>
      <c r="CST37" s="51"/>
      <c r="CSU37" s="51"/>
      <c r="CSV37" s="51"/>
      <c r="CSW37" s="51"/>
      <c r="CSX37" s="51"/>
      <c r="CSY37" s="51"/>
      <c r="CSZ37" s="51"/>
      <c r="CTA37" s="51"/>
      <c r="CTB37" s="51"/>
      <c r="CTC37" s="51"/>
      <c r="CTD37" s="51"/>
      <c r="CTE37" s="51"/>
      <c r="CTF37" s="51"/>
      <c r="CTG37" s="51"/>
      <c r="CTH37" s="51"/>
      <c r="CTI37" s="51"/>
      <c r="CTJ37" s="51"/>
      <c r="CTK37" s="51"/>
      <c r="CTL37" s="51"/>
      <c r="CTM37" s="51"/>
      <c r="CTN37" s="51"/>
      <c r="CTO37" s="51"/>
      <c r="CTP37" s="51"/>
      <c r="CTQ37" s="51"/>
      <c r="CTR37" s="51"/>
      <c r="CTS37" s="51"/>
      <c r="CTT37" s="51"/>
      <c r="CTU37" s="51"/>
      <c r="CTV37" s="51"/>
      <c r="CTW37" s="51"/>
      <c r="CTX37" s="51"/>
      <c r="CTY37" s="51"/>
      <c r="CTZ37" s="51"/>
      <c r="CUA37" s="51"/>
      <c r="CUB37" s="51"/>
      <c r="CUC37" s="51"/>
      <c r="CUD37" s="51"/>
      <c r="CUE37" s="51"/>
      <c r="CUF37" s="51"/>
      <c r="CUG37" s="51"/>
      <c r="CUH37" s="51"/>
      <c r="CUI37" s="51"/>
      <c r="CUJ37" s="51"/>
      <c r="CUK37" s="51"/>
      <c r="CUL37" s="51"/>
      <c r="CUM37" s="51"/>
      <c r="CUN37" s="51"/>
      <c r="CUO37" s="51"/>
      <c r="CUP37" s="51"/>
      <c r="CUQ37" s="51"/>
      <c r="CUR37" s="51"/>
      <c r="CUS37" s="51"/>
      <c r="CUT37" s="51"/>
      <c r="CUU37" s="51"/>
      <c r="CUV37" s="51"/>
      <c r="CUW37" s="51"/>
      <c r="CUX37" s="51"/>
      <c r="CUY37" s="51"/>
      <c r="CUZ37" s="51"/>
      <c r="CVA37" s="51"/>
      <c r="CVB37" s="51"/>
      <c r="CVC37" s="51"/>
      <c r="CVD37" s="51"/>
      <c r="CVE37" s="51"/>
      <c r="CVF37" s="51"/>
      <c r="CVG37" s="51"/>
      <c r="CVH37" s="51"/>
      <c r="CVI37" s="51"/>
      <c r="CVJ37" s="51"/>
      <c r="CVK37" s="51"/>
      <c r="CVL37" s="51"/>
      <c r="CVM37" s="51"/>
      <c r="CVN37" s="51"/>
      <c r="CVO37" s="51"/>
      <c r="CVP37" s="51"/>
      <c r="CVQ37" s="51"/>
      <c r="CVR37" s="51"/>
      <c r="CVS37" s="51"/>
      <c r="CVT37" s="51"/>
      <c r="CVU37" s="51"/>
      <c r="CVV37" s="51"/>
      <c r="CVW37" s="51"/>
      <c r="CVX37" s="51"/>
      <c r="CVY37" s="51"/>
      <c r="CVZ37" s="51"/>
      <c r="CWA37" s="51"/>
      <c r="CWB37" s="51"/>
      <c r="CWC37" s="51"/>
      <c r="CWD37" s="51"/>
      <c r="CWE37" s="51"/>
      <c r="CWF37" s="51"/>
      <c r="CWG37" s="51"/>
      <c r="CWH37" s="51"/>
      <c r="CWI37" s="51"/>
      <c r="CWJ37" s="51"/>
      <c r="CWK37" s="51"/>
      <c r="CWL37" s="51"/>
      <c r="CWM37" s="51"/>
      <c r="CWN37" s="51"/>
      <c r="CWO37" s="51"/>
      <c r="CWP37" s="51"/>
      <c r="CWQ37" s="51"/>
      <c r="CWR37" s="51"/>
      <c r="CWS37" s="51"/>
      <c r="CWT37" s="51"/>
      <c r="CWU37" s="51"/>
      <c r="CWV37" s="51"/>
      <c r="CWW37" s="51"/>
      <c r="CWX37" s="51"/>
      <c r="CWY37" s="51"/>
      <c r="CWZ37" s="51"/>
      <c r="CXA37" s="51"/>
      <c r="CXB37" s="51"/>
      <c r="CXC37" s="51"/>
      <c r="CXD37" s="51"/>
      <c r="CXE37" s="51"/>
      <c r="CXF37" s="51"/>
      <c r="CXG37" s="51"/>
      <c r="CXH37" s="51"/>
      <c r="CXI37" s="51"/>
      <c r="CXJ37" s="51"/>
      <c r="CXK37" s="51"/>
      <c r="CXL37" s="51"/>
      <c r="CXM37" s="51"/>
      <c r="CXN37" s="51"/>
      <c r="CXO37" s="51"/>
      <c r="CXP37" s="51"/>
      <c r="CXQ37" s="51"/>
      <c r="CXR37" s="51"/>
      <c r="CXS37" s="51"/>
      <c r="CXT37" s="51"/>
      <c r="CXU37" s="51"/>
      <c r="CXV37" s="51"/>
      <c r="CXW37" s="51"/>
      <c r="CXX37" s="51"/>
      <c r="CXY37" s="51"/>
      <c r="CXZ37" s="51"/>
      <c r="CYA37" s="51"/>
      <c r="CYB37" s="51"/>
      <c r="CYC37" s="51"/>
      <c r="CYD37" s="51"/>
      <c r="CYE37" s="51"/>
      <c r="CYF37" s="51"/>
      <c r="CYG37" s="51"/>
      <c r="CYH37" s="51"/>
      <c r="CYI37" s="51"/>
      <c r="CYJ37" s="51"/>
      <c r="CYK37" s="51"/>
      <c r="CYL37" s="51"/>
      <c r="CYM37" s="51"/>
      <c r="CYN37" s="51"/>
      <c r="CYO37" s="51"/>
      <c r="CYP37" s="51"/>
      <c r="CYQ37" s="51"/>
      <c r="CYR37" s="51"/>
      <c r="CYS37" s="51"/>
      <c r="CYT37" s="51"/>
      <c r="CYU37" s="51"/>
      <c r="CYV37" s="51"/>
      <c r="CYW37" s="51"/>
      <c r="CYX37" s="51"/>
      <c r="CYY37" s="51"/>
      <c r="CYZ37" s="51"/>
      <c r="CZA37" s="51"/>
      <c r="CZB37" s="51"/>
      <c r="CZC37" s="51"/>
      <c r="CZD37" s="51"/>
      <c r="CZE37" s="51"/>
      <c r="CZF37" s="51"/>
      <c r="CZG37" s="51"/>
      <c r="CZH37" s="51"/>
      <c r="CZI37" s="51"/>
      <c r="CZJ37" s="51"/>
      <c r="CZK37" s="51"/>
      <c r="CZL37" s="51"/>
      <c r="CZM37" s="51"/>
      <c r="CZN37" s="51"/>
      <c r="CZO37" s="51"/>
      <c r="CZP37" s="51"/>
      <c r="CZQ37" s="51"/>
      <c r="CZR37" s="51"/>
      <c r="CZS37" s="51"/>
      <c r="CZT37" s="51"/>
      <c r="CZU37" s="51"/>
      <c r="CZV37" s="51"/>
      <c r="CZW37" s="51"/>
      <c r="CZX37" s="51"/>
      <c r="CZY37" s="51"/>
      <c r="CZZ37" s="51"/>
      <c r="DAA37" s="51"/>
      <c r="DAB37" s="51"/>
      <c r="DAC37" s="51"/>
      <c r="DAD37" s="51"/>
      <c r="DAE37" s="51"/>
      <c r="DAF37" s="51"/>
      <c r="DAG37" s="51"/>
      <c r="DAH37" s="51"/>
      <c r="DAI37" s="51"/>
      <c r="DAJ37" s="51"/>
      <c r="DAK37" s="51"/>
      <c r="DAL37" s="51"/>
      <c r="DAM37" s="51"/>
      <c r="DAN37" s="51"/>
      <c r="DAO37" s="51"/>
      <c r="DAP37" s="51"/>
      <c r="DAQ37" s="51"/>
      <c r="DAR37" s="51"/>
      <c r="DAS37" s="51"/>
      <c r="DAT37" s="51"/>
      <c r="DAU37" s="51"/>
      <c r="DAV37" s="51"/>
      <c r="DAW37" s="51"/>
      <c r="DAX37" s="51"/>
      <c r="DAY37" s="51"/>
      <c r="DAZ37" s="51"/>
      <c r="DBA37" s="51"/>
      <c r="DBB37" s="51"/>
      <c r="DBC37" s="51"/>
      <c r="DBD37" s="51"/>
      <c r="DBE37" s="51"/>
      <c r="DBF37" s="51"/>
      <c r="DBG37" s="51"/>
      <c r="DBH37" s="51"/>
      <c r="DBI37" s="51"/>
      <c r="DBJ37" s="51"/>
      <c r="DBK37" s="51"/>
      <c r="DBL37" s="51"/>
      <c r="DBM37" s="51"/>
      <c r="DBN37" s="51"/>
      <c r="DBO37" s="51"/>
      <c r="DBP37" s="51"/>
      <c r="DBQ37" s="51"/>
      <c r="DBR37" s="51"/>
      <c r="DBS37" s="51"/>
      <c r="DBT37" s="51"/>
      <c r="DBU37" s="51"/>
      <c r="DBV37" s="51"/>
      <c r="DBW37" s="51"/>
      <c r="DBX37" s="51"/>
      <c r="DBY37" s="51"/>
      <c r="DBZ37" s="51"/>
      <c r="DCA37" s="51"/>
      <c r="DCB37" s="51"/>
      <c r="DCC37" s="51"/>
      <c r="DCD37" s="51"/>
      <c r="DCE37" s="51"/>
      <c r="DCF37" s="51"/>
      <c r="DCG37" s="51"/>
      <c r="DCH37" s="51"/>
      <c r="DCI37" s="51"/>
      <c r="DCJ37" s="51"/>
      <c r="DCK37" s="51"/>
      <c r="DCL37" s="51"/>
      <c r="DCM37" s="51"/>
      <c r="DCN37" s="51"/>
      <c r="DCO37" s="51"/>
      <c r="DCP37" s="51"/>
      <c r="DCQ37" s="51"/>
      <c r="DCR37" s="51"/>
      <c r="DCS37" s="51"/>
      <c r="DCT37" s="51"/>
      <c r="DCU37" s="51"/>
      <c r="DCV37" s="51"/>
      <c r="DCW37" s="51"/>
      <c r="DCX37" s="51"/>
      <c r="DCY37" s="51"/>
      <c r="DCZ37" s="51"/>
      <c r="DDA37" s="51"/>
      <c r="DDB37" s="51"/>
      <c r="DDC37" s="51"/>
      <c r="DDD37" s="51"/>
      <c r="DDE37" s="51"/>
      <c r="DDF37" s="51"/>
      <c r="DDG37" s="51"/>
      <c r="DDH37" s="51"/>
      <c r="DDI37" s="51"/>
      <c r="DDJ37" s="51"/>
      <c r="DDK37" s="51"/>
      <c r="DDL37" s="51"/>
      <c r="DDM37" s="51"/>
      <c r="DDN37" s="51"/>
      <c r="DDO37" s="51"/>
      <c r="DDP37" s="51"/>
      <c r="DDQ37" s="51"/>
      <c r="DDR37" s="51"/>
      <c r="DDS37" s="51"/>
      <c r="DDT37" s="51"/>
      <c r="DDU37" s="51"/>
      <c r="DDV37" s="51"/>
      <c r="DDW37" s="51"/>
      <c r="DDX37" s="51"/>
      <c r="DDY37" s="51"/>
      <c r="DDZ37" s="51"/>
      <c r="DEA37" s="51"/>
      <c r="DEB37" s="51"/>
      <c r="DEC37" s="51"/>
      <c r="DED37" s="51"/>
      <c r="DEE37" s="51"/>
      <c r="DEF37" s="51"/>
      <c r="DEG37" s="51"/>
      <c r="DEH37" s="51"/>
      <c r="DEI37" s="51"/>
      <c r="DEJ37" s="51"/>
      <c r="DEK37" s="51"/>
      <c r="DEL37" s="51"/>
      <c r="DEM37" s="51"/>
      <c r="DEN37" s="51"/>
      <c r="DEO37" s="51"/>
      <c r="DEP37" s="51"/>
      <c r="DEQ37" s="51"/>
      <c r="DER37" s="51"/>
      <c r="DES37" s="51"/>
      <c r="DET37" s="51"/>
      <c r="DEU37" s="51"/>
      <c r="DEV37" s="51"/>
      <c r="DEW37" s="51"/>
      <c r="DEX37" s="51"/>
      <c r="DEY37" s="51"/>
      <c r="DEZ37" s="51"/>
      <c r="DFA37" s="51"/>
      <c r="DFB37" s="51"/>
      <c r="DFC37" s="51"/>
      <c r="DFD37" s="51"/>
      <c r="DFE37" s="51"/>
      <c r="DFF37" s="51"/>
      <c r="DFG37" s="51"/>
      <c r="DFH37" s="51"/>
      <c r="DFI37" s="51"/>
      <c r="DFJ37" s="51"/>
      <c r="DFK37" s="51"/>
      <c r="DFL37" s="51"/>
      <c r="DFM37" s="51"/>
      <c r="DFN37" s="51"/>
      <c r="DFO37" s="51"/>
      <c r="DFP37" s="51"/>
      <c r="DFQ37" s="51"/>
      <c r="DFR37" s="51"/>
      <c r="DFS37" s="51"/>
      <c r="DFT37" s="51"/>
      <c r="DFU37" s="51"/>
      <c r="DFV37" s="51"/>
      <c r="DFW37" s="51"/>
      <c r="DFX37" s="51"/>
      <c r="DFY37" s="51"/>
      <c r="DFZ37" s="51"/>
      <c r="DGA37" s="51"/>
      <c r="DGB37" s="51"/>
      <c r="DGC37" s="51"/>
      <c r="DGD37" s="51"/>
      <c r="DGE37" s="51"/>
      <c r="DGF37" s="51"/>
      <c r="DGG37" s="51"/>
      <c r="DGH37" s="51"/>
      <c r="DGI37" s="51"/>
      <c r="DGJ37" s="51"/>
      <c r="DGK37" s="51"/>
      <c r="DGL37" s="51"/>
      <c r="DGM37" s="51"/>
      <c r="DGN37" s="51"/>
      <c r="DGO37" s="51"/>
      <c r="DGP37" s="51"/>
      <c r="DGQ37" s="51"/>
      <c r="DGR37" s="51"/>
      <c r="DGS37" s="51"/>
      <c r="DGT37" s="51"/>
      <c r="DGU37" s="51"/>
      <c r="DGV37" s="51"/>
      <c r="DGW37" s="51"/>
      <c r="DGX37" s="51"/>
      <c r="DGY37" s="51"/>
      <c r="DGZ37" s="51"/>
      <c r="DHA37" s="51"/>
      <c r="DHB37" s="51"/>
      <c r="DHC37" s="51"/>
      <c r="DHD37" s="51"/>
      <c r="DHE37" s="51"/>
      <c r="DHF37" s="51"/>
      <c r="DHG37" s="51"/>
      <c r="DHH37" s="51"/>
      <c r="DHI37" s="51"/>
      <c r="DHJ37" s="51"/>
      <c r="DHK37" s="51"/>
      <c r="DHL37" s="51"/>
      <c r="DHM37" s="51"/>
      <c r="DHN37" s="51"/>
      <c r="DHO37" s="51"/>
      <c r="DHP37" s="51"/>
      <c r="DHQ37" s="51"/>
      <c r="DHR37" s="51"/>
      <c r="DHS37" s="51"/>
      <c r="DHT37" s="51"/>
      <c r="DHU37" s="51"/>
      <c r="DHV37" s="51"/>
      <c r="DHW37" s="51"/>
      <c r="DHX37" s="51"/>
      <c r="DHY37" s="51"/>
      <c r="DHZ37" s="51"/>
      <c r="DIA37" s="51"/>
      <c r="DIB37" s="51"/>
      <c r="DIC37" s="51"/>
      <c r="DID37" s="51"/>
      <c r="DIE37" s="51"/>
      <c r="DIF37" s="51"/>
      <c r="DIG37" s="51"/>
      <c r="DIH37" s="51"/>
      <c r="DII37" s="51"/>
      <c r="DIJ37" s="51"/>
      <c r="DIK37" s="51"/>
      <c r="DIL37" s="51"/>
      <c r="DIM37" s="51"/>
      <c r="DIN37" s="51"/>
      <c r="DIO37" s="51"/>
      <c r="DIP37" s="51"/>
      <c r="DIQ37" s="51"/>
      <c r="DIR37" s="51"/>
      <c r="DIS37" s="51"/>
      <c r="DIT37" s="51"/>
      <c r="DIU37" s="51"/>
      <c r="DIV37" s="51"/>
      <c r="DIW37" s="51"/>
      <c r="DIX37" s="51"/>
      <c r="DIY37" s="51"/>
      <c r="DIZ37" s="51"/>
      <c r="DJA37" s="51"/>
      <c r="DJB37" s="51"/>
      <c r="DJC37" s="51"/>
      <c r="DJD37" s="51"/>
      <c r="DJE37" s="51"/>
      <c r="DJF37" s="51"/>
      <c r="DJG37" s="51"/>
      <c r="DJH37" s="51"/>
      <c r="DJI37" s="51"/>
      <c r="DJJ37" s="51"/>
      <c r="DJK37" s="51"/>
      <c r="DJL37" s="51"/>
      <c r="DJM37" s="51"/>
      <c r="DJN37" s="51"/>
      <c r="DJO37" s="51"/>
      <c r="DJP37" s="51"/>
      <c r="DJQ37" s="51"/>
      <c r="DJR37" s="51"/>
      <c r="DJS37" s="51"/>
      <c r="DJT37" s="51"/>
      <c r="DJU37" s="51"/>
      <c r="DJV37" s="51"/>
      <c r="DJW37" s="51"/>
      <c r="DJX37" s="51"/>
      <c r="DJY37" s="51"/>
      <c r="DJZ37" s="51"/>
      <c r="DKA37" s="51"/>
      <c r="DKB37" s="51"/>
      <c r="DKC37" s="51"/>
      <c r="DKD37" s="51"/>
      <c r="DKE37" s="51"/>
      <c r="DKF37" s="51"/>
      <c r="DKG37" s="51"/>
      <c r="DKH37" s="51"/>
      <c r="DKI37" s="51"/>
      <c r="DKJ37" s="51"/>
      <c r="DKK37" s="51"/>
      <c r="DKL37" s="51"/>
      <c r="DKM37" s="51"/>
      <c r="DKN37" s="51"/>
      <c r="DKO37" s="51"/>
      <c r="DKP37" s="51"/>
      <c r="DKQ37" s="51"/>
      <c r="DKR37" s="51"/>
      <c r="DKS37" s="51"/>
      <c r="DKT37" s="51"/>
      <c r="DKU37" s="51"/>
      <c r="DKV37" s="51"/>
      <c r="DKW37" s="51"/>
      <c r="DKX37" s="51"/>
      <c r="DKY37" s="51"/>
      <c r="DKZ37" s="51"/>
      <c r="DLA37" s="51"/>
      <c r="DLB37" s="51"/>
      <c r="DLC37" s="51"/>
      <c r="DLD37" s="51"/>
      <c r="DLE37" s="51"/>
      <c r="DLF37" s="51"/>
      <c r="DLG37" s="51"/>
      <c r="DLH37" s="51"/>
      <c r="DLI37" s="51"/>
      <c r="DLJ37" s="51"/>
      <c r="DLK37" s="51"/>
      <c r="DLL37" s="51"/>
      <c r="DLM37" s="51"/>
      <c r="DLN37" s="51"/>
      <c r="DLO37" s="51"/>
      <c r="DLP37" s="51"/>
      <c r="DLQ37" s="51"/>
      <c r="DLR37" s="51"/>
      <c r="DLS37" s="51"/>
      <c r="DLT37" s="51"/>
      <c r="DLU37" s="51"/>
      <c r="DLV37" s="51"/>
      <c r="DLW37" s="51"/>
      <c r="DLX37" s="51"/>
      <c r="DLY37" s="51"/>
      <c r="DLZ37" s="51"/>
      <c r="DMA37" s="51"/>
      <c r="DMB37" s="51"/>
      <c r="DMC37" s="51"/>
      <c r="DMD37" s="51"/>
      <c r="DME37" s="51"/>
      <c r="DMF37" s="51"/>
      <c r="DMG37" s="51"/>
      <c r="DMH37" s="51"/>
      <c r="DMI37" s="51"/>
      <c r="DMJ37" s="51"/>
      <c r="DMK37" s="51"/>
      <c r="DML37" s="51"/>
      <c r="DMM37" s="51"/>
      <c r="DMN37" s="51"/>
      <c r="DMO37" s="51"/>
      <c r="DMP37" s="51"/>
      <c r="DMQ37" s="51"/>
      <c r="DMR37" s="51"/>
      <c r="DMS37" s="51"/>
      <c r="DMT37" s="51"/>
      <c r="DMU37" s="51"/>
      <c r="DMV37" s="51"/>
      <c r="DMW37" s="51"/>
      <c r="DMX37" s="51"/>
      <c r="DMY37" s="51"/>
      <c r="DMZ37" s="51"/>
      <c r="DNA37" s="51"/>
      <c r="DNB37" s="51"/>
      <c r="DNC37" s="51"/>
      <c r="DND37" s="51"/>
      <c r="DNE37" s="51"/>
      <c r="DNF37" s="51"/>
      <c r="DNG37" s="51"/>
      <c r="DNH37" s="51"/>
      <c r="DNI37" s="51"/>
      <c r="DNJ37" s="51"/>
      <c r="DNK37" s="51"/>
      <c r="DNL37" s="51"/>
      <c r="DNM37" s="51"/>
      <c r="DNN37" s="51"/>
      <c r="DNO37" s="51"/>
      <c r="DNP37" s="51"/>
      <c r="DNQ37" s="51"/>
      <c r="DNR37" s="51"/>
      <c r="DNS37" s="51"/>
      <c r="DNT37" s="51"/>
      <c r="DNU37" s="51"/>
      <c r="DNV37" s="51"/>
      <c r="DNW37" s="51"/>
      <c r="DNX37" s="51"/>
      <c r="DNY37" s="51"/>
      <c r="DNZ37" s="51"/>
      <c r="DOA37" s="51"/>
      <c r="DOB37" s="51"/>
      <c r="DOC37" s="51"/>
      <c r="DOD37" s="51"/>
      <c r="DOE37" s="51"/>
      <c r="DOF37" s="51"/>
      <c r="DOG37" s="51"/>
      <c r="DOH37" s="51"/>
      <c r="DOI37" s="51"/>
      <c r="DOJ37" s="51"/>
      <c r="DOK37" s="51"/>
      <c r="DOL37" s="51"/>
      <c r="DOM37" s="51"/>
      <c r="DON37" s="51"/>
      <c r="DOO37" s="51"/>
      <c r="DOP37" s="51"/>
      <c r="DOQ37" s="51"/>
      <c r="DOR37" s="51"/>
      <c r="DOS37" s="51"/>
      <c r="DOT37" s="51"/>
      <c r="DOU37" s="51"/>
      <c r="DOV37" s="51"/>
      <c r="DOW37" s="51"/>
      <c r="DOX37" s="51"/>
      <c r="DOY37" s="51"/>
      <c r="DOZ37" s="51"/>
      <c r="DPA37" s="51"/>
      <c r="DPB37" s="51"/>
      <c r="DPC37" s="51"/>
      <c r="DPD37" s="51"/>
      <c r="DPE37" s="51"/>
      <c r="DPF37" s="51"/>
      <c r="DPG37" s="51"/>
      <c r="DPH37" s="51"/>
      <c r="DPI37" s="51"/>
      <c r="DPJ37" s="51"/>
      <c r="DPK37" s="51"/>
      <c r="DPL37" s="51"/>
      <c r="DPM37" s="51"/>
      <c r="DPN37" s="51"/>
      <c r="DPO37" s="51"/>
      <c r="DPP37" s="51"/>
      <c r="DPQ37" s="51"/>
      <c r="DPR37" s="51"/>
      <c r="DPS37" s="51"/>
      <c r="DPT37" s="51"/>
      <c r="DPU37" s="51"/>
      <c r="DPV37" s="51"/>
      <c r="DPW37" s="51"/>
      <c r="DPX37" s="51"/>
      <c r="DPY37" s="51"/>
      <c r="DPZ37" s="51"/>
      <c r="DQA37" s="51"/>
      <c r="DQB37" s="51"/>
      <c r="DQC37" s="51"/>
      <c r="DQD37" s="51"/>
      <c r="DQE37" s="51"/>
      <c r="DQF37" s="51"/>
      <c r="DQG37" s="51"/>
      <c r="DQH37" s="51"/>
      <c r="DQI37" s="51"/>
      <c r="DQJ37" s="51"/>
      <c r="DQK37" s="51"/>
      <c r="DQL37" s="51"/>
      <c r="DQM37" s="51"/>
      <c r="DQN37" s="51"/>
      <c r="DQO37" s="51"/>
      <c r="DQP37" s="51"/>
      <c r="DQQ37" s="51"/>
      <c r="DQR37" s="51"/>
      <c r="DQS37" s="51"/>
      <c r="DQT37" s="51"/>
      <c r="DQU37" s="51"/>
      <c r="DQV37" s="51"/>
      <c r="DQW37" s="51"/>
      <c r="DQX37" s="51"/>
      <c r="DQY37" s="51"/>
      <c r="DQZ37" s="51"/>
      <c r="DRA37" s="51"/>
      <c r="DRB37" s="51"/>
      <c r="DRC37" s="51"/>
      <c r="DRD37" s="51"/>
      <c r="DRE37" s="51"/>
      <c r="DRF37" s="51"/>
      <c r="DRG37" s="51"/>
      <c r="DRH37" s="51"/>
      <c r="DRI37" s="51"/>
      <c r="DRJ37" s="51"/>
      <c r="DRK37" s="51"/>
      <c r="DRL37" s="51"/>
      <c r="DRM37" s="51"/>
      <c r="DRN37" s="51"/>
      <c r="DRO37" s="51"/>
      <c r="DRP37" s="51"/>
      <c r="DRQ37" s="51"/>
      <c r="DRR37" s="51"/>
      <c r="DRS37" s="51"/>
      <c r="DRT37" s="51"/>
      <c r="DRU37" s="51"/>
      <c r="DRV37" s="51"/>
      <c r="DRW37" s="51"/>
      <c r="DRX37" s="51"/>
      <c r="DRY37" s="51"/>
      <c r="DRZ37" s="51"/>
      <c r="DSA37" s="51"/>
      <c r="DSB37" s="51"/>
      <c r="DSC37" s="51"/>
      <c r="DSD37" s="51"/>
      <c r="DSE37" s="51"/>
      <c r="DSF37" s="51"/>
      <c r="DSG37" s="51"/>
      <c r="DSH37" s="51"/>
      <c r="DSI37" s="51"/>
      <c r="DSJ37" s="51"/>
      <c r="DSK37" s="51"/>
      <c r="DSL37" s="51"/>
      <c r="DSM37" s="51"/>
      <c r="DSN37" s="51"/>
      <c r="DSO37" s="51"/>
      <c r="DSP37" s="51"/>
      <c r="DSQ37" s="51"/>
      <c r="DSR37" s="51"/>
      <c r="DSS37" s="51"/>
      <c r="DST37" s="51"/>
      <c r="DSU37" s="51"/>
      <c r="DSV37" s="51"/>
      <c r="DSW37" s="51"/>
      <c r="DSX37" s="51"/>
      <c r="DSY37" s="51"/>
      <c r="DSZ37" s="51"/>
      <c r="DTA37" s="51"/>
      <c r="DTB37" s="51"/>
      <c r="DTC37" s="51"/>
      <c r="DTD37" s="51"/>
      <c r="DTE37" s="51"/>
      <c r="DTF37" s="51"/>
      <c r="DTG37" s="51"/>
      <c r="DTH37" s="51"/>
      <c r="DTI37" s="51"/>
      <c r="DTJ37" s="51"/>
      <c r="DTK37" s="51"/>
      <c r="DTL37" s="51"/>
      <c r="DTM37" s="51"/>
      <c r="DTN37" s="51"/>
      <c r="DTO37" s="51"/>
      <c r="DTP37" s="51"/>
      <c r="DTQ37" s="51"/>
      <c r="DTR37" s="51"/>
      <c r="DTS37" s="51"/>
      <c r="DTT37" s="51"/>
      <c r="DTU37" s="51"/>
      <c r="DTV37" s="51"/>
      <c r="DTW37" s="51"/>
      <c r="DTX37" s="51"/>
      <c r="DTY37" s="51"/>
      <c r="DTZ37" s="51"/>
      <c r="DUA37" s="51"/>
      <c r="DUB37" s="51"/>
      <c r="DUC37" s="51"/>
      <c r="DUD37" s="51"/>
      <c r="DUE37" s="51"/>
      <c r="DUF37" s="51"/>
      <c r="DUG37" s="51"/>
      <c r="DUH37" s="51"/>
      <c r="DUI37" s="51"/>
      <c r="DUJ37" s="51"/>
      <c r="DUK37" s="51"/>
      <c r="DUL37" s="51"/>
      <c r="DUM37" s="51"/>
      <c r="DUN37" s="51"/>
      <c r="DUO37" s="51"/>
      <c r="DUP37" s="51"/>
      <c r="DUQ37" s="51"/>
      <c r="DUR37" s="51"/>
      <c r="DUS37" s="51"/>
      <c r="DUT37" s="51"/>
      <c r="DUU37" s="51"/>
      <c r="DUV37" s="51"/>
      <c r="DUW37" s="51"/>
      <c r="DUX37" s="51"/>
      <c r="DUY37" s="51"/>
      <c r="DUZ37" s="51"/>
      <c r="DVA37" s="51"/>
      <c r="DVB37" s="51"/>
      <c r="DVC37" s="51"/>
      <c r="DVD37" s="51"/>
      <c r="DVE37" s="51"/>
      <c r="DVF37" s="51"/>
      <c r="DVG37" s="51"/>
      <c r="DVH37" s="51"/>
      <c r="DVI37" s="51"/>
      <c r="DVJ37" s="51"/>
      <c r="DVK37" s="51"/>
      <c r="DVL37" s="51"/>
      <c r="DVM37" s="51"/>
      <c r="DVN37" s="51"/>
      <c r="DVO37" s="51"/>
      <c r="DVP37" s="51"/>
      <c r="DVQ37" s="51"/>
      <c r="DVR37" s="51"/>
      <c r="DVS37" s="51"/>
      <c r="DVT37" s="51"/>
      <c r="DVU37" s="51"/>
      <c r="DVV37" s="51"/>
      <c r="DVW37" s="51"/>
      <c r="DVX37" s="51"/>
      <c r="DVY37" s="51"/>
      <c r="DVZ37" s="51"/>
      <c r="DWA37" s="51"/>
      <c r="DWB37" s="51"/>
      <c r="DWC37" s="51"/>
      <c r="DWD37" s="51"/>
      <c r="DWE37" s="51"/>
      <c r="DWF37" s="51"/>
      <c r="DWG37" s="51"/>
      <c r="DWH37" s="51"/>
      <c r="DWI37" s="51"/>
      <c r="DWJ37" s="51"/>
      <c r="DWK37" s="51"/>
      <c r="DWL37" s="51"/>
      <c r="DWM37" s="51"/>
      <c r="DWN37" s="51"/>
      <c r="DWO37" s="51"/>
      <c r="DWP37" s="51"/>
      <c r="DWQ37" s="51"/>
      <c r="DWR37" s="51"/>
      <c r="DWS37" s="51"/>
      <c r="DWT37" s="51"/>
      <c r="DWU37" s="51"/>
      <c r="DWV37" s="51"/>
      <c r="DWW37" s="51"/>
      <c r="DWX37" s="51"/>
      <c r="DWY37" s="51"/>
      <c r="DWZ37" s="51"/>
      <c r="DXA37" s="51"/>
      <c r="DXB37" s="51"/>
      <c r="DXC37" s="51"/>
      <c r="DXD37" s="51"/>
      <c r="DXE37" s="51"/>
      <c r="DXF37" s="51"/>
      <c r="DXG37" s="51"/>
      <c r="DXH37" s="51"/>
      <c r="DXI37" s="51"/>
      <c r="DXJ37" s="51"/>
      <c r="DXK37" s="51"/>
      <c r="DXL37" s="51"/>
      <c r="DXM37" s="51"/>
      <c r="DXN37" s="51"/>
      <c r="DXO37" s="51"/>
      <c r="DXP37" s="51"/>
      <c r="DXQ37" s="51"/>
      <c r="DXR37" s="51"/>
      <c r="DXS37" s="51"/>
      <c r="DXT37" s="51"/>
      <c r="DXU37" s="51"/>
      <c r="DXV37" s="51"/>
      <c r="DXW37" s="51"/>
      <c r="DXX37" s="51"/>
      <c r="DXY37" s="51"/>
      <c r="DXZ37" s="51"/>
      <c r="DYA37" s="51"/>
      <c r="DYB37" s="51"/>
      <c r="DYC37" s="51"/>
      <c r="DYD37" s="51"/>
      <c r="DYE37" s="51"/>
      <c r="DYF37" s="51"/>
      <c r="DYG37" s="51"/>
      <c r="DYH37" s="51"/>
      <c r="DYI37" s="51"/>
      <c r="DYJ37" s="51"/>
      <c r="DYK37" s="51"/>
      <c r="DYL37" s="51"/>
      <c r="DYM37" s="51"/>
      <c r="DYN37" s="51"/>
      <c r="DYO37" s="51"/>
      <c r="DYP37" s="51"/>
      <c r="DYQ37" s="51"/>
      <c r="DYR37" s="51"/>
      <c r="DYS37" s="51"/>
      <c r="DYT37" s="51"/>
      <c r="DYU37" s="51"/>
      <c r="DYV37" s="51"/>
      <c r="DYW37" s="51"/>
      <c r="DYX37" s="51"/>
      <c r="DYY37" s="51"/>
      <c r="DYZ37" s="51"/>
      <c r="DZA37" s="51"/>
      <c r="DZB37" s="51"/>
      <c r="DZC37" s="51"/>
      <c r="DZD37" s="51"/>
      <c r="DZE37" s="51"/>
      <c r="DZF37" s="51"/>
      <c r="DZG37" s="51"/>
      <c r="DZH37" s="51"/>
      <c r="DZI37" s="51"/>
      <c r="DZJ37" s="51"/>
      <c r="DZK37" s="51"/>
      <c r="DZL37" s="51"/>
      <c r="DZM37" s="51"/>
      <c r="DZN37" s="51"/>
      <c r="DZO37" s="51"/>
      <c r="DZP37" s="51"/>
      <c r="DZQ37" s="51"/>
      <c r="DZR37" s="51"/>
      <c r="DZS37" s="51"/>
      <c r="DZT37" s="51"/>
      <c r="DZU37" s="51"/>
      <c r="DZV37" s="51"/>
      <c r="DZW37" s="51"/>
      <c r="DZX37" s="51"/>
      <c r="DZY37" s="51"/>
      <c r="DZZ37" s="51"/>
      <c r="EAA37" s="51"/>
      <c r="EAB37" s="51"/>
      <c r="EAC37" s="51"/>
      <c r="EAD37" s="51"/>
      <c r="EAE37" s="51"/>
      <c r="EAF37" s="51"/>
      <c r="EAG37" s="51"/>
      <c r="EAH37" s="51"/>
      <c r="EAI37" s="51"/>
      <c r="EAJ37" s="51"/>
      <c r="EAK37" s="51"/>
      <c r="EAL37" s="51"/>
      <c r="EAM37" s="51"/>
      <c r="EAN37" s="51"/>
      <c r="EAO37" s="51"/>
      <c r="EAP37" s="51"/>
      <c r="EAQ37" s="51"/>
      <c r="EAR37" s="51"/>
      <c r="EAS37" s="51"/>
      <c r="EAT37" s="51"/>
      <c r="EAU37" s="51"/>
      <c r="EAV37" s="51"/>
      <c r="EAW37" s="51"/>
      <c r="EAX37" s="51"/>
      <c r="EAY37" s="51"/>
      <c r="EAZ37" s="51"/>
      <c r="EBA37" s="51"/>
      <c r="EBB37" s="51"/>
      <c r="EBC37" s="51"/>
      <c r="EBD37" s="51"/>
      <c r="EBE37" s="51"/>
      <c r="EBF37" s="51"/>
      <c r="EBG37" s="51"/>
      <c r="EBH37" s="51"/>
      <c r="EBI37" s="51"/>
      <c r="EBJ37" s="51"/>
      <c r="EBK37" s="51"/>
      <c r="EBL37" s="51"/>
      <c r="EBM37" s="51"/>
      <c r="EBN37" s="51"/>
      <c r="EBO37" s="51"/>
      <c r="EBP37" s="51"/>
      <c r="EBQ37" s="51"/>
      <c r="EBR37" s="51"/>
      <c r="EBS37" s="51"/>
      <c r="EBT37" s="51"/>
      <c r="EBU37" s="51"/>
      <c r="EBV37" s="51"/>
      <c r="EBW37" s="51"/>
      <c r="EBX37" s="51"/>
      <c r="EBY37" s="51"/>
      <c r="EBZ37" s="51"/>
      <c r="ECA37" s="51"/>
      <c r="ECB37" s="51"/>
      <c r="ECC37" s="51"/>
      <c r="ECD37" s="51"/>
      <c r="ECE37" s="51"/>
      <c r="ECF37" s="51"/>
      <c r="ECG37" s="51"/>
      <c r="ECH37" s="51"/>
      <c r="ECI37" s="51"/>
      <c r="ECJ37" s="51"/>
      <c r="ECK37" s="51"/>
      <c r="ECL37" s="51"/>
      <c r="ECM37" s="51"/>
      <c r="ECN37" s="51"/>
      <c r="ECO37" s="51"/>
      <c r="ECP37" s="51"/>
      <c r="ECQ37" s="51"/>
      <c r="ECR37" s="51"/>
      <c r="ECS37" s="51"/>
      <c r="ECT37" s="51"/>
      <c r="ECU37" s="51"/>
      <c r="ECV37" s="51"/>
      <c r="ECW37" s="51"/>
      <c r="ECX37" s="51"/>
      <c r="ECY37" s="51"/>
      <c r="ECZ37" s="51"/>
      <c r="EDA37" s="51"/>
      <c r="EDB37" s="51"/>
      <c r="EDC37" s="51"/>
      <c r="EDD37" s="51"/>
      <c r="EDE37" s="51"/>
      <c r="EDF37" s="51"/>
      <c r="EDG37" s="51"/>
      <c r="EDH37" s="51"/>
      <c r="EDI37" s="51"/>
      <c r="EDJ37" s="51"/>
      <c r="EDK37" s="51"/>
      <c r="EDL37" s="51"/>
      <c r="EDM37" s="51"/>
      <c r="EDN37" s="51"/>
      <c r="EDO37" s="51"/>
      <c r="EDP37" s="51"/>
      <c r="EDQ37" s="51"/>
      <c r="EDR37" s="51"/>
      <c r="EDS37" s="51"/>
      <c r="EDT37" s="51"/>
      <c r="EDU37" s="51"/>
      <c r="EDV37" s="51"/>
      <c r="EDW37" s="51"/>
      <c r="EDX37" s="51"/>
      <c r="EDY37" s="51"/>
      <c r="EDZ37" s="51"/>
      <c r="EEA37" s="51"/>
      <c r="EEB37" s="51"/>
      <c r="EEC37" s="51"/>
      <c r="EED37" s="51"/>
      <c r="EEE37" s="51"/>
      <c r="EEF37" s="51"/>
      <c r="EEG37" s="51"/>
      <c r="EEH37" s="51"/>
      <c r="EEI37" s="51"/>
      <c r="EEJ37" s="51"/>
      <c r="EEK37" s="51"/>
      <c r="EEL37" s="51"/>
      <c r="EEM37" s="51"/>
      <c r="EEN37" s="51"/>
      <c r="EEO37" s="51"/>
      <c r="EEP37" s="51"/>
      <c r="EEQ37" s="51"/>
      <c r="EER37" s="51"/>
      <c r="EES37" s="51"/>
      <c r="EET37" s="51"/>
      <c r="EEU37" s="51"/>
      <c r="EEV37" s="51"/>
      <c r="EEW37" s="51"/>
      <c r="EEX37" s="51"/>
      <c r="EEY37" s="51"/>
      <c r="EEZ37" s="51"/>
      <c r="EFA37" s="51"/>
      <c r="EFB37" s="51"/>
      <c r="EFC37" s="51"/>
      <c r="EFD37" s="51"/>
      <c r="EFE37" s="51"/>
      <c r="EFF37" s="51"/>
      <c r="EFG37" s="51"/>
      <c r="EFH37" s="51"/>
      <c r="EFI37" s="51"/>
      <c r="EFJ37" s="51"/>
      <c r="EFK37" s="51"/>
      <c r="EFL37" s="51"/>
      <c r="EFM37" s="51"/>
      <c r="EFN37" s="51"/>
      <c r="EFO37" s="51"/>
      <c r="EFP37" s="51"/>
      <c r="EFQ37" s="51"/>
      <c r="EFR37" s="51"/>
      <c r="EFS37" s="51"/>
      <c r="EFT37" s="51"/>
      <c r="EFU37" s="51"/>
      <c r="EFV37" s="51"/>
      <c r="EFW37" s="51"/>
      <c r="EFX37" s="51"/>
      <c r="EFY37" s="51"/>
      <c r="EFZ37" s="51"/>
      <c r="EGA37" s="51"/>
      <c r="EGB37" s="51"/>
      <c r="EGC37" s="51"/>
      <c r="EGD37" s="51"/>
      <c r="EGE37" s="51"/>
      <c r="EGF37" s="51"/>
      <c r="EGG37" s="51"/>
      <c r="EGH37" s="51"/>
      <c r="EGI37" s="51"/>
      <c r="EGJ37" s="51"/>
      <c r="EGK37" s="51"/>
      <c r="EGL37" s="51"/>
      <c r="EGM37" s="51"/>
      <c r="EGN37" s="51"/>
      <c r="EGO37" s="51"/>
      <c r="EGP37" s="51"/>
      <c r="EGQ37" s="51"/>
      <c r="EGR37" s="51"/>
      <c r="EGS37" s="51"/>
      <c r="EGT37" s="51"/>
      <c r="EGU37" s="51"/>
      <c r="EGV37" s="51"/>
      <c r="EGW37" s="51"/>
      <c r="EGX37" s="51"/>
      <c r="EGY37" s="51"/>
      <c r="EGZ37" s="51"/>
      <c r="EHA37" s="51"/>
      <c r="EHB37" s="51"/>
      <c r="EHC37" s="51"/>
      <c r="EHD37" s="51"/>
      <c r="EHE37" s="51"/>
      <c r="EHF37" s="51"/>
      <c r="EHG37" s="51"/>
      <c r="EHH37" s="51"/>
      <c r="EHI37" s="51"/>
      <c r="EHJ37" s="51"/>
      <c r="EHK37" s="51"/>
      <c r="EHL37" s="51"/>
      <c r="EHM37" s="51"/>
      <c r="EHN37" s="51"/>
      <c r="EHO37" s="51"/>
      <c r="EHP37" s="51"/>
      <c r="EHQ37" s="51"/>
      <c r="EHR37" s="51"/>
      <c r="EHS37" s="51"/>
      <c r="EHT37" s="51"/>
      <c r="EHU37" s="51"/>
      <c r="EHV37" s="51"/>
      <c r="EHW37" s="51"/>
      <c r="EHX37" s="51"/>
      <c r="EHY37" s="51"/>
      <c r="EHZ37" s="51"/>
      <c r="EIA37" s="51"/>
      <c r="EIB37" s="51"/>
      <c r="EIC37" s="51"/>
      <c r="EID37" s="51"/>
      <c r="EIE37" s="51"/>
      <c r="EIF37" s="51"/>
      <c r="EIG37" s="51"/>
      <c r="EIH37" s="51"/>
      <c r="EII37" s="51"/>
      <c r="EIJ37" s="51"/>
      <c r="EIK37" s="51"/>
      <c r="EIL37" s="51"/>
      <c r="EIM37" s="51"/>
      <c r="EIN37" s="51"/>
      <c r="EIO37" s="51"/>
      <c r="EIP37" s="51"/>
      <c r="EIQ37" s="51"/>
      <c r="EIR37" s="51"/>
      <c r="EIS37" s="51"/>
      <c r="EIT37" s="51"/>
      <c r="EIU37" s="51"/>
      <c r="EIV37" s="51"/>
      <c r="EIW37" s="51"/>
      <c r="EIX37" s="51"/>
      <c r="EIY37" s="51"/>
      <c r="EIZ37" s="51"/>
      <c r="EJA37" s="51"/>
      <c r="EJB37" s="51"/>
      <c r="EJC37" s="51"/>
      <c r="EJD37" s="51"/>
      <c r="EJE37" s="51"/>
      <c r="EJF37" s="51"/>
      <c r="EJG37" s="51"/>
      <c r="EJH37" s="51"/>
      <c r="EJI37" s="51"/>
      <c r="EJJ37" s="51"/>
      <c r="EJK37" s="51"/>
      <c r="EJL37" s="51"/>
      <c r="EJM37" s="51"/>
      <c r="EJN37" s="51"/>
      <c r="EJO37" s="51"/>
      <c r="EJP37" s="51"/>
      <c r="EJQ37" s="51"/>
      <c r="EJR37" s="51"/>
      <c r="EJS37" s="51"/>
      <c r="EJT37" s="51"/>
      <c r="EJU37" s="51"/>
      <c r="EJV37" s="51"/>
      <c r="EJW37" s="51"/>
      <c r="EJX37" s="51"/>
      <c r="EJY37" s="51"/>
      <c r="EJZ37" s="51"/>
      <c r="EKA37" s="51"/>
      <c r="EKB37" s="51"/>
      <c r="EKC37" s="51"/>
      <c r="EKD37" s="51"/>
      <c r="EKE37" s="51"/>
      <c r="EKF37" s="51"/>
      <c r="EKG37" s="51"/>
      <c r="EKH37" s="51"/>
      <c r="EKI37" s="51"/>
      <c r="EKJ37" s="51"/>
      <c r="EKK37" s="51"/>
      <c r="EKL37" s="51"/>
      <c r="EKM37" s="51"/>
      <c r="EKN37" s="51"/>
      <c r="EKO37" s="51"/>
      <c r="EKP37" s="51"/>
      <c r="EKQ37" s="51"/>
      <c r="EKR37" s="51"/>
      <c r="EKS37" s="51"/>
      <c r="EKT37" s="51"/>
      <c r="EKU37" s="51"/>
      <c r="EKV37" s="51"/>
      <c r="EKW37" s="51"/>
      <c r="EKX37" s="51"/>
      <c r="EKY37" s="51"/>
      <c r="EKZ37" s="51"/>
      <c r="ELA37" s="51"/>
      <c r="ELB37" s="51"/>
      <c r="ELC37" s="51"/>
      <c r="ELD37" s="51"/>
      <c r="ELE37" s="51"/>
      <c r="ELF37" s="51"/>
      <c r="ELG37" s="51"/>
      <c r="ELH37" s="51"/>
      <c r="ELI37" s="51"/>
      <c r="ELJ37" s="51"/>
      <c r="ELK37" s="51"/>
      <c r="ELL37" s="51"/>
      <c r="ELM37" s="51"/>
      <c r="ELN37" s="51"/>
      <c r="ELO37" s="51"/>
      <c r="ELP37" s="51"/>
      <c r="ELQ37" s="51"/>
      <c r="ELR37" s="51"/>
      <c r="ELS37" s="51"/>
      <c r="ELT37" s="51"/>
      <c r="ELU37" s="51"/>
      <c r="ELV37" s="51"/>
      <c r="ELW37" s="51"/>
      <c r="ELX37" s="51"/>
      <c r="ELY37" s="51"/>
      <c r="ELZ37" s="51"/>
      <c r="EMA37" s="51"/>
      <c r="EMB37" s="51"/>
      <c r="EMC37" s="51"/>
      <c r="EMD37" s="51"/>
      <c r="EME37" s="51"/>
      <c r="EMF37" s="51"/>
      <c r="EMG37" s="51"/>
      <c r="EMH37" s="51"/>
      <c r="EMI37" s="51"/>
      <c r="EMJ37" s="51"/>
      <c r="EMK37" s="51"/>
      <c r="EML37" s="51"/>
      <c r="EMM37" s="51"/>
      <c r="EMN37" s="51"/>
      <c r="EMO37" s="51"/>
      <c r="EMP37" s="51"/>
      <c r="EMQ37" s="51"/>
      <c r="EMR37" s="51"/>
      <c r="EMS37" s="51"/>
      <c r="EMT37" s="51"/>
      <c r="EMU37" s="51"/>
      <c r="EMV37" s="51"/>
      <c r="EMW37" s="51"/>
      <c r="EMX37" s="51"/>
      <c r="EMY37" s="51"/>
      <c r="EMZ37" s="51"/>
      <c r="ENA37" s="51"/>
      <c r="ENB37" s="51"/>
      <c r="ENC37" s="51"/>
      <c r="END37" s="51"/>
      <c r="ENE37" s="51"/>
      <c r="ENF37" s="51"/>
      <c r="ENG37" s="51"/>
      <c r="ENH37" s="51"/>
      <c r="ENI37" s="51"/>
      <c r="ENJ37" s="51"/>
      <c r="ENK37" s="51"/>
      <c r="ENL37" s="51"/>
      <c r="ENM37" s="51"/>
      <c r="ENN37" s="51"/>
      <c r="ENO37" s="51"/>
      <c r="ENP37" s="51"/>
      <c r="ENQ37" s="51"/>
      <c r="ENR37" s="51"/>
      <c r="ENS37" s="51"/>
      <c r="ENT37" s="51"/>
      <c r="ENU37" s="51"/>
      <c r="ENV37" s="51"/>
      <c r="ENW37" s="51"/>
      <c r="ENX37" s="51"/>
      <c r="ENY37" s="51"/>
      <c r="ENZ37" s="51"/>
      <c r="EOA37" s="51"/>
      <c r="EOB37" s="51"/>
      <c r="EOC37" s="51"/>
      <c r="EOD37" s="51"/>
      <c r="EOE37" s="51"/>
      <c r="EOF37" s="51"/>
      <c r="EOG37" s="51"/>
      <c r="EOH37" s="51"/>
      <c r="EOI37" s="51"/>
      <c r="EOJ37" s="51"/>
      <c r="EOK37" s="51"/>
      <c r="EOL37" s="51"/>
      <c r="EOM37" s="51"/>
      <c r="EON37" s="51"/>
      <c r="EOO37" s="51"/>
      <c r="EOP37" s="51"/>
      <c r="EOQ37" s="51"/>
      <c r="EOR37" s="51"/>
      <c r="EOS37" s="51"/>
      <c r="EOT37" s="51"/>
      <c r="EOU37" s="51"/>
      <c r="EOV37" s="51"/>
      <c r="EOW37" s="51"/>
      <c r="EOX37" s="51"/>
      <c r="EOY37" s="51"/>
      <c r="EOZ37" s="51"/>
      <c r="EPA37" s="51"/>
      <c r="EPB37" s="51"/>
      <c r="EPC37" s="51"/>
      <c r="EPD37" s="51"/>
      <c r="EPE37" s="51"/>
      <c r="EPF37" s="51"/>
      <c r="EPG37" s="51"/>
      <c r="EPH37" s="51"/>
      <c r="EPI37" s="51"/>
      <c r="EPJ37" s="51"/>
      <c r="EPK37" s="51"/>
      <c r="EPL37" s="51"/>
      <c r="EPM37" s="51"/>
      <c r="EPN37" s="51"/>
      <c r="EPO37" s="51"/>
      <c r="EPP37" s="51"/>
      <c r="EPQ37" s="51"/>
      <c r="EPR37" s="51"/>
      <c r="EPS37" s="51"/>
      <c r="EPT37" s="51"/>
      <c r="EPU37" s="51"/>
      <c r="EPV37" s="51"/>
      <c r="EPW37" s="51"/>
      <c r="EPX37" s="51"/>
      <c r="EPY37" s="51"/>
      <c r="EPZ37" s="51"/>
      <c r="EQA37" s="51"/>
      <c r="EQB37" s="51"/>
      <c r="EQC37" s="51"/>
      <c r="EQD37" s="51"/>
      <c r="EQE37" s="51"/>
      <c r="EQF37" s="51"/>
      <c r="EQG37" s="51"/>
      <c r="EQH37" s="51"/>
      <c r="EQI37" s="51"/>
      <c r="EQJ37" s="51"/>
      <c r="EQK37" s="51"/>
      <c r="EQL37" s="51"/>
      <c r="EQM37" s="51"/>
      <c r="EQN37" s="51"/>
      <c r="EQO37" s="51"/>
      <c r="EQP37" s="51"/>
      <c r="EQQ37" s="51"/>
      <c r="EQR37" s="51"/>
      <c r="EQS37" s="51"/>
      <c r="EQT37" s="51"/>
      <c r="EQU37" s="51"/>
      <c r="EQV37" s="51"/>
      <c r="EQW37" s="51"/>
      <c r="EQX37" s="51"/>
      <c r="EQY37" s="51"/>
      <c r="EQZ37" s="51"/>
      <c r="ERA37" s="51"/>
      <c r="ERB37" s="51"/>
      <c r="ERC37" s="51"/>
      <c r="ERD37" s="51"/>
      <c r="ERE37" s="51"/>
      <c r="ERF37" s="51"/>
      <c r="ERG37" s="51"/>
      <c r="ERH37" s="51"/>
      <c r="ERI37" s="51"/>
      <c r="ERJ37" s="51"/>
      <c r="ERK37" s="51"/>
      <c r="ERL37" s="51"/>
      <c r="ERM37" s="51"/>
      <c r="ERN37" s="51"/>
      <c r="ERO37" s="51"/>
      <c r="ERP37" s="51"/>
      <c r="ERQ37" s="51"/>
      <c r="ERR37" s="51"/>
      <c r="ERS37" s="51"/>
      <c r="ERT37" s="51"/>
      <c r="ERU37" s="51"/>
      <c r="ERV37" s="51"/>
      <c r="ERW37" s="51"/>
      <c r="ERX37" s="51"/>
      <c r="ERY37" s="51"/>
      <c r="ERZ37" s="51"/>
      <c r="ESA37" s="51"/>
      <c r="ESB37" s="51"/>
      <c r="ESC37" s="51"/>
      <c r="ESD37" s="51"/>
      <c r="ESE37" s="51"/>
      <c r="ESF37" s="51"/>
      <c r="ESG37" s="51"/>
      <c r="ESH37" s="51"/>
      <c r="ESI37" s="51"/>
      <c r="ESJ37" s="51"/>
      <c r="ESK37" s="51"/>
      <c r="ESL37" s="51"/>
      <c r="ESM37" s="51"/>
      <c r="ESN37" s="51"/>
      <c r="ESO37" s="51"/>
      <c r="ESP37" s="51"/>
      <c r="ESQ37" s="51"/>
      <c r="ESR37" s="51"/>
      <c r="ESS37" s="51"/>
      <c r="EST37" s="51"/>
      <c r="ESU37" s="51"/>
      <c r="ESV37" s="51"/>
      <c r="ESW37" s="51"/>
      <c r="ESX37" s="51"/>
      <c r="ESY37" s="51"/>
      <c r="ESZ37" s="51"/>
      <c r="ETA37" s="51"/>
      <c r="ETB37" s="51"/>
      <c r="ETC37" s="51"/>
      <c r="ETD37" s="51"/>
      <c r="ETE37" s="51"/>
      <c r="ETF37" s="51"/>
      <c r="ETG37" s="51"/>
      <c r="ETH37" s="51"/>
      <c r="ETI37" s="51"/>
      <c r="ETJ37" s="51"/>
      <c r="ETK37" s="51"/>
      <c r="ETL37" s="51"/>
      <c r="ETM37" s="51"/>
      <c r="ETN37" s="51"/>
      <c r="ETO37" s="51"/>
      <c r="ETP37" s="51"/>
      <c r="ETQ37" s="51"/>
      <c r="ETR37" s="51"/>
      <c r="ETS37" s="51"/>
      <c r="ETT37" s="51"/>
      <c r="ETU37" s="51"/>
      <c r="ETV37" s="51"/>
      <c r="ETW37" s="51"/>
      <c r="ETX37" s="51"/>
      <c r="ETY37" s="51"/>
      <c r="ETZ37" s="51"/>
      <c r="EUA37" s="51"/>
      <c r="EUB37" s="51"/>
      <c r="EUC37" s="51"/>
      <c r="EUD37" s="51"/>
      <c r="EUE37" s="51"/>
      <c r="EUF37" s="51"/>
      <c r="EUG37" s="51"/>
      <c r="EUH37" s="51"/>
      <c r="EUI37" s="51"/>
      <c r="EUJ37" s="51"/>
      <c r="EUK37" s="51"/>
      <c r="EUL37" s="51"/>
      <c r="EUM37" s="51"/>
      <c r="EUN37" s="51"/>
      <c r="EUO37" s="51"/>
      <c r="EUP37" s="51"/>
      <c r="EUQ37" s="51"/>
      <c r="EUR37" s="51"/>
      <c r="EUS37" s="51"/>
      <c r="EUT37" s="51"/>
      <c r="EUU37" s="51"/>
      <c r="EUV37" s="51"/>
      <c r="EUW37" s="51"/>
      <c r="EUX37" s="51"/>
      <c r="EUY37" s="51"/>
      <c r="EUZ37" s="51"/>
      <c r="EVA37" s="51"/>
      <c r="EVB37" s="51"/>
      <c r="EVC37" s="51"/>
      <c r="EVD37" s="51"/>
      <c r="EVE37" s="51"/>
      <c r="EVF37" s="51"/>
      <c r="EVG37" s="51"/>
      <c r="EVH37" s="51"/>
      <c r="EVI37" s="51"/>
      <c r="EVJ37" s="51"/>
      <c r="EVK37" s="51"/>
      <c r="EVL37" s="51"/>
      <c r="EVM37" s="51"/>
      <c r="EVN37" s="51"/>
      <c r="EVO37" s="51"/>
      <c r="EVP37" s="51"/>
      <c r="EVQ37" s="51"/>
      <c r="EVR37" s="51"/>
      <c r="EVS37" s="51"/>
      <c r="EVT37" s="51"/>
      <c r="EVU37" s="51"/>
      <c r="EVV37" s="51"/>
      <c r="EVW37" s="51"/>
      <c r="EVX37" s="51"/>
      <c r="EVY37" s="51"/>
      <c r="EVZ37" s="51"/>
      <c r="EWA37" s="51"/>
      <c r="EWB37" s="51"/>
      <c r="EWC37" s="51"/>
      <c r="EWD37" s="51"/>
      <c r="EWE37" s="51"/>
      <c r="EWF37" s="51"/>
      <c r="EWG37" s="51"/>
      <c r="EWH37" s="51"/>
      <c r="EWI37" s="51"/>
      <c r="EWJ37" s="51"/>
      <c r="EWK37" s="51"/>
      <c r="EWL37" s="51"/>
      <c r="EWM37" s="51"/>
      <c r="EWN37" s="51"/>
      <c r="EWO37" s="51"/>
      <c r="EWP37" s="51"/>
      <c r="EWQ37" s="51"/>
      <c r="EWR37" s="51"/>
      <c r="EWS37" s="51"/>
      <c r="EWT37" s="51"/>
      <c r="EWU37" s="51"/>
      <c r="EWV37" s="51"/>
      <c r="EWW37" s="51"/>
      <c r="EWX37" s="51"/>
      <c r="EWY37" s="51"/>
      <c r="EWZ37" s="51"/>
      <c r="EXA37" s="51"/>
      <c r="EXB37" s="51"/>
      <c r="EXC37" s="51"/>
      <c r="EXD37" s="51"/>
      <c r="EXE37" s="51"/>
      <c r="EXF37" s="51"/>
      <c r="EXG37" s="51"/>
      <c r="EXH37" s="51"/>
      <c r="EXI37" s="51"/>
      <c r="EXJ37" s="51"/>
      <c r="EXK37" s="51"/>
      <c r="EXL37" s="51"/>
      <c r="EXM37" s="51"/>
      <c r="EXN37" s="51"/>
      <c r="EXO37" s="51"/>
      <c r="EXP37" s="51"/>
      <c r="EXQ37" s="51"/>
      <c r="EXR37" s="51"/>
      <c r="EXS37" s="51"/>
      <c r="EXT37" s="51"/>
      <c r="EXU37" s="51"/>
      <c r="EXV37" s="51"/>
      <c r="EXW37" s="51"/>
      <c r="EXX37" s="51"/>
      <c r="EXY37" s="51"/>
      <c r="EXZ37" s="51"/>
      <c r="EYA37" s="51"/>
      <c r="EYB37" s="51"/>
      <c r="EYC37" s="51"/>
      <c r="EYD37" s="51"/>
      <c r="EYE37" s="51"/>
      <c r="EYF37" s="51"/>
      <c r="EYG37" s="51"/>
      <c r="EYH37" s="51"/>
      <c r="EYI37" s="51"/>
      <c r="EYJ37" s="51"/>
      <c r="EYK37" s="51"/>
      <c r="EYL37" s="51"/>
      <c r="EYM37" s="51"/>
      <c r="EYN37" s="51"/>
      <c r="EYO37" s="51"/>
      <c r="EYP37" s="51"/>
      <c r="EYQ37" s="51"/>
      <c r="EYR37" s="51"/>
      <c r="EYS37" s="51"/>
      <c r="EYT37" s="51"/>
      <c r="EYU37" s="51"/>
      <c r="EYV37" s="51"/>
      <c r="EYW37" s="51"/>
      <c r="EYX37" s="51"/>
      <c r="EYY37" s="51"/>
      <c r="EYZ37" s="51"/>
      <c r="EZA37" s="51"/>
      <c r="EZB37" s="51"/>
      <c r="EZC37" s="51"/>
      <c r="EZD37" s="51"/>
      <c r="EZE37" s="51"/>
      <c r="EZF37" s="51"/>
      <c r="EZG37" s="51"/>
      <c r="EZH37" s="51"/>
      <c r="EZI37" s="51"/>
      <c r="EZJ37" s="51"/>
      <c r="EZK37" s="51"/>
      <c r="EZL37" s="51"/>
      <c r="EZM37" s="51"/>
      <c r="EZN37" s="51"/>
      <c r="EZO37" s="51"/>
      <c r="EZP37" s="51"/>
      <c r="EZQ37" s="51"/>
      <c r="EZR37" s="51"/>
      <c r="EZS37" s="51"/>
      <c r="EZT37" s="51"/>
      <c r="EZU37" s="51"/>
      <c r="EZV37" s="51"/>
      <c r="EZW37" s="51"/>
      <c r="EZX37" s="51"/>
      <c r="EZY37" s="51"/>
      <c r="EZZ37" s="51"/>
      <c r="FAA37" s="51"/>
      <c r="FAB37" s="51"/>
      <c r="FAC37" s="51"/>
      <c r="FAD37" s="51"/>
      <c r="FAE37" s="51"/>
      <c r="FAF37" s="51"/>
      <c r="FAG37" s="51"/>
      <c r="FAH37" s="51"/>
      <c r="FAI37" s="51"/>
      <c r="FAJ37" s="51"/>
      <c r="FAK37" s="51"/>
      <c r="FAL37" s="51"/>
      <c r="FAM37" s="51"/>
      <c r="FAN37" s="51"/>
      <c r="FAO37" s="51"/>
      <c r="FAP37" s="51"/>
      <c r="FAQ37" s="51"/>
      <c r="FAR37" s="51"/>
      <c r="FAS37" s="51"/>
      <c r="FAT37" s="51"/>
      <c r="FAU37" s="51"/>
      <c r="FAV37" s="51"/>
      <c r="FAW37" s="51"/>
      <c r="FAX37" s="51"/>
      <c r="FAY37" s="51"/>
      <c r="FAZ37" s="51"/>
      <c r="FBA37" s="51"/>
      <c r="FBB37" s="51"/>
      <c r="FBC37" s="51"/>
      <c r="FBD37" s="51"/>
      <c r="FBE37" s="51"/>
      <c r="FBF37" s="51"/>
      <c r="FBG37" s="51"/>
      <c r="FBH37" s="51"/>
      <c r="FBI37" s="51"/>
      <c r="FBJ37" s="51"/>
      <c r="FBK37" s="51"/>
      <c r="FBL37" s="51"/>
      <c r="FBM37" s="51"/>
      <c r="FBN37" s="51"/>
      <c r="FBO37" s="51"/>
      <c r="FBP37" s="51"/>
      <c r="FBQ37" s="51"/>
      <c r="FBR37" s="51"/>
      <c r="FBS37" s="51"/>
      <c r="FBT37" s="51"/>
      <c r="FBU37" s="51"/>
      <c r="FBV37" s="51"/>
      <c r="FBW37" s="51"/>
      <c r="FBX37" s="51"/>
      <c r="FBY37" s="51"/>
      <c r="FBZ37" s="51"/>
      <c r="FCA37" s="51"/>
      <c r="FCB37" s="51"/>
      <c r="FCC37" s="51"/>
      <c r="FCD37" s="51"/>
      <c r="FCE37" s="51"/>
      <c r="FCF37" s="51"/>
      <c r="FCG37" s="51"/>
      <c r="FCH37" s="51"/>
      <c r="FCI37" s="51"/>
      <c r="FCJ37" s="51"/>
      <c r="FCK37" s="51"/>
      <c r="FCL37" s="51"/>
      <c r="FCM37" s="51"/>
      <c r="FCN37" s="51"/>
      <c r="FCO37" s="51"/>
      <c r="FCP37" s="51"/>
      <c r="FCQ37" s="51"/>
      <c r="FCR37" s="51"/>
      <c r="FCS37" s="51"/>
      <c r="FCT37" s="51"/>
      <c r="FCU37" s="51"/>
      <c r="FCV37" s="51"/>
      <c r="FCW37" s="51"/>
      <c r="FCX37" s="51"/>
      <c r="FCY37" s="51"/>
      <c r="FCZ37" s="51"/>
      <c r="FDA37" s="51"/>
      <c r="FDB37" s="51"/>
      <c r="FDC37" s="51"/>
      <c r="FDD37" s="51"/>
      <c r="FDE37" s="51"/>
      <c r="FDF37" s="51"/>
      <c r="FDG37" s="51"/>
      <c r="FDH37" s="51"/>
      <c r="FDI37" s="51"/>
      <c r="FDJ37" s="51"/>
      <c r="FDK37" s="51"/>
      <c r="FDL37" s="51"/>
      <c r="FDM37" s="51"/>
      <c r="FDN37" s="51"/>
      <c r="FDO37" s="51"/>
      <c r="FDP37" s="51"/>
      <c r="FDQ37" s="51"/>
      <c r="FDR37" s="51"/>
      <c r="FDS37" s="51"/>
      <c r="FDT37" s="51"/>
      <c r="FDU37" s="51"/>
      <c r="FDV37" s="51"/>
      <c r="FDW37" s="51"/>
      <c r="FDX37" s="51"/>
      <c r="FDY37" s="51"/>
      <c r="FDZ37" s="51"/>
      <c r="FEA37" s="51"/>
      <c r="FEB37" s="51"/>
      <c r="FEC37" s="51"/>
      <c r="FED37" s="51"/>
      <c r="FEE37" s="51"/>
      <c r="FEF37" s="51"/>
      <c r="FEG37" s="51"/>
      <c r="FEH37" s="51"/>
      <c r="FEI37" s="51"/>
      <c r="FEJ37" s="51"/>
      <c r="FEK37" s="51"/>
      <c r="FEL37" s="51"/>
      <c r="FEM37" s="51"/>
      <c r="FEN37" s="51"/>
      <c r="FEO37" s="51"/>
      <c r="FEP37" s="51"/>
      <c r="FEQ37" s="51"/>
      <c r="FER37" s="51"/>
      <c r="FES37" s="51"/>
      <c r="FET37" s="51"/>
      <c r="FEU37" s="51"/>
      <c r="FEV37" s="51"/>
      <c r="FEW37" s="51"/>
      <c r="FEX37" s="51"/>
      <c r="FEY37" s="51"/>
      <c r="FEZ37" s="51"/>
      <c r="FFA37" s="51"/>
      <c r="FFB37" s="51"/>
      <c r="FFC37" s="51"/>
      <c r="FFD37" s="51"/>
      <c r="FFE37" s="51"/>
      <c r="FFF37" s="51"/>
      <c r="FFG37" s="51"/>
      <c r="FFH37" s="51"/>
      <c r="FFI37" s="51"/>
      <c r="FFJ37" s="51"/>
      <c r="FFK37" s="51"/>
      <c r="FFL37" s="51"/>
      <c r="FFM37" s="51"/>
      <c r="FFN37" s="51"/>
      <c r="FFO37" s="51"/>
      <c r="FFP37" s="51"/>
      <c r="FFQ37" s="51"/>
      <c r="FFR37" s="51"/>
      <c r="FFS37" s="51"/>
      <c r="FFT37" s="51"/>
      <c r="FFU37" s="51"/>
      <c r="FFV37" s="51"/>
      <c r="FFW37" s="51"/>
      <c r="FFX37" s="51"/>
      <c r="FFY37" s="51"/>
      <c r="FFZ37" s="51"/>
      <c r="FGA37" s="51"/>
      <c r="FGB37" s="51"/>
      <c r="FGC37" s="51"/>
      <c r="FGD37" s="51"/>
      <c r="FGE37" s="51"/>
      <c r="FGF37" s="51"/>
      <c r="FGG37" s="51"/>
      <c r="FGH37" s="51"/>
      <c r="FGI37" s="51"/>
      <c r="FGJ37" s="51"/>
      <c r="FGK37" s="51"/>
      <c r="FGL37" s="51"/>
      <c r="FGM37" s="51"/>
      <c r="FGN37" s="51"/>
      <c r="FGO37" s="51"/>
      <c r="FGP37" s="51"/>
      <c r="FGQ37" s="51"/>
      <c r="FGR37" s="51"/>
      <c r="FGS37" s="51"/>
      <c r="FGT37" s="51"/>
      <c r="FGU37" s="51"/>
      <c r="FGV37" s="51"/>
      <c r="FGW37" s="51"/>
      <c r="FGX37" s="51"/>
      <c r="FGY37" s="51"/>
      <c r="FGZ37" s="51"/>
      <c r="FHA37" s="51"/>
      <c r="FHB37" s="51"/>
      <c r="FHC37" s="51"/>
      <c r="FHD37" s="51"/>
      <c r="FHE37" s="51"/>
      <c r="FHF37" s="51"/>
      <c r="FHG37" s="51"/>
      <c r="FHH37" s="51"/>
      <c r="FHI37" s="51"/>
      <c r="FHJ37" s="51"/>
      <c r="FHK37" s="51"/>
      <c r="FHL37" s="51"/>
      <c r="FHM37" s="51"/>
      <c r="FHN37" s="51"/>
      <c r="FHO37" s="51"/>
      <c r="FHP37" s="51"/>
      <c r="FHQ37" s="51"/>
      <c r="FHR37" s="51"/>
      <c r="FHS37" s="51"/>
      <c r="FHT37" s="51"/>
      <c r="FHU37" s="51"/>
      <c r="FHV37" s="51"/>
      <c r="FHW37" s="51"/>
      <c r="FHX37" s="51"/>
      <c r="FHY37" s="51"/>
      <c r="FHZ37" s="51"/>
      <c r="FIA37" s="51"/>
      <c r="FIB37" s="51"/>
      <c r="FIC37" s="51"/>
      <c r="FID37" s="51"/>
      <c r="FIE37" s="51"/>
      <c r="FIF37" s="51"/>
      <c r="FIG37" s="51"/>
      <c r="FIH37" s="51"/>
      <c r="FII37" s="51"/>
      <c r="FIJ37" s="51"/>
      <c r="FIK37" s="51"/>
      <c r="FIL37" s="51"/>
      <c r="FIM37" s="51"/>
      <c r="FIN37" s="51"/>
      <c r="FIO37" s="51"/>
      <c r="FIP37" s="51"/>
      <c r="FIQ37" s="51"/>
      <c r="FIR37" s="51"/>
      <c r="FIS37" s="51"/>
      <c r="FIT37" s="51"/>
      <c r="FIU37" s="51"/>
      <c r="FIV37" s="51"/>
      <c r="FIW37" s="51"/>
      <c r="FIX37" s="51"/>
      <c r="FIY37" s="51"/>
      <c r="FIZ37" s="51"/>
      <c r="FJA37" s="51"/>
      <c r="FJB37" s="51"/>
      <c r="FJC37" s="51"/>
      <c r="FJD37" s="51"/>
      <c r="FJE37" s="51"/>
      <c r="FJF37" s="51"/>
      <c r="FJG37" s="51"/>
      <c r="FJH37" s="51"/>
      <c r="FJI37" s="51"/>
      <c r="FJJ37" s="51"/>
      <c r="FJK37" s="51"/>
      <c r="FJL37" s="51"/>
      <c r="FJM37" s="51"/>
      <c r="FJN37" s="51"/>
      <c r="FJO37" s="51"/>
      <c r="FJP37" s="51"/>
      <c r="FJQ37" s="51"/>
      <c r="FJR37" s="51"/>
      <c r="FJS37" s="51"/>
      <c r="FJT37" s="51"/>
      <c r="FJU37" s="51"/>
      <c r="FJV37" s="51"/>
      <c r="FJW37" s="51"/>
      <c r="FJX37" s="51"/>
      <c r="FJY37" s="51"/>
      <c r="FJZ37" s="51"/>
      <c r="FKA37" s="51"/>
      <c r="FKB37" s="51"/>
      <c r="FKC37" s="51"/>
      <c r="FKD37" s="51"/>
      <c r="FKE37" s="51"/>
      <c r="FKF37" s="51"/>
      <c r="FKG37" s="51"/>
      <c r="FKH37" s="51"/>
      <c r="FKI37" s="51"/>
      <c r="FKJ37" s="51"/>
      <c r="FKK37" s="51"/>
      <c r="FKL37" s="51"/>
      <c r="FKM37" s="51"/>
      <c r="FKN37" s="51"/>
      <c r="FKO37" s="51"/>
      <c r="FKP37" s="51"/>
      <c r="FKQ37" s="51"/>
      <c r="FKR37" s="51"/>
      <c r="FKS37" s="51"/>
      <c r="FKT37" s="51"/>
      <c r="FKU37" s="51"/>
      <c r="FKV37" s="51"/>
      <c r="FKW37" s="51"/>
      <c r="FKX37" s="51"/>
      <c r="FKY37" s="51"/>
      <c r="FKZ37" s="51"/>
      <c r="FLA37" s="51"/>
      <c r="FLB37" s="51"/>
      <c r="FLC37" s="51"/>
      <c r="FLD37" s="51"/>
      <c r="FLE37" s="51"/>
      <c r="FLF37" s="51"/>
      <c r="FLG37" s="51"/>
      <c r="FLH37" s="51"/>
      <c r="FLI37" s="51"/>
      <c r="FLJ37" s="51"/>
      <c r="FLK37" s="51"/>
      <c r="FLL37" s="51"/>
      <c r="FLM37" s="51"/>
      <c r="FLN37" s="51"/>
      <c r="FLO37" s="51"/>
      <c r="FLP37" s="51"/>
      <c r="FLQ37" s="51"/>
      <c r="FLR37" s="51"/>
      <c r="FLS37" s="51"/>
      <c r="FLT37" s="51"/>
      <c r="FLU37" s="51"/>
      <c r="FLV37" s="51"/>
      <c r="FLW37" s="51"/>
      <c r="FLX37" s="51"/>
      <c r="FLY37" s="51"/>
      <c r="FLZ37" s="51"/>
      <c r="FMA37" s="51"/>
      <c r="FMB37" s="51"/>
      <c r="FMC37" s="51"/>
      <c r="FMD37" s="51"/>
      <c r="FME37" s="51"/>
      <c r="FMF37" s="51"/>
      <c r="FMG37" s="51"/>
      <c r="FMH37" s="51"/>
      <c r="FMI37" s="51"/>
      <c r="FMJ37" s="51"/>
      <c r="FMK37" s="51"/>
      <c r="FML37" s="51"/>
      <c r="FMM37" s="51"/>
      <c r="FMN37" s="51"/>
      <c r="FMO37" s="51"/>
      <c r="FMP37" s="51"/>
      <c r="FMQ37" s="51"/>
      <c r="FMR37" s="51"/>
      <c r="FMS37" s="51"/>
      <c r="FMT37" s="51"/>
      <c r="FMU37" s="51"/>
      <c r="FMV37" s="51"/>
      <c r="FMW37" s="51"/>
      <c r="FMX37" s="51"/>
      <c r="FMY37" s="51"/>
      <c r="FMZ37" s="51"/>
      <c r="FNA37" s="51"/>
      <c r="FNB37" s="51"/>
      <c r="FNC37" s="51"/>
      <c r="FND37" s="51"/>
      <c r="FNE37" s="51"/>
      <c r="FNF37" s="51"/>
      <c r="FNG37" s="51"/>
      <c r="FNH37" s="51"/>
      <c r="FNI37" s="51"/>
      <c r="FNJ37" s="51"/>
      <c r="FNK37" s="51"/>
      <c r="FNL37" s="51"/>
      <c r="FNM37" s="51"/>
      <c r="FNN37" s="51"/>
      <c r="FNO37" s="51"/>
      <c r="FNP37" s="51"/>
      <c r="FNQ37" s="51"/>
      <c r="FNR37" s="51"/>
      <c r="FNS37" s="51"/>
      <c r="FNT37" s="51"/>
      <c r="FNU37" s="51"/>
      <c r="FNV37" s="51"/>
      <c r="FNW37" s="51"/>
      <c r="FNX37" s="51"/>
      <c r="FNY37" s="51"/>
      <c r="FNZ37" s="51"/>
      <c r="FOA37" s="51"/>
      <c r="FOB37" s="51"/>
      <c r="FOC37" s="51"/>
      <c r="FOD37" s="51"/>
      <c r="FOE37" s="51"/>
      <c r="FOF37" s="51"/>
      <c r="FOG37" s="51"/>
      <c r="FOH37" s="51"/>
      <c r="FOI37" s="51"/>
      <c r="FOJ37" s="51"/>
      <c r="FOK37" s="51"/>
      <c r="FOL37" s="51"/>
      <c r="FOM37" s="51"/>
      <c r="FON37" s="51"/>
      <c r="FOO37" s="51"/>
      <c r="FOP37" s="51"/>
      <c r="FOQ37" s="51"/>
      <c r="FOR37" s="51"/>
      <c r="FOS37" s="51"/>
      <c r="FOT37" s="51"/>
      <c r="FOU37" s="51"/>
      <c r="FOV37" s="51"/>
      <c r="FOW37" s="51"/>
      <c r="FOX37" s="51"/>
      <c r="FOY37" s="51"/>
      <c r="FOZ37" s="51"/>
      <c r="FPA37" s="51"/>
      <c r="FPB37" s="51"/>
      <c r="FPC37" s="51"/>
      <c r="FPD37" s="51"/>
      <c r="FPE37" s="51"/>
      <c r="FPF37" s="51"/>
      <c r="FPG37" s="51"/>
      <c r="FPH37" s="51"/>
      <c r="FPI37" s="51"/>
      <c r="FPJ37" s="51"/>
      <c r="FPK37" s="51"/>
      <c r="FPL37" s="51"/>
      <c r="FPM37" s="51"/>
      <c r="FPN37" s="51"/>
      <c r="FPO37" s="51"/>
      <c r="FPP37" s="51"/>
      <c r="FPQ37" s="51"/>
      <c r="FPR37" s="51"/>
      <c r="FPS37" s="51"/>
      <c r="FPT37" s="51"/>
      <c r="FPU37" s="51"/>
      <c r="FPV37" s="51"/>
      <c r="FPW37" s="51"/>
      <c r="FPX37" s="51"/>
      <c r="FPY37" s="51"/>
      <c r="FPZ37" s="51"/>
      <c r="FQA37" s="51"/>
      <c r="FQB37" s="51"/>
      <c r="FQC37" s="51"/>
      <c r="FQD37" s="51"/>
      <c r="FQE37" s="51"/>
      <c r="FQF37" s="51"/>
      <c r="FQG37" s="51"/>
      <c r="FQH37" s="51"/>
      <c r="FQI37" s="51"/>
      <c r="FQJ37" s="51"/>
      <c r="FQK37" s="51"/>
      <c r="FQL37" s="51"/>
      <c r="FQM37" s="51"/>
      <c r="FQN37" s="51"/>
      <c r="FQO37" s="51"/>
      <c r="FQP37" s="51"/>
      <c r="FQQ37" s="51"/>
      <c r="FQR37" s="51"/>
      <c r="FQS37" s="51"/>
      <c r="FQT37" s="51"/>
      <c r="FQU37" s="51"/>
      <c r="FQV37" s="51"/>
      <c r="FQW37" s="51"/>
      <c r="FQX37" s="51"/>
      <c r="FQY37" s="51"/>
      <c r="FQZ37" s="51"/>
      <c r="FRA37" s="51"/>
      <c r="FRB37" s="51"/>
      <c r="FRC37" s="51"/>
      <c r="FRD37" s="51"/>
      <c r="FRE37" s="51"/>
      <c r="FRF37" s="51"/>
      <c r="FRG37" s="51"/>
      <c r="FRH37" s="51"/>
      <c r="FRI37" s="51"/>
      <c r="FRJ37" s="51"/>
      <c r="FRK37" s="51"/>
      <c r="FRL37" s="51"/>
      <c r="FRM37" s="51"/>
      <c r="FRN37" s="51"/>
      <c r="FRO37" s="51"/>
      <c r="FRP37" s="51"/>
      <c r="FRQ37" s="51"/>
      <c r="FRR37" s="51"/>
      <c r="FRS37" s="51"/>
      <c r="FRT37" s="51"/>
      <c r="FRU37" s="51"/>
      <c r="FRV37" s="51"/>
      <c r="FRW37" s="51"/>
      <c r="FRX37" s="51"/>
      <c r="FRY37" s="51"/>
      <c r="FRZ37" s="51"/>
      <c r="FSA37" s="51"/>
      <c r="FSB37" s="51"/>
      <c r="FSC37" s="51"/>
      <c r="FSD37" s="51"/>
      <c r="FSE37" s="51"/>
      <c r="FSF37" s="51"/>
      <c r="FSG37" s="51"/>
      <c r="FSH37" s="51"/>
      <c r="FSI37" s="51"/>
      <c r="FSJ37" s="51"/>
      <c r="FSK37" s="51"/>
      <c r="FSL37" s="51"/>
      <c r="FSM37" s="51"/>
      <c r="FSN37" s="51"/>
      <c r="FSO37" s="51"/>
      <c r="FSP37" s="51"/>
      <c r="FSQ37" s="51"/>
      <c r="FSR37" s="51"/>
      <c r="FSS37" s="51"/>
      <c r="FST37" s="51"/>
      <c r="FSU37" s="51"/>
      <c r="FSV37" s="51"/>
      <c r="FSW37" s="51"/>
      <c r="FSX37" s="51"/>
      <c r="FSY37" s="51"/>
      <c r="FSZ37" s="51"/>
      <c r="FTA37" s="51"/>
      <c r="FTB37" s="51"/>
      <c r="FTC37" s="51"/>
      <c r="FTD37" s="51"/>
      <c r="FTE37" s="51"/>
      <c r="FTF37" s="51"/>
      <c r="FTG37" s="51"/>
      <c r="FTH37" s="51"/>
      <c r="FTI37" s="51"/>
      <c r="FTJ37" s="51"/>
      <c r="FTK37" s="51"/>
      <c r="FTL37" s="51"/>
      <c r="FTM37" s="51"/>
      <c r="FTN37" s="51"/>
      <c r="FTO37" s="51"/>
      <c r="FTP37" s="51"/>
      <c r="FTQ37" s="51"/>
      <c r="FTR37" s="51"/>
      <c r="FTS37" s="51"/>
      <c r="FTT37" s="51"/>
      <c r="FTU37" s="51"/>
      <c r="FTV37" s="51"/>
      <c r="FTW37" s="51"/>
      <c r="FTX37" s="51"/>
      <c r="FTY37" s="51"/>
      <c r="FTZ37" s="51"/>
      <c r="FUA37" s="51"/>
      <c r="FUB37" s="51"/>
      <c r="FUC37" s="51"/>
      <c r="FUD37" s="51"/>
      <c r="FUE37" s="51"/>
      <c r="FUF37" s="51"/>
      <c r="FUG37" s="51"/>
      <c r="FUH37" s="51"/>
      <c r="FUI37" s="51"/>
      <c r="FUJ37" s="51"/>
      <c r="FUK37" s="51"/>
      <c r="FUL37" s="51"/>
      <c r="FUM37" s="51"/>
      <c r="FUN37" s="51"/>
      <c r="FUO37" s="51"/>
      <c r="FUP37" s="51"/>
      <c r="FUQ37" s="51"/>
      <c r="FUR37" s="51"/>
      <c r="FUS37" s="51"/>
      <c r="FUT37" s="51"/>
      <c r="FUU37" s="51"/>
      <c r="FUV37" s="51"/>
      <c r="FUW37" s="51"/>
      <c r="FUX37" s="51"/>
      <c r="FUY37" s="51"/>
      <c r="FUZ37" s="51"/>
      <c r="FVA37" s="51"/>
      <c r="FVB37" s="51"/>
      <c r="FVC37" s="51"/>
      <c r="FVD37" s="51"/>
      <c r="FVE37" s="51"/>
      <c r="FVF37" s="51"/>
      <c r="FVG37" s="51"/>
      <c r="FVH37" s="51"/>
      <c r="FVI37" s="51"/>
      <c r="FVJ37" s="51"/>
      <c r="FVK37" s="51"/>
      <c r="FVL37" s="51"/>
      <c r="FVM37" s="51"/>
      <c r="FVN37" s="51"/>
      <c r="FVO37" s="51"/>
      <c r="FVP37" s="51"/>
      <c r="FVQ37" s="51"/>
      <c r="FVR37" s="51"/>
      <c r="FVS37" s="51"/>
      <c r="FVT37" s="51"/>
      <c r="FVU37" s="51"/>
      <c r="FVV37" s="51"/>
      <c r="FVW37" s="51"/>
      <c r="FVX37" s="51"/>
      <c r="FVY37" s="51"/>
      <c r="FVZ37" s="51"/>
      <c r="FWA37" s="51"/>
      <c r="FWB37" s="51"/>
      <c r="FWC37" s="51"/>
      <c r="FWD37" s="51"/>
      <c r="FWE37" s="51"/>
      <c r="FWF37" s="51"/>
      <c r="FWG37" s="51"/>
      <c r="FWH37" s="51"/>
      <c r="FWI37" s="51"/>
      <c r="FWJ37" s="51"/>
      <c r="FWK37" s="51"/>
      <c r="FWL37" s="51"/>
      <c r="FWM37" s="51"/>
      <c r="FWN37" s="51"/>
      <c r="FWO37" s="51"/>
      <c r="FWP37" s="51"/>
      <c r="FWQ37" s="51"/>
      <c r="FWR37" s="51"/>
      <c r="FWS37" s="51"/>
      <c r="FWT37" s="51"/>
      <c r="FWU37" s="51"/>
      <c r="FWV37" s="51"/>
      <c r="FWW37" s="51"/>
      <c r="FWX37" s="51"/>
      <c r="FWY37" s="51"/>
      <c r="FWZ37" s="51"/>
      <c r="FXA37" s="51"/>
      <c r="FXB37" s="51"/>
      <c r="FXC37" s="51"/>
      <c r="FXD37" s="51"/>
      <c r="FXE37" s="51"/>
      <c r="FXF37" s="51"/>
      <c r="FXG37" s="51"/>
      <c r="FXH37" s="51"/>
      <c r="FXI37" s="51"/>
      <c r="FXJ37" s="51"/>
      <c r="FXK37" s="51"/>
      <c r="FXL37" s="51"/>
      <c r="FXM37" s="51"/>
      <c r="FXN37" s="51"/>
      <c r="FXO37" s="51"/>
      <c r="FXP37" s="51"/>
      <c r="FXQ37" s="51"/>
      <c r="FXR37" s="51"/>
      <c r="FXS37" s="51"/>
      <c r="FXT37" s="51"/>
      <c r="FXU37" s="51"/>
      <c r="FXV37" s="51"/>
      <c r="FXW37" s="51"/>
      <c r="FXX37" s="51"/>
      <c r="FXY37" s="51"/>
      <c r="FXZ37" s="51"/>
      <c r="FYA37" s="51"/>
      <c r="FYB37" s="51"/>
      <c r="FYC37" s="51"/>
      <c r="FYD37" s="51"/>
      <c r="FYE37" s="51"/>
      <c r="FYF37" s="51"/>
      <c r="FYG37" s="51"/>
      <c r="FYH37" s="51"/>
      <c r="FYI37" s="51"/>
      <c r="FYJ37" s="51"/>
      <c r="FYK37" s="51"/>
      <c r="FYL37" s="51"/>
      <c r="FYM37" s="51"/>
      <c r="FYN37" s="51"/>
      <c r="FYO37" s="51"/>
      <c r="FYP37" s="51"/>
      <c r="FYQ37" s="51"/>
      <c r="FYR37" s="51"/>
      <c r="FYS37" s="51"/>
      <c r="FYT37" s="51"/>
      <c r="FYU37" s="51"/>
      <c r="FYV37" s="51"/>
      <c r="FYW37" s="51"/>
      <c r="FYX37" s="51"/>
      <c r="FYY37" s="51"/>
      <c r="FYZ37" s="51"/>
      <c r="FZA37" s="51"/>
      <c r="FZB37" s="51"/>
      <c r="FZC37" s="51"/>
      <c r="FZD37" s="51"/>
      <c r="FZE37" s="51"/>
      <c r="FZF37" s="51"/>
      <c r="FZG37" s="51"/>
      <c r="FZH37" s="51"/>
      <c r="FZI37" s="51"/>
      <c r="FZJ37" s="51"/>
      <c r="FZK37" s="51"/>
      <c r="FZL37" s="51"/>
      <c r="FZM37" s="51"/>
      <c r="FZN37" s="51"/>
      <c r="FZO37" s="51"/>
      <c r="FZP37" s="51"/>
      <c r="FZQ37" s="51"/>
      <c r="FZR37" s="51"/>
      <c r="FZS37" s="51"/>
      <c r="FZT37" s="51"/>
      <c r="FZU37" s="51"/>
      <c r="FZV37" s="51"/>
      <c r="FZW37" s="51"/>
      <c r="FZX37" s="51"/>
      <c r="FZY37" s="51"/>
      <c r="FZZ37" s="51"/>
      <c r="GAA37" s="51"/>
      <c r="GAB37" s="51"/>
      <c r="GAC37" s="51"/>
      <c r="GAD37" s="51"/>
      <c r="GAE37" s="51"/>
      <c r="GAF37" s="51"/>
      <c r="GAG37" s="51"/>
      <c r="GAH37" s="51"/>
      <c r="GAI37" s="51"/>
      <c r="GAJ37" s="51"/>
      <c r="GAK37" s="51"/>
      <c r="GAL37" s="51"/>
      <c r="GAM37" s="51"/>
      <c r="GAN37" s="51"/>
      <c r="GAO37" s="51"/>
      <c r="GAP37" s="51"/>
      <c r="GAQ37" s="51"/>
      <c r="GAR37" s="51"/>
      <c r="GAS37" s="51"/>
      <c r="GAT37" s="51"/>
      <c r="GAU37" s="51"/>
      <c r="GAV37" s="51"/>
      <c r="GAW37" s="51"/>
      <c r="GAX37" s="51"/>
      <c r="GAY37" s="51"/>
      <c r="GAZ37" s="51"/>
      <c r="GBA37" s="51"/>
      <c r="GBB37" s="51"/>
      <c r="GBC37" s="51"/>
      <c r="GBD37" s="51"/>
      <c r="GBE37" s="51"/>
      <c r="GBF37" s="51"/>
      <c r="GBG37" s="51"/>
      <c r="GBH37" s="51"/>
      <c r="GBI37" s="51"/>
      <c r="GBJ37" s="51"/>
      <c r="GBK37" s="51"/>
      <c r="GBL37" s="51"/>
      <c r="GBM37" s="51"/>
      <c r="GBN37" s="51"/>
      <c r="GBO37" s="51"/>
      <c r="GBP37" s="51"/>
      <c r="GBQ37" s="51"/>
      <c r="GBR37" s="51"/>
      <c r="GBS37" s="51"/>
      <c r="GBT37" s="51"/>
      <c r="GBU37" s="51"/>
      <c r="GBV37" s="51"/>
      <c r="GBW37" s="51"/>
      <c r="GBX37" s="51"/>
      <c r="GBY37" s="51"/>
      <c r="GBZ37" s="51"/>
      <c r="GCA37" s="51"/>
      <c r="GCB37" s="51"/>
      <c r="GCC37" s="51"/>
      <c r="GCD37" s="51"/>
      <c r="GCE37" s="51"/>
      <c r="GCF37" s="51"/>
      <c r="GCG37" s="51"/>
      <c r="GCH37" s="51"/>
      <c r="GCI37" s="51"/>
      <c r="GCJ37" s="51"/>
      <c r="GCK37" s="51"/>
      <c r="GCL37" s="51"/>
      <c r="GCM37" s="51"/>
      <c r="GCN37" s="51"/>
      <c r="GCO37" s="51"/>
      <c r="GCP37" s="51"/>
      <c r="GCQ37" s="51"/>
      <c r="GCR37" s="51"/>
      <c r="GCS37" s="51"/>
      <c r="GCT37" s="51"/>
      <c r="GCU37" s="51"/>
      <c r="GCV37" s="51"/>
      <c r="GCW37" s="51"/>
      <c r="GCX37" s="51"/>
      <c r="GCY37" s="51"/>
      <c r="GCZ37" s="51"/>
      <c r="GDA37" s="51"/>
      <c r="GDB37" s="51"/>
      <c r="GDC37" s="51"/>
      <c r="GDD37" s="51"/>
      <c r="GDE37" s="51"/>
      <c r="GDF37" s="51"/>
      <c r="GDG37" s="51"/>
      <c r="GDH37" s="51"/>
      <c r="GDI37" s="51"/>
      <c r="GDJ37" s="51"/>
      <c r="GDK37" s="51"/>
      <c r="GDL37" s="51"/>
      <c r="GDM37" s="51"/>
      <c r="GDN37" s="51"/>
      <c r="GDO37" s="51"/>
      <c r="GDP37" s="51"/>
      <c r="GDQ37" s="51"/>
      <c r="GDR37" s="51"/>
      <c r="GDS37" s="51"/>
      <c r="GDT37" s="51"/>
      <c r="GDU37" s="51"/>
      <c r="GDV37" s="51"/>
      <c r="GDW37" s="51"/>
      <c r="GDX37" s="51"/>
      <c r="GDY37" s="51"/>
      <c r="GDZ37" s="51"/>
      <c r="GEA37" s="51"/>
      <c r="GEB37" s="51"/>
      <c r="GEC37" s="51"/>
      <c r="GED37" s="51"/>
      <c r="GEE37" s="51"/>
      <c r="GEF37" s="51"/>
      <c r="GEG37" s="51"/>
      <c r="GEH37" s="51"/>
      <c r="GEI37" s="51"/>
      <c r="GEJ37" s="51"/>
      <c r="GEK37" s="51"/>
      <c r="GEL37" s="51"/>
      <c r="GEM37" s="51"/>
      <c r="GEN37" s="51"/>
      <c r="GEO37" s="51"/>
      <c r="GEP37" s="51"/>
      <c r="GEQ37" s="51"/>
      <c r="GER37" s="51"/>
      <c r="GES37" s="51"/>
      <c r="GET37" s="51"/>
      <c r="GEU37" s="51"/>
      <c r="GEV37" s="51"/>
      <c r="GEW37" s="51"/>
      <c r="GEX37" s="51"/>
      <c r="GEY37" s="51"/>
      <c r="GEZ37" s="51"/>
      <c r="GFA37" s="51"/>
      <c r="GFB37" s="51"/>
      <c r="GFC37" s="51"/>
      <c r="GFD37" s="51"/>
      <c r="GFE37" s="51"/>
      <c r="GFF37" s="51"/>
      <c r="GFG37" s="51"/>
      <c r="GFH37" s="51"/>
      <c r="GFI37" s="51"/>
      <c r="GFJ37" s="51"/>
      <c r="GFK37" s="51"/>
      <c r="GFL37" s="51"/>
      <c r="GFM37" s="51"/>
      <c r="GFN37" s="51"/>
      <c r="GFO37" s="51"/>
      <c r="GFP37" s="51"/>
      <c r="GFQ37" s="51"/>
      <c r="GFR37" s="51"/>
      <c r="GFS37" s="51"/>
      <c r="GFT37" s="51"/>
      <c r="GFU37" s="51"/>
      <c r="GFV37" s="51"/>
      <c r="GFW37" s="51"/>
      <c r="GFX37" s="51"/>
      <c r="GFY37" s="51"/>
      <c r="GFZ37" s="51"/>
      <c r="GGA37" s="51"/>
      <c r="GGB37" s="51"/>
      <c r="GGC37" s="51"/>
      <c r="GGD37" s="51"/>
      <c r="GGE37" s="51"/>
      <c r="GGF37" s="51"/>
      <c r="GGG37" s="51"/>
      <c r="GGH37" s="51"/>
      <c r="GGI37" s="51"/>
      <c r="GGJ37" s="51"/>
      <c r="GGK37" s="51"/>
      <c r="GGL37" s="51"/>
      <c r="GGM37" s="51"/>
      <c r="GGN37" s="51"/>
      <c r="GGO37" s="51"/>
      <c r="GGP37" s="51"/>
      <c r="GGQ37" s="51"/>
      <c r="GGR37" s="51"/>
      <c r="GGS37" s="51"/>
      <c r="GGT37" s="51"/>
      <c r="GGU37" s="51"/>
      <c r="GGV37" s="51"/>
      <c r="GGW37" s="51"/>
      <c r="GGX37" s="51"/>
      <c r="GGY37" s="51"/>
      <c r="GGZ37" s="51"/>
      <c r="GHA37" s="51"/>
      <c r="GHB37" s="51"/>
      <c r="GHC37" s="51"/>
      <c r="GHD37" s="51"/>
      <c r="GHE37" s="51"/>
      <c r="GHF37" s="51"/>
      <c r="GHG37" s="51"/>
      <c r="GHH37" s="51"/>
      <c r="GHI37" s="51"/>
      <c r="GHJ37" s="51"/>
      <c r="GHK37" s="51"/>
      <c r="GHL37" s="51"/>
      <c r="GHM37" s="51"/>
      <c r="GHN37" s="51"/>
      <c r="GHO37" s="51"/>
      <c r="GHP37" s="51"/>
      <c r="GHQ37" s="51"/>
      <c r="GHR37" s="51"/>
      <c r="GHS37" s="51"/>
      <c r="GHT37" s="51"/>
      <c r="GHU37" s="51"/>
      <c r="GHV37" s="51"/>
      <c r="GHW37" s="51"/>
      <c r="GHX37" s="51"/>
      <c r="GHY37" s="51"/>
      <c r="GHZ37" s="51"/>
      <c r="GIA37" s="51"/>
      <c r="GIB37" s="51"/>
      <c r="GIC37" s="51"/>
      <c r="GID37" s="51"/>
      <c r="GIE37" s="51"/>
      <c r="GIF37" s="51"/>
      <c r="GIG37" s="51"/>
      <c r="GIH37" s="51"/>
      <c r="GII37" s="51"/>
      <c r="GIJ37" s="51"/>
      <c r="GIK37" s="51"/>
      <c r="GIL37" s="51"/>
      <c r="GIM37" s="51"/>
      <c r="GIN37" s="51"/>
      <c r="GIO37" s="51"/>
      <c r="GIP37" s="51"/>
      <c r="GIQ37" s="51"/>
      <c r="GIR37" s="51"/>
      <c r="GIS37" s="51"/>
      <c r="GIT37" s="51"/>
      <c r="GIU37" s="51"/>
      <c r="GIV37" s="51"/>
      <c r="GIW37" s="51"/>
      <c r="GIX37" s="51"/>
      <c r="GIY37" s="51"/>
      <c r="GIZ37" s="51"/>
      <c r="GJA37" s="51"/>
      <c r="GJB37" s="51"/>
      <c r="GJC37" s="51"/>
      <c r="GJD37" s="51"/>
      <c r="GJE37" s="51"/>
      <c r="GJF37" s="51"/>
      <c r="GJG37" s="51"/>
      <c r="GJH37" s="51"/>
      <c r="GJI37" s="51"/>
      <c r="GJJ37" s="51"/>
      <c r="GJK37" s="51"/>
      <c r="GJL37" s="51"/>
      <c r="GJM37" s="51"/>
      <c r="GJN37" s="51"/>
      <c r="GJO37" s="51"/>
      <c r="GJP37" s="51"/>
      <c r="GJQ37" s="51"/>
      <c r="GJR37" s="51"/>
      <c r="GJS37" s="51"/>
      <c r="GJT37" s="51"/>
      <c r="GJU37" s="51"/>
      <c r="GJV37" s="51"/>
      <c r="GJW37" s="51"/>
      <c r="GJX37" s="51"/>
      <c r="GJY37" s="51"/>
      <c r="GJZ37" s="51"/>
      <c r="GKA37" s="51"/>
      <c r="GKB37" s="51"/>
      <c r="GKC37" s="51"/>
      <c r="GKD37" s="51"/>
      <c r="GKE37" s="51"/>
      <c r="GKF37" s="51"/>
      <c r="GKG37" s="51"/>
      <c r="GKH37" s="51"/>
      <c r="GKI37" s="51"/>
      <c r="GKJ37" s="51"/>
      <c r="GKK37" s="51"/>
      <c r="GKL37" s="51"/>
      <c r="GKM37" s="51"/>
      <c r="GKN37" s="51"/>
      <c r="GKO37" s="51"/>
      <c r="GKP37" s="51"/>
      <c r="GKQ37" s="51"/>
      <c r="GKR37" s="51"/>
      <c r="GKS37" s="51"/>
      <c r="GKT37" s="51"/>
      <c r="GKU37" s="51"/>
      <c r="GKV37" s="51"/>
      <c r="GKW37" s="51"/>
      <c r="GKX37" s="51"/>
      <c r="GKY37" s="51"/>
      <c r="GKZ37" s="51"/>
      <c r="GLA37" s="51"/>
      <c r="GLB37" s="51"/>
      <c r="GLC37" s="51"/>
      <c r="GLD37" s="51"/>
      <c r="GLE37" s="51"/>
      <c r="GLF37" s="51"/>
      <c r="GLG37" s="51"/>
      <c r="GLH37" s="51"/>
      <c r="GLI37" s="51"/>
      <c r="GLJ37" s="51"/>
      <c r="GLK37" s="51"/>
      <c r="GLL37" s="51"/>
      <c r="GLM37" s="51"/>
      <c r="GLN37" s="51"/>
      <c r="GLO37" s="51"/>
      <c r="GLP37" s="51"/>
      <c r="GLQ37" s="51"/>
      <c r="GLR37" s="51"/>
      <c r="GLS37" s="51"/>
      <c r="GLT37" s="51"/>
      <c r="GLU37" s="51"/>
      <c r="GLV37" s="51"/>
      <c r="GLW37" s="51"/>
      <c r="GLX37" s="51"/>
      <c r="GLY37" s="51"/>
      <c r="GLZ37" s="51"/>
      <c r="GMA37" s="51"/>
      <c r="GMB37" s="51"/>
      <c r="GMC37" s="51"/>
      <c r="GMD37" s="51"/>
      <c r="GME37" s="51"/>
      <c r="GMF37" s="51"/>
      <c r="GMG37" s="51"/>
      <c r="GMH37" s="51"/>
      <c r="GMI37" s="51"/>
      <c r="GMJ37" s="51"/>
      <c r="GMK37" s="51"/>
      <c r="GML37" s="51"/>
      <c r="GMM37" s="51"/>
      <c r="GMN37" s="51"/>
      <c r="GMO37" s="51"/>
      <c r="GMP37" s="51"/>
      <c r="GMQ37" s="51"/>
      <c r="GMR37" s="51"/>
      <c r="GMS37" s="51"/>
      <c r="GMT37" s="51"/>
      <c r="GMU37" s="51"/>
      <c r="GMV37" s="51"/>
      <c r="GMW37" s="51"/>
      <c r="GMX37" s="51"/>
      <c r="GMY37" s="51"/>
      <c r="GMZ37" s="51"/>
      <c r="GNA37" s="51"/>
      <c r="GNB37" s="51"/>
      <c r="GNC37" s="51"/>
      <c r="GND37" s="51"/>
      <c r="GNE37" s="51"/>
      <c r="GNF37" s="51"/>
      <c r="GNG37" s="51"/>
      <c r="GNH37" s="51"/>
      <c r="GNI37" s="51"/>
      <c r="GNJ37" s="51"/>
      <c r="GNK37" s="51"/>
      <c r="GNL37" s="51"/>
      <c r="GNM37" s="51"/>
      <c r="GNN37" s="51"/>
      <c r="GNO37" s="51"/>
      <c r="GNP37" s="51"/>
      <c r="GNQ37" s="51"/>
      <c r="GNR37" s="51"/>
      <c r="GNS37" s="51"/>
      <c r="GNT37" s="51"/>
      <c r="GNU37" s="51"/>
      <c r="GNV37" s="51"/>
      <c r="GNW37" s="51"/>
      <c r="GNX37" s="51"/>
      <c r="GNY37" s="51"/>
      <c r="GNZ37" s="51"/>
      <c r="GOA37" s="51"/>
      <c r="GOB37" s="51"/>
      <c r="GOC37" s="51"/>
      <c r="GOD37" s="51"/>
      <c r="GOE37" s="51"/>
      <c r="GOF37" s="51"/>
      <c r="GOG37" s="51"/>
      <c r="GOH37" s="51"/>
      <c r="GOI37" s="51"/>
      <c r="GOJ37" s="51"/>
      <c r="GOK37" s="51"/>
      <c r="GOL37" s="51"/>
      <c r="GOM37" s="51"/>
      <c r="GON37" s="51"/>
      <c r="GOO37" s="51"/>
      <c r="GOP37" s="51"/>
      <c r="GOQ37" s="51"/>
      <c r="GOR37" s="51"/>
      <c r="GOS37" s="51"/>
      <c r="GOT37" s="51"/>
      <c r="GOU37" s="51"/>
      <c r="GOV37" s="51"/>
      <c r="GOW37" s="51"/>
      <c r="GOX37" s="51"/>
      <c r="GOY37" s="51"/>
      <c r="GOZ37" s="51"/>
      <c r="GPA37" s="51"/>
      <c r="GPB37" s="51"/>
      <c r="GPC37" s="51"/>
      <c r="GPD37" s="51"/>
      <c r="GPE37" s="51"/>
      <c r="GPF37" s="51"/>
      <c r="GPG37" s="51"/>
      <c r="GPH37" s="51"/>
      <c r="GPI37" s="51"/>
      <c r="GPJ37" s="51"/>
      <c r="GPK37" s="51"/>
      <c r="GPL37" s="51"/>
      <c r="GPM37" s="51"/>
      <c r="GPN37" s="51"/>
      <c r="GPO37" s="51"/>
      <c r="GPP37" s="51"/>
      <c r="GPQ37" s="51"/>
      <c r="GPR37" s="51"/>
      <c r="GPS37" s="51"/>
      <c r="GPT37" s="51"/>
      <c r="GPU37" s="51"/>
      <c r="GPV37" s="51"/>
      <c r="GPW37" s="51"/>
      <c r="GPX37" s="51"/>
      <c r="GPY37" s="51"/>
      <c r="GPZ37" s="51"/>
      <c r="GQA37" s="51"/>
      <c r="GQB37" s="51"/>
      <c r="GQC37" s="51"/>
      <c r="GQD37" s="51"/>
      <c r="GQE37" s="51"/>
      <c r="GQF37" s="51"/>
      <c r="GQG37" s="51"/>
      <c r="GQH37" s="51"/>
      <c r="GQI37" s="51"/>
      <c r="GQJ37" s="51"/>
      <c r="GQK37" s="51"/>
      <c r="GQL37" s="51"/>
      <c r="GQM37" s="51"/>
      <c r="GQN37" s="51"/>
      <c r="GQO37" s="51"/>
      <c r="GQP37" s="51"/>
      <c r="GQQ37" s="51"/>
      <c r="GQR37" s="51"/>
      <c r="GQS37" s="51"/>
      <c r="GQT37" s="51"/>
      <c r="GQU37" s="51"/>
      <c r="GQV37" s="51"/>
      <c r="GQW37" s="51"/>
      <c r="GQX37" s="51"/>
      <c r="GQY37" s="51"/>
      <c r="GQZ37" s="51"/>
      <c r="GRA37" s="51"/>
      <c r="GRB37" s="51"/>
      <c r="GRC37" s="51"/>
      <c r="GRD37" s="51"/>
      <c r="GRE37" s="51"/>
      <c r="GRF37" s="51"/>
      <c r="GRG37" s="51"/>
      <c r="GRH37" s="51"/>
      <c r="GRI37" s="51"/>
      <c r="GRJ37" s="51"/>
      <c r="GRK37" s="51"/>
      <c r="GRL37" s="51"/>
      <c r="GRM37" s="51"/>
      <c r="GRN37" s="51"/>
      <c r="GRO37" s="51"/>
      <c r="GRP37" s="51"/>
      <c r="GRQ37" s="51"/>
      <c r="GRR37" s="51"/>
      <c r="GRS37" s="51"/>
      <c r="GRT37" s="51"/>
      <c r="GRU37" s="51"/>
      <c r="GRV37" s="51"/>
      <c r="GRW37" s="51"/>
      <c r="GRX37" s="51"/>
      <c r="GRY37" s="51"/>
      <c r="GRZ37" s="51"/>
      <c r="GSA37" s="51"/>
      <c r="GSB37" s="51"/>
      <c r="GSC37" s="51"/>
      <c r="GSD37" s="51"/>
      <c r="GSE37" s="51"/>
      <c r="GSF37" s="51"/>
      <c r="GSG37" s="51"/>
      <c r="GSH37" s="51"/>
      <c r="GSI37" s="51"/>
      <c r="GSJ37" s="51"/>
      <c r="GSK37" s="51"/>
      <c r="GSL37" s="51"/>
      <c r="GSM37" s="51"/>
      <c r="GSN37" s="51"/>
      <c r="GSO37" s="51"/>
      <c r="GSP37" s="51"/>
      <c r="GSQ37" s="51"/>
      <c r="GSR37" s="51"/>
      <c r="GSS37" s="51"/>
      <c r="GST37" s="51"/>
      <c r="GSU37" s="51"/>
      <c r="GSV37" s="51"/>
      <c r="GSW37" s="51"/>
      <c r="GSX37" s="51"/>
      <c r="GSY37" s="51"/>
      <c r="GSZ37" s="51"/>
      <c r="GTA37" s="51"/>
      <c r="GTB37" s="51"/>
      <c r="GTC37" s="51"/>
      <c r="GTD37" s="51"/>
      <c r="GTE37" s="51"/>
      <c r="GTF37" s="51"/>
      <c r="GTG37" s="51"/>
      <c r="GTH37" s="51"/>
      <c r="GTI37" s="51"/>
      <c r="GTJ37" s="51"/>
      <c r="GTK37" s="51"/>
      <c r="GTL37" s="51"/>
      <c r="GTM37" s="51"/>
      <c r="GTN37" s="51"/>
      <c r="GTO37" s="51"/>
      <c r="GTP37" s="51"/>
      <c r="GTQ37" s="51"/>
      <c r="GTR37" s="51"/>
      <c r="GTS37" s="51"/>
      <c r="GTT37" s="51"/>
      <c r="GTU37" s="51"/>
      <c r="GTV37" s="51"/>
      <c r="GTW37" s="51"/>
      <c r="GTX37" s="51"/>
      <c r="GTY37" s="51"/>
      <c r="GTZ37" s="51"/>
      <c r="GUA37" s="51"/>
      <c r="GUB37" s="51"/>
      <c r="GUC37" s="51"/>
      <c r="GUD37" s="51"/>
      <c r="GUE37" s="51"/>
      <c r="GUF37" s="51"/>
      <c r="GUG37" s="51"/>
      <c r="GUH37" s="51"/>
      <c r="GUI37" s="51"/>
      <c r="GUJ37" s="51"/>
      <c r="GUK37" s="51"/>
      <c r="GUL37" s="51"/>
      <c r="GUM37" s="51"/>
      <c r="GUN37" s="51"/>
      <c r="GUO37" s="51"/>
      <c r="GUP37" s="51"/>
      <c r="GUQ37" s="51"/>
      <c r="GUR37" s="51"/>
      <c r="GUS37" s="51"/>
      <c r="GUT37" s="51"/>
      <c r="GUU37" s="51"/>
      <c r="GUV37" s="51"/>
      <c r="GUW37" s="51"/>
      <c r="GUX37" s="51"/>
      <c r="GUY37" s="51"/>
      <c r="GUZ37" s="51"/>
      <c r="GVA37" s="51"/>
      <c r="GVB37" s="51"/>
      <c r="GVC37" s="51"/>
      <c r="GVD37" s="51"/>
      <c r="GVE37" s="51"/>
      <c r="GVF37" s="51"/>
      <c r="GVG37" s="51"/>
      <c r="GVH37" s="51"/>
      <c r="GVI37" s="51"/>
      <c r="GVJ37" s="51"/>
      <c r="GVK37" s="51"/>
      <c r="GVL37" s="51"/>
      <c r="GVM37" s="51"/>
      <c r="GVN37" s="51"/>
      <c r="GVO37" s="51"/>
      <c r="GVP37" s="51"/>
      <c r="GVQ37" s="51"/>
      <c r="GVR37" s="51"/>
      <c r="GVS37" s="51"/>
      <c r="GVT37" s="51"/>
      <c r="GVU37" s="51"/>
      <c r="GVV37" s="51"/>
      <c r="GVW37" s="51"/>
      <c r="GVX37" s="51"/>
      <c r="GVY37" s="51"/>
      <c r="GVZ37" s="51"/>
      <c r="GWA37" s="51"/>
      <c r="GWB37" s="51"/>
      <c r="GWC37" s="51"/>
      <c r="GWD37" s="51"/>
      <c r="GWE37" s="51"/>
      <c r="GWF37" s="51"/>
      <c r="GWG37" s="51"/>
      <c r="GWH37" s="51"/>
      <c r="GWI37" s="51"/>
      <c r="GWJ37" s="51"/>
      <c r="GWK37" s="51"/>
      <c r="GWL37" s="51"/>
      <c r="GWM37" s="51"/>
      <c r="GWN37" s="51"/>
      <c r="GWO37" s="51"/>
      <c r="GWP37" s="51"/>
      <c r="GWQ37" s="51"/>
      <c r="GWR37" s="51"/>
      <c r="GWS37" s="51"/>
      <c r="GWT37" s="51"/>
      <c r="GWU37" s="51"/>
      <c r="GWV37" s="51"/>
      <c r="GWW37" s="51"/>
      <c r="GWX37" s="51"/>
      <c r="GWY37" s="51"/>
      <c r="GWZ37" s="51"/>
      <c r="GXA37" s="51"/>
      <c r="GXB37" s="51"/>
      <c r="GXC37" s="51"/>
      <c r="GXD37" s="51"/>
      <c r="GXE37" s="51"/>
      <c r="GXF37" s="51"/>
      <c r="GXG37" s="51"/>
      <c r="GXH37" s="51"/>
      <c r="GXI37" s="51"/>
      <c r="GXJ37" s="51"/>
      <c r="GXK37" s="51"/>
      <c r="GXL37" s="51"/>
      <c r="GXM37" s="51"/>
      <c r="GXN37" s="51"/>
      <c r="GXO37" s="51"/>
      <c r="GXP37" s="51"/>
      <c r="GXQ37" s="51"/>
      <c r="GXR37" s="51"/>
      <c r="GXS37" s="51"/>
      <c r="GXT37" s="51"/>
      <c r="GXU37" s="51"/>
      <c r="GXV37" s="51"/>
      <c r="GXW37" s="51"/>
      <c r="GXX37" s="51"/>
      <c r="GXY37" s="51"/>
      <c r="GXZ37" s="51"/>
      <c r="GYA37" s="51"/>
      <c r="GYB37" s="51"/>
      <c r="GYC37" s="51"/>
      <c r="GYD37" s="51"/>
      <c r="GYE37" s="51"/>
      <c r="GYF37" s="51"/>
      <c r="GYG37" s="51"/>
      <c r="GYH37" s="51"/>
      <c r="GYI37" s="51"/>
      <c r="GYJ37" s="51"/>
      <c r="GYK37" s="51"/>
      <c r="GYL37" s="51"/>
      <c r="GYM37" s="51"/>
      <c r="GYN37" s="51"/>
      <c r="GYO37" s="51"/>
      <c r="GYP37" s="51"/>
      <c r="GYQ37" s="51"/>
      <c r="GYR37" s="51"/>
      <c r="GYS37" s="51"/>
      <c r="GYT37" s="51"/>
      <c r="GYU37" s="51"/>
      <c r="GYV37" s="51"/>
      <c r="GYW37" s="51"/>
      <c r="GYX37" s="51"/>
      <c r="GYY37" s="51"/>
      <c r="GYZ37" s="51"/>
      <c r="GZA37" s="51"/>
      <c r="GZB37" s="51"/>
      <c r="GZC37" s="51"/>
      <c r="GZD37" s="51"/>
      <c r="GZE37" s="51"/>
      <c r="GZF37" s="51"/>
      <c r="GZG37" s="51"/>
      <c r="GZH37" s="51"/>
      <c r="GZI37" s="51"/>
      <c r="GZJ37" s="51"/>
      <c r="GZK37" s="51"/>
      <c r="GZL37" s="51"/>
      <c r="GZM37" s="51"/>
      <c r="GZN37" s="51"/>
      <c r="GZO37" s="51"/>
      <c r="GZP37" s="51"/>
      <c r="GZQ37" s="51"/>
      <c r="GZR37" s="51"/>
      <c r="GZS37" s="51"/>
      <c r="GZT37" s="51"/>
      <c r="GZU37" s="51"/>
      <c r="GZV37" s="51"/>
      <c r="GZW37" s="51"/>
      <c r="GZX37" s="51"/>
      <c r="GZY37" s="51"/>
      <c r="GZZ37" s="51"/>
      <c r="HAA37" s="51"/>
      <c r="HAB37" s="51"/>
      <c r="HAC37" s="51"/>
      <c r="HAD37" s="51"/>
      <c r="HAE37" s="51"/>
      <c r="HAF37" s="51"/>
      <c r="HAG37" s="51"/>
      <c r="HAH37" s="51"/>
      <c r="HAI37" s="51"/>
      <c r="HAJ37" s="51"/>
      <c r="HAK37" s="51"/>
      <c r="HAL37" s="51"/>
      <c r="HAM37" s="51"/>
      <c r="HAN37" s="51"/>
      <c r="HAO37" s="51"/>
      <c r="HAP37" s="51"/>
      <c r="HAQ37" s="51"/>
      <c r="HAR37" s="51"/>
      <c r="HAS37" s="51"/>
      <c r="HAT37" s="51"/>
      <c r="HAU37" s="51"/>
      <c r="HAV37" s="51"/>
      <c r="HAW37" s="51"/>
      <c r="HAX37" s="51"/>
      <c r="HAY37" s="51"/>
      <c r="HAZ37" s="51"/>
      <c r="HBA37" s="51"/>
      <c r="HBB37" s="51"/>
      <c r="HBC37" s="51"/>
      <c r="HBD37" s="51"/>
      <c r="HBE37" s="51"/>
      <c r="HBF37" s="51"/>
      <c r="HBG37" s="51"/>
      <c r="HBH37" s="51"/>
      <c r="HBI37" s="51"/>
      <c r="HBJ37" s="51"/>
      <c r="HBK37" s="51"/>
      <c r="HBL37" s="51"/>
      <c r="HBM37" s="51"/>
      <c r="HBN37" s="51"/>
      <c r="HBO37" s="51"/>
      <c r="HBP37" s="51"/>
      <c r="HBQ37" s="51"/>
      <c r="HBR37" s="51"/>
      <c r="HBS37" s="51"/>
      <c r="HBT37" s="51"/>
      <c r="HBU37" s="51"/>
      <c r="HBV37" s="51"/>
      <c r="HBW37" s="51"/>
      <c r="HBX37" s="51"/>
      <c r="HBY37" s="51"/>
      <c r="HBZ37" s="51"/>
      <c r="HCA37" s="51"/>
      <c r="HCB37" s="51"/>
      <c r="HCC37" s="51"/>
      <c r="HCD37" s="51"/>
      <c r="HCE37" s="51"/>
      <c r="HCF37" s="51"/>
      <c r="HCG37" s="51"/>
      <c r="HCH37" s="51"/>
      <c r="HCI37" s="51"/>
      <c r="HCJ37" s="51"/>
      <c r="HCK37" s="51"/>
      <c r="HCL37" s="51"/>
      <c r="HCM37" s="51"/>
      <c r="HCN37" s="51"/>
      <c r="HCO37" s="51"/>
      <c r="HCP37" s="51"/>
      <c r="HCQ37" s="51"/>
      <c r="HCR37" s="51"/>
      <c r="HCS37" s="51"/>
      <c r="HCT37" s="51"/>
      <c r="HCU37" s="51"/>
      <c r="HCV37" s="51"/>
      <c r="HCW37" s="51"/>
      <c r="HCX37" s="51"/>
      <c r="HCY37" s="51"/>
      <c r="HCZ37" s="51"/>
      <c r="HDA37" s="51"/>
      <c r="HDB37" s="51"/>
      <c r="HDC37" s="51"/>
      <c r="HDD37" s="51"/>
      <c r="HDE37" s="51"/>
      <c r="HDF37" s="51"/>
      <c r="HDG37" s="51"/>
      <c r="HDH37" s="51"/>
      <c r="HDI37" s="51"/>
      <c r="HDJ37" s="51"/>
      <c r="HDK37" s="51"/>
      <c r="HDL37" s="51"/>
      <c r="HDM37" s="51"/>
      <c r="HDN37" s="51"/>
      <c r="HDO37" s="51"/>
      <c r="HDP37" s="51"/>
      <c r="HDQ37" s="51"/>
      <c r="HDR37" s="51"/>
      <c r="HDS37" s="51"/>
      <c r="HDT37" s="51"/>
      <c r="HDU37" s="51"/>
      <c r="HDV37" s="51"/>
      <c r="HDW37" s="51"/>
      <c r="HDX37" s="51"/>
      <c r="HDY37" s="51"/>
      <c r="HDZ37" s="51"/>
      <c r="HEA37" s="51"/>
      <c r="HEB37" s="51"/>
      <c r="HEC37" s="51"/>
      <c r="HED37" s="51"/>
      <c r="HEE37" s="51"/>
      <c r="HEF37" s="51"/>
      <c r="HEG37" s="51"/>
      <c r="HEH37" s="51"/>
      <c r="HEI37" s="51"/>
      <c r="HEJ37" s="51"/>
      <c r="HEK37" s="51"/>
      <c r="HEL37" s="51"/>
      <c r="HEM37" s="51"/>
      <c r="HEN37" s="51"/>
      <c r="HEO37" s="51"/>
      <c r="HEP37" s="51"/>
      <c r="HEQ37" s="51"/>
      <c r="HER37" s="51"/>
      <c r="HES37" s="51"/>
      <c r="HET37" s="51"/>
      <c r="HEU37" s="51"/>
      <c r="HEV37" s="51"/>
      <c r="HEW37" s="51"/>
      <c r="HEX37" s="51"/>
      <c r="HEY37" s="51"/>
      <c r="HEZ37" s="51"/>
      <c r="HFA37" s="51"/>
      <c r="HFB37" s="51"/>
      <c r="HFC37" s="51"/>
      <c r="HFD37" s="51"/>
      <c r="HFE37" s="51"/>
      <c r="HFF37" s="51"/>
      <c r="HFG37" s="51"/>
      <c r="HFH37" s="51"/>
      <c r="HFI37" s="51"/>
      <c r="HFJ37" s="51"/>
      <c r="HFK37" s="51"/>
      <c r="HFL37" s="51"/>
      <c r="HFM37" s="51"/>
      <c r="HFN37" s="51"/>
      <c r="HFO37" s="51"/>
      <c r="HFP37" s="51"/>
      <c r="HFQ37" s="51"/>
      <c r="HFR37" s="51"/>
      <c r="HFS37" s="51"/>
      <c r="HFT37" s="51"/>
      <c r="HFU37" s="51"/>
      <c r="HFV37" s="51"/>
      <c r="HFW37" s="51"/>
      <c r="HFX37" s="51"/>
      <c r="HFY37" s="51"/>
      <c r="HFZ37" s="51"/>
      <c r="HGA37" s="51"/>
      <c r="HGB37" s="51"/>
      <c r="HGC37" s="51"/>
      <c r="HGD37" s="51"/>
      <c r="HGE37" s="51"/>
      <c r="HGF37" s="51"/>
      <c r="HGG37" s="51"/>
      <c r="HGH37" s="51"/>
      <c r="HGI37" s="51"/>
      <c r="HGJ37" s="51"/>
      <c r="HGK37" s="51"/>
      <c r="HGL37" s="51"/>
      <c r="HGM37" s="51"/>
      <c r="HGN37" s="51"/>
      <c r="HGO37" s="51"/>
      <c r="HGP37" s="51"/>
      <c r="HGQ37" s="51"/>
      <c r="HGR37" s="51"/>
      <c r="HGS37" s="51"/>
      <c r="HGT37" s="51"/>
      <c r="HGU37" s="51"/>
      <c r="HGV37" s="51"/>
      <c r="HGW37" s="51"/>
      <c r="HGX37" s="51"/>
      <c r="HGY37" s="51"/>
      <c r="HGZ37" s="51"/>
      <c r="HHA37" s="51"/>
      <c r="HHB37" s="51"/>
      <c r="HHC37" s="51"/>
      <c r="HHD37" s="51"/>
      <c r="HHE37" s="51"/>
      <c r="HHF37" s="51"/>
      <c r="HHG37" s="51"/>
      <c r="HHH37" s="51"/>
      <c r="HHI37" s="51"/>
      <c r="HHJ37" s="51"/>
      <c r="HHK37" s="51"/>
      <c r="HHL37" s="51"/>
      <c r="HHM37" s="51"/>
      <c r="HHN37" s="51"/>
      <c r="HHO37" s="51"/>
      <c r="HHP37" s="51"/>
      <c r="HHQ37" s="51"/>
      <c r="HHR37" s="51"/>
      <c r="HHS37" s="51"/>
      <c r="HHT37" s="51"/>
      <c r="HHU37" s="51"/>
      <c r="HHV37" s="51"/>
      <c r="HHW37" s="51"/>
      <c r="HHX37" s="51"/>
      <c r="HHY37" s="51"/>
      <c r="HHZ37" s="51"/>
      <c r="HIA37" s="51"/>
      <c r="HIB37" s="51"/>
      <c r="HIC37" s="51"/>
      <c r="HID37" s="51"/>
      <c r="HIE37" s="51"/>
      <c r="HIF37" s="51"/>
      <c r="HIG37" s="51"/>
      <c r="HIH37" s="51"/>
      <c r="HII37" s="51"/>
      <c r="HIJ37" s="51"/>
      <c r="HIK37" s="51"/>
      <c r="HIL37" s="51"/>
      <c r="HIM37" s="51"/>
      <c r="HIN37" s="51"/>
      <c r="HIO37" s="51"/>
      <c r="HIP37" s="51"/>
      <c r="HIQ37" s="51"/>
      <c r="HIR37" s="51"/>
      <c r="HIS37" s="51"/>
      <c r="HIT37" s="51"/>
      <c r="HIU37" s="51"/>
      <c r="HIV37" s="51"/>
      <c r="HIW37" s="51"/>
      <c r="HIX37" s="51"/>
      <c r="HIY37" s="51"/>
      <c r="HIZ37" s="51"/>
      <c r="HJA37" s="51"/>
      <c r="HJB37" s="51"/>
      <c r="HJC37" s="51"/>
      <c r="HJD37" s="51"/>
      <c r="HJE37" s="51"/>
      <c r="HJF37" s="51"/>
      <c r="HJG37" s="51"/>
      <c r="HJH37" s="51"/>
      <c r="HJI37" s="51"/>
      <c r="HJJ37" s="51"/>
      <c r="HJK37" s="51"/>
      <c r="HJL37" s="51"/>
      <c r="HJM37" s="51"/>
      <c r="HJN37" s="51"/>
      <c r="HJO37" s="51"/>
      <c r="HJP37" s="51"/>
      <c r="HJQ37" s="51"/>
      <c r="HJR37" s="51"/>
      <c r="HJS37" s="51"/>
      <c r="HJT37" s="51"/>
      <c r="HJU37" s="51"/>
      <c r="HJV37" s="51"/>
      <c r="HJW37" s="51"/>
      <c r="HJX37" s="51"/>
      <c r="HJY37" s="51"/>
      <c r="HJZ37" s="51"/>
      <c r="HKA37" s="51"/>
      <c r="HKB37" s="51"/>
      <c r="HKC37" s="51"/>
      <c r="HKD37" s="51"/>
      <c r="HKE37" s="51"/>
      <c r="HKF37" s="51"/>
      <c r="HKG37" s="51"/>
      <c r="HKH37" s="51"/>
      <c r="HKI37" s="51"/>
      <c r="HKJ37" s="51"/>
      <c r="HKK37" s="51"/>
      <c r="HKL37" s="51"/>
      <c r="HKM37" s="51"/>
      <c r="HKN37" s="51"/>
      <c r="HKO37" s="51"/>
      <c r="HKP37" s="51"/>
      <c r="HKQ37" s="51"/>
      <c r="HKR37" s="51"/>
      <c r="HKS37" s="51"/>
      <c r="HKT37" s="51"/>
      <c r="HKU37" s="51"/>
      <c r="HKV37" s="51"/>
      <c r="HKW37" s="51"/>
      <c r="HKX37" s="51"/>
      <c r="HKY37" s="51"/>
      <c r="HKZ37" s="51"/>
      <c r="HLA37" s="51"/>
      <c r="HLB37" s="51"/>
      <c r="HLC37" s="51"/>
      <c r="HLD37" s="51"/>
      <c r="HLE37" s="51"/>
      <c r="HLF37" s="51"/>
      <c r="HLG37" s="51"/>
      <c r="HLH37" s="51"/>
      <c r="HLI37" s="51"/>
      <c r="HLJ37" s="51"/>
      <c r="HLK37" s="51"/>
      <c r="HLL37" s="51"/>
      <c r="HLM37" s="51"/>
      <c r="HLN37" s="51"/>
      <c r="HLO37" s="51"/>
      <c r="HLP37" s="51"/>
      <c r="HLQ37" s="51"/>
      <c r="HLR37" s="51"/>
      <c r="HLS37" s="51"/>
      <c r="HLT37" s="51"/>
      <c r="HLU37" s="51"/>
      <c r="HLV37" s="51"/>
      <c r="HLW37" s="51"/>
      <c r="HLX37" s="51"/>
      <c r="HLY37" s="51"/>
      <c r="HLZ37" s="51"/>
      <c r="HMA37" s="51"/>
      <c r="HMB37" s="51"/>
      <c r="HMC37" s="51"/>
      <c r="HMD37" s="51"/>
      <c r="HME37" s="51"/>
      <c r="HMF37" s="51"/>
      <c r="HMG37" s="51"/>
      <c r="HMH37" s="51"/>
      <c r="HMI37" s="51"/>
      <c r="HMJ37" s="51"/>
      <c r="HMK37" s="51"/>
      <c r="HML37" s="51"/>
      <c r="HMM37" s="51"/>
      <c r="HMN37" s="51"/>
      <c r="HMO37" s="51"/>
      <c r="HMP37" s="51"/>
      <c r="HMQ37" s="51"/>
      <c r="HMR37" s="51"/>
      <c r="HMS37" s="51"/>
      <c r="HMT37" s="51"/>
      <c r="HMU37" s="51"/>
      <c r="HMV37" s="51"/>
      <c r="HMW37" s="51"/>
      <c r="HMX37" s="51"/>
      <c r="HMY37" s="51"/>
      <c r="HMZ37" s="51"/>
      <c r="HNA37" s="51"/>
      <c r="HNB37" s="51"/>
      <c r="HNC37" s="51"/>
      <c r="HND37" s="51"/>
      <c r="HNE37" s="51"/>
      <c r="HNF37" s="51"/>
      <c r="HNG37" s="51"/>
      <c r="HNH37" s="51"/>
      <c r="HNI37" s="51"/>
      <c r="HNJ37" s="51"/>
      <c r="HNK37" s="51"/>
      <c r="HNL37" s="51"/>
      <c r="HNM37" s="51"/>
      <c r="HNN37" s="51"/>
      <c r="HNO37" s="51"/>
      <c r="HNP37" s="51"/>
      <c r="HNQ37" s="51"/>
      <c r="HNR37" s="51"/>
      <c r="HNS37" s="51"/>
      <c r="HNT37" s="51"/>
      <c r="HNU37" s="51"/>
      <c r="HNV37" s="51"/>
      <c r="HNW37" s="51"/>
      <c r="HNX37" s="51"/>
      <c r="HNY37" s="51"/>
      <c r="HNZ37" s="51"/>
      <c r="HOA37" s="51"/>
      <c r="HOB37" s="51"/>
      <c r="HOC37" s="51"/>
      <c r="HOD37" s="51"/>
      <c r="HOE37" s="51"/>
      <c r="HOF37" s="51"/>
      <c r="HOG37" s="51"/>
      <c r="HOH37" s="51"/>
      <c r="HOI37" s="51"/>
      <c r="HOJ37" s="51"/>
      <c r="HOK37" s="51"/>
      <c r="HOL37" s="51"/>
      <c r="HOM37" s="51"/>
      <c r="HON37" s="51"/>
      <c r="HOO37" s="51"/>
      <c r="HOP37" s="51"/>
      <c r="HOQ37" s="51"/>
      <c r="HOR37" s="51"/>
      <c r="HOS37" s="51"/>
      <c r="HOT37" s="51"/>
      <c r="HOU37" s="51"/>
      <c r="HOV37" s="51"/>
      <c r="HOW37" s="51"/>
      <c r="HOX37" s="51"/>
      <c r="HOY37" s="51"/>
      <c r="HOZ37" s="51"/>
      <c r="HPA37" s="51"/>
      <c r="HPB37" s="51"/>
      <c r="HPC37" s="51"/>
      <c r="HPD37" s="51"/>
      <c r="HPE37" s="51"/>
      <c r="HPF37" s="51"/>
      <c r="HPG37" s="51"/>
      <c r="HPH37" s="51"/>
      <c r="HPI37" s="51"/>
      <c r="HPJ37" s="51"/>
      <c r="HPK37" s="51"/>
      <c r="HPL37" s="51"/>
      <c r="HPM37" s="51"/>
      <c r="HPN37" s="51"/>
      <c r="HPO37" s="51"/>
      <c r="HPP37" s="51"/>
      <c r="HPQ37" s="51"/>
      <c r="HPR37" s="51"/>
      <c r="HPS37" s="51"/>
      <c r="HPT37" s="51"/>
      <c r="HPU37" s="51"/>
      <c r="HPV37" s="51"/>
      <c r="HPW37" s="51"/>
      <c r="HPX37" s="51"/>
      <c r="HPY37" s="51"/>
      <c r="HPZ37" s="51"/>
      <c r="HQA37" s="51"/>
      <c r="HQB37" s="51"/>
      <c r="HQC37" s="51"/>
      <c r="HQD37" s="51"/>
      <c r="HQE37" s="51"/>
      <c r="HQF37" s="51"/>
      <c r="HQG37" s="51"/>
      <c r="HQH37" s="51"/>
      <c r="HQI37" s="51"/>
      <c r="HQJ37" s="51"/>
      <c r="HQK37" s="51"/>
      <c r="HQL37" s="51"/>
      <c r="HQM37" s="51"/>
      <c r="HQN37" s="51"/>
      <c r="HQO37" s="51"/>
      <c r="HQP37" s="51"/>
      <c r="HQQ37" s="51"/>
      <c r="HQR37" s="51"/>
      <c r="HQS37" s="51"/>
      <c r="HQT37" s="51"/>
      <c r="HQU37" s="51"/>
      <c r="HQV37" s="51"/>
      <c r="HQW37" s="51"/>
      <c r="HQX37" s="51"/>
      <c r="HQY37" s="51"/>
      <c r="HQZ37" s="51"/>
      <c r="HRA37" s="51"/>
      <c r="HRB37" s="51"/>
      <c r="HRC37" s="51"/>
      <c r="HRD37" s="51"/>
      <c r="HRE37" s="51"/>
      <c r="HRF37" s="51"/>
      <c r="HRG37" s="51"/>
      <c r="HRH37" s="51"/>
      <c r="HRI37" s="51"/>
      <c r="HRJ37" s="51"/>
      <c r="HRK37" s="51"/>
      <c r="HRL37" s="51"/>
      <c r="HRM37" s="51"/>
      <c r="HRN37" s="51"/>
      <c r="HRO37" s="51"/>
      <c r="HRP37" s="51"/>
      <c r="HRQ37" s="51"/>
      <c r="HRR37" s="51"/>
      <c r="HRS37" s="51"/>
      <c r="HRT37" s="51"/>
      <c r="HRU37" s="51"/>
      <c r="HRV37" s="51"/>
      <c r="HRW37" s="51"/>
      <c r="HRX37" s="51"/>
      <c r="HRY37" s="51"/>
      <c r="HRZ37" s="51"/>
      <c r="HSA37" s="51"/>
      <c r="HSB37" s="51"/>
      <c r="HSC37" s="51"/>
      <c r="HSD37" s="51"/>
      <c r="HSE37" s="51"/>
      <c r="HSF37" s="51"/>
      <c r="HSG37" s="51"/>
      <c r="HSH37" s="51"/>
      <c r="HSI37" s="51"/>
      <c r="HSJ37" s="51"/>
      <c r="HSK37" s="51"/>
      <c r="HSL37" s="51"/>
      <c r="HSM37" s="51"/>
      <c r="HSN37" s="51"/>
      <c r="HSO37" s="51"/>
      <c r="HSP37" s="51"/>
      <c r="HSQ37" s="51"/>
      <c r="HSR37" s="51"/>
      <c r="HSS37" s="51"/>
      <c r="HST37" s="51"/>
      <c r="HSU37" s="51"/>
      <c r="HSV37" s="51"/>
      <c r="HSW37" s="51"/>
      <c r="HSX37" s="51"/>
      <c r="HSY37" s="51"/>
      <c r="HSZ37" s="51"/>
      <c r="HTA37" s="51"/>
      <c r="HTB37" s="51"/>
      <c r="HTC37" s="51"/>
      <c r="HTD37" s="51"/>
      <c r="HTE37" s="51"/>
      <c r="HTF37" s="51"/>
      <c r="HTG37" s="51"/>
      <c r="HTH37" s="51"/>
      <c r="HTI37" s="51"/>
      <c r="HTJ37" s="51"/>
      <c r="HTK37" s="51"/>
      <c r="HTL37" s="51"/>
      <c r="HTM37" s="51"/>
      <c r="HTN37" s="51"/>
      <c r="HTO37" s="51"/>
      <c r="HTP37" s="51"/>
      <c r="HTQ37" s="51"/>
      <c r="HTR37" s="51"/>
      <c r="HTS37" s="51"/>
      <c r="HTT37" s="51"/>
      <c r="HTU37" s="51"/>
      <c r="HTV37" s="51"/>
      <c r="HTW37" s="51"/>
      <c r="HTX37" s="51"/>
      <c r="HTY37" s="51"/>
      <c r="HTZ37" s="51"/>
      <c r="HUA37" s="51"/>
      <c r="HUB37" s="51"/>
      <c r="HUC37" s="51"/>
      <c r="HUD37" s="51"/>
      <c r="HUE37" s="51"/>
      <c r="HUF37" s="51"/>
      <c r="HUG37" s="51"/>
      <c r="HUH37" s="51"/>
      <c r="HUI37" s="51"/>
      <c r="HUJ37" s="51"/>
      <c r="HUK37" s="51"/>
      <c r="HUL37" s="51"/>
      <c r="HUM37" s="51"/>
      <c r="HUN37" s="51"/>
      <c r="HUO37" s="51"/>
      <c r="HUP37" s="51"/>
      <c r="HUQ37" s="51"/>
      <c r="HUR37" s="51"/>
      <c r="HUS37" s="51"/>
      <c r="HUT37" s="51"/>
      <c r="HUU37" s="51"/>
      <c r="HUV37" s="51"/>
      <c r="HUW37" s="51"/>
      <c r="HUX37" s="51"/>
      <c r="HUY37" s="51"/>
      <c r="HUZ37" s="51"/>
      <c r="HVA37" s="51"/>
      <c r="HVB37" s="51"/>
      <c r="HVC37" s="51"/>
      <c r="HVD37" s="51"/>
      <c r="HVE37" s="51"/>
      <c r="HVF37" s="51"/>
      <c r="HVG37" s="51"/>
      <c r="HVH37" s="51"/>
      <c r="HVI37" s="51"/>
      <c r="HVJ37" s="51"/>
      <c r="HVK37" s="51"/>
      <c r="HVL37" s="51"/>
      <c r="HVM37" s="51"/>
      <c r="HVN37" s="51"/>
      <c r="HVO37" s="51"/>
      <c r="HVP37" s="51"/>
      <c r="HVQ37" s="51"/>
      <c r="HVR37" s="51"/>
      <c r="HVS37" s="51"/>
      <c r="HVT37" s="51"/>
      <c r="HVU37" s="51"/>
      <c r="HVV37" s="51"/>
      <c r="HVW37" s="51"/>
      <c r="HVX37" s="51"/>
      <c r="HVY37" s="51"/>
      <c r="HVZ37" s="51"/>
      <c r="HWA37" s="51"/>
      <c r="HWB37" s="51"/>
      <c r="HWC37" s="51"/>
      <c r="HWD37" s="51"/>
      <c r="HWE37" s="51"/>
      <c r="HWF37" s="51"/>
      <c r="HWG37" s="51"/>
      <c r="HWH37" s="51"/>
      <c r="HWI37" s="51"/>
      <c r="HWJ37" s="51"/>
      <c r="HWK37" s="51"/>
      <c r="HWL37" s="51"/>
      <c r="HWM37" s="51"/>
      <c r="HWN37" s="51"/>
      <c r="HWO37" s="51"/>
      <c r="HWP37" s="51"/>
      <c r="HWQ37" s="51"/>
      <c r="HWR37" s="51"/>
      <c r="HWS37" s="51"/>
      <c r="HWT37" s="51"/>
      <c r="HWU37" s="51"/>
      <c r="HWV37" s="51"/>
      <c r="HWW37" s="51"/>
      <c r="HWX37" s="51"/>
      <c r="HWY37" s="51"/>
      <c r="HWZ37" s="51"/>
      <c r="HXA37" s="51"/>
      <c r="HXB37" s="51"/>
      <c r="HXC37" s="51"/>
      <c r="HXD37" s="51"/>
      <c r="HXE37" s="51"/>
      <c r="HXF37" s="51"/>
      <c r="HXG37" s="51"/>
      <c r="HXH37" s="51"/>
      <c r="HXI37" s="51"/>
      <c r="HXJ37" s="51"/>
      <c r="HXK37" s="51"/>
      <c r="HXL37" s="51"/>
      <c r="HXM37" s="51"/>
      <c r="HXN37" s="51"/>
      <c r="HXO37" s="51"/>
      <c r="HXP37" s="51"/>
      <c r="HXQ37" s="51"/>
      <c r="HXR37" s="51"/>
      <c r="HXS37" s="51"/>
      <c r="HXT37" s="51"/>
      <c r="HXU37" s="51"/>
      <c r="HXV37" s="51"/>
      <c r="HXW37" s="51"/>
      <c r="HXX37" s="51"/>
      <c r="HXY37" s="51"/>
      <c r="HXZ37" s="51"/>
      <c r="HYA37" s="51"/>
      <c r="HYB37" s="51"/>
      <c r="HYC37" s="51"/>
      <c r="HYD37" s="51"/>
      <c r="HYE37" s="51"/>
      <c r="HYF37" s="51"/>
      <c r="HYG37" s="51"/>
      <c r="HYH37" s="51"/>
      <c r="HYI37" s="51"/>
      <c r="HYJ37" s="51"/>
      <c r="HYK37" s="51"/>
      <c r="HYL37" s="51"/>
      <c r="HYM37" s="51"/>
      <c r="HYN37" s="51"/>
      <c r="HYO37" s="51"/>
      <c r="HYP37" s="51"/>
      <c r="HYQ37" s="51"/>
      <c r="HYR37" s="51"/>
      <c r="HYS37" s="51"/>
      <c r="HYT37" s="51"/>
      <c r="HYU37" s="51"/>
      <c r="HYV37" s="51"/>
      <c r="HYW37" s="51"/>
      <c r="HYX37" s="51"/>
      <c r="HYY37" s="51"/>
      <c r="HYZ37" s="51"/>
      <c r="HZA37" s="51"/>
      <c r="HZB37" s="51"/>
      <c r="HZC37" s="51"/>
      <c r="HZD37" s="51"/>
      <c r="HZE37" s="51"/>
      <c r="HZF37" s="51"/>
      <c r="HZG37" s="51"/>
      <c r="HZH37" s="51"/>
      <c r="HZI37" s="51"/>
      <c r="HZJ37" s="51"/>
      <c r="HZK37" s="51"/>
      <c r="HZL37" s="51"/>
      <c r="HZM37" s="51"/>
      <c r="HZN37" s="51"/>
      <c r="HZO37" s="51"/>
      <c r="HZP37" s="51"/>
      <c r="HZQ37" s="51"/>
      <c r="HZR37" s="51"/>
      <c r="HZS37" s="51"/>
      <c r="HZT37" s="51"/>
      <c r="HZU37" s="51"/>
      <c r="HZV37" s="51"/>
      <c r="HZW37" s="51"/>
      <c r="HZX37" s="51"/>
      <c r="HZY37" s="51"/>
      <c r="HZZ37" s="51"/>
      <c r="IAA37" s="51"/>
      <c r="IAB37" s="51"/>
      <c r="IAC37" s="51"/>
      <c r="IAD37" s="51"/>
      <c r="IAE37" s="51"/>
      <c r="IAF37" s="51"/>
      <c r="IAG37" s="51"/>
      <c r="IAH37" s="51"/>
      <c r="IAI37" s="51"/>
      <c r="IAJ37" s="51"/>
      <c r="IAK37" s="51"/>
      <c r="IAL37" s="51"/>
      <c r="IAM37" s="51"/>
      <c r="IAN37" s="51"/>
      <c r="IAO37" s="51"/>
      <c r="IAP37" s="51"/>
      <c r="IAQ37" s="51"/>
      <c r="IAR37" s="51"/>
      <c r="IAS37" s="51"/>
      <c r="IAT37" s="51"/>
      <c r="IAU37" s="51"/>
      <c r="IAV37" s="51"/>
      <c r="IAW37" s="51"/>
      <c r="IAX37" s="51"/>
      <c r="IAY37" s="51"/>
      <c r="IAZ37" s="51"/>
      <c r="IBA37" s="51"/>
      <c r="IBB37" s="51"/>
      <c r="IBC37" s="51"/>
      <c r="IBD37" s="51"/>
      <c r="IBE37" s="51"/>
      <c r="IBF37" s="51"/>
      <c r="IBG37" s="51"/>
      <c r="IBH37" s="51"/>
      <c r="IBI37" s="51"/>
      <c r="IBJ37" s="51"/>
      <c r="IBK37" s="51"/>
      <c r="IBL37" s="51"/>
      <c r="IBM37" s="51"/>
      <c r="IBN37" s="51"/>
      <c r="IBO37" s="51"/>
      <c r="IBP37" s="51"/>
      <c r="IBQ37" s="51"/>
      <c r="IBR37" s="51"/>
      <c r="IBS37" s="51"/>
      <c r="IBT37" s="51"/>
      <c r="IBU37" s="51"/>
      <c r="IBV37" s="51"/>
      <c r="IBW37" s="51"/>
      <c r="IBX37" s="51"/>
      <c r="IBY37" s="51"/>
      <c r="IBZ37" s="51"/>
      <c r="ICA37" s="51"/>
      <c r="ICB37" s="51"/>
      <c r="ICC37" s="51"/>
      <c r="ICD37" s="51"/>
      <c r="ICE37" s="51"/>
      <c r="ICF37" s="51"/>
      <c r="ICG37" s="51"/>
      <c r="ICH37" s="51"/>
      <c r="ICI37" s="51"/>
      <c r="ICJ37" s="51"/>
      <c r="ICK37" s="51"/>
      <c r="ICL37" s="51"/>
      <c r="ICM37" s="51"/>
      <c r="ICN37" s="51"/>
      <c r="ICO37" s="51"/>
      <c r="ICP37" s="51"/>
      <c r="ICQ37" s="51"/>
      <c r="ICR37" s="51"/>
      <c r="ICS37" s="51"/>
      <c r="ICT37" s="51"/>
      <c r="ICU37" s="51"/>
      <c r="ICV37" s="51"/>
      <c r="ICW37" s="51"/>
      <c r="ICX37" s="51"/>
      <c r="ICY37" s="51"/>
      <c r="ICZ37" s="51"/>
      <c r="IDA37" s="51"/>
      <c r="IDB37" s="51"/>
      <c r="IDC37" s="51"/>
      <c r="IDD37" s="51"/>
      <c r="IDE37" s="51"/>
      <c r="IDF37" s="51"/>
      <c r="IDG37" s="51"/>
      <c r="IDH37" s="51"/>
      <c r="IDI37" s="51"/>
      <c r="IDJ37" s="51"/>
      <c r="IDK37" s="51"/>
      <c r="IDL37" s="51"/>
      <c r="IDM37" s="51"/>
      <c r="IDN37" s="51"/>
      <c r="IDO37" s="51"/>
      <c r="IDP37" s="51"/>
      <c r="IDQ37" s="51"/>
      <c r="IDR37" s="51"/>
      <c r="IDS37" s="51"/>
      <c r="IDT37" s="51"/>
      <c r="IDU37" s="51"/>
      <c r="IDV37" s="51"/>
      <c r="IDW37" s="51"/>
      <c r="IDX37" s="51"/>
      <c r="IDY37" s="51"/>
      <c r="IDZ37" s="51"/>
      <c r="IEA37" s="51"/>
      <c r="IEB37" s="51"/>
      <c r="IEC37" s="51"/>
      <c r="IED37" s="51"/>
      <c r="IEE37" s="51"/>
      <c r="IEF37" s="51"/>
      <c r="IEG37" s="51"/>
      <c r="IEH37" s="51"/>
      <c r="IEI37" s="51"/>
      <c r="IEJ37" s="51"/>
      <c r="IEK37" s="51"/>
      <c r="IEL37" s="51"/>
      <c r="IEM37" s="51"/>
      <c r="IEN37" s="51"/>
      <c r="IEO37" s="51"/>
      <c r="IEP37" s="51"/>
      <c r="IEQ37" s="51"/>
      <c r="IER37" s="51"/>
      <c r="IES37" s="51"/>
      <c r="IET37" s="51"/>
      <c r="IEU37" s="51"/>
      <c r="IEV37" s="51"/>
      <c r="IEW37" s="51"/>
      <c r="IEX37" s="51"/>
      <c r="IEY37" s="51"/>
      <c r="IEZ37" s="51"/>
      <c r="IFA37" s="51"/>
      <c r="IFB37" s="51"/>
      <c r="IFC37" s="51"/>
      <c r="IFD37" s="51"/>
      <c r="IFE37" s="51"/>
      <c r="IFF37" s="51"/>
      <c r="IFG37" s="51"/>
      <c r="IFH37" s="51"/>
      <c r="IFI37" s="51"/>
      <c r="IFJ37" s="51"/>
      <c r="IFK37" s="51"/>
      <c r="IFL37" s="51"/>
      <c r="IFM37" s="51"/>
      <c r="IFN37" s="51"/>
      <c r="IFO37" s="51"/>
      <c r="IFP37" s="51"/>
      <c r="IFQ37" s="51"/>
      <c r="IFR37" s="51"/>
      <c r="IFS37" s="51"/>
      <c r="IFT37" s="51"/>
      <c r="IFU37" s="51"/>
      <c r="IFV37" s="51"/>
      <c r="IFW37" s="51"/>
      <c r="IFX37" s="51"/>
      <c r="IFY37" s="51"/>
      <c r="IFZ37" s="51"/>
      <c r="IGA37" s="51"/>
      <c r="IGB37" s="51"/>
      <c r="IGC37" s="51"/>
      <c r="IGD37" s="51"/>
      <c r="IGE37" s="51"/>
      <c r="IGF37" s="51"/>
      <c r="IGG37" s="51"/>
      <c r="IGH37" s="51"/>
      <c r="IGI37" s="51"/>
      <c r="IGJ37" s="51"/>
      <c r="IGK37" s="51"/>
      <c r="IGL37" s="51"/>
      <c r="IGM37" s="51"/>
      <c r="IGN37" s="51"/>
      <c r="IGO37" s="51"/>
      <c r="IGP37" s="51"/>
      <c r="IGQ37" s="51"/>
      <c r="IGR37" s="51"/>
      <c r="IGS37" s="51"/>
      <c r="IGT37" s="51"/>
      <c r="IGU37" s="51"/>
      <c r="IGV37" s="51"/>
      <c r="IGW37" s="51"/>
      <c r="IGX37" s="51"/>
      <c r="IGY37" s="51"/>
      <c r="IGZ37" s="51"/>
      <c r="IHA37" s="51"/>
      <c r="IHB37" s="51"/>
      <c r="IHC37" s="51"/>
      <c r="IHD37" s="51"/>
      <c r="IHE37" s="51"/>
      <c r="IHF37" s="51"/>
      <c r="IHG37" s="51"/>
      <c r="IHH37" s="51"/>
      <c r="IHI37" s="51"/>
      <c r="IHJ37" s="51"/>
      <c r="IHK37" s="51"/>
      <c r="IHL37" s="51"/>
      <c r="IHM37" s="51"/>
      <c r="IHN37" s="51"/>
      <c r="IHO37" s="51"/>
      <c r="IHP37" s="51"/>
      <c r="IHQ37" s="51"/>
      <c r="IHR37" s="51"/>
      <c r="IHS37" s="51"/>
      <c r="IHT37" s="51"/>
      <c r="IHU37" s="51"/>
      <c r="IHV37" s="51"/>
      <c r="IHW37" s="51"/>
      <c r="IHX37" s="51"/>
      <c r="IHY37" s="51"/>
      <c r="IHZ37" s="51"/>
      <c r="IIA37" s="51"/>
      <c r="IIB37" s="51"/>
      <c r="IIC37" s="51"/>
      <c r="IID37" s="51"/>
      <c r="IIE37" s="51"/>
      <c r="IIF37" s="51"/>
      <c r="IIG37" s="51"/>
      <c r="IIH37" s="51"/>
      <c r="III37" s="51"/>
      <c r="IIJ37" s="51"/>
      <c r="IIK37" s="51"/>
      <c r="IIL37" s="51"/>
      <c r="IIM37" s="51"/>
      <c r="IIN37" s="51"/>
      <c r="IIO37" s="51"/>
      <c r="IIP37" s="51"/>
      <c r="IIQ37" s="51"/>
      <c r="IIR37" s="51"/>
      <c r="IIS37" s="51"/>
      <c r="IIT37" s="51"/>
      <c r="IIU37" s="51"/>
      <c r="IIV37" s="51"/>
      <c r="IIW37" s="51"/>
      <c r="IIX37" s="51"/>
      <c r="IIY37" s="51"/>
      <c r="IIZ37" s="51"/>
      <c r="IJA37" s="51"/>
      <c r="IJB37" s="51"/>
      <c r="IJC37" s="51"/>
      <c r="IJD37" s="51"/>
      <c r="IJE37" s="51"/>
      <c r="IJF37" s="51"/>
      <c r="IJG37" s="51"/>
      <c r="IJH37" s="51"/>
      <c r="IJI37" s="51"/>
      <c r="IJJ37" s="51"/>
      <c r="IJK37" s="51"/>
      <c r="IJL37" s="51"/>
      <c r="IJM37" s="51"/>
      <c r="IJN37" s="51"/>
      <c r="IJO37" s="51"/>
      <c r="IJP37" s="51"/>
      <c r="IJQ37" s="51"/>
      <c r="IJR37" s="51"/>
      <c r="IJS37" s="51"/>
      <c r="IJT37" s="51"/>
      <c r="IJU37" s="51"/>
      <c r="IJV37" s="51"/>
      <c r="IJW37" s="51"/>
      <c r="IJX37" s="51"/>
      <c r="IJY37" s="51"/>
      <c r="IJZ37" s="51"/>
      <c r="IKA37" s="51"/>
      <c r="IKB37" s="51"/>
      <c r="IKC37" s="51"/>
      <c r="IKD37" s="51"/>
      <c r="IKE37" s="51"/>
      <c r="IKF37" s="51"/>
      <c r="IKG37" s="51"/>
      <c r="IKH37" s="51"/>
      <c r="IKI37" s="51"/>
      <c r="IKJ37" s="51"/>
      <c r="IKK37" s="51"/>
      <c r="IKL37" s="51"/>
      <c r="IKM37" s="51"/>
      <c r="IKN37" s="51"/>
      <c r="IKO37" s="51"/>
      <c r="IKP37" s="51"/>
      <c r="IKQ37" s="51"/>
      <c r="IKR37" s="51"/>
      <c r="IKS37" s="51"/>
      <c r="IKT37" s="51"/>
      <c r="IKU37" s="51"/>
      <c r="IKV37" s="51"/>
      <c r="IKW37" s="51"/>
      <c r="IKX37" s="51"/>
      <c r="IKY37" s="51"/>
      <c r="IKZ37" s="51"/>
      <c r="ILA37" s="51"/>
      <c r="ILB37" s="51"/>
      <c r="ILC37" s="51"/>
      <c r="ILD37" s="51"/>
      <c r="ILE37" s="51"/>
      <c r="ILF37" s="51"/>
      <c r="ILG37" s="51"/>
      <c r="ILH37" s="51"/>
      <c r="ILI37" s="51"/>
      <c r="ILJ37" s="51"/>
      <c r="ILK37" s="51"/>
      <c r="ILL37" s="51"/>
      <c r="ILM37" s="51"/>
      <c r="ILN37" s="51"/>
      <c r="ILO37" s="51"/>
      <c r="ILP37" s="51"/>
      <c r="ILQ37" s="51"/>
      <c r="ILR37" s="51"/>
      <c r="ILS37" s="51"/>
      <c r="ILT37" s="51"/>
      <c r="ILU37" s="51"/>
      <c r="ILV37" s="51"/>
      <c r="ILW37" s="51"/>
      <c r="ILX37" s="51"/>
      <c r="ILY37" s="51"/>
      <c r="ILZ37" s="51"/>
      <c r="IMA37" s="51"/>
      <c r="IMB37" s="51"/>
      <c r="IMC37" s="51"/>
      <c r="IMD37" s="51"/>
      <c r="IME37" s="51"/>
      <c r="IMF37" s="51"/>
      <c r="IMG37" s="51"/>
      <c r="IMH37" s="51"/>
      <c r="IMI37" s="51"/>
      <c r="IMJ37" s="51"/>
      <c r="IMK37" s="51"/>
      <c r="IML37" s="51"/>
      <c r="IMM37" s="51"/>
      <c r="IMN37" s="51"/>
      <c r="IMO37" s="51"/>
      <c r="IMP37" s="51"/>
      <c r="IMQ37" s="51"/>
      <c r="IMR37" s="51"/>
      <c r="IMS37" s="51"/>
      <c r="IMT37" s="51"/>
      <c r="IMU37" s="51"/>
      <c r="IMV37" s="51"/>
      <c r="IMW37" s="51"/>
      <c r="IMX37" s="51"/>
      <c r="IMY37" s="51"/>
      <c r="IMZ37" s="51"/>
      <c r="INA37" s="51"/>
      <c r="INB37" s="51"/>
      <c r="INC37" s="51"/>
      <c r="IND37" s="51"/>
      <c r="INE37" s="51"/>
      <c r="INF37" s="51"/>
      <c r="ING37" s="51"/>
      <c r="INH37" s="51"/>
      <c r="INI37" s="51"/>
      <c r="INJ37" s="51"/>
      <c r="INK37" s="51"/>
      <c r="INL37" s="51"/>
      <c r="INM37" s="51"/>
      <c r="INN37" s="51"/>
      <c r="INO37" s="51"/>
      <c r="INP37" s="51"/>
      <c r="INQ37" s="51"/>
      <c r="INR37" s="51"/>
      <c r="INS37" s="51"/>
      <c r="INT37" s="51"/>
      <c r="INU37" s="51"/>
      <c r="INV37" s="51"/>
      <c r="INW37" s="51"/>
      <c r="INX37" s="51"/>
      <c r="INY37" s="51"/>
      <c r="INZ37" s="51"/>
      <c r="IOA37" s="51"/>
      <c r="IOB37" s="51"/>
      <c r="IOC37" s="51"/>
      <c r="IOD37" s="51"/>
      <c r="IOE37" s="51"/>
      <c r="IOF37" s="51"/>
      <c r="IOG37" s="51"/>
      <c r="IOH37" s="51"/>
      <c r="IOI37" s="51"/>
      <c r="IOJ37" s="51"/>
      <c r="IOK37" s="51"/>
      <c r="IOL37" s="51"/>
      <c r="IOM37" s="51"/>
      <c r="ION37" s="51"/>
      <c r="IOO37" s="51"/>
      <c r="IOP37" s="51"/>
      <c r="IOQ37" s="51"/>
      <c r="IOR37" s="51"/>
      <c r="IOS37" s="51"/>
      <c r="IOT37" s="51"/>
      <c r="IOU37" s="51"/>
      <c r="IOV37" s="51"/>
      <c r="IOW37" s="51"/>
      <c r="IOX37" s="51"/>
      <c r="IOY37" s="51"/>
      <c r="IOZ37" s="51"/>
      <c r="IPA37" s="51"/>
      <c r="IPB37" s="51"/>
      <c r="IPC37" s="51"/>
      <c r="IPD37" s="51"/>
      <c r="IPE37" s="51"/>
      <c r="IPF37" s="51"/>
      <c r="IPG37" s="51"/>
      <c r="IPH37" s="51"/>
      <c r="IPI37" s="51"/>
      <c r="IPJ37" s="51"/>
      <c r="IPK37" s="51"/>
      <c r="IPL37" s="51"/>
      <c r="IPM37" s="51"/>
      <c r="IPN37" s="51"/>
      <c r="IPO37" s="51"/>
      <c r="IPP37" s="51"/>
      <c r="IPQ37" s="51"/>
      <c r="IPR37" s="51"/>
      <c r="IPS37" s="51"/>
      <c r="IPT37" s="51"/>
      <c r="IPU37" s="51"/>
      <c r="IPV37" s="51"/>
      <c r="IPW37" s="51"/>
      <c r="IPX37" s="51"/>
      <c r="IPY37" s="51"/>
      <c r="IPZ37" s="51"/>
      <c r="IQA37" s="51"/>
      <c r="IQB37" s="51"/>
      <c r="IQC37" s="51"/>
      <c r="IQD37" s="51"/>
      <c r="IQE37" s="51"/>
      <c r="IQF37" s="51"/>
      <c r="IQG37" s="51"/>
      <c r="IQH37" s="51"/>
      <c r="IQI37" s="51"/>
      <c r="IQJ37" s="51"/>
      <c r="IQK37" s="51"/>
      <c r="IQL37" s="51"/>
      <c r="IQM37" s="51"/>
      <c r="IQN37" s="51"/>
      <c r="IQO37" s="51"/>
      <c r="IQP37" s="51"/>
      <c r="IQQ37" s="51"/>
      <c r="IQR37" s="51"/>
      <c r="IQS37" s="51"/>
      <c r="IQT37" s="51"/>
      <c r="IQU37" s="51"/>
      <c r="IQV37" s="51"/>
      <c r="IQW37" s="51"/>
      <c r="IQX37" s="51"/>
      <c r="IQY37" s="51"/>
      <c r="IQZ37" s="51"/>
      <c r="IRA37" s="51"/>
      <c r="IRB37" s="51"/>
      <c r="IRC37" s="51"/>
      <c r="IRD37" s="51"/>
      <c r="IRE37" s="51"/>
      <c r="IRF37" s="51"/>
      <c r="IRG37" s="51"/>
      <c r="IRH37" s="51"/>
      <c r="IRI37" s="51"/>
      <c r="IRJ37" s="51"/>
      <c r="IRK37" s="51"/>
      <c r="IRL37" s="51"/>
      <c r="IRM37" s="51"/>
      <c r="IRN37" s="51"/>
      <c r="IRO37" s="51"/>
      <c r="IRP37" s="51"/>
      <c r="IRQ37" s="51"/>
      <c r="IRR37" s="51"/>
      <c r="IRS37" s="51"/>
      <c r="IRT37" s="51"/>
      <c r="IRU37" s="51"/>
      <c r="IRV37" s="51"/>
      <c r="IRW37" s="51"/>
      <c r="IRX37" s="51"/>
      <c r="IRY37" s="51"/>
      <c r="IRZ37" s="51"/>
      <c r="ISA37" s="51"/>
      <c r="ISB37" s="51"/>
      <c r="ISC37" s="51"/>
      <c r="ISD37" s="51"/>
      <c r="ISE37" s="51"/>
      <c r="ISF37" s="51"/>
      <c r="ISG37" s="51"/>
      <c r="ISH37" s="51"/>
      <c r="ISI37" s="51"/>
      <c r="ISJ37" s="51"/>
      <c r="ISK37" s="51"/>
      <c r="ISL37" s="51"/>
      <c r="ISM37" s="51"/>
      <c r="ISN37" s="51"/>
      <c r="ISO37" s="51"/>
      <c r="ISP37" s="51"/>
      <c r="ISQ37" s="51"/>
      <c r="ISR37" s="51"/>
      <c r="ISS37" s="51"/>
      <c r="IST37" s="51"/>
      <c r="ISU37" s="51"/>
      <c r="ISV37" s="51"/>
      <c r="ISW37" s="51"/>
      <c r="ISX37" s="51"/>
      <c r="ISY37" s="51"/>
      <c r="ISZ37" s="51"/>
      <c r="ITA37" s="51"/>
      <c r="ITB37" s="51"/>
      <c r="ITC37" s="51"/>
      <c r="ITD37" s="51"/>
      <c r="ITE37" s="51"/>
      <c r="ITF37" s="51"/>
      <c r="ITG37" s="51"/>
      <c r="ITH37" s="51"/>
      <c r="ITI37" s="51"/>
      <c r="ITJ37" s="51"/>
      <c r="ITK37" s="51"/>
      <c r="ITL37" s="51"/>
      <c r="ITM37" s="51"/>
      <c r="ITN37" s="51"/>
      <c r="ITO37" s="51"/>
      <c r="ITP37" s="51"/>
      <c r="ITQ37" s="51"/>
      <c r="ITR37" s="51"/>
      <c r="ITS37" s="51"/>
      <c r="ITT37" s="51"/>
      <c r="ITU37" s="51"/>
      <c r="ITV37" s="51"/>
      <c r="ITW37" s="51"/>
      <c r="ITX37" s="51"/>
      <c r="ITY37" s="51"/>
      <c r="ITZ37" s="51"/>
      <c r="IUA37" s="51"/>
      <c r="IUB37" s="51"/>
      <c r="IUC37" s="51"/>
      <c r="IUD37" s="51"/>
      <c r="IUE37" s="51"/>
      <c r="IUF37" s="51"/>
      <c r="IUG37" s="51"/>
      <c r="IUH37" s="51"/>
      <c r="IUI37" s="51"/>
      <c r="IUJ37" s="51"/>
      <c r="IUK37" s="51"/>
      <c r="IUL37" s="51"/>
      <c r="IUM37" s="51"/>
      <c r="IUN37" s="51"/>
      <c r="IUO37" s="51"/>
      <c r="IUP37" s="51"/>
      <c r="IUQ37" s="51"/>
      <c r="IUR37" s="51"/>
      <c r="IUS37" s="51"/>
      <c r="IUT37" s="51"/>
      <c r="IUU37" s="51"/>
      <c r="IUV37" s="51"/>
      <c r="IUW37" s="51"/>
      <c r="IUX37" s="51"/>
      <c r="IUY37" s="51"/>
      <c r="IUZ37" s="51"/>
      <c r="IVA37" s="51"/>
      <c r="IVB37" s="51"/>
      <c r="IVC37" s="51"/>
      <c r="IVD37" s="51"/>
      <c r="IVE37" s="51"/>
      <c r="IVF37" s="51"/>
      <c r="IVG37" s="51"/>
      <c r="IVH37" s="51"/>
      <c r="IVI37" s="51"/>
      <c r="IVJ37" s="51"/>
      <c r="IVK37" s="51"/>
      <c r="IVL37" s="51"/>
      <c r="IVM37" s="51"/>
      <c r="IVN37" s="51"/>
      <c r="IVO37" s="51"/>
      <c r="IVP37" s="51"/>
      <c r="IVQ37" s="51"/>
      <c r="IVR37" s="51"/>
      <c r="IVS37" s="51"/>
      <c r="IVT37" s="51"/>
      <c r="IVU37" s="51"/>
      <c r="IVV37" s="51"/>
      <c r="IVW37" s="51"/>
      <c r="IVX37" s="51"/>
      <c r="IVY37" s="51"/>
      <c r="IVZ37" s="51"/>
      <c r="IWA37" s="51"/>
      <c r="IWB37" s="51"/>
      <c r="IWC37" s="51"/>
      <c r="IWD37" s="51"/>
      <c r="IWE37" s="51"/>
      <c r="IWF37" s="51"/>
      <c r="IWG37" s="51"/>
      <c r="IWH37" s="51"/>
      <c r="IWI37" s="51"/>
      <c r="IWJ37" s="51"/>
      <c r="IWK37" s="51"/>
      <c r="IWL37" s="51"/>
      <c r="IWM37" s="51"/>
      <c r="IWN37" s="51"/>
      <c r="IWO37" s="51"/>
      <c r="IWP37" s="51"/>
      <c r="IWQ37" s="51"/>
      <c r="IWR37" s="51"/>
      <c r="IWS37" s="51"/>
      <c r="IWT37" s="51"/>
      <c r="IWU37" s="51"/>
      <c r="IWV37" s="51"/>
      <c r="IWW37" s="51"/>
      <c r="IWX37" s="51"/>
      <c r="IWY37" s="51"/>
      <c r="IWZ37" s="51"/>
      <c r="IXA37" s="51"/>
      <c r="IXB37" s="51"/>
      <c r="IXC37" s="51"/>
      <c r="IXD37" s="51"/>
      <c r="IXE37" s="51"/>
      <c r="IXF37" s="51"/>
      <c r="IXG37" s="51"/>
      <c r="IXH37" s="51"/>
      <c r="IXI37" s="51"/>
      <c r="IXJ37" s="51"/>
      <c r="IXK37" s="51"/>
      <c r="IXL37" s="51"/>
      <c r="IXM37" s="51"/>
      <c r="IXN37" s="51"/>
      <c r="IXO37" s="51"/>
      <c r="IXP37" s="51"/>
      <c r="IXQ37" s="51"/>
      <c r="IXR37" s="51"/>
      <c r="IXS37" s="51"/>
      <c r="IXT37" s="51"/>
      <c r="IXU37" s="51"/>
      <c r="IXV37" s="51"/>
      <c r="IXW37" s="51"/>
      <c r="IXX37" s="51"/>
      <c r="IXY37" s="51"/>
      <c r="IXZ37" s="51"/>
      <c r="IYA37" s="51"/>
      <c r="IYB37" s="51"/>
      <c r="IYC37" s="51"/>
      <c r="IYD37" s="51"/>
      <c r="IYE37" s="51"/>
      <c r="IYF37" s="51"/>
      <c r="IYG37" s="51"/>
      <c r="IYH37" s="51"/>
      <c r="IYI37" s="51"/>
      <c r="IYJ37" s="51"/>
      <c r="IYK37" s="51"/>
      <c r="IYL37" s="51"/>
      <c r="IYM37" s="51"/>
      <c r="IYN37" s="51"/>
      <c r="IYO37" s="51"/>
      <c r="IYP37" s="51"/>
      <c r="IYQ37" s="51"/>
      <c r="IYR37" s="51"/>
      <c r="IYS37" s="51"/>
      <c r="IYT37" s="51"/>
      <c r="IYU37" s="51"/>
      <c r="IYV37" s="51"/>
      <c r="IYW37" s="51"/>
      <c r="IYX37" s="51"/>
      <c r="IYY37" s="51"/>
      <c r="IYZ37" s="51"/>
      <c r="IZA37" s="51"/>
      <c r="IZB37" s="51"/>
      <c r="IZC37" s="51"/>
      <c r="IZD37" s="51"/>
      <c r="IZE37" s="51"/>
      <c r="IZF37" s="51"/>
      <c r="IZG37" s="51"/>
      <c r="IZH37" s="51"/>
      <c r="IZI37" s="51"/>
      <c r="IZJ37" s="51"/>
      <c r="IZK37" s="51"/>
      <c r="IZL37" s="51"/>
      <c r="IZM37" s="51"/>
      <c r="IZN37" s="51"/>
      <c r="IZO37" s="51"/>
      <c r="IZP37" s="51"/>
      <c r="IZQ37" s="51"/>
      <c r="IZR37" s="51"/>
      <c r="IZS37" s="51"/>
      <c r="IZT37" s="51"/>
      <c r="IZU37" s="51"/>
      <c r="IZV37" s="51"/>
      <c r="IZW37" s="51"/>
      <c r="IZX37" s="51"/>
      <c r="IZY37" s="51"/>
      <c r="IZZ37" s="51"/>
      <c r="JAA37" s="51"/>
      <c r="JAB37" s="51"/>
      <c r="JAC37" s="51"/>
      <c r="JAD37" s="51"/>
      <c r="JAE37" s="51"/>
      <c r="JAF37" s="51"/>
      <c r="JAG37" s="51"/>
      <c r="JAH37" s="51"/>
      <c r="JAI37" s="51"/>
      <c r="JAJ37" s="51"/>
      <c r="JAK37" s="51"/>
      <c r="JAL37" s="51"/>
      <c r="JAM37" s="51"/>
      <c r="JAN37" s="51"/>
      <c r="JAO37" s="51"/>
      <c r="JAP37" s="51"/>
      <c r="JAQ37" s="51"/>
      <c r="JAR37" s="51"/>
      <c r="JAS37" s="51"/>
      <c r="JAT37" s="51"/>
      <c r="JAU37" s="51"/>
      <c r="JAV37" s="51"/>
      <c r="JAW37" s="51"/>
      <c r="JAX37" s="51"/>
      <c r="JAY37" s="51"/>
      <c r="JAZ37" s="51"/>
      <c r="JBA37" s="51"/>
      <c r="JBB37" s="51"/>
      <c r="JBC37" s="51"/>
      <c r="JBD37" s="51"/>
      <c r="JBE37" s="51"/>
      <c r="JBF37" s="51"/>
      <c r="JBG37" s="51"/>
      <c r="JBH37" s="51"/>
      <c r="JBI37" s="51"/>
      <c r="JBJ37" s="51"/>
      <c r="JBK37" s="51"/>
      <c r="JBL37" s="51"/>
      <c r="JBM37" s="51"/>
      <c r="JBN37" s="51"/>
      <c r="JBO37" s="51"/>
      <c r="JBP37" s="51"/>
      <c r="JBQ37" s="51"/>
      <c r="JBR37" s="51"/>
      <c r="JBS37" s="51"/>
      <c r="JBT37" s="51"/>
      <c r="JBU37" s="51"/>
      <c r="JBV37" s="51"/>
      <c r="JBW37" s="51"/>
      <c r="JBX37" s="51"/>
      <c r="JBY37" s="51"/>
      <c r="JBZ37" s="51"/>
      <c r="JCA37" s="51"/>
      <c r="JCB37" s="51"/>
      <c r="JCC37" s="51"/>
      <c r="JCD37" s="51"/>
      <c r="JCE37" s="51"/>
      <c r="JCF37" s="51"/>
      <c r="JCG37" s="51"/>
      <c r="JCH37" s="51"/>
      <c r="JCI37" s="51"/>
      <c r="JCJ37" s="51"/>
      <c r="JCK37" s="51"/>
      <c r="JCL37" s="51"/>
      <c r="JCM37" s="51"/>
      <c r="JCN37" s="51"/>
      <c r="JCO37" s="51"/>
      <c r="JCP37" s="51"/>
      <c r="JCQ37" s="51"/>
      <c r="JCR37" s="51"/>
      <c r="JCS37" s="51"/>
      <c r="JCT37" s="51"/>
      <c r="JCU37" s="51"/>
      <c r="JCV37" s="51"/>
      <c r="JCW37" s="51"/>
      <c r="JCX37" s="51"/>
      <c r="JCY37" s="51"/>
      <c r="JCZ37" s="51"/>
      <c r="JDA37" s="51"/>
      <c r="JDB37" s="51"/>
      <c r="JDC37" s="51"/>
      <c r="JDD37" s="51"/>
      <c r="JDE37" s="51"/>
      <c r="JDF37" s="51"/>
      <c r="JDG37" s="51"/>
      <c r="JDH37" s="51"/>
      <c r="JDI37" s="51"/>
      <c r="JDJ37" s="51"/>
      <c r="JDK37" s="51"/>
      <c r="JDL37" s="51"/>
      <c r="JDM37" s="51"/>
      <c r="JDN37" s="51"/>
      <c r="JDO37" s="51"/>
      <c r="JDP37" s="51"/>
      <c r="JDQ37" s="51"/>
      <c r="JDR37" s="51"/>
      <c r="JDS37" s="51"/>
      <c r="JDT37" s="51"/>
      <c r="JDU37" s="51"/>
      <c r="JDV37" s="51"/>
      <c r="JDW37" s="51"/>
      <c r="JDX37" s="51"/>
      <c r="JDY37" s="51"/>
      <c r="JDZ37" s="51"/>
      <c r="JEA37" s="51"/>
      <c r="JEB37" s="51"/>
      <c r="JEC37" s="51"/>
      <c r="JED37" s="51"/>
      <c r="JEE37" s="51"/>
      <c r="JEF37" s="51"/>
      <c r="JEG37" s="51"/>
      <c r="JEH37" s="51"/>
      <c r="JEI37" s="51"/>
      <c r="JEJ37" s="51"/>
      <c r="JEK37" s="51"/>
      <c r="JEL37" s="51"/>
      <c r="JEM37" s="51"/>
      <c r="JEN37" s="51"/>
      <c r="JEO37" s="51"/>
      <c r="JEP37" s="51"/>
      <c r="JEQ37" s="51"/>
      <c r="JER37" s="51"/>
      <c r="JES37" s="51"/>
      <c r="JET37" s="51"/>
      <c r="JEU37" s="51"/>
      <c r="JEV37" s="51"/>
      <c r="JEW37" s="51"/>
      <c r="JEX37" s="51"/>
      <c r="JEY37" s="51"/>
      <c r="JEZ37" s="51"/>
      <c r="JFA37" s="51"/>
      <c r="JFB37" s="51"/>
      <c r="JFC37" s="51"/>
      <c r="JFD37" s="51"/>
      <c r="JFE37" s="51"/>
      <c r="JFF37" s="51"/>
      <c r="JFG37" s="51"/>
      <c r="JFH37" s="51"/>
      <c r="JFI37" s="51"/>
      <c r="JFJ37" s="51"/>
      <c r="JFK37" s="51"/>
      <c r="JFL37" s="51"/>
      <c r="JFM37" s="51"/>
      <c r="JFN37" s="51"/>
      <c r="JFO37" s="51"/>
      <c r="JFP37" s="51"/>
      <c r="JFQ37" s="51"/>
      <c r="JFR37" s="51"/>
      <c r="JFS37" s="51"/>
      <c r="JFT37" s="51"/>
      <c r="JFU37" s="51"/>
      <c r="JFV37" s="51"/>
      <c r="JFW37" s="51"/>
      <c r="JFX37" s="51"/>
      <c r="JFY37" s="51"/>
      <c r="JFZ37" s="51"/>
      <c r="JGA37" s="51"/>
      <c r="JGB37" s="51"/>
      <c r="JGC37" s="51"/>
      <c r="JGD37" s="51"/>
      <c r="JGE37" s="51"/>
      <c r="JGF37" s="51"/>
      <c r="JGG37" s="51"/>
      <c r="JGH37" s="51"/>
      <c r="JGI37" s="51"/>
      <c r="JGJ37" s="51"/>
      <c r="JGK37" s="51"/>
      <c r="JGL37" s="51"/>
      <c r="JGM37" s="51"/>
      <c r="JGN37" s="51"/>
      <c r="JGO37" s="51"/>
      <c r="JGP37" s="51"/>
      <c r="JGQ37" s="51"/>
      <c r="JGR37" s="51"/>
      <c r="JGS37" s="51"/>
      <c r="JGT37" s="51"/>
      <c r="JGU37" s="51"/>
      <c r="JGV37" s="51"/>
      <c r="JGW37" s="51"/>
      <c r="JGX37" s="51"/>
      <c r="JGY37" s="51"/>
      <c r="JGZ37" s="51"/>
      <c r="JHA37" s="51"/>
      <c r="JHB37" s="51"/>
      <c r="JHC37" s="51"/>
      <c r="JHD37" s="51"/>
      <c r="JHE37" s="51"/>
      <c r="JHF37" s="51"/>
      <c r="JHG37" s="51"/>
      <c r="JHH37" s="51"/>
      <c r="JHI37" s="51"/>
      <c r="JHJ37" s="51"/>
      <c r="JHK37" s="51"/>
      <c r="JHL37" s="51"/>
      <c r="JHM37" s="51"/>
      <c r="JHN37" s="51"/>
      <c r="JHO37" s="51"/>
      <c r="JHP37" s="51"/>
      <c r="JHQ37" s="51"/>
      <c r="JHR37" s="51"/>
      <c r="JHS37" s="51"/>
      <c r="JHT37" s="51"/>
      <c r="JHU37" s="51"/>
      <c r="JHV37" s="51"/>
      <c r="JHW37" s="51"/>
      <c r="JHX37" s="51"/>
      <c r="JHY37" s="51"/>
      <c r="JHZ37" s="51"/>
      <c r="JIA37" s="51"/>
      <c r="JIB37" s="51"/>
      <c r="JIC37" s="51"/>
      <c r="JID37" s="51"/>
      <c r="JIE37" s="51"/>
      <c r="JIF37" s="51"/>
      <c r="JIG37" s="51"/>
      <c r="JIH37" s="51"/>
      <c r="JII37" s="51"/>
      <c r="JIJ37" s="51"/>
      <c r="JIK37" s="51"/>
      <c r="JIL37" s="51"/>
      <c r="JIM37" s="51"/>
      <c r="JIN37" s="51"/>
      <c r="JIO37" s="51"/>
      <c r="JIP37" s="51"/>
      <c r="JIQ37" s="51"/>
      <c r="JIR37" s="51"/>
      <c r="JIS37" s="51"/>
      <c r="JIT37" s="51"/>
      <c r="JIU37" s="51"/>
      <c r="JIV37" s="51"/>
      <c r="JIW37" s="51"/>
      <c r="JIX37" s="51"/>
      <c r="JIY37" s="51"/>
      <c r="JIZ37" s="51"/>
      <c r="JJA37" s="51"/>
      <c r="JJB37" s="51"/>
      <c r="JJC37" s="51"/>
      <c r="JJD37" s="51"/>
      <c r="JJE37" s="51"/>
      <c r="JJF37" s="51"/>
      <c r="JJG37" s="51"/>
      <c r="JJH37" s="51"/>
      <c r="JJI37" s="51"/>
      <c r="JJJ37" s="51"/>
      <c r="JJK37" s="51"/>
      <c r="JJL37" s="51"/>
      <c r="JJM37" s="51"/>
      <c r="JJN37" s="51"/>
      <c r="JJO37" s="51"/>
      <c r="JJP37" s="51"/>
      <c r="JJQ37" s="51"/>
      <c r="JJR37" s="51"/>
      <c r="JJS37" s="51"/>
      <c r="JJT37" s="51"/>
      <c r="JJU37" s="51"/>
      <c r="JJV37" s="51"/>
      <c r="JJW37" s="51"/>
      <c r="JJX37" s="51"/>
      <c r="JJY37" s="51"/>
      <c r="JJZ37" s="51"/>
      <c r="JKA37" s="51"/>
      <c r="JKB37" s="51"/>
      <c r="JKC37" s="51"/>
      <c r="JKD37" s="51"/>
      <c r="JKE37" s="51"/>
      <c r="JKF37" s="51"/>
      <c r="JKG37" s="51"/>
      <c r="JKH37" s="51"/>
      <c r="JKI37" s="51"/>
      <c r="JKJ37" s="51"/>
      <c r="JKK37" s="51"/>
      <c r="JKL37" s="51"/>
      <c r="JKM37" s="51"/>
      <c r="JKN37" s="51"/>
      <c r="JKO37" s="51"/>
      <c r="JKP37" s="51"/>
      <c r="JKQ37" s="51"/>
      <c r="JKR37" s="51"/>
      <c r="JKS37" s="51"/>
      <c r="JKT37" s="51"/>
      <c r="JKU37" s="51"/>
      <c r="JKV37" s="51"/>
      <c r="JKW37" s="51"/>
      <c r="JKX37" s="51"/>
      <c r="JKY37" s="51"/>
      <c r="JKZ37" s="51"/>
      <c r="JLA37" s="51"/>
      <c r="JLB37" s="51"/>
      <c r="JLC37" s="51"/>
      <c r="JLD37" s="51"/>
      <c r="JLE37" s="51"/>
      <c r="JLF37" s="51"/>
      <c r="JLG37" s="51"/>
      <c r="JLH37" s="51"/>
      <c r="JLI37" s="51"/>
      <c r="JLJ37" s="51"/>
      <c r="JLK37" s="51"/>
      <c r="JLL37" s="51"/>
      <c r="JLM37" s="51"/>
      <c r="JLN37" s="51"/>
      <c r="JLO37" s="51"/>
      <c r="JLP37" s="51"/>
      <c r="JLQ37" s="51"/>
      <c r="JLR37" s="51"/>
      <c r="JLS37" s="51"/>
      <c r="JLT37" s="51"/>
      <c r="JLU37" s="51"/>
      <c r="JLV37" s="51"/>
      <c r="JLW37" s="51"/>
      <c r="JLX37" s="51"/>
      <c r="JLY37" s="51"/>
      <c r="JLZ37" s="51"/>
      <c r="JMA37" s="51"/>
      <c r="JMB37" s="51"/>
      <c r="JMC37" s="51"/>
      <c r="JMD37" s="51"/>
      <c r="JME37" s="51"/>
      <c r="JMF37" s="51"/>
      <c r="JMG37" s="51"/>
      <c r="JMH37" s="51"/>
      <c r="JMI37" s="51"/>
      <c r="JMJ37" s="51"/>
      <c r="JMK37" s="51"/>
      <c r="JML37" s="51"/>
      <c r="JMM37" s="51"/>
      <c r="JMN37" s="51"/>
      <c r="JMO37" s="51"/>
      <c r="JMP37" s="51"/>
      <c r="JMQ37" s="51"/>
      <c r="JMR37" s="51"/>
      <c r="JMS37" s="51"/>
      <c r="JMT37" s="51"/>
      <c r="JMU37" s="51"/>
      <c r="JMV37" s="51"/>
      <c r="JMW37" s="51"/>
      <c r="JMX37" s="51"/>
      <c r="JMY37" s="51"/>
      <c r="JMZ37" s="51"/>
      <c r="JNA37" s="51"/>
      <c r="JNB37" s="51"/>
      <c r="JNC37" s="51"/>
      <c r="JND37" s="51"/>
      <c r="JNE37" s="51"/>
      <c r="JNF37" s="51"/>
      <c r="JNG37" s="51"/>
      <c r="JNH37" s="51"/>
      <c r="JNI37" s="51"/>
      <c r="JNJ37" s="51"/>
      <c r="JNK37" s="51"/>
      <c r="JNL37" s="51"/>
      <c r="JNM37" s="51"/>
      <c r="JNN37" s="51"/>
      <c r="JNO37" s="51"/>
      <c r="JNP37" s="51"/>
      <c r="JNQ37" s="51"/>
      <c r="JNR37" s="51"/>
      <c r="JNS37" s="51"/>
      <c r="JNT37" s="51"/>
      <c r="JNU37" s="51"/>
      <c r="JNV37" s="51"/>
      <c r="JNW37" s="51"/>
      <c r="JNX37" s="51"/>
      <c r="JNY37" s="51"/>
      <c r="JNZ37" s="51"/>
      <c r="JOA37" s="51"/>
      <c r="JOB37" s="51"/>
      <c r="JOC37" s="51"/>
      <c r="JOD37" s="51"/>
      <c r="JOE37" s="51"/>
      <c r="JOF37" s="51"/>
      <c r="JOG37" s="51"/>
      <c r="JOH37" s="51"/>
      <c r="JOI37" s="51"/>
      <c r="JOJ37" s="51"/>
      <c r="JOK37" s="51"/>
      <c r="JOL37" s="51"/>
      <c r="JOM37" s="51"/>
      <c r="JON37" s="51"/>
      <c r="JOO37" s="51"/>
      <c r="JOP37" s="51"/>
      <c r="JOQ37" s="51"/>
      <c r="JOR37" s="51"/>
      <c r="JOS37" s="51"/>
      <c r="JOT37" s="51"/>
      <c r="JOU37" s="51"/>
      <c r="JOV37" s="51"/>
      <c r="JOW37" s="51"/>
      <c r="JOX37" s="51"/>
      <c r="JOY37" s="51"/>
      <c r="JOZ37" s="51"/>
      <c r="JPA37" s="51"/>
      <c r="JPB37" s="51"/>
      <c r="JPC37" s="51"/>
      <c r="JPD37" s="51"/>
      <c r="JPE37" s="51"/>
      <c r="JPF37" s="51"/>
      <c r="JPG37" s="51"/>
      <c r="JPH37" s="51"/>
      <c r="JPI37" s="51"/>
      <c r="JPJ37" s="51"/>
      <c r="JPK37" s="51"/>
      <c r="JPL37" s="51"/>
      <c r="JPM37" s="51"/>
      <c r="JPN37" s="51"/>
      <c r="JPO37" s="51"/>
      <c r="JPP37" s="51"/>
      <c r="JPQ37" s="51"/>
      <c r="JPR37" s="51"/>
      <c r="JPS37" s="51"/>
      <c r="JPT37" s="51"/>
      <c r="JPU37" s="51"/>
      <c r="JPV37" s="51"/>
      <c r="JPW37" s="51"/>
      <c r="JPX37" s="51"/>
      <c r="JPY37" s="51"/>
      <c r="JPZ37" s="51"/>
      <c r="JQA37" s="51"/>
      <c r="JQB37" s="51"/>
      <c r="JQC37" s="51"/>
      <c r="JQD37" s="51"/>
      <c r="JQE37" s="51"/>
      <c r="JQF37" s="51"/>
      <c r="JQG37" s="51"/>
      <c r="JQH37" s="51"/>
      <c r="JQI37" s="51"/>
      <c r="JQJ37" s="51"/>
      <c r="JQK37" s="51"/>
      <c r="JQL37" s="51"/>
      <c r="JQM37" s="51"/>
      <c r="JQN37" s="51"/>
      <c r="JQO37" s="51"/>
      <c r="JQP37" s="51"/>
      <c r="JQQ37" s="51"/>
      <c r="JQR37" s="51"/>
      <c r="JQS37" s="51"/>
      <c r="JQT37" s="51"/>
      <c r="JQU37" s="51"/>
      <c r="JQV37" s="51"/>
      <c r="JQW37" s="51"/>
      <c r="JQX37" s="51"/>
      <c r="JQY37" s="51"/>
      <c r="JQZ37" s="51"/>
      <c r="JRA37" s="51"/>
      <c r="JRB37" s="51"/>
      <c r="JRC37" s="51"/>
      <c r="JRD37" s="51"/>
      <c r="JRE37" s="51"/>
      <c r="JRF37" s="51"/>
      <c r="JRG37" s="51"/>
      <c r="JRH37" s="51"/>
      <c r="JRI37" s="51"/>
      <c r="JRJ37" s="51"/>
      <c r="JRK37" s="51"/>
      <c r="JRL37" s="51"/>
      <c r="JRM37" s="51"/>
      <c r="JRN37" s="51"/>
      <c r="JRO37" s="51"/>
      <c r="JRP37" s="51"/>
      <c r="JRQ37" s="51"/>
      <c r="JRR37" s="51"/>
      <c r="JRS37" s="51"/>
      <c r="JRT37" s="51"/>
      <c r="JRU37" s="51"/>
      <c r="JRV37" s="51"/>
      <c r="JRW37" s="51"/>
      <c r="JRX37" s="51"/>
      <c r="JRY37" s="51"/>
      <c r="JRZ37" s="51"/>
      <c r="JSA37" s="51"/>
      <c r="JSB37" s="51"/>
      <c r="JSC37" s="51"/>
      <c r="JSD37" s="51"/>
      <c r="JSE37" s="51"/>
      <c r="JSF37" s="51"/>
      <c r="JSG37" s="51"/>
      <c r="JSH37" s="51"/>
      <c r="JSI37" s="51"/>
      <c r="JSJ37" s="51"/>
      <c r="JSK37" s="51"/>
      <c r="JSL37" s="51"/>
      <c r="JSM37" s="51"/>
      <c r="JSN37" s="51"/>
      <c r="JSO37" s="51"/>
      <c r="JSP37" s="51"/>
      <c r="JSQ37" s="51"/>
      <c r="JSR37" s="51"/>
      <c r="JSS37" s="51"/>
      <c r="JST37" s="51"/>
      <c r="JSU37" s="51"/>
      <c r="JSV37" s="51"/>
      <c r="JSW37" s="51"/>
      <c r="JSX37" s="51"/>
      <c r="JSY37" s="51"/>
      <c r="JSZ37" s="51"/>
      <c r="JTA37" s="51"/>
      <c r="JTB37" s="51"/>
      <c r="JTC37" s="51"/>
      <c r="JTD37" s="51"/>
      <c r="JTE37" s="51"/>
      <c r="JTF37" s="51"/>
      <c r="JTG37" s="51"/>
      <c r="JTH37" s="51"/>
      <c r="JTI37" s="51"/>
      <c r="JTJ37" s="51"/>
      <c r="JTK37" s="51"/>
      <c r="JTL37" s="51"/>
      <c r="JTM37" s="51"/>
      <c r="JTN37" s="51"/>
      <c r="JTO37" s="51"/>
      <c r="JTP37" s="51"/>
      <c r="JTQ37" s="51"/>
      <c r="JTR37" s="51"/>
      <c r="JTS37" s="51"/>
      <c r="JTT37" s="51"/>
      <c r="JTU37" s="51"/>
      <c r="JTV37" s="51"/>
      <c r="JTW37" s="51"/>
      <c r="JTX37" s="51"/>
      <c r="JTY37" s="51"/>
      <c r="JTZ37" s="51"/>
      <c r="JUA37" s="51"/>
      <c r="JUB37" s="51"/>
      <c r="JUC37" s="51"/>
      <c r="JUD37" s="51"/>
      <c r="JUE37" s="51"/>
      <c r="JUF37" s="51"/>
      <c r="JUG37" s="51"/>
      <c r="JUH37" s="51"/>
      <c r="JUI37" s="51"/>
      <c r="JUJ37" s="51"/>
      <c r="JUK37" s="51"/>
      <c r="JUL37" s="51"/>
      <c r="JUM37" s="51"/>
      <c r="JUN37" s="51"/>
      <c r="JUO37" s="51"/>
      <c r="JUP37" s="51"/>
      <c r="JUQ37" s="51"/>
      <c r="JUR37" s="51"/>
      <c r="JUS37" s="51"/>
      <c r="JUT37" s="51"/>
      <c r="JUU37" s="51"/>
      <c r="JUV37" s="51"/>
      <c r="JUW37" s="51"/>
      <c r="JUX37" s="51"/>
      <c r="JUY37" s="51"/>
      <c r="JUZ37" s="51"/>
      <c r="JVA37" s="51"/>
      <c r="JVB37" s="51"/>
      <c r="JVC37" s="51"/>
      <c r="JVD37" s="51"/>
      <c r="JVE37" s="51"/>
      <c r="JVF37" s="51"/>
      <c r="JVG37" s="51"/>
      <c r="JVH37" s="51"/>
      <c r="JVI37" s="51"/>
      <c r="JVJ37" s="51"/>
      <c r="JVK37" s="51"/>
      <c r="JVL37" s="51"/>
      <c r="JVM37" s="51"/>
      <c r="JVN37" s="51"/>
      <c r="JVO37" s="51"/>
      <c r="JVP37" s="51"/>
      <c r="JVQ37" s="51"/>
      <c r="JVR37" s="51"/>
      <c r="JVS37" s="51"/>
      <c r="JVT37" s="51"/>
      <c r="JVU37" s="51"/>
      <c r="JVV37" s="51"/>
      <c r="JVW37" s="51"/>
      <c r="JVX37" s="51"/>
      <c r="JVY37" s="51"/>
      <c r="JVZ37" s="51"/>
      <c r="JWA37" s="51"/>
      <c r="JWB37" s="51"/>
      <c r="JWC37" s="51"/>
      <c r="JWD37" s="51"/>
      <c r="JWE37" s="51"/>
      <c r="JWF37" s="51"/>
      <c r="JWG37" s="51"/>
      <c r="JWH37" s="51"/>
      <c r="JWI37" s="51"/>
      <c r="JWJ37" s="51"/>
      <c r="JWK37" s="51"/>
      <c r="JWL37" s="51"/>
      <c r="JWM37" s="51"/>
      <c r="JWN37" s="51"/>
      <c r="JWO37" s="51"/>
      <c r="JWP37" s="51"/>
      <c r="JWQ37" s="51"/>
      <c r="JWR37" s="51"/>
      <c r="JWS37" s="51"/>
      <c r="JWT37" s="51"/>
      <c r="JWU37" s="51"/>
      <c r="JWV37" s="51"/>
      <c r="JWW37" s="51"/>
      <c r="JWX37" s="51"/>
      <c r="JWY37" s="51"/>
      <c r="JWZ37" s="51"/>
      <c r="JXA37" s="51"/>
      <c r="JXB37" s="51"/>
      <c r="JXC37" s="51"/>
      <c r="JXD37" s="51"/>
      <c r="JXE37" s="51"/>
      <c r="JXF37" s="51"/>
      <c r="JXG37" s="51"/>
      <c r="JXH37" s="51"/>
      <c r="JXI37" s="51"/>
      <c r="JXJ37" s="51"/>
      <c r="JXK37" s="51"/>
      <c r="JXL37" s="51"/>
      <c r="JXM37" s="51"/>
      <c r="JXN37" s="51"/>
      <c r="JXO37" s="51"/>
      <c r="JXP37" s="51"/>
      <c r="JXQ37" s="51"/>
      <c r="JXR37" s="51"/>
      <c r="JXS37" s="51"/>
      <c r="JXT37" s="51"/>
      <c r="JXU37" s="51"/>
      <c r="JXV37" s="51"/>
      <c r="JXW37" s="51"/>
      <c r="JXX37" s="51"/>
      <c r="JXY37" s="51"/>
      <c r="JXZ37" s="51"/>
      <c r="JYA37" s="51"/>
      <c r="JYB37" s="51"/>
      <c r="JYC37" s="51"/>
      <c r="JYD37" s="51"/>
      <c r="JYE37" s="51"/>
      <c r="JYF37" s="51"/>
      <c r="JYG37" s="51"/>
      <c r="JYH37" s="51"/>
      <c r="JYI37" s="51"/>
      <c r="JYJ37" s="51"/>
      <c r="JYK37" s="51"/>
      <c r="JYL37" s="51"/>
      <c r="JYM37" s="51"/>
      <c r="JYN37" s="51"/>
      <c r="JYO37" s="51"/>
      <c r="JYP37" s="51"/>
      <c r="JYQ37" s="51"/>
      <c r="JYR37" s="51"/>
      <c r="JYS37" s="51"/>
      <c r="JYT37" s="51"/>
      <c r="JYU37" s="51"/>
      <c r="JYV37" s="51"/>
      <c r="JYW37" s="51"/>
      <c r="JYX37" s="51"/>
      <c r="JYY37" s="51"/>
      <c r="JYZ37" s="51"/>
      <c r="JZA37" s="51"/>
      <c r="JZB37" s="51"/>
      <c r="JZC37" s="51"/>
      <c r="JZD37" s="51"/>
      <c r="JZE37" s="51"/>
      <c r="JZF37" s="51"/>
      <c r="JZG37" s="51"/>
      <c r="JZH37" s="51"/>
      <c r="JZI37" s="51"/>
      <c r="JZJ37" s="51"/>
      <c r="JZK37" s="51"/>
      <c r="JZL37" s="51"/>
      <c r="JZM37" s="51"/>
      <c r="JZN37" s="51"/>
      <c r="JZO37" s="51"/>
      <c r="JZP37" s="51"/>
      <c r="JZQ37" s="51"/>
      <c r="JZR37" s="51"/>
      <c r="JZS37" s="51"/>
      <c r="JZT37" s="51"/>
      <c r="JZU37" s="51"/>
      <c r="JZV37" s="51"/>
      <c r="JZW37" s="51"/>
      <c r="JZX37" s="51"/>
      <c r="JZY37" s="51"/>
      <c r="JZZ37" s="51"/>
      <c r="KAA37" s="51"/>
      <c r="KAB37" s="51"/>
      <c r="KAC37" s="51"/>
      <c r="KAD37" s="51"/>
      <c r="KAE37" s="51"/>
      <c r="KAF37" s="51"/>
      <c r="KAG37" s="51"/>
      <c r="KAH37" s="51"/>
      <c r="KAI37" s="51"/>
      <c r="KAJ37" s="51"/>
      <c r="KAK37" s="51"/>
      <c r="KAL37" s="51"/>
      <c r="KAM37" s="51"/>
      <c r="KAN37" s="51"/>
      <c r="KAO37" s="51"/>
      <c r="KAP37" s="51"/>
      <c r="KAQ37" s="51"/>
      <c r="KAR37" s="51"/>
      <c r="KAS37" s="51"/>
      <c r="KAT37" s="51"/>
      <c r="KAU37" s="51"/>
      <c r="KAV37" s="51"/>
      <c r="KAW37" s="51"/>
      <c r="KAX37" s="51"/>
      <c r="KAY37" s="51"/>
      <c r="KAZ37" s="51"/>
      <c r="KBA37" s="51"/>
      <c r="KBB37" s="51"/>
      <c r="KBC37" s="51"/>
      <c r="KBD37" s="51"/>
      <c r="KBE37" s="51"/>
      <c r="KBF37" s="51"/>
      <c r="KBG37" s="51"/>
      <c r="KBH37" s="51"/>
      <c r="KBI37" s="51"/>
      <c r="KBJ37" s="51"/>
      <c r="KBK37" s="51"/>
      <c r="KBL37" s="51"/>
      <c r="KBM37" s="51"/>
      <c r="KBN37" s="51"/>
      <c r="KBO37" s="51"/>
      <c r="KBP37" s="51"/>
      <c r="KBQ37" s="51"/>
      <c r="KBR37" s="51"/>
      <c r="KBS37" s="51"/>
      <c r="KBT37" s="51"/>
      <c r="KBU37" s="51"/>
      <c r="KBV37" s="51"/>
      <c r="KBW37" s="51"/>
      <c r="KBX37" s="51"/>
      <c r="KBY37" s="51"/>
      <c r="KBZ37" s="51"/>
      <c r="KCA37" s="51"/>
      <c r="KCB37" s="51"/>
      <c r="KCC37" s="51"/>
      <c r="KCD37" s="51"/>
      <c r="KCE37" s="51"/>
      <c r="KCF37" s="51"/>
      <c r="KCG37" s="51"/>
      <c r="KCH37" s="51"/>
      <c r="KCI37" s="51"/>
      <c r="KCJ37" s="51"/>
      <c r="KCK37" s="51"/>
      <c r="KCL37" s="51"/>
      <c r="KCM37" s="51"/>
      <c r="KCN37" s="51"/>
      <c r="KCO37" s="51"/>
      <c r="KCP37" s="51"/>
      <c r="KCQ37" s="51"/>
      <c r="KCR37" s="51"/>
      <c r="KCS37" s="51"/>
      <c r="KCT37" s="51"/>
      <c r="KCU37" s="51"/>
      <c r="KCV37" s="51"/>
      <c r="KCW37" s="51"/>
      <c r="KCX37" s="51"/>
      <c r="KCY37" s="51"/>
      <c r="KCZ37" s="51"/>
      <c r="KDA37" s="51"/>
      <c r="KDB37" s="51"/>
      <c r="KDC37" s="51"/>
      <c r="KDD37" s="51"/>
      <c r="KDE37" s="51"/>
      <c r="KDF37" s="51"/>
      <c r="KDG37" s="51"/>
      <c r="KDH37" s="51"/>
      <c r="KDI37" s="51"/>
      <c r="KDJ37" s="51"/>
      <c r="KDK37" s="51"/>
      <c r="KDL37" s="51"/>
      <c r="KDM37" s="51"/>
      <c r="KDN37" s="51"/>
      <c r="KDO37" s="51"/>
      <c r="KDP37" s="51"/>
      <c r="KDQ37" s="51"/>
      <c r="KDR37" s="51"/>
      <c r="KDS37" s="51"/>
      <c r="KDT37" s="51"/>
      <c r="KDU37" s="51"/>
      <c r="KDV37" s="51"/>
      <c r="KDW37" s="51"/>
      <c r="KDX37" s="51"/>
      <c r="KDY37" s="51"/>
      <c r="KDZ37" s="51"/>
      <c r="KEA37" s="51"/>
      <c r="KEB37" s="51"/>
      <c r="KEC37" s="51"/>
      <c r="KED37" s="51"/>
      <c r="KEE37" s="51"/>
      <c r="KEF37" s="51"/>
      <c r="KEG37" s="51"/>
      <c r="KEH37" s="51"/>
      <c r="KEI37" s="51"/>
      <c r="KEJ37" s="51"/>
      <c r="KEK37" s="51"/>
      <c r="KEL37" s="51"/>
      <c r="KEM37" s="51"/>
      <c r="KEN37" s="51"/>
      <c r="KEO37" s="51"/>
      <c r="KEP37" s="51"/>
      <c r="KEQ37" s="51"/>
      <c r="KER37" s="51"/>
      <c r="KES37" s="51"/>
      <c r="KET37" s="51"/>
      <c r="KEU37" s="51"/>
      <c r="KEV37" s="51"/>
      <c r="KEW37" s="51"/>
      <c r="KEX37" s="51"/>
      <c r="KEY37" s="51"/>
      <c r="KEZ37" s="51"/>
      <c r="KFA37" s="51"/>
      <c r="KFB37" s="51"/>
      <c r="KFC37" s="51"/>
      <c r="KFD37" s="51"/>
      <c r="KFE37" s="51"/>
      <c r="KFF37" s="51"/>
      <c r="KFG37" s="51"/>
      <c r="KFH37" s="51"/>
      <c r="KFI37" s="51"/>
      <c r="KFJ37" s="51"/>
      <c r="KFK37" s="51"/>
      <c r="KFL37" s="51"/>
      <c r="KFM37" s="51"/>
      <c r="KFN37" s="51"/>
      <c r="KFO37" s="51"/>
      <c r="KFP37" s="51"/>
      <c r="KFQ37" s="51"/>
      <c r="KFR37" s="51"/>
      <c r="KFS37" s="51"/>
      <c r="KFT37" s="51"/>
      <c r="KFU37" s="51"/>
      <c r="KFV37" s="51"/>
      <c r="KFW37" s="51"/>
      <c r="KFX37" s="51"/>
      <c r="KFY37" s="51"/>
      <c r="KFZ37" s="51"/>
      <c r="KGA37" s="51"/>
      <c r="KGB37" s="51"/>
      <c r="KGC37" s="51"/>
      <c r="KGD37" s="51"/>
      <c r="KGE37" s="51"/>
      <c r="KGF37" s="51"/>
      <c r="KGG37" s="51"/>
      <c r="KGH37" s="51"/>
      <c r="KGI37" s="51"/>
      <c r="KGJ37" s="51"/>
      <c r="KGK37" s="51"/>
      <c r="KGL37" s="51"/>
      <c r="KGM37" s="51"/>
      <c r="KGN37" s="51"/>
      <c r="KGO37" s="51"/>
      <c r="KGP37" s="51"/>
      <c r="KGQ37" s="51"/>
      <c r="KGR37" s="51"/>
      <c r="KGS37" s="51"/>
      <c r="KGT37" s="51"/>
      <c r="KGU37" s="51"/>
      <c r="KGV37" s="51"/>
      <c r="KGW37" s="51"/>
      <c r="KGX37" s="51"/>
      <c r="KGY37" s="51"/>
      <c r="KGZ37" s="51"/>
      <c r="KHA37" s="51"/>
      <c r="KHB37" s="51"/>
      <c r="KHC37" s="51"/>
      <c r="KHD37" s="51"/>
      <c r="KHE37" s="51"/>
      <c r="KHF37" s="51"/>
      <c r="KHG37" s="51"/>
      <c r="KHH37" s="51"/>
      <c r="KHI37" s="51"/>
      <c r="KHJ37" s="51"/>
      <c r="KHK37" s="51"/>
      <c r="KHL37" s="51"/>
      <c r="KHM37" s="51"/>
      <c r="KHN37" s="51"/>
      <c r="KHO37" s="51"/>
      <c r="KHP37" s="51"/>
      <c r="KHQ37" s="51"/>
      <c r="KHR37" s="51"/>
      <c r="KHS37" s="51"/>
      <c r="KHT37" s="51"/>
      <c r="KHU37" s="51"/>
      <c r="KHV37" s="51"/>
      <c r="KHW37" s="51"/>
      <c r="KHX37" s="51"/>
      <c r="KHY37" s="51"/>
      <c r="KHZ37" s="51"/>
      <c r="KIA37" s="51"/>
      <c r="KIB37" s="51"/>
      <c r="KIC37" s="51"/>
      <c r="KID37" s="51"/>
      <c r="KIE37" s="51"/>
      <c r="KIF37" s="51"/>
      <c r="KIG37" s="51"/>
      <c r="KIH37" s="51"/>
      <c r="KII37" s="51"/>
      <c r="KIJ37" s="51"/>
      <c r="KIK37" s="51"/>
      <c r="KIL37" s="51"/>
      <c r="KIM37" s="51"/>
      <c r="KIN37" s="51"/>
      <c r="KIO37" s="51"/>
      <c r="KIP37" s="51"/>
      <c r="KIQ37" s="51"/>
      <c r="KIR37" s="51"/>
      <c r="KIS37" s="51"/>
      <c r="KIT37" s="51"/>
      <c r="KIU37" s="51"/>
      <c r="KIV37" s="51"/>
      <c r="KIW37" s="51"/>
      <c r="KIX37" s="51"/>
      <c r="KIY37" s="51"/>
      <c r="KIZ37" s="51"/>
      <c r="KJA37" s="51"/>
      <c r="KJB37" s="51"/>
      <c r="KJC37" s="51"/>
      <c r="KJD37" s="51"/>
      <c r="KJE37" s="51"/>
      <c r="KJF37" s="51"/>
      <c r="KJG37" s="51"/>
      <c r="KJH37" s="51"/>
      <c r="KJI37" s="51"/>
      <c r="KJJ37" s="51"/>
      <c r="KJK37" s="51"/>
      <c r="KJL37" s="51"/>
      <c r="KJM37" s="51"/>
      <c r="KJN37" s="51"/>
      <c r="KJO37" s="51"/>
      <c r="KJP37" s="51"/>
      <c r="KJQ37" s="51"/>
      <c r="KJR37" s="51"/>
      <c r="KJS37" s="51"/>
      <c r="KJT37" s="51"/>
      <c r="KJU37" s="51"/>
      <c r="KJV37" s="51"/>
      <c r="KJW37" s="51"/>
      <c r="KJX37" s="51"/>
      <c r="KJY37" s="51"/>
      <c r="KJZ37" s="51"/>
      <c r="KKA37" s="51"/>
      <c r="KKB37" s="51"/>
      <c r="KKC37" s="51"/>
      <c r="KKD37" s="51"/>
      <c r="KKE37" s="51"/>
      <c r="KKF37" s="51"/>
      <c r="KKG37" s="51"/>
      <c r="KKH37" s="51"/>
      <c r="KKI37" s="51"/>
      <c r="KKJ37" s="51"/>
      <c r="KKK37" s="51"/>
      <c r="KKL37" s="51"/>
      <c r="KKM37" s="51"/>
      <c r="KKN37" s="51"/>
      <c r="KKO37" s="51"/>
      <c r="KKP37" s="51"/>
      <c r="KKQ37" s="51"/>
      <c r="KKR37" s="51"/>
      <c r="KKS37" s="51"/>
      <c r="KKT37" s="51"/>
      <c r="KKU37" s="51"/>
      <c r="KKV37" s="51"/>
      <c r="KKW37" s="51"/>
      <c r="KKX37" s="51"/>
      <c r="KKY37" s="51"/>
      <c r="KKZ37" s="51"/>
      <c r="KLA37" s="51"/>
      <c r="KLB37" s="51"/>
      <c r="KLC37" s="51"/>
      <c r="KLD37" s="51"/>
      <c r="KLE37" s="51"/>
      <c r="KLF37" s="51"/>
      <c r="KLG37" s="51"/>
      <c r="KLH37" s="51"/>
      <c r="KLI37" s="51"/>
      <c r="KLJ37" s="51"/>
      <c r="KLK37" s="51"/>
      <c r="KLL37" s="51"/>
      <c r="KLM37" s="51"/>
      <c r="KLN37" s="51"/>
      <c r="KLO37" s="51"/>
      <c r="KLP37" s="51"/>
      <c r="KLQ37" s="51"/>
      <c r="KLR37" s="51"/>
      <c r="KLS37" s="51"/>
      <c r="KLT37" s="51"/>
      <c r="KLU37" s="51"/>
      <c r="KLV37" s="51"/>
      <c r="KLW37" s="51"/>
      <c r="KLX37" s="51"/>
      <c r="KLY37" s="51"/>
      <c r="KLZ37" s="51"/>
      <c r="KMA37" s="51"/>
      <c r="KMB37" s="51"/>
      <c r="KMC37" s="51"/>
      <c r="KMD37" s="51"/>
      <c r="KME37" s="51"/>
      <c r="KMF37" s="51"/>
      <c r="KMG37" s="51"/>
      <c r="KMH37" s="51"/>
      <c r="KMI37" s="51"/>
      <c r="KMJ37" s="51"/>
      <c r="KMK37" s="51"/>
      <c r="KML37" s="51"/>
      <c r="KMM37" s="51"/>
      <c r="KMN37" s="51"/>
      <c r="KMO37" s="51"/>
      <c r="KMP37" s="51"/>
      <c r="KMQ37" s="51"/>
      <c r="KMR37" s="51"/>
      <c r="KMS37" s="51"/>
      <c r="KMT37" s="51"/>
      <c r="KMU37" s="51"/>
      <c r="KMV37" s="51"/>
      <c r="KMW37" s="51"/>
      <c r="KMX37" s="51"/>
      <c r="KMY37" s="51"/>
      <c r="KMZ37" s="51"/>
      <c r="KNA37" s="51"/>
      <c r="KNB37" s="51"/>
      <c r="KNC37" s="51"/>
      <c r="KND37" s="51"/>
      <c r="KNE37" s="51"/>
      <c r="KNF37" s="51"/>
      <c r="KNG37" s="51"/>
      <c r="KNH37" s="51"/>
      <c r="KNI37" s="51"/>
      <c r="KNJ37" s="51"/>
      <c r="KNK37" s="51"/>
      <c r="KNL37" s="51"/>
      <c r="KNM37" s="51"/>
      <c r="KNN37" s="51"/>
      <c r="KNO37" s="51"/>
      <c r="KNP37" s="51"/>
      <c r="KNQ37" s="51"/>
      <c r="KNR37" s="51"/>
      <c r="KNS37" s="51"/>
      <c r="KNT37" s="51"/>
      <c r="KNU37" s="51"/>
      <c r="KNV37" s="51"/>
      <c r="KNW37" s="51"/>
      <c r="KNX37" s="51"/>
      <c r="KNY37" s="51"/>
      <c r="KNZ37" s="51"/>
      <c r="KOA37" s="51"/>
      <c r="KOB37" s="51"/>
      <c r="KOC37" s="51"/>
      <c r="KOD37" s="51"/>
      <c r="KOE37" s="51"/>
      <c r="KOF37" s="51"/>
      <c r="KOG37" s="51"/>
      <c r="KOH37" s="51"/>
      <c r="KOI37" s="51"/>
      <c r="KOJ37" s="51"/>
      <c r="KOK37" s="51"/>
      <c r="KOL37" s="51"/>
      <c r="KOM37" s="51"/>
      <c r="KON37" s="51"/>
      <c r="KOO37" s="51"/>
      <c r="KOP37" s="51"/>
      <c r="KOQ37" s="51"/>
      <c r="KOR37" s="51"/>
      <c r="KOS37" s="51"/>
      <c r="KOT37" s="51"/>
      <c r="KOU37" s="51"/>
      <c r="KOV37" s="51"/>
      <c r="KOW37" s="51"/>
      <c r="KOX37" s="51"/>
      <c r="KOY37" s="51"/>
      <c r="KOZ37" s="51"/>
      <c r="KPA37" s="51"/>
      <c r="KPB37" s="51"/>
      <c r="KPC37" s="51"/>
      <c r="KPD37" s="51"/>
      <c r="KPE37" s="51"/>
      <c r="KPF37" s="51"/>
      <c r="KPG37" s="51"/>
      <c r="KPH37" s="51"/>
      <c r="KPI37" s="51"/>
      <c r="KPJ37" s="51"/>
      <c r="KPK37" s="51"/>
      <c r="KPL37" s="51"/>
      <c r="KPM37" s="51"/>
      <c r="KPN37" s="51"/>
      <c r="KPO37" s="51"/>
      <c r="KPP37" s="51"/>
      <c r="KPQ37" s="51"/>
      <c r="KPR37" s="51"/>
      <c r="KPS37" s="51"/>
      <c r="KPT37" s="51"/>
      <c r="KPU37" s="51"/>
      <c r="KPV37" s="51"/>
      <c r="KPW37" s="51"/>
      <c r="KPX37" s="51"/>
      <c r="KPY37" s="51"/>
      <c r="KPZ37" s="51"/>
      <c r="KQA37" s="51"/>
      <c r="KQB37" s="51"/>
      <c r="KQC37" s="51"/>
      <c r="KQD37" s="51"/>
      <c r="KQE37" s="51"/>
      <c r="KQF37" s="51"/>
      <c r="KQG37" s="51"/>
      <c r="KQH37" s="51"/>
      <c r="KQI37" s="51"/>
      <c r="KQJ37" s="51"/>
      <c r="KQK37" s="51"/>
      <c r="KQL37" s="51"/>
      <c r="KQM37" s="51"/>
      <c r="KQN37" s="51"/>
      <c r="KQO37" s="51"/>
      <c r="KQP37" s="51"/>
      <c r="KQQ37" s="51"/>
      <c r="KQR37" s="51"/>
      <c r="KQS37" s="51"/>
      <c r="KQT37" s="51"/>
      <c r="KQU37" s="51"/>
      <c r="KQV37" s="51"/>
      <c r="KQW37" s="51"/>
      <c r="KQX37" s="51"/>
      <c r="KQY37" s="51"/>
      <c r="KQZ37" s="51"/>
      <c r="KRA37" s="51"/>
      <c r="KRB37" s="51"/>
      <c r="KRC37" s="51"/>
      <c r="KRD37" s="51"/>
      <c r="KRE37" s="51"/>
      <c r="KRF37" s="51"/>
      <c r="KRG37" s="51"/>
      <c r="KRH37" s="51"/>
      <c r="KRI37" s="51"/>
      <c r="KRJ37" s="51"/>
      <c r="KRK37" s="51"/>
      <c r="KRL37" s="51"/>
      <c r="KRM37" s="51"/>
      <c r="KRN37" s="51"/>
      <c r="KRO37" s="51"/>
      <c r="KRP37" s="51"/>
      <c r="KRQ37" s="51"/>
      <c r="KRR37" s="51"/>
      <c r="KRS37" s="51"/>
      <c r="KRT37" s="51"/>
      <c r="KRU37" s="51"/>
      <c r="KRV37" s="51"/>
      <c r="KRW37" s="51"/>
      <c r="KRX37" s="51"/>
      <c r="KRY37" s="51"/>
      <c r="KRZ37" s="51"/>
      <c r="KSA37" s="51"/>
      <c r="KSB37" s="51"/>
      <c r="KSC37" s="51"/>
      <c r="KSD37" s="51"/>
      <c r="KSE37" s="51"/>
      <c r="KSF37" s="51"/>
      <c r="KSG37" s="51"/>
      <c r="KSH37" s="51"/>
      <c r="KSI37" s="51"/>
      <c r="KSJ37" s="51"/>
      <c r="KSK37" s="51"/>
      <c r="KSL37" s="51"/>
      <c r="KSM37" s="51"/>
      <c r="KSN37" s="51"/>
      <c r="KSO37" s="51"/>
      <c r="KSP37" s="51"/>
      <c r="KSQ37" s="51"/>
      <c r="KSR37" s="51"/>
      <c r="KSS37" s="51"/>
      <c r="KST37" s="51"/>
      <c r="KSU37" s="51"/>
      <c r="KSV37" s="51"/>
      <c r="KSW37" s="51"/>
      <c r="KSX37" s="51"/>
      <c r="KSY37" s="51"/>
      <c r="KSZ37" s="51"/>
      <c r="KTA37" s="51"/>
      <c r="KTB37" s="51"/>
      <c r="KTC37" s="51"/>
      <c r="KTD37" s="51"/>
      <c r="KTE37" s="51"/>
      <c r="KTF37" s="51"/>
      <c r="KTG37" s="51"/>
      <c r="KTH37" s="51"/>
      <c r="KTI37" s="51"/>
      <c r="KTJ37" s="51"/>
      <c r="KTK37" s="51"/>
      <c r="KTL37" s="51"/>
      <c r="KTM37" s="51"/>
      <c r="KTN37" s="51"/>
      <c r="KTO37" s="51"/>
      <c r="KTP37" s="51"/>
      <c r="KTQ37" s="51"/>
      <c r="KTR37" s="51"/>
      <c r="KTS37" s="51"/>
      <c r="KTT37" s="51"/>
      <c r="KTU37" s="51"/>
      <c r="KTV37" s="51"/>
      <c r="KTW37" s="51"/>
      <c r="KTX37" s="51"/>
      <c r="KTY37" s="51"/>
      <c r="KTZ37" s="51"/>
      <c r="KUA37" s="51"/>
      <c r="KUB37" s="51"/>
      <c r="KUC37" s="51"/>
      <c r="KUD37" s="51"/>
      <c r="KUE37" s="51"/>
      <c r="KUF37" s="51"/>
      <c r="KUG37" s="51"/>
      <c r="KUH37" s="51"/>
      <c r="KUI37" s="51"/>
      <c r="KUJ37" s="51"/>
      <c r="KUK37" s="51"/>
      <c r="KUL37" s="51"/>
      <c r="KUM37" s="51"/>
      <c r="KUN37" s="51"/>
      <c r="KUO37" s="51"/>
      <c r="KUP37" s="51"/>
      <c r="KUQ37" s="51"/>
      <c r="KUR37" s="51"/>
      <c r="KUS37" s="51"/>
      <c r="KUT37" s="51"/>
      <c r="KUU37" s="51"/>
      <c r="KUV37" s="51"/>
      <c r="KUW37" s="51"/>
      <c r="KUX37" s="51"/>
      <c r="KUY37" s="51"/>
      <c r="KUZ37" s="51"/>
      <c r="KVA37" s="51"/>
      <c r="KVB37" s="51"/>
      <c r="KVC37" s="51"/>
      <c r="KVD37" s="51"/>
      <c r="KVE37" s="51"/>
      <c r="KVF37" s="51"/>
      <c r="KVG37" s="51"/>
      <c r="KVH37" s="51"/>
      <c r="KVI37" s="51"/>
      <c r="KVJ37" s="51"/>
      <c r="KVK37" s="51"/>
      <c r="KVL37" s="51"/>
      <c r="KVM37" s="51"/>
      <c r="KVN37" s="51"/>
      <c r="KVO37" s="51"/>
      <c r="KVP37" s="51"/>
      <c r="KVQ37" s="51"/>
      <c r="KVR37" s="51"/>
      <c r="KVS37" s="51"/>
      <c r="KVT37" s="51"/>
      <c r="KVU37" s="51"/>
      <c r="KVV37" s="51"/>
      <c r="KVW37" s="51"/>
      <c r="KVX37" s="51"/>
      <c r="KVY37" s="51"/>
      <c r="KVZ37" s="51"/>
      <c r="KWA37" s="51"/>
      <c r="KWB37" s="51"/>
      <c r="KWC37" s="51"/>
      <c r="KWD37" s="51"/>
      <c r="KWE37" s="51"/>
      <c r="KWF37" s="51"/>
      <c r="KWG37" s="51"/>
      <c r="KWH37" s="51"/>
      <c r="KWI37" s="51"/>
      <c r="KWJ37" s="51"/>
      <c r="KWK37" s="51"/>
      <c r="KWL37" s="51"/>
      <c r="KWM37" s="51"/>
      <c r="KWN37" s="51"/>
      <c r="KWO37" s="51"/>
      <c r="KWP37" s="51"/>
      <c r="KWQ37" s="51"/>
      <c r="KWR37" s="51"/>
      <c r="KWS37" s="51"/>
      <c r="KWT37" s="51"/>
      <c r="KWU37" s="51"/>
      <c r="KWV37" s="51"/>
      <c r="KWW37" s="51"/>
      <c r="KWX37" s="51"/>
      <c r="KWY37" s="51"/>
      <c r="KWZ37" s="51"/>
      <c r="KXA37" s="51"/>
      <c r="KXB37" s="51"/>
      <c r="KXC37" s="51"/>
      <c r="KXD37" s="51"/>
      <c r="KXE37" s="51"/>
      <c r="KXF37" s="51"/>
      <c r="KXG37" s="51"/>
      <c r="KXH37" s="51"/>
      <c r="KXI37" s="51"/>
      <c r="KXJ37" s="51"/>
      <c r="KXK37" s="51"/>
      <c r="KXL37" s="51"/>
      <c r="KXM37" s="51"/>
      <c r="KXN37" s="51"/>
      <c r="KXO37" s="51"/>
      <c r="KXP37" s="51"/>
      <c r="KXQ37" s="51"/>
      <c r="KXR37" s="51"/>
      <c r="KXS37" s="51"/>
      <c r="KXT37" s="51"/>
      <c r="KXU37" s="51"/>
      <c r="KXV37" s="51"/>
      <c r="KXW37" s="51"/>
      <c r="KXX37" s="51"/>
      <c r="KXY37" s="51"/>
      <c r="KXZ37" s="51"/>
      <c r="KYA37" s="51"/>
      <c r="KYB37" s="51"/>
      <c r="KYC37" s="51"/>
      <c r="KYD37" s="51"/>
      <c r="KYE37" s="51"/>
      <c r="KYF37" s="51"/>
      <c r="KYG37" s="51"/>
      <c r="KYH37" s="51"/>
      <c r="KYI37" s="51"/>
      <c r="KYJ37" s="51"/>
      <c r="KYK37" s="51"/>
      <c r="KYL37" s="51"/>
      <c r="KYM37" s="51"/>
      <c r="KYN37" s="51"/>
      <c r="KYO37" s="51"/>
      <c r="KYP37" s="51"/>
      <c r="KYQ37" s="51"/>
      <c r="KYR37" s="51"/>
      <c r="KYS37" s="51"/>
      <c r="KYT37" s="51"/>
      <c r="KYU37" s="51"/>
      <c r="KYV37" s="51"/>
      <c r="KYW37" s="51"/>
      <c r="KYX37" s="51"/>
      <c r="KYY37" s="51"/>
      <c r="KYZ37" s="51"/>
      <c r="KZA37" s="51"/>
      <c r="KZB37" s="51"/>
      <c r="KZC37" s="51"/>
      <c r="KZD37" s="51"/>
      <c r="KZE37" s="51"/>
      <c r="KZF37" s="51"/>
      <c r="KZG37" s="51"/>
      <c r="KZH37" s="51"/>
      <c r="KZI37" s="51"/>
      <c r="KZJ37" s="51"/>
      <c r="KZK37" s="51"/>
      <c r="KZL37" s="51"/>
      <c r="KZM37" s="51"/>
      <c r="KZN37" s="51"/>
      <c r="KZO37" s="51"/>
      <c r="KZP37" s="51"/>
      <c r="KZQ37" s="51"/>
      <c r="KZR37" s="51"/>
      <c r="KZS37" s="51"/>
      <c r="KZT37" s="51"/>
      <c r="KZU37" s="51"/>
      <c r="KZV37" s="51"/>
      <c r="KZW37" s="51"/>
      <c r="KZX37" s="51"/>
      <c r="KZY37" s="51"/>
      <c r="KZZ37" s="51"/>
      <c r="LAA37" s="51"/>
      <c r="LAB37" s="51"/>
      <c r="LAC37" s="51"/>
      <c r="LAD37" s="51"/>
      <c r="LAE37" s="51"/>
      <c r="LAF37" s="51"/>
      <c r="LAG37" s="51"/>
      <c r="LAH37" s="51"/>
      <c r="LAI37" s="51"/>
      <c r="LAJ37" s="51"/>
      <c r="LAK37" s="51"/>
      <c r="LAL37" s="51"/>
      <c r="LAM37" s="51"/>
      <c r="LAN37" s="51"/>
      <c r="LAO37" s="51"/>
      <c r="LAP37" s="51"/>
      <c r="LAQ37" s="51"/>
      <c r="LAR37" s="51"/>
      <c r="LAS37" s="51"/>
      <c r="LAT37" s="51"/>
      <c r="LAU37" s="51"/>
      <c r="LAV37" s="51"/>
      <c r="LAW37" s="51"/>
      <c r="LAX37" s="51"/>
      <c r="LAY37" s="51"/>
      <c r="LAZ37" s="51"/>
      <c r="LBA37" s="51"/>
      <c r="LBB37" s="51"/>
      <c r="LBC37" s="51"/>
      <c r="LBD37" s="51"/>
      <c r="LBE37" s="51"/>
      <c r="LBF37" s="51"/>
      <c r="LBG37" s="51"/>
      <c r="LBH37" s="51"/>
      <c r="LBI37" s="51"/>
      <c r="LBJ37" s="51"/>
      <c r="LBK37" s="51"/>
      <c r="LBL37" s="51"/>
      <c r="LBM37" s="51"/>
      <c r="LBN37" s="51"/>
      <c r="LBO37" s="51"/>
      <c r="LBP37" s="51"/>
      <c r="LBQ37" s="51"/>
      <c r="LBR37" s="51"/>
      <c r="LBS37" s="51"/>
      <c r="LBT37" s="51"/>
      <c r="LBU37" s="51"/>
      <c r="LBV37" s="51"/>
      <c r="LBW37" s="51"/>
      <c r="LBX37" s="51"/>
      <c r="LBY37" s="51"/>
      <c r="LBZ37" s="51"/>
      <c r="LCA37" s="51"/>
      <c r="LCB37" s="51"/>
      <c r="LCC37" s="51"/>
      <c r="LCD37" s="51"/>
      <c r="LCE37" s="51"/>
      <c r="LCF37" s="51"/>
      <c r="LCG37" s="51"/>
      <c r="LCH37" s="51"/>
      <c r="LCI37" s="51"/>
      <c r="LCJ37" s="51"/>
      <c r="LCK37" s="51"/>
      <c r="LCL37" s="51"/>
      <c r="LCM37" s="51"/>
      <c r="LCN37" s="51"/>
      <c r="LCO37" s="51"/>
      <c r="LCP37" s="51"/>
      <c r="LCQ37" s="51"/>
      <c r="LCR37" s="51"/>
      <c r="LCS37" s="51"/>
      <c r="LCT37" s="51"/>
      <c r="LCU37" s="51"/>
      <c r="LCV37" s="51"/>
      <c r="LCW37" s="51"/>
      <c r="LCX37" s="51"/>
      <c r="LCY37" s="51"/>
      <c r="LCZ37" s="51"/>
      <c r="LDA37" s="51"/>
      <c r="LDB37" s="51"/>
      <c r="LDC37" s="51"/>
      <c r="LDD37" s="51"/>
      <c r="LDE37" s="51"/>
      <c r="LDF37" s="51"/>
      <c r="LDG37" s="51"/>
      <c r="LDH37" s="51"/>
      <c r="LDI37" s="51"/>
      <c r="LDJ37" s="51"/>
      <c r="LDK37" s="51"/>
      <c r="LDL37" s="51"/>
      <c r="LDM37" s="51"/>
      <c r="LDN37" s="51"/>
      <c r="LDO37" s="51"/>
      <c r="LDP37" s="51"/>
      <c r="LDQ37" s="51"/>
      <c r="LDR37" s="51"/>
      <c r="LDS37" s="51"/>
      <c r="LDT37" s="51"/>
      <c r="LDU37" s="51"/>
      <c r="LDV37" s="51"/>
      <c r="LDW37" s="51"/>
      <c r="LDX37" s="51"/>
      <c r="LDY37" s="51"/>
      <c r="LDZ37" s="51"/>
      <c r="LEA37" s="51"/>
      <c r="LEB37" s="51"/>
      <c r="LEC37" s="51"/>
      <c r="LED37" s="51"/>
      <c r="LEE37" s="51"/>
      <c r="LEF37" s="51"/>
      <c r="LEG37" s="51"/>
      <c r="LEH37" s="51"/>
      <c r="LEI37" s="51"/>
      <c r="LEJ37" s="51"/>
      <c r="LEK37" s="51"/>
      <c r="LEL37" s="51"/>
      <c r="LEM37" s="51"/>
      <c r="LEN37" s="51"/>
      <c r="LEO37" s="51"/>
      <c r="LEP37" s="51"/>
      <c r="LEQ37" s="51"/>
      <c r="LER37" s="51"/>
      <c r="LES37" s="51"/>
      <c r="LET37" s="51"/>
      <c r="LEU37" s="51"/>
      <c r="LEV37" s="51"/>
      <c r="LEW37" s="51"/>
      <c r="LEX37" s="51"/>
      <c r="LEY37" s="51"/>
      <c r="LEZ37" s="51"/>
      <c r="LFA37" s="51"/>
      <c r="LFB37" s="51"/>
      <c r="LFC37" s="51"/>
      <c r="LFD37" s="51"/>
      <c r="LFE37" s="51"/>
      <c r="LFF37" s="51"/>
      <c r="LFG37" s="51"/>
      <c r="LFH37" s="51"/>
      <c r="LFI37" s="51"/>
      <c r="LFJ37" s="51"/>
      <c r="LFK37" s="51"/>
      <c r="LFL37" s="51"/>
      <c r="LFM37" s="51"/>
      <c r="LFN37" s="51"/>
      <c r="LFO37" s="51"/>
      <c r="LFP37" s="51"/>
      <c r="LFQ37" s="51"/>
      <c r="LFR37" s="51"/>
      <c r="LFS37" s="51"/>
      <c r="LFT37" s="51"/>
      <c r="LFU37" s="51"/>
      <c r="LFV37" s="51"/>
      <c r="LFW37" s="51"/>
      <c r="LFX37" s="51"/>
      <c r="LFY37" s="51"/>
      <c r="LFZ37" s="51"/>
      <c r="LGA37" s="51"/>
      <c r="LGB37" s="51"/>
      <c r="LGC37" s="51"/>
      <c r="LGD37" s="51"/>
      <c r="LGE37" s="51"/>
      <c r="LGF37" s="51"/>
      <c r="LGG37" s="51"/>
      <c r="LGH37" s="51"/>
      <c r="LGI37" s="51"/>
      <c r="LGJ37" s="51"/>
      <c r="LGK37" s="51"/>
      <c r="LGL37" s="51"/>
      <c r="LGM37" s="51"/>
      <c r="LGN37" s="51"/>
      <c r="LGO37" s="51"/>
      <c r="LGP37" s="51"/>
      <c r="LGQ37" s="51"/>
      <c r="LGR37" s="51"/>
      <c r="LGS37" s="51"/>
      <c r="LGT37" s="51"/>
      <c r="LGU37" s="51"/>
      <c r="LGV37" s="51"/>
      <c r="LGW37" s="51"/>
      <c r="LGX37" s="51"/>
      <c r="LGY37" s="51"/>
      <c r="LGZ37" s="51"/>
      <c r="LHA37" s="51"/>
      <c r="LHB37" s="51"/>
      <c r="LHC37" s="51"/>
      <c r="LHD37" s="51"/>
      <c r="LHE37" s="51"/>
      <c r="LHF37" s="51"/>
      <c r="LHG37" s="51"/>
      <c r="LHH37" s="51"/>
      <c r="LHI37" s="51"/>
      <c r="LHJ37" s="51"/>
      <c r="LHK37" s="51"/>
      <c r="LHL37" s="51"/>
      <c r="LHM37" s="51"/>
      <c r="LHN37" s="51"/>
      <c r="LHO37" s="51"/>
      <c r="LHP37" s="51"/>
      <c r="LHQ37" s="51"/>
      <c r="LHR37" s="51"/>
      <c r="LHS37" s="51"/>
      <c r="LHT37" s="51"/>
      <c r="LHU37" s="51"/>
      <c r="LHV37" s="51"/>
      <c r="LHW37" s="51"/>
      <c r="LHX37" s="51"/>
      <c r="LHY37" s="51"/>
      <c r="LHZ37" s="51"/>
      <c r="LIA37" s="51"/>
      <c r="LIB37" s="51"/>
      <c r="LIC37" s="51"/>
      <c r="LID37" s="51"/>
      <c r="LIE37" s="51"/>
      <c r="LIF37" s="51"/>
      <c r="LIG37" s="51"/>
      <c r="LIH37" s="51"/>
      <c r="LII37" s="51"/>
      <c r="LIJ37" s="51"/>
      <c r="LIK37" s="51"/>
      <c r="LIL37" s="51"/>
      <c r="LIM37" s="51"/>
      <c r="LIN37" s="51"/>
      <c r="LIO37" s="51"/>
      <c r="LIP37" s="51"/>
      <c r="LIQ37" s="51"/>
      <c r="LIR37" s="51"/>
      <c r="LIS37" s="51"/>
      <c r="LIT37" s="51"/>
      <c r="LIU37" s="51"/>
      <c r="LIV37" s="51"/>
      <c r="LIW37" s="51"/>
      <c r="LIX37" s="51"/>
      <c r="LIY37" s="51"/>
      <c r="LIZ37" s="51"/>
      <c r="LJA37" s="51"/>
      <c r="LJB37" s="51"/>
      <c r="LJC37" s="51"/>
      <c r="LJD37" s="51"/>
      <c r="LJE37" s="51"/>
      <c r="LJF37" s="51"/>
      <c r="LJG37" s="51"/>
      <c r="LJH37" s="51"/>
      <c r="LJI37" s="51"/>
      <c r="LJJ37" s="51"/>
      <c r="LJK37" s="51"/>
      <c r="LJL37" s="51"/>
      <c r="LJM37" s="51"/>
      <c r="LJN37" s="51"/>
      <c r="LJO37" s="51"/>
      <c r="LJP37" s="51"/>
      <c r="LJQ37" s="51"/>
      <c r="LJR37" s="51"/>
      <c r="LJS37" s="51"/>
      <c r="LJT37" s="51"/>
      <c r="LJU37" s="51"/>
      <c r="LJV37" s="51"/>
      <c r="LJW37" s="51"/>
      <c r="LJX37" s="51"/>
      <c r="LJY37" s="51"/>
      <c r="LJZ37" s="51"/>
      <c r="LKA37" s="51"/>
      <c r="LKB37" s="51"/>
      <c r="LKC37" s="51"/>
      <c r="LKD37" s="51"/>
      <c r="LKE37" s="51"/>
      <c r="LKF37" s="51"/>
      <c r="LKG37" s="51"/>
      <c r="LKH37" s="51"/>
      <c r="LKI37" s="51"/>
      <c r="LKJ37" s="51"/>
      <c r="LKK37" s="51"/>
      <c r="LKL37" s="51"/>
      <c r="LKM37" s="51"/>
      <c r="LKN37" s="51"/>
      <c r="LKO37" s="51"/>
      <c r="LKP37" s="51"/>
      <c r="LKQ37" s="51"/>
      <c r="LKR37" s="51"/>
      <c r="LKS37" s="51"/>
      <c r="LKT37" s="51"/>
      <c r="LKU37" s="51"/>
      <c r="LKV37" s="51"/>
      <c r="LKW37" s="51"/>
      <c r="LKX37" s="51"/>
      <c r="LKY37" s="51"/>
      <c r="LKZ37" s="51"/>
      <c r="LLA37" s="51"/>
      <c r="LLB37" s="51"/>
      <c r="LLC37" s="51"/>
      <c r="LLD37" s="51"/>
      <c r="LLE37" s="51"/>
      <c r="LLF37" s="51"/>
      <c r="LLG37" s="51"/>
      <c r="LLH37" s="51"/>
      <c r="LLI37" s="51"/>
      <c r="LLJ37" s="51"/>
      <c r="LLK37" s="51"/>
      <c r="LLL37" s="51"/>
      <c r="LLM37" s="51"/>
      <c r="LLN37" s="51"/>
      <c r="LLO37" s="51"/>
      <c r="LLP37" s="51"/>
      <c r="LLQ37" s="51"/>
      <c r="LLR37" s="51"/>
      <c r="LLS37" s="51"/>
      <c r="LLT37" s="51"/>
      <c r="LLU37" s="51"/>
      <c r="LLV37" s="51"/>
      <c r="LLW37" s="51"/>
      <c r="LLX37" s="51"/>
      <c r="LLY37" s="51"/>
      <c r="LLZ37" s="51"/>
      <c r="LMA37" s="51"/>
      <c r="LMB37" s="51"/>
      <c r="LMC37" s="51"/>
      <c r="LMD37" s="51"/>
      <c r="LME37" s="51"/>
      <c r="LMF37" s="51"/>
      <c r="LMG37" s="51"/>
      <c r="LMH37" s="51"/>
      <c r="LMI37" s="51"/>
      <c r="LMJ37" s="51"/>
      <c r="LMK37" s="51"/>
      <c r="LML37" s="51"/>
      <c r="LMM37" s="51"/>
      <c r="LMN37" s="51"/>
      <c r="LMO37" s="51"/>
      <c r="LMP37" s="51"/>
      <c r="LMQ37" s="51"/>
      <c r="LMR37" s="51"/>
      <c r="LMS37" s="51"/>
      <c r="LMT37" s="51"/>
      <c r="LMU37" s="51"/>
      <c r="LMV37" s="51"/>
      <c r="LMW37" s="51"/>
      <c r="LMX37" s="51"/>
      <c r="LMY37" s="51"/>
      <c r="LMZ37" s="51"/>
      <c r="LNA37" s="51"/>
      <c r="LNB37" s="51"/>
      <c r="LNC37" s="51"/>
      <c r="LND37" s="51"/>
      <c r="LNE37" s="51"/>
      <c r="LNF37" s="51"/>
      <c r="LNG37" s="51"/>
      <c r="LNH37" s="51"/>
      <c r="LNI37" s="51"/>
      <c r="LNJ37" s="51"/>
      <c r="LNK37" s="51"/>
      <c r="LNL37" s="51"/>
      <c r="LNM37" s="51"/>
      <c r="LNN37" s="51"/>
      <c r="LNO37" s="51"/>
      <c r="LNP37" s="51"/>
      <c r="LNQ37" s="51"/>
      <c r="LNR37" s="51"/>
      <c r="LNS37" s="51"/>
      <c r="LNT37" s="51"/>
      <c r="LNU37" s="51"/>
      <c r="LNV37" s="51"/>
      <c r="LNW37" s="51"/>
      <c r="LNX37" s="51"/>
      <c r="LNY37" s="51"/>
      <c r="LNZ37" s="51"/>
      <c r="LOA37" s="51"/>
      <c r="LOB37" s="51"/>
      <c r="LOC37" s="51"/>
      <c r="LOD37" s="51"/>
      <c r="LOE37" s="51"/>
      <c r="LOF37" s="51"/>
      <c r="LOG37" s="51"/>
      <c r="LOH37" s="51"/>
      <c r="LOI37" s="51"/>
      <c r="LOJ37" s="51"/>
      <c r="LOK37" s="51"/>
      <c r="LOL37" s="51"/>
      <c r="LOM37" s="51"/>
      <c r="LON37" s="51"/>
      <c r="LOO37" s="51"/>
      <c r="LOP37" s="51"/>
      <c r="LOQ37" s="51"/>
      <c r="LOR37" s="51"/>
      <c r="LOS37" s="51"/>
      <c r="LOT37" s="51"/>
      <c r="LOU37" s="51"/>
      <c r="LOV37" s="51"/>
      <c r="LOW37" s="51"/>
      <c r="LOX37" s="51"/>
      <c r="LOY37" s="51"/>
      <c r="LOZ37" s="51"/>
      <c r="LPA37" s="51"/>
      <c r="LPB37" s="51"/>
      <c r="LPC37" s="51"/>
      <c r="LPD37" s="51"/>
      <c r="LPE37" s="51"/>
      <c r="LPF37" s="51"/>
      <c r="LPG37" s="51"/>
      <c r="LPH37" s="51"/>
      <c r="LPI37" s="51"/>
      <c r="LPJ37" s="51"/>
      <c r="LPK37" s="51"/>
      <c r="LPL37" s="51"/>
      <c r="LPM37" s="51"/>
      <c r="LPN37" s="51"/>
      <c r="LPO37" s="51"/>
      <c r="LPP37" s="51"/>
      <c r="LPQ37" s="51"/>
      <c r="LPR37" s="51"/>
      <c r="LPS37" s="51"/>
      <c r="LPT37" s="51"/>
      <c r="LPU37" s="51"/>
      <c r="LPV37" s="51"/>
      <c r="LPW37" s="51"/>
      <c r="LPX37" s="51"/>
      <c r="LPY37" s="51"/>
      <c r="LPZ37" s="51"/>
      <c r="LQA37" s="51"/>
      <c r="LQB37" s="51"/>
      <c r="LQC37" s="51"/>
      <c r="LQD37" s="51"/>
      <c r="LQE37" s="51"/>
      <c r="LQF37" s="51"/>
      <c r="LQG37" s="51"/>
      <c r="LQH37" s="51"/>
      <c r="LQI37" s="51"/>
      <c r="LQJ37" s="51"/>
      <c r="LQK37" s="51"/>
      <c r="LQL37" s="51"/>
      <c r="LQM37" s="51"/>
      <c r="LQN37" s="51"/>
      <c r="LQO37" s="51"/>
      <c r="LQP37" s="51"/>
      <c r="LQQ37" s="51"/>
      <c r="LQR37" s="51"/>
      <c r="LQS37" s="51"/>
      <c r="LQT37" s="51"/>
      <c r="LQU37" s="51"/>
      <c r="LQV37" s="51"/>
      <c r="LQW37" s="51"/>
      <c r="LQX37" s="51"/>
      <c r="LQY37" s="51"/>
      <c r="LQZ37" s="51"/>
      <c r="LRA37" s="51"/>
      <c r="LRB37" s="51"/>
      <c r="LRC37" s="51"/>
      <c r="LRD37" s="51"/>
      <c r="LRE37" s="51"/>
      <c r="LRF37" s="51"/>
      <c r="LRG37" s="51"/>
      <c r="LRH37" s="51"/>
      <c r="LRI37" s="51"/>
      <c r="LRJ37" s="51"/>
      <c r="LRK37" s="51"/>
      <c r="LRL37" s="51"/>
      <c r="LRM37" s="51"/>
      <c r="LRN37" s="51"/>
      <c r="LRO37" s="51"/>
      <c r="LRP37" s="51"/>
      <c r="LRQ37" s="51"/>
      <c r="LRR37" s="51"/>
      <c r="LRS37" s="51"/>
      <c r="LRT37" s="51"/>
      <c r="LRU37" s="51"/>
      <c r="LRV37" s="51"/>
      <c r="LRW37" s="51"/>
      <c r="LRX37" s="51"/>
      <c r="LRY37" s="51"/>
      <c r="LRZ37" s="51"/>
      <c r="LSA37" s="51"/>
      <c r="LSB37" s="51"/>
      <c r="LSC37" s="51"/>
      <c r="LSD37" s="51"/>
      <c r="LSE37" s="51"/>
      <c r="LSF37" s="51"/>
      <c r="LSG37" s="51"/>
      <c r="LSH37" s="51"/>
      <c r="LSI37" s="51"/>
      <c r="LSJ37" s="51"/>
      <c r="LSK37" s="51"/>
      <c r="LSL37" s="51"/>
      <c r="LSM37" s="51"/>
      <c r="LSN37" s="51"/>
      <c r="LSO37" s="51"/>
      <c r="LSP37" s="51"/>
      <c r="LSQ37" s="51"/>
      <c r="LSR37" s="51"/>
      <c r="LSS37" s="51"/>
      <c r="LST37" s="51"/>
      <c r="LSU37" s="51"/>
      <c r="LSV37" s="51"/>
      <c r="LSW37" s="51"/>
      <c r="LSX37" s="51"/>
      <c r="LSY37" s="51"/>
      <c r="LSZ37" s="51"/>
      <c r="LTA37" s="51"/>
      <c r="LTB37" s="51"/>
      <c r="LTC37" s="51"/>
      <c r="LTD37" s="51"/>
      <c r="LTE37" s="51"/>
      <c r="LTF37" s="51"/>
      <c r="LTG37" s="51"/>
      <c r="LTH37" s="51"/>
      <c r="LTI37" s="51"/>
      <c r="LTJ37" s="51"/>
      <c r="LTK37" s="51"/>
      <c r="LTL37" s="51"/>
      <c r="LTM37" s="51"/>
      <c r="LTN37" s="51"/>
      <c r="LTO37" s="51"/>
      <c r="LTP37" s="51"/>
      <c r="LTQ37" s="51"/>
      <c r="LTR37" s="51"/>
      <c r="LTS37" s="51"/>
      <c r="LTT37" s="51"/>
      <c r="LTU37" s="51"/>
      <c r="LTV37" s="51"/>
      <c r="LTW37" s="51"/>
      <c r="LTX37" s="51"/>
      <c r="LTY37" s="51"/>
      <c r="LTZ37" s="51"/>
      <c r="LUA37" s="51"/>
      <c r="LUB37" s="51"/>
      <c r="LUC37" s="51"/>
      <c r="LUD37" s="51"/>
      <c r="LUE37" s="51"/>
      <c r="LUF37" s="51"/>
      <c r="LUG37" s="51"/>
      <c r="LUH37" s="51"/>
      <c r="LUI37" s="51"/>
      <c r="LUJ37" s="51"/>
      <c r="LUK37" s="51"/>
      <c r="LUL37" s="51"/>
      <c r="LUM37" s="51"/>
      <c r="LUN37" s="51"/>
      <c r="LUO37" s="51"/>
      <c r="LUP37" s="51"/>
      <c r="LUQ37" s="51"/>
      <c r="LUR37" s="51"/>
      <c r="LUS37" s="51"/>
      <c r="LUT37" s="51"/>
      <c r="LUU37" s="51"/>
      <c r="LUV37" s="51"/>
      <c r="LUW37" s="51"/>
      <c r="LUX37" s="51"/>
      <c r="LUY37" s="51"/>
      <c r="LUZ37" s="51"/>
      <c r="LVA37" s="51"/>
      <c r="LVB37" s="51"/>
      <c r="LVC37" s="51"/>
      <c r="LVD37" s="51"/>
      <c r="LVE37" s="51"/>
      <c r="LVF37" s="51"/>
      <c r="LVG37" s="51"/>
      <c r="LVH37" s="51"/>
      <c r="LVI37" s="51"/>
      <c r="LVJ37" s="51"/>
      <c r="LVK37" s="51"/>
      <c r="LVL37" s="51"/>
      <c r="LVM37" s="51"/>
      <c r="LVN37" s="51"/>
      <c r="LVO37" s="51"/>
      <c r="LVP37" s="51"/>
      <c r="LVQ37" s="51"/>
      <c r="LVR37" s="51"/>
      <c r="LVS37" s="51"/>
      <c r="LVT37" s="51"/>
      <c r="LVU37" s="51"/>
      <c r="LVV37" s="51"/>
      <c r="LVW37" s="51"/>
      <c r="LVX37" s="51"/>
      <c r="LVY37" s="51"/>
      <c r="LVZ37" s="51"/>
      <c r="LWA37" s="51"/>
      <c r="LWB37" s="51"/>
      <c r="LWC37" s="51"/>
      <c r="LWD37" s="51"/>
      <c r="LWE37" s="51"/>
      <c r="LWF37" s="51"/>
      <c r="LWG37" s="51"/>
      <c r="LWH37" s="51"/>
      <c r="LWI37" s="51"/>
      <c r="LWJ37" s="51"/>
      <c r="LWK37" s="51"/>
      <c r="LWL37" s="51"/>
      <c r="LWM37" s="51"/>
      <c r="LWN37" s="51"/>
      <c r="LWO37" s="51"/>
      <c r="LWP37" s="51"/>
      <c r="LWQ37" s="51"/>
      <c r="LWR37" s="51"/>
      <c r="LWS37" s="51"/>
      <c r="LWT37" s="51"/>
      <c r="LWU37" s="51"/>
      <c r="LWV37" s="51"/>
      <c r="LWW37" s="51"/>
      <c r="LWX37" s="51"/>
      <c r="LWY37" s="51"/>
      <c r="LWZ37" s="51"/>
      <c r="LXA37" s="51"/>
      <c r="LXB37" s="51"/>
      <c r="LXC37" s="51"/>
      <c r="LXD37" s="51"/>
      <c r="LXE37" s="51"/>
      <c r="LXF37" s="51"/>
      <c r="LXG37" s="51"/>
      <c r="LXH37" s="51"/>
      <c r="LXI37" s="51"/>
      <c r="LXJ37" s="51"/>
      <c r="LXK37" s="51"/>
      <c r="LXL37" s="51"/>
      <c r="LXM37" s="51"/>
      <c r="LXN37" s="51"/>
      <c r="LXO37" s="51"/>
      <c r="LXP37" s="51"/>
      <c r="LXQ37" s="51"/>
      <c r="LXR37" s="51"/>
      <c r="LXS37" s="51"/>
      <c r="LXT37" s="51"/>
      <c r="LXU37" s="51"/>
      <c r="LXV37" s="51"/>
      <c r="LXW37" s="51"/>
      <c r="LXX37" s="51"/>
      <c r="LXY37" s="51"/>
      <c r="LXZ37" s="51"/>
      <c r="LYA37" s="51"/>
      <c r="LYB37" s="51"/>
      <c r="LYC37" s="51"/>
      <c r="LYD37" s="51"/>
      <c r="LYE37" s="51"/>
      <c r="LYF37" s="51"/>
      <c r="LYG37" s="51"/>
      <c r="LYH37" s="51"/>
      <c r="LYI37" s="51"/>
      <c r="LYJ37" s="51"/>
      <c r="LYK37" s="51"/>
      <c r="LYL37" s="51"/>
      <c r="LYM37" s="51"/>
      <c r="LYN37" s="51"/>
      <c r="LYO37" s="51"/>
      <c r="LYP37" s="51"/>
      <c r="LYQ37" s="51"/>
      <c r="LYR37" s="51"/>
      <c r="LYS37" s="51"/>
      <c r="LYT37" s="51"/>
      <c r="LYU37" s="51"/>
      <c r="LYV37" s="51"/>
      <c r="LYW37" s="51"/>
      <c r="LYX37" s="51"/>
      <c r="LYY37" s="51"/>
      <c r="LYZ37" s="51"/>
      <c r="LZA37" s="51"/>
      <c r="LZB37" s="51"/>
      <c r="LZC37" s="51"/>
      <c r="LZD37" s="51"/>
      <c r="LZE37" s="51"/>
      <c r="LZF37" s="51"/>
      <c r="LZG37" s="51"/>
      <c r="LZH37" s="51"/>
      <c r="LZI37" s="51"/>
      <c r="LZJ37" s="51"/>
      <c r="LZK37" s="51"/>
      <c r="LZL37" s="51"/>
      <c r="LZM37" s="51"/>
      <c r="LZN37" s="51"/>
      <c r="LZO37" s="51"/>
      <c r="LZP37" s="51"/>
      <c r="LZQ37" s="51"/>
      <c r="LZR37" s="51"/>
      <c r="LZS37" s="51"/>
      <c r="LZT37" s="51"/>
      <c r="LZU37" s="51"/>
      <c r="LZV37" s="51"/>
      <c r="LZW37" s="51"/>
      <c r="LZX37" s="51"/>
      <c r="LZY37" s="51"/>
      <c r="LZZ37" s="51"/>
      <c r="MAA37" s="51"/>
      <c r="MAB37" s="51"/>
      <c r="MAC37" s="51"/>
      <c r="MAD37" s="51"/>
      <c r="MAE37" s="51"/>
      <c r="MAF37" s="51"/>
      <c r="MAG37" s="51"/>
      <c r="MAH37" s="51"/>
      <c r="MAI37" s="51"/>
      <c r="MAJ37" s="51"/>
      <c r="MAK37" s="51"/>
      <c r="MAL37" s="51"/>
      <c r="MAM37" s="51"/>
      <c r="MAN37" s="51"/>
      <c r="MAO37" s="51"/>
      <c r="MAP37" s="51"/>
      <c r="MAQ37" s="51"/>
      <c r="MAR37" s="51"/>
      <c r="MAS37" s="51"/>
      <c r="MAT37" s="51"/>
      <c r="MAU37" s="51"/>
      <c r="MAV37" s="51"/>
      <c r="MAW37" s="51"/>
      <c r="MAX37" s="51"/>
      <c r="MAY37" s="51"/>
      <c r="MAZ37" s="51"/>
      <c r="MBA37" s="51"/>
      <c r="MBB37" s="51"/>
      <c r="MBC37" s="51"/>
      <c r="MBD37" s="51"/>
      <c r="MBE37" s="51"/>
      <c r="MBF37" s="51"/>
      <c r="MBG37" s="51"/>
      <c r="MBH37" s="51"/>
      <c r="MBI37" s="51"/>
      <c r="MBJ37" s="51"/>
      <c r="MBK37" s="51"/>
      <c r="MBL37" s="51"/>
      <c r="MBM37" s="51"/>
      <c r="MBN37" s="51"/>
      <c r="MBO37" s="51"/>
      <c r="MBP37" s="51"/>
      <c r="MBQ37" s="51"/>
      <c r="MBR37" s="51"/>
      <c r="MBS37" s="51"/>
      <c r="MBT37" s="51"/>
      <c r="MBU37" s="51"/>
      <c r="MBV37" s="51"/>
      <c r="MBW37" s="51"/>
      <c r="MBX37" s="51"/>
      <c r="MBY37" s="51"/>
      <c r="MBZ37" s="51"/>
      <c r="MCA37" s="51"/>
      <c r="MCB37" s="51"/>
      <c r="MCC37" s="51"/>
      <c r="MCD37" s="51"/>
      <c r="MCE37" s="51"/>
      <c r="MCF37" s="51"/>
      <c r="MCG37" s="51"/>
      <c r="MCH37" s="51"/>
      <c r="MCI37" s="51"/>
      <c r="MCJ37" s="51"/>
      <c r="MCK37" s="51"/>
      <c r="MCL37" s="51"/>
      <c r="MCM37" s="51"/>
      <c r="MCN37" s="51"/>
      <c r="MCO37" s="51"/>
      <c r="MCP37" s="51"/>
      <c r="MCQ37" s="51"/>
      <c r="MCR37" s="51"/>
      <c r="MCS37" s="51"/>
      <c r="MCT37" s="51"/>
      <c r="MCU37" s="51"/>
      <c r="MCV37" s="51"/>
      <c r="MCW37" s="51"/>
      <c r="MCX37" s="51"/>
      <c r="MCY37" s="51"/>
      <c r="MCZ37" s="51"/>
      <c r="MDA37" s="51"/>
      <c r="MDB37" s="51"/>
      <c r="MDC37" s="51"/>
      <c r="MDD37" s="51"/>
      <c r="MDE37" s="51"/>
      <c r="MDF37" s="51"/>
      <c r="MDG37" s="51"/>
      <c r="MDH37" s="51"/>
      <c r="MDI37" s="51"/>
      <c r="MDJ37" s="51"/>
      <c r="MDK37" s="51"/>
      <c r="MDL37" s="51"/>
      <c r="MDM37" s="51"/>
      <c r="MDN37" s="51"/>
      <c r="MDO37" s="51"/>
      <c r="MDP37" s="51"/>
      <c r="MDQ37" s="51"/>
      <c r="MDR37" s="51"/>
      <c r="MDS37" s="51"/>
      <c r="MDT37" s="51"/>
      <c r="MDU37" s="51"/>
      <c r="MDV37" s="51"/>
      <c r="MDW37" s="51"/>
      <c r="MDX37" s="51"/>
      <c r="MDY37" s="51"/>
      <c r="MDZ37" s="51"/>
      <c r="MEA37" s="51"/>
      <c r="MEB37" s="51"/>
      <c r="MEC37" s="51"/>
      <c r="MED37" s="51"/>
      <c r="MEE37" s="51"/>
      <c r="MEF37" s="51"/>
      <c r="MEG37" s="51"/>
      <c r="MEH37" s="51"/>
      <c r="MEI37" s="51"/>
      <c r="MEJ37" s="51"/>
      <c r="MEK37" s="51"/>
      <c r="MEL37" s="51"/>
      <c r="MEM37" s="51"/>
      <c r="MEN37" s="51"/>
      <c r="MEO37" s="51"/>
      <c r="MEP37" s="51"/>
      <c r="MEQ37" s="51"/>
      <c r="MER37" s="51"/>
      <c r="MES37" s="51"/>
      <c r="MET37" s="51"/>
      <c r="MEU37" s="51"/>
      <c r="MEV37" s="51"/>
      <c r="MEW37" s="51"/>
      <c r="MEX37" s="51"/>
      <c r="MEY37" s="51"/>
      <c r="MEZ37" s="51"/>
      <c r="MFA37" s="51"/>
      <c r="MFB37" s="51"/>
      <c r="MFC37" s="51"/>
      <c r="MFD37" s="51"/>
      <c r="MFE37" s="51"/>
      <c r="MFF37" s="51"/>
      <c r="MFG37" s="51"/>
      <c r="MFH37" s="51"/>
      <c r="MFI37" s="51"/>
      <c r="MFJ37" s="51"/>
      <c r="MFK37" s="51"/>
      <c r="MFL37" s="51"/>
      <c r="MFM37" s="51"/>
      <c r="MFN37" s="51"/>
      <c r="MFO37" s="51"/>
      <c r="MFP37" s="51"/>
      <c r="MFQ37" s="51"/>
      <c r="MFR37" s="51"/>
      <c r="MFS37" s="51"/>
      <c r="MFT37" s="51"/>
      <c r="MFU37" s="51"/>
      <c r="MFV37" s="51"/>
      <c r="MFW37" s="51"/>
      <c r="MFX37" s="51"/>
      <c r="MFY37" s="51"/>
      <c r="MFZ37" s="51"/>
      <c r="MGA37" s="51"/>
      <c r="MGB37" s="51"/>
      <c r="MGC37" s="51"/>
      <c r="MGD37" s="51"/>
      <c r="MGE37" s="51"/>
      <c r="MGF37" s="51"/>
      <c r="MGG37" s="51"/>
      <c r="MGH37" s="51"/>
      <c r="MGI37" s="51"/>
      <c r="MGJ37" s="51"/>
      <c r="MGK37" s="51"/>
      <c r="MGL37" s="51"/>
      <c r="MGM37" s="51"/>
      <c r="MGN37" s="51"/>
      <c r="MGO37" s="51"/>
      <c r="MGP37" s="51"/>
      <c r="MGQ37" s="51"/>
      <c r="MGR37" s="51"/>
      <c r="MGS37" s="51"/>
      <c r="MGT37" s="51"/>
      <c r="MGU37" s="51"/>
      <c r="MGV37" s="51"/>
      <c r="MGW37" s="51"/>
      <c r="MGX37" s="51"/>
      <c r="MGY37" s="51"/>
      <c r="MGZ37" s="51"/>
      <c r="MHA37" s="51"/>
      <c r="MHB37" s="51"/>
      <c r="MHC37" s="51"/>
      <c r="MHD37" s="51"/>
      <c r="MHE37" s="51"/>
      <c r="MHF37" s="51"/>
      <c r="MHG37" s="51"/>
      <c r="MHH37" s="51"/>
      <c r="MHI37" s="51"/>
      <c r="MHJ37" s="51"/>
      <c r="MHK37" s="51"/>
      <c r="MHL37" s="51"/>
      <c r="MHM37" s="51"/>
      <c r="MHN37" s="51"/>
      <c r="MHO37" s="51"/>
      <c r="MHP37" s="51"/>
      <c r="MHQ37" s="51"/>
      <c r="MHR37" s="51"/>
      <c r="MHS37" s="51"/>
      <c r="MHT37" s="51"/>
      <c r="MHU37" s="51"/>
      <c r="MHV37" s="51"/>
      <c r="MHW37" s="51"/>
      <c r="MHX37" s="51"/>
      <c r="MHY37" s="51"/>
      <c r="MHZ37" s="51"/>
      <c r="MIA37" s="51"/>
      <c r="MIB37" s="51"/>
      <c r="MIC37" s="51"/>
      <c r="MID37" s="51"/>
      <c r="MIE37" s="51"/>
      <c r="MIF37" s="51"/>
      <c r="MIG37" s="51"/>
      <c r="MIH37" s="51"/>
      <c r="MII37" s="51"/>
      <c r="MIJ37" s="51"/>
      <c r="MIK37" s="51"/>
      <c r="MIL37" s="51"/>
      <c r="MIM37" s="51"/>
      <c r="MIN37" s="51"/>
      <c r="MIO37" s="51"/>
      <c r="MIP37" s="51"/>
      <c r="MIQ37" s="51"/>
      <c r="MIR37" s="51"/>
      <c r="MIS37" s="51"/>
      <c r="MIT37" s="51"/>
      <c r="MIU37" s="51"/>
      <c r="MIV37" s="51"/>
      <c r="MIW37" s="51"/>
      <c r="MIX37" s="51"/>
      <c r="MIY37" s="51"/>
      <c r="MIZ37" s="51"/>
      <c r="MJA37" s="51"/>
      <c r="MJB37" s="51"/>
      <c r="MJC37" s="51"/>
      <c r="MJD37" s="51"/>
      <c r="MJE37" s="51"/>
      <c r="MJF37" s="51"/>
      <c r="MJG37" s="51"/>
      <c r="MJH37" s="51"/>
      <c r="MJI37" s="51"/>
      <c r="MJJ37" s="51"/>
      <c r="MJK37" s="51"/>
      <c r="MJL37" s="51"/>
      <c r="MJM37" s="51"/>
      <c r="MJN37" s="51"/>
      <c r="MJO37" s="51"/>
      <c r="MJP37" s="51"/>
      <c r="MJQ37" s="51"/>
      <c r="MJR37" s="51"/>
      <c r="MJS37" s="51"/>
      <c r="MJT37" s="51"/>
      <c r="MJU37" s="51"/>
      <c r="MJV37" s="51"/>
      <c r="MJW37" s="51"/>
      <c r="MJX37" s="51"/>
      <c r="MJY37" s="51"/>
      <c r="MJZ37" s="51"/>
      <c r="MKA37" s="51"/>
      <c r="MKB37" s="51"/>
      <c r="MKC37" s="51"/>
      <c r="MKD37" s="51"/>
      <c r="MKE37" s="51"/>
      <c r="MKF37" s="51"/>
      <c r="MKG37" s="51"/>
      <c r="MKH37" s="51"/>
      <c r="MKI37" s="51"/>
      <c r="MKJ37" s="51"/>
      <c r="MKK37" s="51"/>
      <c r="MKL37" s="51"/>
      <c r="MKM37" s="51"/>
      <c r="MKN37" s="51"/>
      <c r="MKO37" s="51"/>
      <c r="MKP37" s="51"/>
      <c r="MKQ37" s="51"/>
      <c r="MKR37" s="51"/>
      <c r="MKS37" s="51"/>
      <c r="MKT37" s="51"/>
      <c r="MKU37" s="51"/>
      <c r="MKV37" s="51"/>
      <c r="MKW37" s="51"/>
      <c r="MKX37" s="51"/>
      <c r="MKY37" s="51"/>
      <c r="MKZ37" s="51"/>
      <c r="MLA37" s="51"/>
      <c r="MLB37" s="51"/>
      <c r="MLC37" s="51"/>
      <c r="MLD37" s="51"/>
      <c r="MLE37" s="51"/>
      <c r="MLF37" s="51"/>
      <c r="MLG37" s="51"/>
      <c r="MLH37" s="51"/>
      <c r="MLI37" s="51"/>
      <c r="MLJ37" s="51"/>
      <c r="MLK37" s="51"/>
      <c r="MLL37" s="51"/>
      <c r="MLM37" s="51"/>
      <c r="MLN37" s="51"/>
      <c r="MLO37" s="51"/>
      <c r="MLP37" s="51"/>
      <c r="MLQ37" s="51"/>
      <c r="MLR37" s="51"/>
      <c r="MLS37" s="51"/>
      <c r="MLT37" s="51"/>
      <c r="MLU37" s="51"/>
      <c r="MLV37" s="51"/>
      <c r="MLW37" s="51"/>
      <c r="MLX37" s="51"/>
      <c r="MLY37" s="51"/>
      <c r="MLZ37" s="51"/>
      <c r="MMA37" s="51"/>
      <c r="MMB37" s="51"/>
      <c r="MMC37" s="51"/>
      <c r="MMD37" s="51"/>
      <c r="MME37" s="51"/>
      <c r="MMF37" s="51"/>
      <c r="MMG37" s="51"/>
      <c r="MMH37" s="51"/>
      <c r="MMI37" s="51"/>
      <c r="MMJ37" s="51"/>
      <c r="MMK37" s="51"/>
      <c r="MML37" s="51"/>
      <c r="MMM37" s="51"/>
      <c r="MMN37" s="51"/>
      <c r="MMO37" s="51"/>
      <c r="MMP37" s="51"/>
      <c r="MMQ37" s="51"/>
      <c r="MMR37" s="51"/>
      <c r="MMS37" s="51"/>
      <c r="MMT37" s="51"/>
      <c r="MMU37" s="51"/>
      <c r="MMV37" s="51"/>
      <c r="MMW37" s="51"/>
      <c r="MMX37" s="51"/>
      <c r="MMY37" s="51"/>
      <c r="MMZ37" s="51"/>
      <c r="MNA37" s="51"/>
      <c r="MNB37" s="51"/>
      <c r="MNC37" s="51"/>
      <c r="MND37" s="51"/>
      <c r="MNE37" s="51"/>
      <c r="MNF37" s="51"/>
      <c r="MNG37" s="51"/>
      <c r="MNH37" s="51"/>
      <c r="MNI37" s="51"/>
      <c r="MNJ37" s="51"/>
      <c r="MNK37" s="51"/>
      <c r="MNL37" s="51"/>
      <c r="MNM37" s="51"/>
      <c r="MNN37" s="51"/>
      <c r="MNO37" s="51"/>
      <c r="MNP37" s="51"/>
      <c r="MNQ37" s="51"/>
      <c r="MNR37" s="51"/>
      <c r="MNS37" s="51"/>
      <c r="MNT37" s="51"/>
      <c r="MNU37" s="51"/>
      <c r="MNV37" s="51"/>
      <c r="MNW37" s="51"/>
      <c r="MNX37" s="51"/>
      <c r="MNY37" s="51"/>
      <c r="MNZ37" s="51"/>
      <c r="MOA37" s="51"/>
      <c r="MOB37" s="51"/>
      <c r="MOC37" s="51"/>
      <c r="MOD37" s="51"/>
      <c r="MOE37" s="51"/>
      <c r="MOF37" s="51"/>
      <c r="MOG37" s="51"/>
      <c r="MOH37" s="51"/>
      <c r="MOI37" s="51"/>
      <c r="MOJ37" s="51"/>
      <c r="MOK37" s="51"/>
      <c r="MOL37" s="51"/>
      <c r="MOM37" s="51"/>
      <c r="MON37" s="51"/>
      <c r="MOO37" s="51"/>
      <c r="MOP37" s="51"/>
      <c r="MOQ37" s="51"/>
      <c r="MOR37" s="51"/>
      <c r="MOS37" s="51"/>
      <c r="MOT37" s="51"/>
      <c r="MOU37" s="51"/>
      <c r="MOV37" s="51"/>
      <c r="MOW37" s="51"/>
      <c r="MOX37" s="51"/>
      <c r="MOY37" s="51"/>
      <c r="MOZ37" s="51"/>
      <c r="MPA37" s="51"/>
      <c r="MPB37" s="51"/>
      <c r="MPC37" s="51"/>
      <c r="MPD37" s="51"/>
      <c r="MPE37" s="51"/>
      <c r="MPF37" s="51"/>
      <c r="MPG37" s="51"/>
      <c r="MPH37" s="51"/>
      <c r="MPI37" s="51"/>
      <c r="MPJ37" s="51"/>
      <c r="MPK37" s="51"/>
      <c r="MPL37" s="51"/>
      <c r="MPM37" s="51"/>
      <c r="MPN37" s="51"/>
      <c r="MPO37" s="51"/>
      <c r="MPP37" s="51"/>
      <c r="MPQ37" s="51"/>
      <c r="MPR37" s="51"/>
      <c r="MPS37" s="51"/>
      <c r="MPT37" s="51"/>
      <c r="MPU37" s="51"/>
      <c r="MPV37" s="51"/>
      <c r="MPW37" s="51"/>
      <c r="MPX37" s="51"/>
      <c r="MPY37" s="51"/>
      <c r="MPZ37" s="51"/>
      <c r="MQA37" s="51"/>
      <c r="MQB37" s="51"/>
      <c r="MQC37" s="51"/>
      <c r="MQD37" s="51"/>
      <c r="MQE37" s="51"/>
      <c r="MQF37" s="51"/>
      <c r="MQG37" s="51"/>
      <c r="MQH37" s="51"/>
      <c r="MQI37" s="51"/>
      <c r="MQJ37" s="51"/>
      <c r="MQK37" s="51"/>
      <c r="MQL37" s="51"/>
      <c r="MQM37" s="51"/>
      <c r="MQN37" s="51"/>
      <c r="MQO37" s="51"/>
      <c r="MQP37" s="51"/>
      <c r="MQQ37" s="51"/>
      <c r="MQR37" s="51"/>
      <c r="MQS37" s="51"/>
      <c r="MQT37" s="51"/>
      <c r="MQU37" s="51"/>
      <c r="MQV37" s="51"/>
      <c r="MQW37" s="51"/>
      <c r="MQX37" s="51"/>
      <c r="MQY37" s="51"/>
      <c r="MQZ37" s="51"/>
      <c r="MRA37" s="51"/>
      <c r="MRB37" s="51"/>
      <c r="MRC37" s="51"/>
      <c r="MRD37" s="51"/>
      <c r="MRE37" s="51"/>
      <c r="MRF37" s="51"/>
      <c r="MRG37" s="51"/>
      <c r="MRH37" s="51"/>
      <c r="MRI37" s="51"/>
      <c r="MRJ37" s="51"/>
      <c r="MRK37" s="51"/>
      <c r="MRL37" s="51"/>
      <c r="MRM37" s="51"/>
      <c r="MRN37" s="51"/>
      <c r="MRO37" s="51"/>
      <c r="MRP37" s="51"/>
      <c r="MRQ37" s="51"/>
      <c r="MRR37" s="51"/>
      <c r="MRS37" s="51"/>
      <c r="MRT37" s="51"/>
      <c r="MRU37" s="51"/>
      <c r="MRV37" s="51"/>
      <c r="MRW37" s="51"/>
      <c r="MRX37" s="51"/>
      <c r="MRY37" s="51"/>
      <c r="MRZ37" s="51"/>
      <c r="MSA37" s="51"/>
      <c r="MSB37" s="51"/>
      <c r="MSC37" s="51"/>
      <c r="MSD37" s="51"/>
      <c r="MSE37" s="51"/>
      <c r="MSF37" s="51"/>
      <c r="MSG37" s="51"/>
      <c r="MSH37" s="51"/>
      <c r="MSI37" s="51"/>
      <c r="MSJ37" s="51"/>
      <c r="MSK37" s="51"/>
      <c r="MSL37" s="51"/>
      <c r="MSM37" s="51"/>
      <c r="MSN37" s="51"/>
      <c r="MSO37" s="51"/>
      <c r="MSP37" s="51"/>
      <c r="MSQ37" s="51"/>
      <c r="MSR37" s="51"/>
      <c r="MSS37" s="51"/>
      <c r="MST37" s="51"/>
      <c r="MSU37" s="51"/>
      <c r="MSV37" s="51"/>
      <c r="MSW37" s="51"/>
      <c r="MSX37" s="51"/>
      <c r="MSY37" s="51"/>
      <c r="MSZ37" s="51"/>
      <c r="MTA37" s="51"/>
      <c r="MTB37" s="51"/>
      <c r="MTC37" s="51"/>
      <c r="MTD37" s="51"/>
      <c r="MTE37" s="51"/>
      <c r="MTF37" s="51"/>
      <c r="MTG37" s="51"/>
      <c r="MTH37" s="51"/>
      <c r="MTI37" s="51"/>
      <c r="MTJ37" s="51"/>
      <c r="MTK37" s="51"/>
      <c r="MTL37" s="51"/>
      <c r="MTM37" s="51"/>
      <c r="MTN37" s="51"/>
      <c r="MTO37" s="51"/>
      <c r="MTP37" s="51"/>
      <c r="MTQ37" s="51"/>
      <c r="MTR37" s="51"/>
      <c r="MTS37" s="51"/>
      <c r="MTT37" s="51"/>
      <c r="MTU37" s="51"/>
      <c r="MTV37" s="51"/>
      <c r="MTW37" s="51"/>
      <c r="MTX37" s="51"/>
      <c r="MTY37" s="51"/>
      <c r="MTZ37" s="51"/>
      <c r="MUA37" s="51"/>
      <c r="MUB37" s="51"/>
      <c r="MUC37" s="51"/>
      <c r="MUD37" s="51"/>
      <c r="MUE37" s="51"/>
      <c r="MUF37" s="51"/>
      <c r="MUG37" s="51"/>
      <c r="MUH37" s="51"/>
      <c r="MUI37" s="51"/>
      <c r="MUJ37" s="51"/>
      <c r="MUK37" s="51"/>
      <c r="MUL37" s="51"/>
      <c r="MUM37" s="51"/>
      <c r="MUN37" s="51"/>
      <c r="MUO37" s="51"/>
      <c r="MUP37" s="51"/>
      <c r="MUQ37" s="51"/>
      <c r="MUR37" s="51"/>
      <c r="MUS37" s="51"/>
      <c r="MUT37" s="51"/>
      <c r="MUU37" s="51"/>
      <c r="MUV37" s="51"/>
      <c r="MUW37" s="51"/>
      <c r="MUX37" s="51"/>
      <c r="MUY37" s="51"/>
      <c r="MUZ37" s="51"/>
      <c r="MVA37" s="51"/>
      <c r="MVB37" s="51"/>
      <c r="MVC37" s="51"/>
      <c r="MVD37" s="51"/>
      <c r="MVE37" s="51"/>
      <c r="MVF37" s="51"/>
      <c r="MVG37" s="51"/>
      <c r="MVH37" s="51"/>
      <c r="MVI37" s="51"/>
      <c r="MVJ37" s="51"/>
      <c r="MVK37" s="51"/>
      <c r="MVL37" s="51"/>
      <c r="MVM37" s="51"/>
      <c r="MVN37" s="51"/>
      <c r="MVO37" s="51"/>
      <c r="MVP37" s="51"/>
      <c r="MVQ37" s="51"/>
      <c r="MVR37" s="51"/>
      <c r="MVS37" s="51"/>
      <c r="MVT37" s="51"/>
      <c r="MVU37" s="51"/>
      <c r="MVV37" s="51"/>
      <c r="MVW37" s="51"/>
      <c r="MVX37" s="51"/>
      <c r="MVY37" s="51"/>
      <c r="MVZ37" s="51"/>
      <c r="MWA37" s="51"/>
      <c r="MWB37" s="51"/>
      <c r="MWC37" s="51"/>
      <c r="MWD37" s="51"/>
      <c r="MWE37" s="51"/>
      <c r="MWF37" s="51"/>
      <c r="MWG37" s="51"/>
      <c r="MWH37" s="51"/>
      <c r="MWI37" s="51"/>
      <c r="MWJ37" s="51"/>
      <c r="MWK37" s="51"/>
      <c r="MWL37" s="51"/>
      <c r="MWM37" s="51"/>
      <c r="MWN37" s="51"/>
      <c r="MWO37" s="51"/>
      <c r="MWP37" s="51"/>
      <c r="MWQ37" s="51"/>
      <c r="MWR37" s="51"/>
      <c r="MWS37" s="51"/>
      <c r="MWT37" s="51"/>
      <c r="MWU37" s="51"/>
      <c r="MWV37" s="51"/>
      <c r="MWW37" s="51"/>
      <c r="MWX37" s="51"/>
      <c r="MWY37" s="51"/>
      <c r="MWZ37" s="51"/>
      <c r="MXA37" s="51"/>
      <c r="MXB37" s="51"/>
      <c r="MXC37" s="51"/>
      <c r="MXD37" s="51"/>
      <c r="MXE37" s="51"/>
      <c r="MXF37" s="51"/>
      <c r="MXG37" s="51"/>
      <c r="MXH37" s="51"/>
      <c r="MXI37" s="51"/>
      <c r="MXJ37" s="51"/>
      <c r="MXK37" s="51"/>
      <c r="MXL37" s="51"/>
      <c r="MXM37" s="51"/>
      <c r="MXN37" s="51"/>
      <c r="MXO37" s="51"/>
      <c r="MXP37" s="51"/>
      <c r="MXQ37" s="51"/>
      <c r="MXR37" s="51"/>
      <c r="MXS37" s="51"/>
      <c r="MXT37" s="51"/>
      <c r="MXU37" s="51"/>
      <c r="MXV37" s="51"/>
      <c r="MXW37" s="51"/>
      <c r="MXX37" s="51"/>
      <c r="MXY37" s="51"/>
      <c r="MXZ37" s="51"/>
      <c r="MYA37" s="51"/>
      <c r="MYB37" s="51"/>
      <c r="MYC37" s="51"/>
      <c r="MYD37" s="51"/>
      <c r="MYE37" s="51"/>
      <c r="MYF37" s="51"/>
      <c r="MYG37" s="51"/>
      <c r="MYH37" s="51"/>
      <c r="MYI37" s="51"/>
      <c r="MYJ37" s="51"/>
      <c r="MYK37" s="51"/>
      <c r="MYL37" s="51"/>
      <c r="MYM37" s="51"/>
      <c r="MYN37" s="51"/>
      <c r="MYO37" s="51"/>
      <c r="MYP37" s="51"/>
      <c r="MYQ37" s="51"/>
      <c r="MYR37" s="51"/>
      <c r="MYS37" s="51"/>
      <c r="MYT37" s="51"/>
      <c r="MYU37" s="51"/>
      <c r="MYV37" s="51"/>
      <c r="MYW37" s="51"/>
      <c r="MYX37" s="51"/>
      <c r="MYY37" s="51"/>
      <c r="MYZ37" s="51"/>
      <c r="MZA37" s="51"/>
      <c r="MZB37" s="51"/>
      <c r="MZC37" s="51"/>
      <c r="MZD37" s="51"/>
      <c r="MZE37" s="51"/>
      <c r="MZF37" s="51"/>
      <c r="MZG37" s="51"/>
      <c r="MZH37" s="51"/>
      <c r="MZI37" s="51"/>
      <c r="MZJ37" s="51"/>
      <c r="MZK37" s="51"/>
      <c r="MZL37" s="51"/>
      <c r="MZM37" s="51"/>
      <c r="MZN37" s="51"/>
      <c r="MZO37" s="51"/>
      <c r="MZP37" s="51"/>
      <c r="MZQ37" s="51"/>
      <c r="MZR37" s="51"/>
      <c r="MZS37" s="51"/>
      <c r="MZT37" s="51"/>
      <c r="MZU37" s="51"/>
      <c r="MZV37" s="51"/>
      <c r="MZW37" s="51"/>
      <c r="MZX37" s="51"/>
      <c r="MZY37" s="51"/>
      <c r="MZZ37" s="51"/>
      <c r="NAA37" s="51"/>
      <c r="NAB37" s="51"/>
      <c r="NAC37" s="51"/>
      <c r="NAD37" s="51"/>
      <c r="NAE37" s="51"/>
      <c r="NAF37" s="51"/>
      <c r="NAG37" s="51"/>
      <c r="NAH37" s="51"/>
      <c r="NAI37" s="51"/>
      <c r="NAJ37" s="51"/>
      <c r="NAK37" s="51"/>
      <c r="NAL37" s="51"/>
      <c r="NAM37" s="51"/>
      <c r="NAN37" s="51"/>
      <c r="NAO37" s="51"/>
      <c r="NAP37" s="51"/>
      <c r="NAQ37" s="51"/>
      <c r="NAR37" s="51"/>
      <c r="NAS37" s="51"/>
      <c r="NAT37" s="51"/>
      <c r="NAU37" s="51"/>
      <c r="NAV37" s="51"/>
      <c r="NAW37" s="51"/>
      <c r="NAX37" s="51"/>
      <c r="NAY37" s="51"/>
      <c r="NAZ37" s="51"/>
      <c r="NBA37" s="51"/>
      <c r="NBB37" s="51"/>
      <c r="NBC37" s="51"/>
      <c r="NBD37" s="51"/>
      <c r="NBE37" s="51"/>
      <c r="NBF37" s="51"/>
      <c r="NBG37" s="51"/>
      <c r="NBH37" s="51"/>
      <c r="NBI37" s="51"/>
      <c r="NBJ37" s="51"/>
      <c r="NBK37" s="51"/>
      <c r="NBL37" s="51"/>
      <c r="NBM37" s="51"/>
      <c r="NBN37" s="51"/>
      <c r="NBO37" s="51"/>
      <c r="NBP37" s="51"/>
      <c r="NBQ37" s="51"/>
      <c r="NBR37" s="51"/>
      <c r="NBS37" s="51"/>
      <c r="NBT37" s="51"/>
      <c r="NBU37" s="51"/>
      <c r="NBV37" s="51"/>
      <c r="NBW37" s="51"/>
      <c r="NBX37" s="51"/>
      <c r="NBY37" s="51"/>
      <c r="NBZ37" s="51"/>
      <c r="NCA37" s="51"/>
      <c r="NCB37" s="51"/>
      <c r="NCC37" s="51"/>
      <c r="NCD37" s="51"/>
      <c r="NCE37" s="51"/>
      <c r="NCF37" s="51"/>
      <c r="NCG37" s="51"/>
      <c r="NCH37" s="51"/>
      <c r="NCI37" s="51"/>
      <c r="NCJ37" s="51"/>
      <c r="NCK37" s="51"/>
      <c r="NCL37" s="51"/>
      <c r="NCM37" s="51"/>
      <c r="NCN37" s="51"/>
      <c r="NCO37" s="51"/>
      <c r="NCP37" s="51"/>
      <c r="NCQ37" s="51"/>
      <c r="NCR37" s="51"/>
      <c r="NCS37" s="51"/>
      <c r="NCT37" s="51"/>
      <c r="NCU37" s="51"/>
      <c r="NCV37" s="51"/>
      <c r="NCW37" s="51"/>
      <c r="NCX37" s="51"/>
      <c r="NCY37" s="51"/>
      <c r="NCZ37" s="51"/>
      <c r="NDA37" s="51"/>
      <c r="NDB37" s="51"/>
      <c r="NDC37" s="51"/>
      <c r="NDD37" s="51"/>
      <c r="NDE37" s="51"/>
      <c r="NDF37" s="51"/>
      <c r="NDG37" s="51"/>
      <c r="NDH37" s="51"/>
      <c r="NDI37" s="51"/>
      <c r="NDJ37" s="51"/>
      <c r="NDK37" s="51"/>
      <c r="NDL37" s="51"/>
      <c r="NDM37" s="51"/>
      <c r="NDN37" s="51"/>
      <c r="NDO37" s="51"/>
      <c r="NDP37" s="51"/>
      <c r="NDQ37" s="51"/>
      <c r="NDR37" s="51"/>
      <c r="NDS37" s="51"/>
      <c r="NDT37" s="51"/>
      <c r="NDU37" s="51"/>
      <c r="NDV37" s="51"/>
      <c r="NDW37" s="51"/>
      <c r="NDX37" s="51"/>
      <c r="NDY37" s="51"/>
      <c r="NDZ37" s="51"/>
      <c r="NEA37" s="51"/>
      <c r="NEB37" s="51"/>
      <c r="NEC37" s="51"/>
      <c r="NED37" s="51"/>
      <c r="NEE37" s="51"/>
      <c r="NEF37" s="51"/>
      <c r="NEG37" s="51"/>
      <c r="NEH37" s="51"/>
      <c r="NEI37" s="51"/>
      <c r="NEJ37" s="51"/>
      <c r="NEK37" s="51"/>
      <c r="NEL37" s="51"/>
      <c r="NEM37" s="51"/>
      <c r="NEN37" s="51"/>
      <c r="NEO37" s="51"/>
      <c r="NEP37" s="51"/>
      <c r="NEQ37" s="51"/>
      <c r="NER37" s="51"/>
      <c r="NES37" s="51"/>
      <c r="NET37" s="51"/>
      <c r="NEU37" s="51"/>
      <c r="NEV37" s="51"/>
      <c r="NEW37" s="51"/>
      <c r="NEX37" s="51"/>
      <c r="NEY37" s="51"/>
      <c r="NEZ37" s="51"/>
      <c r="NFA37" s="51"/>
      <c r="NFB37" s="51"/>
      <c r="NFC37" s="51"/>
      <c r="NFD37" s="51"/>
      <c r="NFE37" s="51"/>
      <c r="NFF37" s="51"/>
      <c r="NFG37" s="51"/>
      <c r="NFH37" s="51"/>
      <c r="NFI37" s="51"/>
      <c r="NFJ37" s="51"/>
      <c r="NFK37" s="51"/>
      <c r="NFL37" s="51"/>
      <c r="NFM37" s="51"/>
      <c r="NFN37" s="51"/>
      <c r="NFO37" s="51"/>
      <c r="NFP37" s="51"/>
      <c r="NFQ37" s="51"/>
      <c r="NFR37" s="51"/>
      <c r="NFS37" s="51"/>
      <c r="NFT37" s="51"/>
      <c r="NFU37" s="51"/>
      <c r="NFV37" s="51"/>
      <c r="NFW37" s="51"/>
      <c r="NFX37" s="51"/>
      <c r="NFY37" s="51"/>
      <c r="NFZ37" s="51"/>
      <c r="NGA37" s="51"/>
      <c r="NGB37" s="51"/>
      <c r="NGC37" s="51"/>
      <c r="NGD37" s="51"/>
      <c r="NGE37" s="51"/>
      <c r="NGF37" s="51"/>
      <c r="NGG37" s="51"/>
      <c r="NGH37" s="51"/>
      <c r="NGI37" s="51"/>
      <c r="NGJ37" s="51"/>
      <c r="NGK37" s="51"/>
      <c r="NGL37" s="51"/>
      <c r="NGM37" s="51"/>
      <c r="NGN37" s="51"/>
      <c r="NGO37" s="51"/>
      <c r="NGP37" s="51"/>
      <c r="NGQ37" s="51"/>
      <c r="NGR37" s="51"/>
      <c r="NGS37" s="51"/>
      <c r="NGT37" s="51"/>
      <c r="NGU37" s="51"/>
      <c r="NGV37" s="51"/>
      <c r="NGW37" s="51"/>
      <c r="NGX37" s="51"/>
      <c r="NGY37" s="51"/>
      <c r="NGZ37" s="51"/>
      <c r="NHA37" s="51"/>
      <c r="NHB37" s="51"/>
      <c r="NHC37" s="51"/>
      <c r="NHD37" s="51"/>
      <c r="NHE37" s="51"/>
      <c r="NHF37" s="51"/>
      <c r="NHG37" s="51"/>
      <c r="NHH37" s="51"/>
      <c r="NHI37" s="51"/>
      <c r="NHJ37" s="51"/>
      <c r="NHK37" s="51"/>
      <c r="NHL37" s="51"/>
      <c r="NHM37" s="51"/>
      <c r="NHN37" s="51"/>
      <c r="NHO37" s="51"/>
      <c r="NHP37" s="51"/>
      <c r="NHQ37" s="51"/>
      <c r="NHR37" s="51"/>
      <c r="NHS37" s="51"/>
      <c r="NHT37" s="51"/>
      <c r="NHU37" s="51"/>
      <c r="NHV37" s="51"/>
      <c r="NHW37" s="51"/>
      <c r="NHX37" s="51"/>
      <c r="NHY37" s="51"/>
      <c r="NHZ37" s="51"/>
      <c r="NIA37" s="51"/>
      <c r="NIB37" s="51"/>
      <c r="NIC37" s="51"/>
      <c r="NID37" s="51"/>
      <c r="NIE37" s="51"/>
      <c r="NIF37" s="51"/>
      <c r="NIG37" s="51"/>
      <c r="NIH37" s="51"/>
      <c r="NII37" s="51"/>
      <c r="NIJ37" s="51"/>
      <c r="NIK37" s="51"/>
      <c r="NIL37" s="51"/>
      <c r="NIM37" s="51"/>
      <c r="NIN37" s="51"/>
      <c r="NIO37" s="51"/>
      <c r="NIP37" s="51"/>
      <c r="NIQ37" s="51"/>
      <c r="NIR37" s="51"/>
      <c r="NIS37" s="51"/>
      <c r="NIT37" s="51"/>
      <c r="NIU37" s="51"/>
      <c r="NIV37" s="51"/>
      <c r="NIW37" s="51"/>
      <c r="NIX37" s="51"/>
      <c r="NIY37" s="51"/>
      <c r="NIZ37" s="51"/>
      <c r="NJA37" s="51"/>
      <c r="NJB37" s="51"/>
      <c r="NJC37" s="51"/>
      <c r="NJD37" s="51"/>
      <c r="NJE37" s="51"/>
      <c r="NJF37" s="51"/>
      <c r="NJG37" s="51"/>
      <c r="NJH37" s="51"/>
      <c r="NJI37" s="51"/>
      <c r="NJJ37" s="51"/>
      <c r="NJK37" s="51"/>
      <c r="NJL37" s="51"/>
      <c r="NJM37" s="51"/>
      <c r="NJN37" s="51"/>
      <c r="NJO37" s="51"/>
      <c r="NJP37" s="51"/>
      <c r="NJQ37" s="51"/>
      <c r="NJR37" s="51"/>
      <c r="NJS37" s="51"/>
      <c r="NJT37" s="51"/>
      <c r="NJU37" s="51"/>
      <c r="NJV37" s="51"/>
      <c r="NJW37" s="51"/>
      <c r="NJX37" s="51"/>
      <c r="NJY37" s="51"/>
      <c r="NJZ37" s="51"/>
      <c r="NKA37" s="51"/>
      <c r="NKB37" s="51"/>
      <c r="NKC37" s="51"/>
      <c r="NKD37" s="51"/>
      <c r="NKE37" s="51"/>
      <c r="NKF37" s="51"/>
      <c r="NKG37" s="51"/>
      <c r="NKH37" s="51"/>
      <c r="NKI37" s="51"/>
      <c r="NKJ37" s="51"/>
      <c r="NKK37" s="51"/>
      <c r="NKL37" s="51"/>
      <c r="NKM37" s="51"/>
      <c r="NKN37" s="51"/>
      <c r="NKO37" s="51"/>
      <c r="NKP37" s="51"/>
      <c r="NKQ37" s="51"/>
      <c r="NKR37" s="51"/>
      <c r="NKS37" s="51"/>
      <c r="NKT37" s="51"/>
      <c r="NKU37" s="51"/>
      <c r="NKV37" s="51"/>
      <c r="NKW37" s="51"/>
      <c r="NKX37" s="51"/>
      <c r="NKY37" s="51"/>
      <c r="NKZ37" s="51"/>
      <c r="NLA37" s="51"/>
      <c r="NLB37" s="51"/>
      <c r="NLC37" s="51"/>
      <c r="NLD37" s="51"/>
      <c r="NLE37" s="51"/>
      <c r="NLF37" s="51"/>
      <c r="NLG37" s="51"/>
      <c r="NLH37" s="51"/>
      <c r="NLI37" s="51"/>
      <c r="NLJ37" s="51"/>
      <c r="NLK37" s="51"/>
      <c r="NLL37" s="51"/>
      <c r="NLM37" s="51"/>
      <c r="NLN37" s="51"/>
      <c r="NLO37" s="51"/>
      <c r="NLP37" s="51"/>
      <c r="NLQ37" s="51"/>
      <c r="NLR37" s="51"/>
      <c r="NLS37" s="51"/>
      <c r="NLT37" s="51"/>
      <c r="NLU37" s="51"/>
      <c r="NLV37" s="51"/>
      <c r="NLW37" s="51"/>
      <c r="NLX37" s="51"/>
      <c r="NLY37" s="51"/>
      <c r="NLZ37" s="51"/>
      <c r="NMA37" s="51"/>
      <c r="NMB37" s="51"/>
      <c r="NMC37" s="51"/>
      <c r="NMD37" s="51"/>
      <c r="NME37" s="51"/>
      <c r="NMF37" s="51"/>
      <c r="NMG37" s="51"/>
      <c r="NMH37" s="51"/>
      <c r="NMI37" s="51"/>
      <c r="NMJ37" s="51"/>
      <c r="NMK37" s="51"/>
      <c r="NML37" s="51"/>
      <c r="NMM37" s="51"/>
      <c r="NMN37" s="51"/>
      <c r="NMO37" s="51"/>
      <c r="NMP37" s="51"/>
      <c r="NMQ37" s="51"/>
      <c r="NMR37" s="51"/>
      <c r="NMS37" s="51"/>
      <c r="NMT37" s="51"/>
      <c r="NMU37" s="51"/>
      <c r="NMV37" s="51"/>
      <c r="NMW37" s="51"/>
      <c r="NMX37" s="51"/>
      <c r="NMY37" s="51"/>
      <c r="NMZ37" s="51"/>
      <c r="NNA37" s="51"/>
      <c r="NNB37" s="51"/>
      <c r="NNC37" s="51"/>
      <c r="NND37" s="51"/>
      <c r="NNE37" s="51"/>
      <c r="NNF37" s="51"/>
      <c r="NNG37" s="51"/>
      <c r="NNH37" s="51"/>
      <c r="NNI37" s="51"/>
      <c r="NNJ37" s="51"/>
      <c r="NNK37" s="51"/>
      <c r="NNL37" s="51"/>
      <c r="NNM37" s="51"/>
      <c r="NNN37" s="51"/>
      <c r="NNO37" s="51"/>
      <c r="NNP37" s="51"/>
      <c r="NNQ37" s="51"/>
      <c r="NNR37" s="51"/>
      <c r="NNS37" s="51"/>
      <c r="NNT37" s="51"/>
      <c r="NNU37" s="51"/>
      <c r="NNV37" s="51"/>
      <c r="NNW37" s="51"/>
      <c r="NNX37" s="51"/>
      <c r="NNY37" s="51"/>
      <c r="NNZ37" s="51"/>
      <c r="NOA37" s="51"/>
      <c r="NOB37" s="51"/>
      <c r="NOC37" s="51"/>
      <c r="NOD37" s="51"/>
      <c r="NOE37" s="51"/>
      <c r="NOF37" s="51"/>
      <c r="NOG37" s="51"/>
      <c r="NOH37" s="51"/>
      <c r="NOI37" s="51"/>
      <c r="NOJ37" s="51"/>
      <c r="NOK37" s="51"/>
      <c r="NOL37" s="51"/>
      <c r="NOM37" s="51"/>
      <c r="NON37" s="51"/>
      <c r="NOO37" s="51"/>
      <c r="NOP37" s="51"/>
      <c r="NOQ37" s="51"/>
      <c r="NOR37" s="51"/>
      <c r="NOS37" s="51"/>
      <c r="NOT37" s="51"/>
      <c r="NOU37" s="51"/>
      <c r="NOV37" s="51"/>
      <c r="NOW37" s="51"/>
      <c r="NOX37" s="51"/>
      <c r="NOY37" s="51"/>
      <c r="NOZ37" s="51"/>
      <c r="NPA37" s="51"/>
      <c r="NPB37" s="51"/>
      <c r="NPC37" s="51"/>
      <c r="NPD37" s="51"/>
      <c r="NPE37" s="51"/>
      <c r="NPF37" s="51"/>
      <c r="NPG37" s="51"/>
      <c r="NPH37" s="51"/>
      <c r="NPI37" s="51"/>
      <c r="NPJ37" s="51"/>
      <c r="NPK37" s="51"/>
      <c r="NPL37" s="51"/>
      <c r="NPM37" s="51"/>
      <c r="NPN37" s="51"/>
      <c r="NPO37" s="51"/>
      <c r="NPP37" s="51"/>
      <c r="NPQ37" s="51"/>
      <c r="NPR37" s="51"/>
      <c r="NPS37" s="51"/>
      <c r="NPT37" s="51"/>
      <c r="NPU37" s="51"/>
      <c r="NPV37" s="51"/>
      <c r="NPW37" s="51"/>
      <c r="NPX37" s="51"/>
      <c r="NPY37" s="51"/>
      <c r="NPZ37" s="51"/>
      <c r="NQA37" s="51"/>
      <c r="NQB37" s="51"/>
      <c r="NQC37" s="51"/>
      <c r="NQD37" s="51"/>
      <c r="NQE37" s="51"/>
      <c r="NQF37" s="51"/>
      <c r="NQG37" s="51"/>
      <c r="NQH37" s="51"/>
      <c r="NQI37" s="51"/>
      <c r="NQJ37" s="51"/>
      <c r="NQK37" s="51"/>
      <c r="NQL37" s="51"/>
      <c r="NQM37" s="51"/>
      <c r="NQN37" s="51"/>
      <c r="NQO37" s="51"/>
      <c r="NQP37" s="51"/>
      <c r="NQQ37" s="51"/>
      <c r="NQR37" s="51"/>
      <c r="NQS37" s="51"/>
      <c r="NQT37" s="51"/>
      <c r="NQU37" s="51"/>
      <c r="NQV37" s="51"/>
      <c r="NQW37" s="51"/>
      <c r="NQX37" s="51"/>
      <c r="NQY37" s="51"/>
      <c r="NQZ37" s="51"/>
      <c r="NRA37" s="51"/>
      <c r="NRB37" s="51"/>
      <c r="NRC37" s="51"/>
      <c r="NRD37" s="51"/>
      <c r="NRE37" s="51"/>
      <c r="NRF37" s="51"/>
      <c r="NRG37" s="51"/>
      <c r="NRH37" s="51"/>
      <c r="NRI37" s="51"/>
      <c r="NRJ37" s="51"/>
      <c r="NRK37" s="51"/>
      <c r="NRL37" s="51"/>
      <c r="NRM37" s="51"/>
      <c r="NRN37" s="51"/>
      <c r="NRO37" s="51"/>
      <c r="NRP37" s="51"/>
      <c r="NRQ37" s="51"/>
      <c r="NRR37" s="51"/>
      <c r="NRS37" s="51"/>
      <c r="NRT37" s="51"/>
      <c r="NRU37" s="51"/>
      <c r="NRV37" s="51"/>
      <c r="NRW37" s="51"/>
      <c r="NRX37" s="51"/>
      <c r="NRY37" s="51"/>
      <c r="NRZ37" s="51"/>
      <c r="NSA37" s="51"/>
      <c r="NSB37" s="51"/>
      <c r="NSC37" s="51"/>
      <c r="NSD37" s="51"/>
      <c r="NSE37" s="51"/>
      <c r="NSF37" s="51"/>
      <c r="NSG37" s="51"/>
      <c r="NSH37" s="51"/>
      <c r="NSI37" s="51"/>
      <c r="NSJ37" s="51"/>
      <c r="NSK37" s="51"/>
      <c r="NSL37" s="51"/>
      <c r="NSM37" s="51"/>
      <c r="NSN37" s="51"/>
      <c r="NSO37" s="51"/>
      <c r="NSP37" s="51"/>
      <c r="NSQ37" s="51"/>
      <c r="NSR37" s="51"/>
      <c r="NSS37" s="51"/>
      <c r="NST37" s="51"/>
      <c r="NSU37" s="51"/>
      <c r="NSV37" s="51"/>
      <c r="NSW37" s="51"/>
      <c r="NSX37" s="51"/>
      <c r="NSY37" s="51"/>
      <c r="NSZ37" s="51"/>
      <c r="NTA37" s="51"/>
      <c r="NTB37" s="51"/>
      <c r="NTC37" s="51"/>
      <c r="NTD37" s="51"/>
      <c r="NTE37" s="51"/>
      <c r="NTF37" s="51"/>
      <c r="NTG37" s="51"/>
      <c r="NTH37" s="51"/>
      <c r="NTI37" s="51"/>
      <c r="NTJ37" s="51"/>
      <c r="NTK37" s="51"/>
      <c r="NTL37" s="51"/>
      <c r="NTM37" s="51"/>
      <c r="NTN37" s="51"/>
      <c r="NTO37" s="51"/>
      <c r="NTP37" s="51"/>
      <c r="NTQ37" s="51"/>
      <c r="NTR37" s="51"/>
      <c r="NTS37" s="51"/>
      <c r="NTT37" s="51"/>
      <c r="NTU37" s="51"/>
      <c r="NTV37" s="51"/>
      <c r="NTW37" s="51"/>
      <c r="NTX37" s="51"/>
      <c r="NTY37" s="51"/>
      <c r="NTZ37" s="51"/>
      <c r="NUA37" s="51"/>
      <c r="NUB37" s="51"/>
      <c r="NUC37" s="51"/>
      <c r="NUD37" s="51"/>
      <c r="NUE37" s="51"/>
      <c r="NUF37" s="51"/>
      <c r="NUG37" s="51"/>
      <c r="NUH37" s="51"/>
      <c r="NUI37" s="51"/>
      <c r="NUJ37" s="51"/>
      <c r="NUK37" s="51"/>
      <c r="NUL37" s="51"/>
      <c r="NUM37" s="51"/>
      <c r="NUN37" s="51"/>
      <c r="NUO37" s="51"/>
      <c r="NUP37" s="51"/>
      <c r="NUQ37" s="51"/>
      <c r="NUR37" s="51"/>
      <c r="NUS37" s="51"/>
      <c r="NUT37" s="51"/>
      <c r="NUU37" s="51"/>
      <c r="NUV37" s="51"/>
      <c r="NUW37" s="51"/>
      <c r="NUX37" s="51"/>
      <c r="NUY37" s="51"/>
      <c r="NUZ37" s="51"/>
      <c r="NVA37" s="51"/>
      <c r="NVB37" s="51"/>
      <c r="NVC37" s="51"/>
      <c r="NVD37" s="51"/>
      <c r="NVE37" s="51"/>
      <c r="NVF37" s="51"/>
      <c r="NVG37" s="51"/>
      <c r="NVH37" s="51"/>
      <c r="NVI37" s="51"/>
      <c r="NVJ37" s="51"/>
      <c r="NVK37" s="51"/>
      <c r="NVL37" s="51"/>
      <c r="NVM37" s="51"/>
      <c r="NVN37" s="51"/>
      <c r="NVO37" s="51"/>
      <c r="NVP37" s="51"/>
      <c r="NVQ37" s="51"/>
      <c r="NVR37" s="51"/>
      <c r="NVS37" s="51"/>
      <c r="NVT37" s="51"/>
      <c r="NVU37" s="51"/>
      <c r="NVV37" s="51"/>
      <c r="NVW37" s="51"/>
      <c r="NVX37" s="51"/>
      <c r="NVY37" s="51"/>
      <c r="NVZ37" s="51"/>
      <c r="NWA37" s="51"/>
      <c r="NWB37" s="51"/>
      <c r="NWC37" s="51"/>
      <c r="NWD37" s="51"/>
      <c r="NWE37" s="51"/>
      <c r="NWF37" s="51"/>
      <c r="NWG37" s="51"/>
      <c r="NWH37" s="51"/>
      <c r="NWI37" s="51"/>
      <c r="NWJ37" s="51"/>
      <c r="NWK37" s="51"/>
      <c r="NWL37" s="51"/>
      <c r="NWM37" s="51"/>
      <c r="NWN37" s="51"/>
      <c r="NWO37" s="51"/>
      <c r="NWP37" s="51"/>
      <c r="NWQ37" s="51"/>
      <c r="NWR37" s="51"/>
      <c r="NWS37" s="51"/>
      <c r="NWT37" s="51"/>
      <c r="NWU37" s="51"/>
      <c r="NWV37" s="51"/>
      <c r="NWW37" s="51"/>
      <c r="NWX37" s="51"/>
      <c r="NWY37" s="51"/>
      <c r="NWZ37" s="51"/>
      <c r="NXA37" s="51"/>
      <c r="NXB37" s="51"/>
      <c r="NXC37" s="51"/>
      <c r="NXD37" s="51"/>
      <c r="NXE37" s="51"/>
      <c r="NXF37" s="51"/>
      <c r="NXG37" s="51"/>
      <c r="NXH37" s="51"/>
      <c r="NXI37" s="51"/>
      <c r="NXJ37" s="51"/>
      <c r="NXK37" s="51"/>
      <c r="NXL37" s="51"/>
      <c r="NXM37" s="51"/>
      <c r="NXN37" s="51"/>
      <c r="NXO37" s="51"/>
      <c r="NXP37" s="51"/>
      <c r="NXQ37" s="51"/>
      <c r="NXR37" s="51"/>
      <c r="NXS37" s="51"/>
      <c r="NXT37" s="51"/>
      <c r="NXU37" s="51"/>
      <c r="NXV37" s="51"/>
      <c r="NXW37" s="51"/>
      <c r="NXX37" s="51"/>
      <c r="NXY37" s="51"/>
      <c r="NXZ37" s="51"/>
      <c r="NYA37" s="51"/>
      <c r="NYB37" s="51"/>
      <c r="NYC37" s="51"/>
      <c r="NYD37" s="51"/>
      <c r="NYE37" s="51"/>
      <c r="NYF37" s="51"/>
      <c r="NYG37" s="51"/>
      <c r="NYH37" s="51"/>
      <c r="NYI37" s="51"/>
      <c r="NYJ37" s="51"/>
      <c r="NYK37" s="51"/>
      <c r="NYL37" s="51"/>
      <c r="NYM37" s="51"/>
      <c r="NYN37" s="51"/>
      <c r="NYO37" s="51"/>
      <c r="NYP37" s="51"/>
      <c r="NYQ37" s="51"/>
      <c r="NYR37" s="51"/>
      <c r="NYS37" s="51"/>
      <c r="NYT37" s="51"/>
      <c r="NYU37" s="51"/>
      <c r="NYV37" s="51"/>
      <c r="NYW37" s="51"/>
      <c r="NYX37" s="51"/>
      <c r="NYY37" s="51"/>
      <c r="NYZ37" s="51"/>
      <c r="NZA37" s="51"/>
      <c r="NZB37" s="51"/>
      <c r="NZC37" s="51"/>
      <c r="NZD37" s="51"/>
      <c r="NZE37" s="51"/>
      <c r="NZF37" s="51"/>
      <c r="NZG37" s="51"/>
      <c r="NZH37" s="51"/>
      <c r="NZI37" s="51"/>
      <c r="NZJ37" s="51"/>
      <c r="NZK37" s="51"/>
      <c r="NZL37" s="51"/>
      <c r="NZM37" s="51"/>
      <c r="NZN37" s="51"/>
      <c r="NZO37" s="51"/>
      <c r="NZP37" s="51"/>
      <c r="NZQ37" s="51"/>
      <c r="NZR37" s="51"/>
      <c r="NZS37" s="51"/>
      <c r="NZT37" s="51"/>
      <c r="NZU37" s="51"/>
      <c r="NZV37" s="51"/>
      <c r="NZW37" s="51"/>
      <c r="NZX37" s="51"/>
      <c r="NZY37" s="51"/>
      <c r="NZZ37" s="51"/>
      <c r="OAA37" s="51"/>
      <c r="OAB37" s="51"/>
      <c r="OAC37" s="51"/>
      <c r="OAD37" s="51"/>
      <c r="OAE37" s="51"/>
      <c r="OAF37" s="51"/>
      <c r="OAG37" s="51"/>
      <c r="OAH37" s="51"/>
      <c r="OAI37" s="51"/>
      <c r="OAJ37" s="51"/>
      <c r="OAK37" s="51"/>
      <c r="OAL37" s="51"/>
      <c r="OAM37" s="51"/>
      <c r="OAN37" s="51"/>
      <c r="OAO37" s="51"/>
      <c r="OAP37" s="51"/>
      <c r="OAQ37" s="51"/>
      <c r="OAR37" s="51"/>
      <c r="OAS37" s="51"/>
      <c r="OAT37" s="51"/>
      <c r="OAU37" s="51"/>
      <c r="OAV37" s="51"/>
      <c r="OAW37" s="51"/>
      <c r="OAX37" s="51"/>
      <c r="OAY37" s="51"/>
      <c r="OAZ37" s="51"/>
      <c r="OBA37" s="51"/>
      <c r="OBB37" s="51"/>
      <c r="OBC37" s="51"/>
      <c r="OBD37" s="51"/>
      <c r="OBE37" s="51"/>
      <c r="OBF37" s="51"/>
      <c r="OBG37" s="51"/>
      <c r="OBH37" s="51"/>
      <c r="OBI37" s="51"/>
      <c r="OBJ37" s="51"/>
      <c r="OBK37" s="51"/>
      <c r="OBL37" s="51"/>
      <c r="OBM37" s="51"/>
      <c r="OBN37" s="51"/>
      <c r="OBO37" s="51"/>
      <c r="OBP37" s="51"/>
      <c r="OBQ37" s="51"/>
      <c r="OBR37" s="51"/>
      <c r="OBS37" s="51"/>
      <c r="OBT37" s="51"/>
      <c r="OBU37" s="51"/>
      <c r="OBV37" s="51"/>
      <c r="OBW37" s="51"/>
      <c r="OBX37" s="51"/>
      <c r="OBY37" s="51"/>
      <c r="OBZ37" s="51"/>
      <c r="OCA37" s="51"/>
      <c r="OCB37" s="51"/>
      <c r="OCC37" s="51"/>
      <c r="OCD37" s="51"/>
      <c r="OCE37" s="51"/>
      <c r="OCF37" s="51"/>
      <c r="OCG37" s="51"/>
      <c r="OCH37" s="51"/>
      <c r="OCI37" s="51"/>
      <c r="OCJ37" s="51"/>
      <c r="OCK37" s="51"/>
      <c r="OCL37" s="51"/>
      <c r="OCM37" s="51"/>
      <c r="OCN37" s="51"/>
      <c r="OCO37" s="51"/>
      <c r="OCP37" s="51"/>
      <c r="OCQ37" s="51"/>
      <c r="OCR37" s="51"/>
      <c r="OCS37" s="51"/>
      <c r="OCT37" s="51"/>
      <c r="OCU37" s="51"/>
      <c r="OCV37" s="51"/>
      <c r="OCW37" s="51"/>
      <c r="OCX37" s="51"/>
      <c r="OCY37" s="51"/>
      <c r="OCZ37" s="51"/>
      <c r="ODA37" s="51"/>
      <c r="ODB37" s="51"/>
      <c r="ODC37" s="51"/>
      <c r="ODD37" s="51"/>
      <c r="ODE37" s="51"/>
      <c r="ODF37" s="51"/>
      <c r="ODG37" s="51"/>
      <c r="ODH37" s="51"/>
      <c r="ODI37" s="51"/>
      <c r="ODJ37" s="51"/>
      <c r="ODK37" s="51"/>
      <c r="ODL37" s="51"/>
      <c r="ODM37" s="51"/>
      <c r="ODN37" s="51"/>
      <c r="ODO37" s="51"/>
      <c r="ODP37" s="51"/>
      <c r="ODQ37" s="51"/>
      <c r="ODR37" s="51"/>
      <c r="ODS37" s="51"/>
      <c r="ODT37" s="51"/>
      <c r="ODU37" s="51"/>
      <c r="ODV37" s="51"/>
      <c r="ODW37" s="51"/>
      <c r="ODX37" s="51"/>
      <c r="ODY37" s="51"/>
      <c r="ODZ37" s="51"/>
      <c r="OEA37" s="51"/>
      <c r="OEB37" s="51"/>
      <c r="OEC37" s="51"/>
      <c r="OED37" s="51"/>
      <c r="OEE37" s="51"/>
      <c r="OEF37" s="51"/>
      <c r="OEG37" s="51"/>
      <c r="OEH37" s="51"/>
      <c r="OEI37" s="51"/>
      <c r="OEJ37" s="51"/>
      <c r="OEK37" s="51"/>
      <c r="OEL37" s="51"/>
      <c r="OEM37" s="51"/>
      <c r="OEN37" s="51"/>
      <c r="OEO37" s="51"/>
      <c r="OEP37" s="51"/>
      <c r="OEQ37" s="51"/>
      <c r="OER37" s="51"/>
      <c r="OES37" s="51"/>
      <c r="OET37" s="51"/>
      <c r="OEU37" s="51"/>
      <c r="OEV37" s="51"/>
      <c r="OEW37" s="51"/>
      <c r="OEX37" s="51"/>
      <c r="OEY37" s="51"/>
      <c r="OEZ37" s="51"/>
      <c r="OFA37" s="51"/>
      <c r="OFB37" s="51"/>
      <c r="OFC37" s="51"/>
      <c r="OFD37" s="51"/>
      <c r="OFE37" s="51"/>
      <c r="OFF37" s="51"/>
      <c r="OFG37" s="51"/>
      <c r="OFH37" s="51"/>
      <c r="OFI37" s="51"/>
      <c r="OFJ37" s="51"/>
      <c r="OFK37" s="51"/>
      <c r="OFL37" s="51"/>
      <c r="OFM37" s="51"/>
      <c r="OFN37" s="51"/>
      <c r="OFO37" s="51"/>
      <c r="OFP37" s="51"/>
      <c r="OFQ37" s="51"/>
      <c r="OFR37" s="51"/>
      <c r="OFS37" s="51"/>
      <c r="OFT37" s="51"/>
      <c r="OFU37" s="51"/>
      <c r="OFV37" s="51"/>
      <c r="OFW37" s="51"/>
      <c r="OFX37" s="51"/>
      <c r="OFY37" s="51"/>
      <c r="OFZ37" s="51"/>
      <c r="OGA37" s="51"/>
      <c r="OGB37" s="51"/>
      <c r="OGC37" s="51"/>
      <c r="OGD37" s="51"/>
      <c r="OGE37" s="51"/>
      <c r="OGF37" s="51"/>
      <c r="OGG37" s="51"/>
      <c r="OGH37" s="51"/>
      <c r="OGI37" s="51"/>
      <c r="OGJ37" s="51"/>
      <c r="OGK37" s="51"/>
      <c r="OGL37" s="51"/>
      <c r="OGM37" s="51"/>
      <c r="OGN37" s="51"/>
      <c r="OGO37" s="51"/>
      <c r="OGP37" s="51"/>
      <c r="OGQ37" s="51"/>
      <c r="OGR37" s="51"/>
      <c r="OGS37" s="51"/>
      <c r="OGT37" s="51"/>
      <c r="OGU37" s="51"/>
      <c r="OGV37" s="51"/>
      <c r="OGW37" s="51"/>
      <c r="OGX37" s="51"/>
      <c r="OGY37" s="51"/>
      <c r="OGZ37" s="51"/>
      <c r="OHA37" s="51"/>
      <c r="OHB37" s="51"/>
      <c r="OHC37" s="51"/>
      <c r="OHD37" s="51"/>
      <c r="OHE37" s="51"/>
      <c r="OHF37" s="51"/>
      <c r="OHG37" s="51"/>
      <c r="OHH37" s="51"/>
      <c r="OHI37" s="51"/>
      <c r="OHJ37" s="51"/>
      <c r="OHK37" s="51"/>
      <c r="OHL37" s="51"/>
      <c r="OHM37" s="51"/>
      <c r="OHN37" s="51"/>
      <c r="OHO37" s="51"/>
      <c r="OHP37" s="51"/>
      <c r="OHQ37" s="51"/>
      <c r="OHR37" s="51"/>
      <c r="OHS37" s="51"/>
      <c r="OHT37" s="51"/>
      <c r="OHU37" s="51"/>
      <c r="OHV37" s="51"/>
      <c r="OHW37" s="51"/>
      <c r="OHX37" s="51"/>
      <c r="OHY37" s="51"/>
      <c r="OHZ37" s="51"/>
      <c r="OIA37" s="51"/>
      <c r="OIB37" s="51"/>
      <c r="OIC37" s="51"/>
      <c r="OID37" s="51"/>
      <c r="OIE37" s="51"/>
      <c r="OIF37" s="51"/>
      <c r="OIG37" s="51"/>
      <c r="OIH37" s="51"/>
      <c r="OII37" s="51"/>
      <c r="OIJ37" s="51"/>
      <c r="OIK37" s="51"/>
      <c r="OIL37" s="51"/>
      <c r="OIM37" s="51"/>
      <c r="OIN37" s="51"/>
      <c r="OIO37" s="51"/>
      <c r="OIP37" s="51"/>
      <c r="OIQ37" s="51"/>
      <c r="OIR37" s="51"/>
      <c r="OIS37" s="51"/>
      <c r="OIT37" s="51"/>
      <c r="OIU37" s="51"/>
      <c r="OIV37" s="51"/>
      <c r="OIW37" s="51"/>
      <c r="OIX37" s="51"/>
      <c r="OIY37" s="51"/>
      <c r="OIZ37" s="51"/>
      <c r="OJA37" s="51"/>
      <c r="OJB37" s="51"/>
      <c r="OJC37" s="51"/>
      <c r="OJD37" s="51"/>
      <c r="OJE37" s="51"/>
      <c r="OJF37" s="51"/>
      <c r="OJG37" s="51"/>
      <c r="OJH37" s="51"/>
      <c r="OJI37" s="51"/>
      <c r="OJJ37" s="51"/>
      <c r="OJK37" s="51"/>
      <c r="OJL37" s="51"/>
      <c r="OJM37" s="51"/>
      <c r="OJN37" s="51"/>
      <c r="OJO37" s="51"/>
      <c r="OJP37" s="51"/>
      <c r="OJQ37" s="51"/>
      <c r="OJR37" s="51"/>
      <c r="OJS37" s="51"/>
      <c r="OJT37" s="51"/>
      <c r="OJU37" s="51"/>
      <c r="OJV37" s="51"/>
      <c r="OJW37" s="51"/>
      <c r="OJX37" s="51"/>
      <c r="OJY37" s="51"/>
      <c r="OJZ37" s="51"/>
      <c r="OKA37" s="51"/>
      <c r="OKB37" s="51"/>
      <c r="OKC37" s="51"/>
      <c r="OKD37" s="51"/>
      <c r="OKE37" s="51"/>
      <c r="OKF37" s="51"/>
      <c r="OKG37" s="51"/>
      <c r="OKH37" s="51"/>
      <c r="OKI37" s="51"/>
      <c r="OKJ37" s="51"/>
      <c r="OKK37" s="51"/>
      <c r="OKL37" s="51"/>
      <c r="OKM37" s="51"/>
      <c r="OKN37" s="51"/>
      <c r="OKO37" s="51"/>
      <c r="OKP37" s="51"/>
      <c r="OKQ37" s="51"/>
      <c r="OKR37" s="51"/>
      <c r="OKS37" s="51"/>
      <c r="OKT37" s="51"/>
      <c r="OKU37" s="51"/>
      <c r="OKV37" s="51"/>
      <c r="OKW37" s="51"/>
      <c r="OKX37" s="51"/>
      <c r="OKY37" s="51"/>
      <c r="OKZ37" s="51"/>
      <c r="OLA37" s="51"/>
      <c r="OLB37" s="51"/>
      <c r="OLC37" s="51"/>
      <c r="OLD37" s="51"/>
      <c r="OLE37" s="51"/>
      <c r="OLF37" s="51"/>
      <c r="OLG37" s="51"/>
      <c r="OLH37" s="51"/>
      <c r="OLI37" s="51"/>
      <c r="OLJ37" s="51"/>
      <c r="OLK37" s="51"/>
      <c r="OLL37" s="51"/>
      <c r="OLM37" s="51"/>
      <c r="OLN37" s="51"/>
      <c r="OLO37" s="51"/>
      <c r="OLP37" s="51"/>
      <c r="OLQ37" s="51"/>
      <c r="OLR37" s="51"/>
      <c r="OLS37" s="51"/>
      <c r="OLT37" s="51"/>
      <c r="OLU37" s="51"/>
      <c r="OLV37" s="51"/>
      <c r="OLW37" s="51"/>
      <c r="OLX37" s="51"/>
      <c r="OLY37" s="51"/>
      <c r="OLZ37" s="51"/>
      <c r="OMA37" s="51"/>
      <c r="OMB37" s="51"/>
      <c r="OMC37" s="51"/>
      <c r="OMD37" s="51"/>
      <c r="OME37" s="51"/>
      <c r="OMF37" s="51"/>
      <c r="OMG37" s="51"/>
      <c r="OMH37" s="51"/>
      <c r="OMI37" s="51"/>
      <c r="OMJ37" s="51"/>
      <c r="OMK37" s="51"/>
      <c r="OML37" s="51"/>
      <c r="OMM37" s="51"/>
      <c r="OMN37" s="51"/>
      <c r="OMO37" s="51"/>
      <c r="OMP37" s="51"/>
      <c r="OMQ37" s="51"/>
      <c r="OMR37" s="51"/>
      <c r="OMS37" s="51"/>
      <c r="OMT37" s="51"/>
      <c r="OMU37" s="51"/>
      <c r="OMV37" s="51"/>
      <c r="OMW37" s="51"/>
      <c r="OMX37" s="51"/>
      <c r="OMY37" s="51"/>
      <c r="OMZ37" s="51"/>
      <c r="ONA37" s="51"/>
      <c r="ONB37" s="51"/>
      <c r="ONC37" s="51"/>
      <c r="OND37" s="51"/>
      <c r="ONE37" s="51"/>
      <c r="ONF37" s="51"/>
      <c r="ONG37" s="51"/>
      <c r="ONH37" s="51"/>
      <c r="ONI37" s="51"/>
      <c r="ONJ37" s="51"/>
      <c r="ONK37" s="51"/>
      <c r="ONL37" s="51"/>
      <c r="ONM37" s="51"/>
      <c r="ONN37" s="51"/>
      <c r="ONO37" s="51"/>
      <c r="ONP37" s="51"/>
      <c r="ONQ37" s="51"/>
      <c r="ONR37" s="51"/>
      <c r="ONS37" s="51"/>
      <c r="ONT37" s="51"/>
      <c r="ONU37" s="51"/>
      <c r="ONV37" s="51"/>
      <c r="ONW37" s="51"/>
      <c r="ONX37" s="51"/>
      <c r="ONY37" s="51"/>
      <c r="ONZ37" s="51"/>
      <c r="OOA37" s="51"/>
      <c r="OOB37" s="51"/>
      <c r="OOC37" s="51"/>
      <c r="OOD37" s="51"/>
      <c r="OOE37" s="51"/>
      <c r="OOF37" s="51"/>
      <c r="OOG37" s="51"/>
      <c r="OOH37" s="51"/>
      <c r="OOI37" s="51"/>
      <c r="OOJ37" s="51"/>
      <c r="OOK37" s="51"/>
      <c r="OOL37" s="51"/>
      <c r="OOM37" s="51"/>
      <c r="OON37" s="51"/>
      <c r="OOO37" s="51"/>
      <c r="OOP37" s="51"/>
      <c r="OOQ37" s="51"/>
      <c r="OOR37" s="51"/>
      <c r="OOS37" s="51"/>
      <c r="OOT37" s="51"/>
      <c r="OOU37" s="51"/>
      <c r="OOV37" s="51"/>
      <c r="OOW37" s="51"/>
      <c r="OOX37" s="51"/>
      <c r="OOY37" s="51"/>
      <c r="OOZ37" s="51"/>
      <c r="OPA37" s="51"/>
      <c r="OPB37" s="51"/>
      <c r="OPC37" s="51"/>
      <c r="OPD37" s="51"/>
      <c r="OPE37" s="51"/>
      <c r="OPF37" s="51"/>
      <c r="OPG37" s="51"/>
      <c r="OPH37" s="51"/>
      <c r="OPI37" s="51"/>
      <c r="OPJ37" s="51"/>
      <c r="OPK37" s="51"/>
      <c r="OPL37" s="51"/>
      <c r="OPM37" s="51"/>
      <c r="OPN37" s="51"/>
      <c r="OPO37" s="51"/>
      <c r="OPP37" s="51"/>
      <c r="OPQ37" s="51"/>
      <c r="OPR37" s="51"/>
      <c r="OPS37" s="51"/>
      <c r="OPT37" s="51"/>
      <c r="OPU37" s="51"/>
      <c r="OPV37" s="51"/>
      <c r="OPW37" s="51"/>
      <c r="OPX37" s="51"/>
      <c r="OPY37" s="51"/>
      <c r="OPZ37" s="51"/>
      <c r="OQA37" s="51"/>
      <c r="OQB37" s="51"/>
      <c r="OQC37" s="51"/>
      <c r="OQD37" s="51"/>
      <c r="OQE37" s="51"/>
      <c r="OQF37" s="51"/>
      <c r="OQG37" s="51"/>
      <c r="OQH37" s="51"/>
      <c r="OQI37" s="51"/>
      <c r="OQJ37" s="51"/>
      <c r="OQK37" s="51"/>
      <c r="OQL37" s="51"/>
      <c r="OQM37" s="51"/>
      <c r="OQN37" s="51"/>
      <c r="OQO37" s="51"/>
      <c r="OQP37" s="51"/>
      <c r="OQQ37" s="51"/>
      <c r="OQR37" s="51"/>
      <c r="OQS37" s="51"/>
      <c r="OQT37" s="51"/>
      <c r="OQU37" s="51"/>
      <c r="OQV37" s="51"/>
      <c r="OQW37" s="51"/>
      <c r="OQX37" s="51"/>
      <c r="OQY37" s="51"/>
      <c r="OQZ37" s="51"/>
      <c r="ORA37" s="51"/>
      <c r="ORB37" s="51"/>
      <c r="ORC37" s="51"/>
      <c r="ORD37" s="51"/>
      <c r="ORE37" s="51"/>
      <c r="ORF37" s="51"/>
      <c r="ORG37" s="51"/>
      <c r="ORH37" s="51"/>
      <c r="ORI37" s="51"/>
      <c r="ORJ37" s="51"/>
      <c r="ORK37" s="51"/>
      <c r="ORL37" s="51"/>
      <c r="ORM37" s="51"/>
      <c r="ORN37" s="51"/>
      <c r="ORO37" s="51"/>
      <c r="ORP37" s="51"/>
      <c r="ORQ37" s="51"/>
      <c r="ORR37" s="51"/>
      <c r="ORS37" s="51"/>
      <c r="ORT37" s="51"/>
      <c r="ORU37" s="51"/>
      <c r="ORV37" s="51"/>
      <c r="ORW37" s="51"/>
      <c r="ORX37" s="51"/>
      <c r="ORY37" s="51"/>
      <c r="ORZ37" s="51"/>
      <c r="OSA37" s="51"/>
      <c r="OSB37" s="51"/>
      <c r="OSC37" s="51"/>
      <c r="OSD37" s="51"/>
      <c r="OSE37" s="51"/>
      <c r="OSF37" s="51"/>
      <c r="OSG37" s="51"/>
      <c r="OSH37" s="51"/>
      <c r="OSI37" s="51"/>
      <c r="OSJ37" s="51"/>
      <c r="OSK37" s="51"/>
      <c r="OSL37" s="51"/>
      <c r="OSM37" s="51"/>
      <c r="OSN37" s="51"/>
      <c r="OSO37" s="51"/>
      <c r="OSP37" s="51"/>
      <c r="OSQ37" s="51"/>
      <c r="OSR37" s="51"/>
      <c r="OSS37" s="51"/>
      <c r="OST37" s="51"/>
      <c r="OSU37" s="51"/>
      <c r="OSV37" s="51"/>
      <c r="OSW37" s="51"/>
      <c r="OSX37" s="51"/>
      <c r="OSY37" s="51"/>
      <c r="OSZ37" s="51"/>
      <c r="OTA37" s="51"/>
      <c r="OTB37" s="51"/>
      <c r="OTC37" s="51"/>
      <c r="OTD37" s="51"/>
      <c r="OTE37" s="51"/>
      <c r="OTF37" s="51"/>
      <c r="OTG37" s="51"/>
      <c r="OTH37" s="51"/>
      <c r="OTI37" s="51"/>
      <c r="OTJ37" s="51"/>
      <c r="OTK37" s="51"/>
      <c r="OTL37" s="51"/>
      <c r="OTM37" s="51"/>
      <c r="OTN37" s="51"/>
      <c r="OTO37" s="51"/>
      <c r="OTP37" s="51"/>
      <c r="OTQ37" s="51"/>
      <c r="OTR37" s="51"/>
      <c r="OTS37" s="51"/>
      <c r="OTT37" s="51"/>
      <c r="OTU37" s="51"/>
      <c r="OTV37" s="51"/>
      <c r="OTW37" s="51"/>
      <c r="OTX37" s="51"/>
      <c r="OTY37" s="51"/>
      <c r="OTZ37" s="51"/>
      <c r="OUA37" s="51"/>
      <c r="OUB37" s="51"/>
      <c r="OUC37" s="51"/>
      <c r="OUD37" s="51"/>
      <c r="OUE37" s="51"/>
      <c r="OUF37" s="51"/>
      <c r="OUG37" s="51"/>
      <c r="OUH37" s="51"/>
      <c r="OUI37" s="51"/>
      <c r="OUJ37" s="51"/>
      <c r="OUK37" s="51"/>
      <c r="OUL37" s="51"/>
      <c r="OUM37" s="51"/>
      <c r="OUN37" s="51"/>
      <c r="OUO37" s="51"/>
      <c r="OUP37" s="51"/>
      <c r="OUQ37" s="51"/>
      <c r="OUR37" s="51"/>
      <c r="OUS37" s="51"/>
      <c r="OUT37" s="51"/>
      <c r="OUU37" s="51"/>
      <c r="OUV37" s="51"/>
      <c r="OUW37" s="51"/>
      <c r="OUX37" s="51"/>
      <c r="OUY37" s="51"/>
      <c r="OUZ37" s="51"/>
      <c r="OVA37" s="51"/>
      <c r="OVB37" s="51"/>
      <c r="OVC37" s="51"/>
      <c r="OVD37" s="51"/>
      <c r="OVE37" s="51"/>
      <c r="OVF37" s="51"/>
      <c r="OVG37" s="51"/>
      <c r="OVH37" s="51"/>
      <c r="OVI37" s="51"/>
      <c r="OVJ37" s="51"/>
      <c r="OVK37" s="51"/>
      <c r="OVL37" s="51"/>
      <c r="OVM37" s="51"/>
      <c r="OVN37" s="51"/>
      <c r="OVO37" s="51"/>
      <c r="OVP37" s="51"/>
      <c r="OVQ37" s="51"/>
      <c r="OVR37" s="51"/>
      <c r="OVS37" s="51"/>
      <c r="OVT37" s="51"/>
      <c r="OVU37" s="51"/>
      <c r="OVV37" s="51"/>
      <c r="OVW37" s="51"/>
      <c r="OVX37" s="51"/>
      <c r="OVY37" s="51"/>
      <c r="OVZ37" s="51"/>
      <c r="OWA37" s="51"/>
      <c r="OWB37" s="51"/>
      <c r="OWC37" s="51"/>
      <c r="OWD37" s="51"/>
      <c r="OWE37" s="51"/>
      <c r="OWF37" s="51"/>
      <c r="OWG37" s="51"/>
      <c r="OWH37" s="51"/>
      <c r="OWI37" s="51"/>
      <c r="OWJ37" s="51"/>
      <c r="OWK37" s="51"/>
      <c r="OWL37" s="51"/>
      <c r="OWM37" s="51"/>
      <c r="OWN37" s="51"/>
      <c r="OWO37" s="51"/>
      <c r="OWP37" s="51"/>
      <c r="OWQ37" s="51"/>
      <c r="OWR37" s="51"/>
      <c r="OWS37" s="51"/>
      <c r="OWT37" s="51"/>
      <c r="OWU37" s="51"/>
      <c r="OWV37" s="51"/>
      <c r="OWW37" s="51"/>
      <c r="OWX37" s="51"/>
      <c r="OWY37" s="51"/>
      <c r="OWZ37" s="51"/>
      <c r="OXA37" s="51"/>
      <c r="OXB37" s="51"/>
      <c r="OXC37" s="51"/>
      <c r="OXD37" s="51"/>
      <c r="OXE37" s="51"/>
      <c r="OXF37" s="51"/>
      <c r="OXG37" s="51"/>
      <c r="OXH37" s="51"/>
      <c r="OXI37" s="51"/>
      <c r="OXJ37" s="51"/>
      <c r="OXK37" s="51"/>
      <c r="OXL37" s="51"/>
      <c r="OXM37" s="51"/>
      <c r="OXN37" s="51"/>
      <c r="OXO37" s="51"/>
      <c r="OXP37" s="51"/>
      <c r="OXQ37" s="51"/>
      <c r="OXR37" s="51"/>
      <c r="OXS37" s="51"/>
      <c r="OXT37" s="51"/>
      <c r="OXU37" s="51"/>
      <c r="OXV37" s="51"/>
      <c r="OXW37" s="51"/>
      <c r="OXX37" s="51"/>
      <c r="OXY37" s="51"/>
      <c r="OXZ37" s="51"/>
      <c r="OYA37" s="51"/>
      <c r="OYB37" s="51"/>
      <c r="OYC37" s="51"/>
      <c r="OYD37" s="51"/>
      <c r="OYE37" s="51"/>
      <c r="OYF37" s="51"/>
      <c r="OYG37" s="51"/>
      <c r="OYH37" s="51"/>
      <c r="OYI37" s="51"/>
      <c r="OYJ37" s="51"/>
      <c r="OYK37" s="51"/>
      <c r="OYL37" s="51"/>
      <c r="OYM37" s="51"/>
      <c r="OYN37" s="51"/>
      <c r="OYO37" s="51"/>
      <c r="OYP37" s="51"/>
      <c r="OYQ37" s="51"/>
      <c r="OYR37" s="51"/>
      <c r="OYS37" s="51"/>
      <c r="OYT37" s="51"/>
      <c r="OYU37" s="51"/>
      <c r="OYV37" s="51"/>
      <c r="OYW37" s="51"/>
      <c r="OYX37" s="51"/>
      <c r="OYY37" s="51"/>
      <c r="OYZ37" s="51"/>
      <c r="OZA37" s="51"/>
      <c r="OZB37" s="51"/>
      <c r="OZC37" s="51"/>
      <c r="OZD37" s="51"/>
      <c r="OZE37" s="51"/>
      <c r="OZF37" s="51"/>
      <c r="OZG37" s="51"/>
      <c r="OZH37" s="51"/>
      <c r="OZI37" s="51"/>
      <c r="OZJ37" s="51"/>
      <c r="OZK37" s="51"/>
      <c r="OZL37" s="51"/>
      <c r="OZM37" s="51"/>
      <c r="OZN37" s="51"/>
      <c r="OZO37" s="51"/>
      <c r="OZP37" s="51"/>
      <c r="OZQ37" s="51"/>
      <c r="OZR37" s="51"/>
      <c r="OZS37" s="51"/>
      <c r="OZT37" s="51"/>
      <c r="OZU37" s="51"/>
      <c r="OZV37" s="51"/>
      <c r="OZW37" s="51"/>
      <c r="OZX37" s="51"/>
      <c r="OZY37" s="51"/>
      <c r="OZZ37" s="51"/>
      <c r="PAA37" s="51"/>
      <c r="PAB37" s="51"/>
      <c r="PAC37" s="51"/>
      <c r="PAD37" s="51"/>
      <c r="PAE37" s="51"/>
      <c r="PAF37" s="51"/>
      <c r="PAG37" s="51"/>
      <c r="PAH37" s="51"/>
      <c r="PAI37" s="51"/>
      <c r="PAJ37" s="51"/>
      <c r="PAK37" s="51"/>
      <c r="PAL37" s="51"/>
      <c r="PAM37" s="51"/>
      <c r="PAN37" s="51"/>
      <c r="PAO37" s="51"/>
      <c r="PAP37" s="51"/>
      <c r="PAQ37" s="51"/>
      <c r="PAR37" s="51"/>
      <c r="PAS37" s="51"/>
      <c r="PAT37" s="51"/>
      <c r="PAU37" s="51"/>
      <c r="PAV37" s="51"/>
      <c r="PAW37" s="51"/>
      <c r="PAX37" s="51"/>
      <c r="PAY37" s="51"/>
      <c r="PAZ37" s="51"/>
      <c r="PBA37" s="51"/>
      <c r="PBB37" s="51"/>
      <c r="PBC37" s="51"/>
      <c r="PBD37" s="51"/>
      <c r="PBE37" s="51"/>
      <c r="PBF37" s="51"/>
      <c r="PBG37" s="51"/>
      <c r="PBH37" s="51"/>
      <c r="PBI37" s="51"/>
      <c r="PBJ37" s="51"/>
      <c r="PBK37" s="51"/>
      <c r="PBL37" s="51"/>
      <c r="PBM37" s="51"/>
      <c r="PBN37" s="51"/>
      <c r="PBO37" s="51"/>
      <c r="PBP37" s="51"/>
      <c r="PBQ37" s="51"/>
      <c r="PBR37" s="51"/>
      <c r="PBS37" s="51"/>
      <c r="PBT37" s="51"/>
      <c r="PBU37" s="51"/>
      <c r="PBV37" s="51"/>
      <c r="PBW37" s="51"/>
      <c r="PBX37" s="51"/>
      <c r="PBY37" s="51"/>
      <c r="PBZ37" s="51"/>
      <c r="PCA37" s="51"/>
      <c r="PCB37" s="51"/>
      <c r="PCC37" s="51"/>
      <c r="PCD37" s="51"/>
      <c r="PCE37" s="51"/>
      <c r="PCF37" s="51"/>
      <c r="PCG37" s="51"/>
      <c r="PCH37" s="51"/>
      <c r="PCI37" s="51"/>
      <c r="PCJ37" s="51"/>
      <c r="PCK37" s="51"/>
      <c r="PCL37" s="51"/>
      <c r="PCM37" s="51"/>
      <c r="PCN37" s="51"/>
      <c r="PCO37" s="51"/>
      <c r="PCP37" s="51"/>
      <c r="PCQ37" s="51"/>
      <c r="PCR37" s="51"/>
      <c r="PCS37" s="51"/>
      <c r="PCT37" s="51"/>
      <c r="PCU37" s="51"/>
      <c r="PCV37" s="51"/>
      <c r="PCW37" s="51"/>
      <c r="PCX37" s="51"/>
      <c r="PCY37" s="51"/>
      <c r="PCZ37" s="51"/>
      <c r="PDA37" s="51"/>
      <c r="PDB37" s="51"/>
      <c r="PDC37" s="51"/>
      <c r="PDD37" s="51"/>
      <c r="PDE37" s="51"/>
      <c r="PDF37" s="51"/>
      <c r="PDG37" s="51"/>
      <c r="PDH37" s="51"/>
      <c r="PDI37" s="51"/>
      <c r="PDJ37" s="51"/>
      <c r="PDK37" s="51"/>
      <c r="PDL37" s="51"/>
      <c r="PDM37" s="51"/>
      <c r="PDN37" s="51"/>
      <c r="PDO37" s="51"/>
      <c r="PDP37" s="51"/>
      <c r="PDQ37" s="51"/>
      <c r="PDR37" s="51"/>
      <c r="PDS37" s="51"/>
      <c r="PDT37" s="51"/>
      <c r="PDU37" s="51"/>
      <c r="PDV37" s="51"/>
      <c r="PDW37" s="51"/>
      <c r="PDX37" s="51"/>
      <c r="PDY37" s="51"/>
      <c r="PDZ37" s="51"/>
      <c r="PEA37" s="51"/>
      <c r="PEB37" s="51"/>
      <c r="PEC37" s="51"/>
      <c r="PED37" s="51"/>
      <c r="PEE37" s="51"/>
      <c r="PEF37" s="51"/>
      <c r="PEG37" s="51"/>
      <c r="PEH37" s="51"/>
      <c r="PEI37" s="51"/>
      <c r="PEJ37" s="51"/>
      <c r="PEK37" s="51"/>
      <c r="PEL37" s="51"/>
      <c r="PEM37" s="51"/>
      <c r="PEN37" s="51"/>
      <c r="PEO37" s="51"/>
      <c r="PEP37" s="51"/>
      <c r="PEQ37" s="51"/>
      <c r="PER37" s="51"/>
      <c r="PES37" s="51"/>
      <c r="PET37" s="51"/>
      <c r="PEU37" s="51"/>
      <c r="PEV37" s="51"/>
      <c r="PEW37" s="51"/>
      <c r="PEX37" s="51"/>
      <c r="PEY37" s="51"/>
      <c r="PEZ37" s="51"/>
      <c r="PFA37" s="51"/>
      <c r="PFB37" s="51"/>
      <c r="PFC37" s="51"/>
      <c r="PFD37" s="51"/>
      <c r="PFE37" s="51"/>
      <c r="PFF37" s="51"/>
      <c r="PFG37" s="51"/>
      <c r="PFH37" s="51"/>
      <c r="PFI37" s="51"/>
      <c r="PFJ37" s="51"/>
      <c r="PFK37" s="51"/>
      <c r="PFL37" s="51"/>
      <c r="PFM37" s="51"/>
      <c r="PFN37" s="51"/>
      <c r="PFO37" s="51"/>
      <c r="PFP37" s="51"/>
      <c r="PFQ37" s="51"/>
      <c r="PFR37" s="51"/>
      <c r="PFS37" s="51"/>
      <c r="PFT37" s="51"/>
      <c r="PFU37" s="51"/>
      <c r="PFV37" s="51"/>
      <c r="PFW37" s="51"/>
      <c r="PFX37" s="51"/>
      <c r="PFY37" s="51"/>
      <c r="PFZ37" s="51"/>
      <c r="PGA37" s="51"/>
      <c r="PGB37" s="51"/>
      <c r="PGC37" s="51"/>
      <c r="PGD37" s="51"/>
      <c r="PGE37" s="51"/>
      <c r="PGF37" s="51"/>
      <c r="PGG37" s="51"/>
      <c r="PGH37" s="51"/>
      <c r="PGI37" s="51"/>
      <c r="PGJ37" s="51"/>
      <c r="PGK37" s="51"/>
      <c r="PGL37" s="51"/>
      <c r="PGM37" s="51"/>
      <c r="PGN37" s="51"/>
      <c r="PGO37" s="51"/>
      <c r="PGP37" s="51"/>
      <c r="PGQ37" s="51"/>
      <c r="PGR37" s="51"/>
      <c r="PGS37" s="51"/>
      <c r="PGT37" s="51"/>
      <c r="PGU37" s="51"/>
      <c r="PGV37" s="51"/>
      <c r="PGW37" s="51"/>
      <c r="PGX37" s="51"/>
      <c r="PGY37" s="51"/>
      <c r="PGZ37" s="51"/>
      <c r="PHA37" s="51"/>
      <c r="PHB37" s="51"/>
      <c r="PHC37" s="51"/>
      <c r="PHD37" s="51"/>
      <c r="PHE37" s="51"/>
      <c r="PHF37" s="51"/>
      <c r="PHG37" s="51"/>
      <c r="PHH37" s="51"/>
      <c r="PHI37" s="51"/>
      <c r="PHJ37" s="51"/>
      <c r="PHK37" s="51"/>
      <c r="PHL37" s="51"/>
      <c r="PHM37" s="51"/>
      <c r="PHN37" s="51"/>
      <c r="PHO37" s="51"/>
      <c r="PHP37" s="51"/>
      <c r="PHQ37" s="51"/>
      <c r="PHR37" s="51"/>
      <c r="PHS37" s="51"/>
      <c r="PHT37" s="51"/>
      <c r="PHU37" s="51"/>
      <c r="PHV37" s="51"/>
      <c r="PHW37" s="51"/>
      <c r="PHX37" s="51"/>
      <c r="PHY37" s="51"/>
      <c r="PHZ37" s="51"/>
      <c r="PIA37" s="51"/>
      <c r="PIB37" s="51"/>
      <c r="PIC37" s="51"/>
      <c r="PID37" s="51"/>
      <c r="PIE37" s="51"/>
      <c r="PIF37" s="51"/>
      <c r="PIG37" s="51"/>
      <c r="PIH37" s="51"/>
      <c r="PII37" s="51"/>
      <c r="PIJ37" s="51"/>
      <c r="PIK37" s="51"/>
      <c r="PIL37" s="51"/>
      <c r="PIM37" s="51"/>
      <c r="PIN37" s="51"/>
      <c r="PIO37" s="51"/>
      <c r="PIP37" s="51"/>
      <c r="PIQ37" s="51"/>
      <c r="PIR37" s="51"/>
      <c r="PIS37" s="51"/>
      <c r="PIT37" s="51"/>
      <c r="PIU37" s="51"/>
      <c r="PIV37" s="51"/>
      <c r="PIW37" s="51"/>
      <c r="PIX37" s="51"/>
      <c r="PIY37" s="51"/>
      <c r="PIZ37" s="51"/>
      <c r="PJA37" s="51"/>
      <c r="PJB37" s="51"/>
      <c r="PJC37" s="51"/>
      <c r="PJD37" s="51"/>
      <c r="PJE37" s="51"/>
      <c r="PJF37" s="51"/>
      <c r="PJG37" s="51"/>
      <c r="PJH37" s="51"/>
      <c r="PJI37" s="51"/>
      <c r="PJJ37" s="51"/>
      <c r="PJK37" s="51"/>
      <c r="PJL37" s="51"/>
      <c r="PJM37" s="51"/>
      <c r="PJN37" s="51"/>
      <c r="PJO37" s="51"/>
      <c r="PJP37" s="51"/>
      <c r="PJQ37" s="51"/>
      <c r="PJR37" s="51"/>
      <c r="PJS37" s="51"/>
      <c r="PJT37" s="51"/>
      <c r="PJU37" s="51"/>
      <c r="PJV37" s="51"/>
      <c r="PJW37" s="51"/>
      <c r="PJX37" s="51"/>
      <c r="PJY37" s="51"/>
      <c r="PJZ37" s="51"/>
      <c r="PKA37" s="51"/>
      <c r="PKB37" s="51"/>
      <c r="PKC37" s="51"/>
      <c r="PKD37" s="51"/>
      <c r="PKE37" s="51"/>
      <c r="PKF37" s="51"/>
      <c r="PKG37" s="51"/>
      <c r="PKH37" s="51"/>
      <c r="PKI37" s="51"/>
      <c r="PKJ37" s="51"/>
      <c r="PKK37" s="51"/>
      <c r="PKL37" s="51"/>
      <c r="PKM37" s="51"/>
      <c r="PKN37" s="51"/>
      <c r="PKO37" s="51"/>
      <c r="PKP37" s="51"/>
      <c r="PKQ37" s="51"/>
      <c r="PKR37" s="51"/>
      <c r="PKS37" s="51"/>
      <c r="PKT37" s="51"/>
      <c r="PKU37" s="51"/>
      <c r="PKV37" s="51"/>
      <c r="PKW37" s="51"/>
      <c r="PKX37" s="51"/>
      <c r="PKY37" s="51"/>
      <c r="PKZ37" s="51"/>
      <c r="PLA37" s="51"/>
      <c r="PLB37" s="51"/>
      <c r="PLC37" s="51"/>
      <c r="PLD37" s="51"/>
      <c r="PLE37" s="51"/>
      <c r="PLF37" s="51"/>
      <c r="PLG37" s="51"/>
      <c r="PLH37" s="51"/>
      <c r="PLI37" s="51"/>
      <c r="PLJ37" s="51"/>
      <c r="PLK37" s="51"/>
      <c r="PLL37" s="51"/>
      <c r="PLM37" s="51"/>
      <c r="PLN37" s="51"/>
      <c r="PLO37" s="51"/>
      <c r="PLP37" s="51"/>
      <c r="PLQ37" s="51"/>
      <c r="PLR37" s="51"/>
      <c r="PLS37" s="51"/>
      <c r="PLT37" s="51"/>
      <c r="PLU37" s="51"/>
      <c r="PLV37" s="51"/>
      <c r="PLW37" s="51"/>
      <c r="PLX37" s="51"/>
      <c r="PLY37" s="51"/>
      <c r="PLZ37" s="51"/>
      <c r="PMA37" s="51"/>
      <c r="PMB37" s="51"/>
      <c r="PMC37" s="51"/>
      <c r="PMD37" s="51"/>
      <c r="PME37" s="51"/>
      <c r="PMF37" s="51"/>
      <c r="PMG37" s="51"/>
      <c r="PMH37" s="51"/>
      <c r="PMI37" s="51"/>
      <c r="PMJ37" s="51"/>
      <c r="PMK37" s="51"/>
      <c r="PML37" s="51"/>
      <c r="PMM37" s="51"/>
      <c r="PMN37" s="51"/>
      <c r="PMO37" s="51"/>
      <c r="PMP37" s="51"/>
      <c r="PMQ37" s="51"/>
      <c r="PMR37" s="51"/>
      <c r="PMS37" s="51"/>
      <c r="PMT37" s="51"/>
      <c r="PMU37" s="51"/>
      <c r="PMV37" s="51"/>
      <c r="PMW37" s="51"/>
      <c r="PMX37" s="51"/>
      <c r="PMY37" s="51"/>
      <c r="PMZ37" s="51"/>
      <c r="PNA37" s="51"/>
      <c r="PNB37" s="51"/>
      <c r="PNC37" s="51"/>
      <c r="PND37" s="51"/>
      <c r="PNE37" s="51"/>
      <c r="PNF37" s="51"/>
      <c r="PNG37" s="51"/>
      <c r="PNH37" s="51"/>
      <c r="PNI37" s="51"/>
      <c r="PNJ37" s="51"/>
      <c r="PNK37" s="51"/>
      <c r="PNL37" s="51"/>
      <c r="PNM37" s="51"/>
      <c r="PNN37" s="51"/>
      <c r="PNO37" s="51"/>
      <c r="PNP37" s="51"/>
      <c r="PNQ37" s="51"/>
      <c r="PNR37" s="51"/>
      <c r="PNS37" s="51"/>
      <c r="PNT37" s="51"/>
      <c r="PNU37" s="51"/>
      <c r="PNV37" s="51"/>
      <c r="PNW37" s="51"/>
      <c r="PNX37" s="51"/>
      <c r="PNY37" s="51"/>
      <c r="PNZ37" s="51"/>
      <c r="POA37" s="51"/>
      <c r="POB37" s="51"/>
      <c r="POC37" s="51"/>
      <c r="POD37" s="51"/>
      <c r="POE37" s="51"/>
      <c r="POF37" s="51"/>
      <c r="POG37" s="51"/>
      <c r="POH37" s="51"/>
      <c r="POI37" s="51"/>
      <c r="POJ37" s="51"/>
      <c r="POK37" s="51"/>
      <c r="POL37" s="51"/>
      <c r="POM37" s="51"/>
      <c r="PON37" s="51"/>
      <c r="POO37" s="51"/>
      <c r="POP37" s="51"/>
      <c r="POQ37" s="51"/>
      <c r="POR37" s="51"/>
      <c r="POS37" s="51"/>
      <c r="POT37" s="51"/>
      <c r="POU37" s="51"/>
      <c r="POV37" s="51"/>
      <c r="POW37" s="51"/>
      <c r="POX37" s="51"/>
      <c r="POY37" s="51"/>
      <c r="POZ37" s="51"/>
      <c r="PPA37" s="51"/>
      <c r="PPB37" s="51"/>
      <c r="PPC37" s="51"/>
      <c r="PPD37" s="51"/>
      <c r="PPE37" s="51"/>
      <c r="PPF37" s="51"/>
      <c r="PPG37" s="51"/>
      <c r="PPH37" s="51"/>
      <c r="PPI37" s="51"/>
      <c r="PPJ37" s="51"/>
      <c r="PPK37" s="51"/>
      <c r="PPL37" s="51"/>
      <c r="PPM37" s="51"/>
      <c r="PPN37" s="51"/>
      <c r="PPO37" s="51"/>
      <c r="PPP37" s="51"/>
      <c r="PPQ37" s="51"/>
      <c r="PPR37" s="51"/>
      <c r="PPS37" s="51"/>
      <c r="PPT37" s="51"/>
      <c r="PPU37" s="51"/>
      <c r="PPV37" s="51"/>
      <c r="PPW37" s="51"/>
      <c r="PPX37" s="51"/>
      <c r="PPY37" s="51"/>
      <c r="PPZ37" s="51"/>
      <c r="PQA37" s="51"/>
      <c r="PQB37" s="51"/>
      <c r="PQC37" s="51"/>
      <c r="PQD37" s="51"/>
      <c r="PQE37" s="51"/>
      <c r="PQF37" s="51"/>
      <c r="PQG37" s="51"/>
      <c r="PQH37" s="51"/>
      <c r="PQI37" s="51"/>
      <c r="PQJ37" s="51"/>
      <c r="PQK37" s="51"/>
      <c r="PQL37" s="51"/>
      <c r="PQM37" s="51"/>
      <c r="PQN37" s="51"/>
      <c r="PQO37" s="51"/>
      <c r="PQP37" s="51"/>
      <c r="PQQ37" s="51"/>
      <c r="PQR37" s="51"/>
      <c r="PQS37" s="51"/>
      <c r="PQT37" s="51"/>
      <c r="PQU37" s="51"/>
      <c r="PQV37" s="51"/>
      <c r="PQW37" s="51"/>
      <c r="PQX37" s="51"/>
      <c r="PQY37" s="51"/>
      <c r="PQZ37" s="51"/>
      <c r="PRA37" s="51"/>
      <c r="PRB37" s="51"/>
      <c r="PRC37" s="51"/>
      <c r="PRD37" s="51"/>
      <c r="PRE37" s="51"/>
      <c r="PRF37" s="51"/>
      <c r="PRG37" s="51"/>
      <c r="PRH37" s="51"/>
      <c r="PRI37" s="51"/>
      <c r="PRJ37" s="51"/>
      <c r="PRK37" s="51"/>
      <c r="PRL37" s="51"/>
      <c r="PRM37" s="51"/>
      <c r="PRN37" s="51"/>
      <c r="PRO37" s="51"/>
      <c r="PRP37" s="51"/>
      <c r="PRQ37" s="51"/>
      <c r="PRR37" s="51"/>
      <c r="PRS37" s="51"/>
      <c r="PRT37" s="51"/>
      <c r="PRU37" s="51"/>
      <c r="PRV37" s="51"/>
      <c r="PRW37" s="51"/>
      <c r="PRX37" s="51"/>
      <c r="PRY37" s="51"/>
      <c r="PRZ37" s="51"/>
      <c r="PSA37" s="51"/>
      <c r="PSB37" s="51"/>
      <c r="PSC37" s="51"/>
      <c r="PSD37" s="51"/>
      <c r="PSE37" s="51"/>
      <c r="PSF37" s="51"/>
      <c r="PSG37" s="51"/>
      <c r="PSH37" s="51"/>
      <c r="PSI37" s="51"/>
      <c r="PSJ37" s="51"/>
      <c r="PSK37" s="51"/>
      <c r="PSL37" s="51"/>
      <c r="PSM37" s="51"/>
      <c r="PSN37" s="51"/>
      <c r="PSO37" s="51"/>
      <c r="PSP37" s="51"/>
      <c r="PSQ37" s="51"/>
      <c r="PSR37" s="51"/>
      <c r="PSS37" s="51"/>
      <c r="PST37" s="51"/>
      <c r="PSU37" s="51"/>
      <c r="PSV37" s="51"/>
      <c r="PSW37" s="51"/>
      <c r="PSX37" s="51"/>
      <c r="PSY37" s="51"/>
      <c r="PSZ37" s="51"/>
      <c r="PTA37" s="51"/>
      <c r="PTB37" s="51"/>
      <c r="PTC37" s="51"/>
      <c r="PTD37" s="51"/>
      <c r="PTE37" s="51"/>
      <c r="PTF37" s="51"/>
      <c r="PTG37" s="51"/>
      <c r="PTH37" s="51"/>
      <c r="PTI37" s="51"/>
      <c r="PTJ37" s="51"/>
      <c r="PTK37" s="51"/>
      <c r="PTL37" s="51"/>
      <c r="PTM37" s="51"/>
      <c r="PTN37" s="51"/>
      <c r="PTO37" s="51"/>
      <c r="PTP37" s="51"/>
      <c r="PTQ37" s="51"/>
      <c r="PTR37" s="51"/>
      <c r="PTS37" s="51"/>
      <c r="PTT37" s="51"/>
      <c r="PTU37" s="51"/>
      <c r="PTV37" s="51"/>
      <c r="PTW37" s="51"/>
      <c r="PTX37" s="51"/>
      <c r="PTY37" s="51"/>
      <c r="PTZ37" s="51"/>
      <c r="PUA37" s="51"/>
      <c r="PUB37" s="51"/>
      <c r="PUC37" s="51"/>
      <c r="PUD37" s="51"/>
      <c r="PUE37" s="51"/>
      <c r="PUF37" s="51"/>
      <c r="PUG37" s="51"/>
      <c r="PUH37" s="51"/>
      <c r="PUI37" s="51"/>
      <c r="PUJ37" s="51"/>
      <c r="PUK37" s="51"/>
      <c r="PUL37" s="51"/>
      <c r="PUM37" s="51"/>
      <c r="PUN37" s="51"/>
      <c r="PUO37" s="51"/>
      <c r="PUP37" s="51"/>
      <c r="PUQ37" s="51"/>
      <c r="PUR37" s="51"/>
      <c r="PUS37" s="51"/>
      <c r="PUT37" s="51"/>
      <c r="PUU37" s="51"/>
      <c r="PUV37" s="51"/>
      <c r="PUW37" s="51"/>
      <c r="PUX37" s="51"/>
      <c r="PUY37" s="51"/>
      <c r="PUZ37" s="51"/>
      <c r="PVA37" s="51"/>
      <c r="PVB37" s="51"/>
      <c r="PVC37" s="51"/>
      <c r="PVD37" s="51"/>
      <c r="PVE37" s="51"/>
      <c r="PVF37" s="51"/>
      <c r="PVG37" s="51"/>
      <c r="PVH37" s="51"/>
      <c r="PVI37" s="51"/>
      <c r="PVJ37" s="51"/>
      <c r="PVK37" s="51"/>
      <c r="PVL37" s="51"/>
      <c r="PVM37" s="51"/>
      <c r="PVN37" s="51"/>
      <c r="PVO37" s="51"/>
      <c r="PVP37" s="51"/>
      <c r="PVQ37" s="51"/>
      <c r="PVR37" s="51"/>
      <c r="PVS37" s="51"/>
      <c r="PVT37" s="51"/>
      <c r="PVU37" s="51"/>
      <c r="PVV37" s="51"/>
      <c r="PVW37" s="51"/>
      <c r="PVX37" s="51"/>
      <c r="PVY37" s="51"/>
      <c r="PVZ37" s="51"/>
      <c r="PWA37" s="51"/>
      <c r="PWB37" s="51"/>
      <c r="PWC37" s="51"/>
      <c r="PWD37" s="51"/>
      <c r="PWE37" s="51"/>
      <c r="PWF37" s="51"/>
      <c r="PWG37" s="51"/>
      <c r="PWH37" s="51"/>
      <c r="PWI37" s="51"/>
      <c r="PWJ37" s="51"/>
      <c r="PWK37" s="51"/>
      <c r="PWL37" s="51"/>
      <c r="PWM37" s="51"/>
      <c r="PWN37" s="51"/>
      <c r="PWO37" s="51"/>
      <c r="PWP37" s="51"/>
      <c r="PWQ37" s="51"/>
      <c r="PWR37" s="51"/>
      <c r="PWS37" s="51"/>
      <c r="PWT37" s="51"/>
      <c r="PWU37" s="51"/>
      <c r="PWV37" s="51"/>
      <c r="PWW37" s="51"/>
      <c r="PWX37" s="51"/>
      <c r="PWY37" s="51"/>
      <c r="PWZ37" s="51"/>
      <c r="PXA37" s="51"/>
      <c r="PXB37" s="51"/>
      <c r="PXC37" s="51"/>
      <c r="PXD37" s="51"/>
      <c r="PXE37" s="51"/>
      <c r="PXF37" s="51"/>
      <c r="PXG37" s="51"/>
      <c r="PXH37" s="51"/>
      <c r="PXI37" s="51"/>
      <c r="PXJ37" s="51"/>
      <c r="PXK37" s="51"/>
      <c r="PXL37" s="51"/>
      <c r="PXM37" s="51"/>
      <c r="PXN37" s="51"/>
      <c r="PXO37" s="51"/>
      <c r="PXP37" s="51"/>
      <c r="PXQ37" s="51"/>
      <c r="PXR37" s="51"/>
      <c r="PXS37" s="51"/>
      <c r="PXT37" s="51"/>
      <c r="PXU37" s="51"/>
      <c r="PXV37" s="51"/>
      <c r="PXW37" s="51"/>
      <c r="PXX37" s="51"/>
      <c r="PXY37" s="51"/>
      <c r="PXZ37" s="51"/>
      <c r="PYA37" s="51"/>
      <c r="PYB37" s="51"/>
      <c r="PYC37" s="51"/>
      <c r="PYD37" s="51"/>
      <c r="PYE37" s="51"/>
      <c r="PYF37" s="51"/>
      <c r="PYG37" s="51"/>
      <c r="PYH37" s="51"/>
      <c r="PYI37" s="51"/>
      <c r="PYJ37" s="51"/>
      <c r="PYK37" s="51"/>
      <c r="PYL37" s="51"/>
      <c r="PYM37" s="51"/>
      <c r="PYN37" s="51"/>
      <c r="PYO37" s="51"/>
      <c r="PYP37" s="51"/>
      <c r="PYQ37" s="51"/>
      <c r="PYR37" s="51"/>
      <c r="PYS37" s="51"/>
      <c r="PYT37" s="51"/>
      <c r="PYU37" s="51"/>
      <c r="PYV37" s="51"/>
      <c r="PYW37" s="51"/>
      <c r="PYX37" s="51"/>
      <c r="PYY37" s="51"/>
      <c r="PYZ37" s="51"/>
      <c r="PZA37" s="51"/>
      <c r="PZB37" s="51"/>
      <c r="PZC37" s="51"/>
      <c r="PZD37" s="51"/>
      <c r="PZE37" s="51"/>
      <c r="PZF37" s="51"/>
      <c r="PZG37" s="51"/>
      <c r="PZH37" s="51"/>
      <c r="PZI37" s="51"/>
      <c r="PZJ37" s="51"/>
      <c r="PZK37" s="51"/>
      <c r="PZL37" s="51"/>
      <c r="PZM37" s="51"/>
      <c r="PZN37" s="51"/>
      <c r="PZO37" s="51"/>
      <c r="PZP37" s="51"/>
      <c r="PZQ37" s="51"/>
      <c r="PZR37" s="51"/>
      <c r="PZS37" s="51"/>
      <c r="PZT37" s="51"/>
      <c r="PZU37" s="51"/>
      <c r="PZV37" s="51"/>
      <c r="PZW37" s="51"/>
      <c r="PZX37" s="51"/>
      <c r="PZY37" s="51"/>
      <c r="PZZ37" s="51"/>
      <c r="QAA37" s="51"/>
      <c r="QAB37" s="51"/>
      <c r="QAC37" s="51"/>
      <c r="QAD37" s="51"/>
      <c r="QAE37" s="51"/>
      <c r="QAF37" s="51"/>
      <c r="QAG37" s="51"/>
      <c r="QAH37" s="51"/>
      <c r="QAI37" s="51"/>
      <c r="QAJ37" s="51"/>
      <c r="QAK37" s="51"/>
      <c r="QAL37" s="51"/>
      <c r="QAM37" s="51"/>
      <c r="QAN37" s="51"/>
      <c r="QAO37" s="51"/>
      <c r="QAP37" s="51"/>
      <c r="QAQ37" s="51"/>
      <c r="QAR37" s="51"/>
      <c r="QAS37" s="51"/>
      <c r="QAT37" s="51"/>
      <c r="QAU37" s="51"/>
      <c r="QAV37" s="51"/>
      <c r="QAW37" s="51"/>
      <c r="QAX37" s="51"/>
      <c r="QAY37" s="51"/>
      <c r="QAZ37" s="51"/>
      <c r="QBA37" s="51"/>
      <c r="QBB37" s="51"/>
      <c r="QBC37" s="51"/>
      <c r="QBD37" s="51"/>
      <c r="QBE37" s="51"/>
      <c r="QBF37" s="51"/>
      <c r="QBG37" s="51"/>
      <c r="QBH37" s="51"/>
      <c r="QBI37" s="51"/>
      <c r="QBJ37" s="51"/>
      <c r="QBK37" s="51"/>
      <c r="QBL37" s="51"/>
      <c r="QBM37" s="51"/>
      <c r="QBN37" s="51"/>
      <c r="QBO37" s="51"/>
      <c r="QBP37" s="51"/>
      <c r="QBQ37" s="51"/>
      <c r="QBR37" s="51"/>
      <c r="QBS37" s="51"/>
      <c r="QBT37" s="51"/>
      <c r="QBU37" s="51"/>
      <c r="QBV37" s="51"/>
      <c r="QBW37" s="51"/>
      <c r="QBX37" s="51"/>
      <c r="QBY37" s="51"/>
      <c r="QBZ37" s="51"/>
      <c r="QCA37" s="51"/>
      <c r="QCB37" s="51"/>
      <c r="QCC37" s="51"/>
      <c r="QCD37" s="51"/>
      <c r="QCE37" s="51"/>
      <c r="QCF37" s="51"/>
      <c r="QCG37" s="51"/>
      <c r="QCH37" s="51"/>
      <c r="QCI37" s="51"/>
      <c r="QCJ37" s="51"/>
      <c r="QCK37" s="51"/>
      <c r="QCL37" s="51"/>
      <c r="QCM37" s="51"/>
      <c r="QCN37" s="51"/>
      <c r="QCO37" s="51"/>
      <c r="QCP37" s="51"/>
      <c r="QCQ37" s="51"/>
      <c r="QCR37" s="51"/>
      <c r="QCS37" s="51"/>
      <c r="QCT37" s="51"/>
      <c r="QCU37" s="51"/>
      <c r="QCV37" s="51"/>
      <c r="QCW37" s="51"/>
      <c r="QCX37" s="51"/>
      <c r="QCY37" s="51"/>
      <c r="QCZ37" s="51"/>
      <c r="QDA37" s="51"/>
      <c r="QDB37" s="51"/>
      <c r="QDC37" s="51"/>
      <c r="QDD37" s="51"/>
      <c r="QDE37" s="51"/>
      <c r="QDF37" s="51"/>
      <c r="QDG37" s="51"/>
      <c r="QDH37" s="51"/>
      <c r="QDI37" s="51"/>
      <c r="QDJ37" s="51"/>
      <c r="QDK37" s="51"/>
      <c r="QDL37" s="51"/>
      <c r="QDM37" s="51"/>
      <c r="QDN37" s="51"/>
      <c r="QDO37" s="51"/>
      <c r="QDP37" s="51"/>
      <c r="QDQ37" s="51"/>
      <c r="QDR37" s="51"/>
      <c r="QDS37" s="51"/>
      <c r="QDT37" s="51"/>
      <c r="QDU37" s="51"/>
      <c r="QDV37" s="51"/>
      <c r="QDW37" s="51"/>
      <c r="QDX37" s="51"/>
      <c r="QDY37" s="51"/>
      <c r="QDZ37" s="51"/>
      <c r="QEA37" s="51"/>
      <c r="QEB37" s="51"/>
      <c r="QEC37" s="51"/>
      <c r="QED37" s="51"/>
      <c r="QEE37" s="51"/>
      <c r="QEF37" s="51"/>
      <c r="QEG37" s="51"/>
      <c r="QEH37" s="51"/>
      <c r="QEI37" s="51"/>
      <c r="QEJ37" s="51"/>
      <c r="QEK37" s="51"/>
      <c r="QEL37" s="51"/>
      <c r="QEM37" s="51"/>
      <c r="QEN37" s="51"/>
      <c r="QEO37" s="51"/>
      <c r="QEP37" s="51"/>
      <c r="QEQ37" s="51"/>
      <c r="QER37" s="51"/>
      <c r="QES37" s="51"/>
      <c r="QET37" s="51"/>
      <c r="QEU37" s="51"/>
      <c r="QEV37" s="51"/>
      <c r="QEW37" s="51"/>
      <c r="QEX37" s="51"/>
      <c r="QEY37" s="51"/>
      <c r="QEZ37" s="51"/>
      <c r="QFA37" s="51"/>
      <c r="QFB37" s="51"/>
      <c r="QFC37" s="51"/>
      <c r="QFD37" s="51"/>
      <c r="QFE37" s="51"/>
      <c r="QFF37" s="51"/>
      <c r="QFG37" s="51"/>
      <c r="QFH37" s="51"/>
      <c r="QFI37" s="51"/>
      <c r="QFJ37" s="51"/>
      <c r="QFK37" s="51"/>
      <c r="QFL37" s="51"/>
      <c r="QFM37" s="51"/>
      <c r="QFN37" s="51"/>
      <c r="QFO37" s="51"/>
      <c r="QFP37" s="51"/>
      <c r="QFQ37" s="51"/>
      <c r="QFR37" s="51"/>
      <c r="QFS37" s="51"/>
      <c r="QFT37" s="51"/>
      <c r="QFU37" s="51"/>
      <c r="QFV37" s="51"/>
      <c r="QFW37" s="51"/>
      <c r="QFX37" s="51"/>
      <c r="QFY37" s="51"/>
      <c r="QFZ37" s="51"/>
      <c r="QGA37" s="51"/>
      <c r="QGB37" s="51"/>
      <c r="QGC37" s="51"/>
      <c r="QGD37" s="51"/>
      <c r="QGE37" s="51"/>
      <c r="QGF37" s="51"/>
      <c r="QGG37" s="51"/>
      <c r="QGH37" s="51"/>
      <c r="QGI37" s="51"/>
      <c r="QGJ37" s="51"/>
      <c r="QGK37" s="51"/>
      <c r="QGL37" s="51"/>
      <c r="QGM37" s="51"/>
      <c r="QGN37" s="51"/>
      <c r="QGO37" s="51"/>
      <c r="QGP37" s="51"/>
      <c r="QGQ37" s="51"/>
      <c r="QGR37" s="51"/>
      <c r="QGS37" s="51"/>
      <c r="QGT37" s="51"/>
      <c r="QGU37" s="51"/>
      <c r="QGV37" s="51"/>
      <c r="QGW37" s="51"/>
      <c r="QGX37" s="51"/>
      <c r="QGY37" s="51"/>
      <c r="QGZ37" s="51"/>
      <c r="QHA37" s="51"/>
      <c r="QHB37" s="51"/>
      <c r="QHC37" s="51"/>
      <c r="QHD37" s="51"/>
      <c r="QHE37" s="51"/>
      <c r="QHF37" s="51"/>
      <c r="QHG37" s="51"/>
      <c r="QHH37" s="51"/>
      <c r="QHI37" s="51"/>
      <c r="QHJ37" s="51"/>
      <c r="QHK37" s="51"/>
      <c r="QHL37" s="51"/>
      <c r="QHM37" s="51"/>
      <c r="QHN37" s="51"/>
      <c r="QHO37" s="51"/>
      <c r="QHP37" s="51"/>
      <c r="QHQ37" s="51"/>
      <c r="QHR37" s="51"/>
      <c r="QHS37" s="51"/>
      <c r="QHT37" s="51"/>
      <c r="QHU37" s="51"/>
      <c r="QHV37" s="51"/>
      <c r="QHW37" s="51"/>
      <c r="QHX37" s="51"/>
      <c r="QHY37" s="51"/>
      <c r="QHZ37" s="51"/>
      <c r="QIA37" s="51"/>
      <c r="QIB37" s="51"/>
      <c r="QIC37" s="51"/>
      <c r="QID37" s="51"/>
      <c r="QIE37" s="51"/>
      <c r="QIF37" s="51"/>
      <c r="QIG37" s="51"/>
      <c r="QIH37" s="51"/>
      <c r="QII37" s="51"/>
      <c r="QIJ37" s="51"/>
      <c r="QIK37" s="51"/>
      <c r="QIL37" s="51"/>
      <c r="QIM37" s="51"/>
      <c r="QIN37" s="51"/>
      <c r="QIO37" s="51"/>
      <c r="QIP37" s="51"/>
      <c r="QIQ37" s="51"/>
      <c r="QIR37" s="51"/>
      <c r="QIS37" s="51"/>
      <c r="QIT37" s="51"/>
      <c r="QIU37" s="51"/>
      <c r="QIV37" s="51"/>
      <c r="QIW37" s="51"/>
      <c r="QIX37" s="51"/>
      <c r="QIY37" s="51"/>
      <c r="QIZ37" s="51"/>
      <c r="QJA37" s="51"/>
      <c r="QJB37" s="51"/>
      <c r="QJC37" s="51"/>
      <c r="QJD37" s="51"/>
      <c r="QJE37" s="51"/>
      <c r="QJF37" s="51"/>
      <c r="QJG37" s="51"/>
      <c r="QJH37" s="51"/>
      <c r="QJI37" s="51"/>
      <c r="QJJ37" s="51"/>
      <c r="QJK37" s="51"/>
      <c r="QJL37" s="51"/>
      <c r="QJM37" s="51"/>
      <c r="QJN37" s="51"/>
      <c r="QJO37" s="51"/>
      <c r="QJP37" s="51"/>
      <c r="QJQ37" s="51"/>
      <c r="QJR37" s="51"/>
      <c r="QJS37" s="51"/>
      <c r="QJT37" s="51"/>
      <c r="QJU37" s="51"/>
      <c r="QJV37" s="51"/>
      <c r="QJW37" s="51"/>
      <c r="QJX37" s="51"/>
      <c r="QJY37" s="51"/>
      <c r="QJZ37" s="51"/>
      <c r="QKA37" s="51"/>
      <c r="QKB37" s="51"/>
      <c r="QKC37" s="51"/>
      <c r="QKD37" s="51"/>
      <c r="QKE37" s="51"/>
      <c r="QKF37" s="51"/>
      <c r="QKG37" s="51"/>
      <c r="QKH37" s="51"/>
      <c r="QKI37" s="51"/>
      <c r="QKJ37" s="51"/>
      <c r="QKK37" s="51"/>
      <c r="QKL37" s="51"/>
      <c r="QKM37" s="51"/>
      <c r="QKN37" s="51"/>
      <c r="QKO37" s="51"/>
      <c r="QKP37" s="51"/>
      <c r="QKQ37" s="51"/>
      <c r="QKR37" s="51"/>
      <c r="QKS37" s="51"/>
      <c r="QKT37" s="51"/>
      <c r="QKU37" s="51"/>
      <c r="QKV37" s="51"/>
      <c r="QKW37" s="51"/>
      <c r="QKX37" s="51"/>
      <c r="QKY37" s="51"/>
      <c r="QKZ37" s="51"/>
      <c r="QLA37" s="51"/>
      <c r="QLB37" s="51"/>
      <c r="QLC37" s="51"/>
      <c r="QLD37" s="51"/>
      <c r="QLE37" s="51"/>
      <c r="QLF37" s="51"/>
      <c r="QLG37" s="51"/>
      <c r="QLH37" s="51"/>
      <c r="QLI37" s="51"/>
      <c r="QLJ37" s="51"/>
      <c r="QLK37" s="51"/>
      <c r="QLL37" s="51"/>
      <c r="QLM37" s="51"/>
      <c r="QLN37" s="51"/>
      <c r="QLO37" s="51"/>
      <c r="QLP37" s="51"/>
      <c r="QLQ37" s="51"/>
      <c r="QLR37" s="51"/>
      <c r="QLS37" s="51"/>
      <c r="QLT37" s="51"/>
      <c r="QLU37" s="51"/>
      <c r="QLV37" s="51"/>
      <c r="QLW37" s="51"/>
      <c r="QLX37" s="51"/>
      <c r="QLY37" s="51"/>
      <c r="QLZ37" s="51"/>
      <c r="QMA37" s="51"/>
      <c r="QMB37" s="51"/>
      <c r="QMC37" s="51"/>
      <c r="QMD37" s="51"/>
      <c r="QME37" s="51"/>
      <c r="QMF37" s="51"/>
      <c r="QMG37" s="51"/>
      <c r="QMH37" s="51"/>
      <c r="QMI37" s="51"/>
      <c r="QMJ37" s="51"/>
      <c r="QMK37" s="51"/>
      <c r="QML37" s="51"/>
      <c r="QMM37" s="51"/>
      <c r="QMN37" s="51"/>
      <c r="QMO37" s="51"/>
      <c r="QMP37" s="51"/>
      <c r="QMQ37" s="51"/>
      <c r="QMR37" s="51"/>
      <c r="QMS37" s="51"/>
      <c r="QMT37" s="51"/>
      <c r="QMU37" s="51"/>
      <c r="QMV37" s="51"/>
      <c r="QMW37" s="51"/>
      <c r="QMX37" s="51"/>
      <c r="QMY37" s="51"/>
      <c r="QMZ37" s="51"/>
      <c r="QNA37" s="51"/>
      <c r="QNB37" s="51"/>
      <c r="QNC37" s="51"/>
      <c r="QND37" s="51"/>
      <c r="QNE37" s="51"/>
      <c r="QNF37" s="51"/>
      <c r="QNG37" s="51"/>
      <c r="QNH37" s="51"/>
      <c r="QNI37" s="51"/>
      <c r="QNJ37" s="51"/>
      <c r="QNK37" s="51"/>
      <c r="QNL37" s="51"/>
      <c r="QNM37" s="51"/>
      <c r="QNN37" s="51"/>
      <c r="QNO37" s="51"/>
      <c r="QNP37" s="51"/>
      <c r="QNQ37" s="51"/>
      <c r="QNR37" s="51"/>
      <c r="QNS37" s="51"/>
      <c r="QNT37" s="51"/>
      <c r="QNU37" s="51"/>
      <c r="QNV37" s="51"/>
      <c r="QNW37" s="51"/>
      <c r="QNX37" s="51"/>
      <c r="QNY37" s="51"/>
      <c r="QNZ37" s="51"/>
      <c r="QOA37" s="51"/>
      <c r="QOB37" s="51"/>
      <c r="QOC37" s="51"/>
      <c r="QOD37" s="51"/>
      <c r="QOE37" s="51"/>
      <c r="QOF37" s="51"/>
      <c r="QOG37" s="51"/>
      <c r="QOH37" s="51"/>
      <c r="QOI37" s="51"/>
      <c r="QOJ37" s="51"/>
      <c r="QOK37" s="51"/>
      <c r="QOL37" s="51"/>
      <c r="QOM37" s="51"/>
      <c r="QON37" s="51"/>
      <c r="QOO37" s="51"/>
      <c r="QOP37" s="51"/>
      <c r="QOQ37" s="51"/>
      <c r="QOR37" s="51"/>
      <c r="QOS37" s="51"/>
      <c r="QOT37" s="51"/>
      <c r="QOU37" s="51"/>
      <c r="QOV37" s="51"/>
      <c r="QOW37" s="51"/>
      <c r="QOX37" s="51"/>
      <c r="QOY37" s="51"/>
      <c r="QOZ37" s="51"/>
      <c r="QPA37" s="51"/>
      <c r="QPB37" s="51"/>
      <c r="QPC37" s="51"/>
      <c r="QPD37" s="51"/>
      <c r="QPE37" s="51"/>
      <c r="QPF37" s="51"/>
      <c r="QPG37" s="51"/>
      <c r="QPH37" s="51"/>
      <c r="QPI37" s="51"/>
      <c r="QPJ37" s="51"/>
      <c r="QPK37" s="51"/>
      <c r="QPL37" s="51"/>
      <c r="QPM37" s="51"/>
      <c r="QPN37" s="51"/>
      <c r="QPO37" s="51"/>
      <c r="QPP37" s="51"/>
      <c r="QPQ37" s="51"/>
      <c r="QPR37" s="51"/>
      <c r="QPS37" s="51"/>
      <c r="QPT37" s="51"/>
      <c r="QPU37" s="51"/>
      <c r="QPV37" s="51"/>
      <c r="QPW37" s="51"/>
      <c r="QPX37" s="51"/>
      <c r="QPY37" s="51"/>
      <c r="QPZ37" s="51"/>
      <c r="QQA37" s="51"/>
      <c r="QQB37" s="51"/>
      <c r="QQC37" s="51"/>
      <c r="QQD37" s="51"/>
      <c r="QQE37" s="51"/>
      <c r="QQF37" s="51"/>
      <c r="QQG37" s="51"/>
      <c r="QQH37" s="51"/>
      <c r="QQI37" s="51"/>
      <c r="QQJ37" s="51"/>
      <c r="QQK37" s="51"/>
      <c r="QQL37" s="51"/>
      <c r="QQM37" s="51"/>
      <c r="QQN37" s="51"/>
      <c r="QQO37" s="51"/>
      <c r="QQP37" s="51"/>
      <c r="QQQ37" s="51"/>
      <c r="QQR37" s="51"/>
      <c r="QQS37" s="51"/>
      <c r="QQT37" s="51"/>
      <c r="QQU37" s="51"/>
      <c r="QQV37" s="51"/>
      <c r="QQW37" s="51"/>
      <c r="QQX37" s="51"/>
      <c r="QQY37" s="51"/>
      <c r="QQZ37" s="51"/>
      <c r="QRA37" s="51"/>
      <c r="QRB37" s="51"/>
      <c r="QRC37" s="51"/>
      <c r="QRD37" s="51"/>
      <c r="QRE37" s="51"/>
      <c r="QRF37" s="51"/>
      <c r="QRG37" s="51"/>
      <c r="QRH37" s="51"/>
      <c r="QRI37" s="51"/>
      <c r="QRJ37" s="51"/>
      <c r="QRK37" s="51"/>
      <c r="QRL37" s="51"/>
      <c r="QRM37" s="51"/>
      <c r="QRN37" s="51"/>
      <c r="QRO37" s="51"/>
      <c r="QRP37" s="51"/>
      <c r="QRQ37" s="51"/>
      <c r="QRR37" s="51"/>
      <c r="QRS37" s="51"/>
      <c r="QRT37" s="51"/>
      <c r="QRU37" s="51"/>
      <c r="QRV37" s="51"/>
      <c r="QRW37" s="51"/>
      <c r="QRX37" s="51"/>
      <c r="QRY37" s="51"/>
      <c r="QRZ37" s="51"/>
      <c r="QSA37" s="51"/>
      <c r="QSB37" s="51"/>
      <c r="QSC37" s="51"/>
      <c r="QSD37" s="51"/>
      <c r="QSE37" s="51"/>
      <c r="QSF37" s="51"/>
      <c r="QSG37" s="51"/>
      <c r="QSH37" s="51"/>
      <c r="QSI37" s="51"/>
      <c r="QSJ37" s="51"/>
      <c r="QSK37" s="51"/>
      <c r="QSL37" s="51"/>
      <c r="QSM37" s="51"/>
      <c r="QSN37" s="51"/>
      <c r="QSO37" s="51"/>
      <c r="QSP37" s="51"/>
      <c r="QSQ37" s="51"/>
      <c r="QSR37" s="51"/>
      <c r="QSS37" s="51"/>
      <c r="QST37" s="51"/>
      <c r="QSU37" s="51"/>
      <c r="QSV37" s="51"/>
      <c r="QSW37" s="51"/>
      <c r="QSX37" s="51"/>
      <c r="QSY37" s="51"/>
      <c r="QSZ37" s="51"/>
      <c r="QTA37" s="51"/>
      <c r="QTB37" s="51"/>
      <c r="QTC37" s="51"/>
      <c r="QTD37" s="51"/>
      <c r="QTE37" s="51"/>
      <c r="QTF37" s="51"/>
      <c r="QTG37" s="51"/>
      <c r="QTH37" s="51"/>
      <c r="QTI37" s="51"/>
      <c r="QTJ37" s="51"/>
      <c r="QTK37" s="51"/>
      <c r="QTL37" s="51"/>
      <c r="QTM37" s="51"/>
      <c r="QTN37" s="51"/>
      <c r="QTO37" s="51"/>
      <c r="QTP37" s="51"/>
      <c r="QTQ37" s="51"/>
      <c r="QTR37" s="51"/>
      <c r="QTS37" s="51"/>
      <c r="QTT37" s="51"/>
      <c r="QTU37" s="51"/>
      <c r="QTV37" s="51"/>
      <c r="QTW37" s="51"/>
      <c r="QTX37" s="51"/>
      <c r="QTY37" s="51"/>
      <c r="QTZ37" s="51"/>
      <c r="QUA37" s="51"/>
      <c r="QUB37" s="51"/>
      <c r="QUC37" s="51"/>
      <c r="QUD37" s="51"/>
      <c r="QUE37" s="51"/>
      <c r="QUF37" s="51"/>
      <c r="QUG37" s="51"/>
      <c r="QUH37" s="51"/>
      <c r="QUI37" s="51"/>
      <c r="QUJ37" s="51"/>
      <c r="QUK37" s="51"/>
      <c r="QUL37" s="51"/>
      <c r="QUM37" s="51"/>
      <c r="QUN37" s="51"/>
      <c r="QUO37" s="51"/>
      <c r="QUP37" s="51"/>
      <c r="QUQ37" s="51"/>
      <c r="QUR37" s="51"/>
      <c r="QUS37" s="51"/>
      <c r="QUT37" s="51"/>
      <c r="QUU37" s="51"/>
      <c r="QUV37" s="51"/>
      <c r="QUW37" s="51"/>
      <c r="QUX37" s="51"/>
      <c r="QUY37" s="51"/>
      <c r="QUZ37" s="51"/>
      <c r="QVA37" s="51"/>
      <c r="QVB37" s="51"/>
      <c r="QVC37" s="51"/>
      <c r="QVD37" s="51"/>
      <c r="QVE37" s="51"/>
      <c r="QVF37" s="51"/>
      <c r="QVG37" s="51"/>
      <c r="QVH37" s="51"/>
      <c r="QVI37" s="51"/>
      <c r="QVJ37" s="51"/>
      <c r="QVK37" s="51"/>
      <c r="QVL37" s="51"/>
      <c r="QVM37" s="51"/>
      <c r="QVN37" s="51"/>
      <c r="QVO37" s="51"/>
      <c r="QVP37" s="51"/>
      <c r="QVQ37" s="51"/>
      <c r="QVR37" s="51"/>
      <c r="QVS37" s="51"/>
      <c r="QVT37" s="51"/>
      <c r="QVU37" s="51"/>
      <c r="QVV37" s="51"/>
      <c r="QVW37" s="51"/>
      <c r="QVX37" s="51"/>
      <c r="QVY37" s="51"/>
      <c r="QVZ37" s="51"/>
      <c r="QWA37" s="51"/>
      <c r="QWB37" s="51"/>
      <c r="QWC37" s="51"/>
      <c r="QWD37" s="51"/>
      <c r="QWE37" s="51"/>
      <c r="QWF37" s="51"/>
      <c r="QWG37" s="51"/>
      <c r="QWH37" s="51"/>
      <c r="QWI37" s="51"/>
      <c r="QWJ37" s="51"/>
      <c r="QWK37" s="51"/>
      <c r="QWL37" s="51"/>
      <c r="QWM37" s="51"/>
      <c r="QWN37" s="51"/>
      <c r="QWO37" s="51"/>
      <c r="QWP37" s="51"/>
      <c r="QWQ37" s="51"/>
      <c r="QWR37" s="51"/>
      <c r="QWS37" s="51"/>
      <c r="QWT37" s="51"/>
      <c r="QWU37" s="51"/>
      <c r="QWV37" s="51"/>
      <c r="QWW37" s="51"/>
      <c r="QWX37" s="51"/>
      <c r="QWY37" s="51"/>
      <c r="QWZ37" s="51"/>
      <c r="QXA37" s="51"/>
      <c r="QXB37" s="51"/>
      <c r="QXC37" s="51"/>
      <c r="QXD37" s="51"/>
      <c r="QXE37" s="51"/>
      <c r="QXF37" s="51"/>
      <c r="QXG37" s="51"/>
      <c r="QXH37" s="51"/>
      <c r="QXI37" s="51"/>
      <c r="QXJ37" s="51"/>
      <c r="QXK37" s="51"/>
      <c r="QXL37" s="51"/>
      <c r="QXM37" s="51"/>
      <c r="QXN37" s="51"/>
      <c r="QXO37" s="51"/>
      <c r="QXP37" s="51"/>
      <c r="QXQ37" s="51"/>
      <c r="QXR37" s="51"/>
      <c r="QXS37" s="51"/>
      <c r="QXT37" s="51"/>
      <c r="QXU37" s="51"/>
      <c r="QXV37" s="51"/>
      <c r="QXW37" s="51"/>
      <c r="QXX37" s="51"/>
      <c r="QXY37" s="51"/>
      <c r="QXZ37" s="51"/>
      <c r="QYA37" s="51"/>
      <c r="QYB37" s="51"/>
      <c r="QYC37" s="51"/>
      <c r="QYD37" s="51"/>
      <c r="QYE37" s="51"/>
      <c r="QYF37" s="51"/>
      <c r="QYG37" s="51"/>
      <c r="QYH37" s="51"/>
      <c r="QYI37" s="51"/>
      <c r="QYJ37" s="51"/>
      <c r="QYK37" s="51"/>
      <c r="QYL37" s="51"/>
      <c r="QYM37" s="51"/>
      <c r="QYN37" s="51"/>
      <c r="QYO37" s="51"/>
      <c r="QYP37" s="51"/>
      <c r="QYQ37" s="51"/>
      <c r="QYR37" s="51"/>
      <c r="QYS37" s="51"/>
      <c r="QYT37" s="51"/>
      <c r="QYU37" s="51"/>
      <c r="QYV37" s="51"/>
      <c r="QYW37" s="51"/>
      <c r="QYX37" s="51"/>
      <c r="QYY37" s="51"/>
      <c r="QYZ37" s="51"/>
      <c r="QZA37" s="51"/>
      <c r="QZB37" s="51"/>
      <c r="QZC37" s="51"/>
      <c r="QZD37" s="51"/>
      <c r="QZE37" s="51"/>
      <c r="QZF37" s="51"/>
      <c r="QZG37" s="51"/>
      <c r="QZH37" s="51"/>
      <c r="QZI37" s="51"/>
      <c r="QZJ37" s="51"/>
      <c r="QZK37" s="51"/>
      <c r="QZL37" s="51"/>
      <c r="QZM37" s="51"/>
      <c r="QZN37" s="51"/>
      <c r="QZO37" s="51"/>
      <c r="QZP37" s="51"/>
      <c r="QZQ37" s="51"/>
      <c r="QZR37" s="51"/>
      <c r="QZS37" s="51"/>
      <c r="QZT37" s="51"/>
      <c r="QZU37" s="51"/>
      <c r="QZV37" s="51"/>
      <c r="QZW37" s="51"/>
      <c r="QZX37" s="51"/>
      <c r="QZY37" s="51"/>
      <c r="QZZ37" s="51"/>
      <c r="RAA37" s="51"/>
      <c r="RAB37" s="51"/>
      <c r="RAC37" s="51"/>
      <c r="RAD37" s="51"/>
      <c r="RAE37" s="51"/>
      <c r="RAF37" s="51"/>
      <c r="RAG37" s="51"/>
      <c r="RAH37" s="51"/>
      <c r="RAI37" s="51"/>
      <c r="RAJ37" s="51"/>
      <c r="RAK37" s="51"/>
      <c r="RAL37" s="51"/>
      <c r="RAM37" s="51"/>
      <c r="RAN37" s="51"/>
      <c r="RAO37" s="51"/>
      <c r="RAP37" s="51"/>
      <c r="RAQ37" s="51"/>
      <c r="RAR37" s="51"/>
      <c r="RAS37" s="51"/>
      <c r="RAT37" s="51"/>
      <c r="RAU37" s="51"/>
      <c r="RAV37" s="51"/>
      <c r="RAW37" s="51"/>
      <c r="RAX37" s="51"/>
      <c r="RAY37" s="51"/>
      <c r="RAZ37" s="51"/>
      <c r="RBA37" s="51"/>
      <c r="RBB37" s="51"/>
      <c r="RBC37" s="51"/>
      <c r="RBD37" s="51"/>
      <c r="RBE37" s="51"/>
      <c r="RBF37" s="51"/>
      <c r="RBG37" s="51"/>
      <c r="RBH37" s="51"/>
      <c r="RBI37" s="51"/>
      <c r="RBJ37" s="51"/>
      <c r="RBK37" s="51"/>
      <c r="RBL37" s="51"/>
      <c r="RBM37" s="51"/>
      <c r="RBN37" s="51"/>
      <c r="RBO37" s="51"/>
      <c r="RBP37" s="51"/>
      <c r="RBQ37" s="51"/>
      <c r="RBR37" s="51"/>
      <c r="RBS37" s="51"/>
      <c r="RBT37" s="51"/>
      <c r="RBU37" s="51"/>
      <c r="RBV37" s="51"/>
      <c r="RBW37" s="51"/>
      <c r="RBX37" s="51"/>
      <c r="RBY37" s="51"/>
      <c r="RBZ37" s="51"/>
      <c r="RCA37" s="51"/>
      <c r="RCB37" s="51"/>
      <c r="RCC37" s="51"/>
      <c r="RCD37" s="51"/>
      <c r="RCE37" s="51"/>
      <c r="RCF37" s="51"/>
      <c r="RCG37" s="51"/>
      <c r="RCH37" s="51"/>
      <c r="RCI37" s="51"/>
      <c r="RCJ37" s="51"/>
      <c r="RCK37" s="51"/>
      <c r="RCL37" s="51"/>
      <c r="RCM37" s="51"/>
      <c r="RCN37" s="51"/>
      <c r="RCO37" s="51"/>
      <c r="RCP37" s="51"/>
      <c r="RCQ37" s="51"/>
      <c r="RCR37" s="51"/>
      <c r="RCS37" s="51"/>
      <c r="RCT37" s="51"/>
      <c r="RCU37" s="51"/>
      <c r="RCV37" s="51"/>
      <c r="RCW37" s="51"/>
      <c r="RCX37" s="51"/>
      <c r="RCY37" s="51"/>
      <c r="RCZ37" s="51"/>
      <c r="RDA37" s="51"/>
      <c r="RDB37" s="51"/>
      <c r="RDC37" s="51"/>
      <c r="RDD37" s="51"/>
      <c r="RDE37" s="51"/>
      <c r="RDF37" s="51"/>
      <c r="RDG37" s="51"/>
      <c r="RDH37" s="51"/>
      <c r="RDI37" s="51"/>
      <c r="RDJ37" s="51"/>
      <c r="RDK37" s="51"/>
      <c r="RDL37" s="51"/>
      <c r="RDM37" s="51"/>
      <c r="RDN37" s="51"/>
      <c r="RDO37" s="51"/>
      <c r="RDP37" s="51"/>
      <c r="RDQ37" s="51"/>
      <c r="RDR37" s="51"/>
      <c r="RDS37" s="51"/>
      <c r="RDT37" s="51"/>
      <c r="RDU37" s="51"/>
      <c r="RDV37" s="51"/>
      <c r="RDW37" s="51"/>
      <c r="RDX37" s="51"/>
      <c r="RDY37" s="51"/>
      <c r="RDZ37" s="51"/>
      <c r="REA37" s="51"/>
      <c r="REB37" s="51"/>
      <c r="REC37" s="51"/>
      <c r="RED37" s="51"/>
      <c r="REE37" s="51"/>
      <c r="REF37" s="51"/>
      <c r="REG37" s="51"/>
      <c r="REH37" s="51"/>
      <c r="REI37" s="51"/>
      <c r="REJ37" s="51"/>
      <c r="REK37" s="51"/>
      <c r="REL37" s="51"/>
      <c r="REM37" s="51"/>
      <c r="REN37" s="51"/>
      <c r="REO37" s="51"/>
      <c r="REP37" s="51"/>
      <c r="REQ37" s="51"/>
      <c r="RER37" s="51"/>
      <c r="RES37" s="51"/>
      <c r="RET37" s="51"/>
      <c r="REU37" s="51"/>
      <c r="REV37" s="51"/>
      <c r="REW37" s="51"/>
      <c r="REX37" s="51"/>
      <c r="REY37" s="51"/>
      <c r="REZ37" s="51"/>
      <c r="RFA37" s="51"/>
      <c r="RFB37" s="51"/>
      <c r="RFC37" s="51"/>
      <c r="RFD37" s="51"/>
      <c r="RFE37" s="51"/>
      <c r="RFF37" s="51"/>
      <c r="RFG37" s="51"/>
      <c r="RFH37" s="51"/>
      <c r="RFI37" s="51"/>
      <c r="RFJ37" s="51"/>
      <c r="RFK37" s="51"/>
      <c r="RFL37" s="51"/>
      <c r="RFM37" s="51"/>
      <c r="RFN37" s="51"/>
      <c r="RFO37" s="51"/>
      <c r="RFP37" s="51"/>
      <c r="RFQ37" s="51"/>
      <c r="RFR37" s="51"/>
      <c r="RFS37" s="51"/>
      <c r="RFT37" s="51"/>
      <c r="RFU37" s="51"/>
      <c r="RFV37" s="51"/>
      <c r="RFW37" s="51"/>
      <c r="RFX37" s="51"/>
      <c r="RFY37" s="51"/>
      <c r="RFZ37" s="51"/>
      <c r="RGA37" s="51"/>
      <c r="RGB37" s="51"/>
      <c r="RGC37" s="51"/>
      <c r="RGD37" s="51"/>
      <c r="RGE37" s="51"/>
      <c r="RGF37" s="51"/>
      <c r="RGG37" s="51"/>
      <c r="RGH37" s="51"/>
      <c r="RGI37" s="51"/>
      <c r="RGJ37" s="51"/>
      <c r="RGK37" s="51"/>
      <c r="RGL37" s="51"/>
      <c r="RGM37" s="51"/>
      <c r="RGN37" s="51"/>
      <c r="RGO37" s="51"/>
      <c r="RGP37" s="51"/>
      <c r="RGQ37" s="51"/>
      <c r="RGR37" s="51"/>
      <c r="RGS37" s="51"/>
      <c r="RGT37" s="51"/>
      <c r="RGU37" s="51"/>
      <c r="RGV37" s="51"/>
      <c r="RGW37" s="51"/>
      <c r="RGX37" s="51"/>
      <c r="RGY37" s="51"/>
      <c r="RGZ37" s="51"/>
      <c r="RHA37" s="51"/>
      <c r="RHB37" s="51"/>
      <c r="RHC37" s="51"/>
      <c r="RHD37" s="51"/>
      <c r="RHE37" s="51"/>
      <c r="RHF37" s="51"/>
      <c r="RHG37" s="51"/>
      <c r="RHH37" s="51"/>
      <c r="RHI37" s="51"/>
      <c r="RHJ37" s="51"/>
      <c r="RHK37" s="51"/>
      <c r="RHL37" s="51"/>
      <c r="RHM37" s="51"/>
      <c r="RHN37" s="51"/>
      <c r="RHO37" s="51"/>
      <c r="RHP37" s="51"/>
      <c r="RHQ37" s="51"/>
      <c r="RHR37" s="51"/>
      <c r="RHS37" s="51"/>
      <c r="RHT37" s="51"/>
      <c r="RHU37" s="51"/>
      <c r="RHV37" s="51"/>
      <c r="RHW37" s="51"/>
      <c r="RHX37" s="51"/>
      <c r="RHY37" s="51"/>
      <c r="RHZ37" s="51"/>
      <c r="RIA37" s="51"/>
      <c r="RIB37" s="51"/>
      <c r="RIC37" s="51"/>
      <c r="RID37" s="51"/>
      <c r="RIE37" s="51"/>
      <c r="RIF37" s="51"/>
      <c r="RIG37" s="51"/>
      <c r="RIH37" s="51"/>
      <c r="RII37" s="51"/>
      <c r="RIJ37" s="51"/>
      <c r="RIK37" s="51"/>
      <c r="RIL37" s="51"/>
      <c r="RIM37" s="51"/>
      <c r="RIN37" s="51"/>
      <c r="RIO37" s="51"/>
      <c r="RIP37" s="51"/>
      <c r="RIQ37" s="51"/>
      <c r="RIR37" s="51"/>
      <c r="RIS37" s="51"/>
      <c r="RIT37" s="51"/>
      <c r="RIU37" s="51"/>
      <c r="RIV37" s="51"/>
      <c r="RIW37" s="51"/>
      <c r="RIX37" s="51"/>
      <c r="RIY37" s="51"/>
      <c r="RIZ37" s="51"/>
      <c r="RJA37" s="51"/>
      <c r="RJB37" s="51"/>
      <c r="RJC37" s="51"/>
      <c r="RJD37" s="51"/>
      <c r="RJE37" s="51"/>
      <c r="RJF37" s="51"/>
      <c r="RJG37" s="51"/>
      <c r="RJH37" s="51"/>
      <c r="RJI37" s="51"/>
      <c r="RJJ37" s="51"/>
      <c r="RJK37" s="51"/>
      <c r="RJL37" s="51"/>
      <c r="RJM37" s="51"/>
      <c r="RJN37" s="51"/>
      <c r="RJO37" s="51"/>
      <c r="RJP37" s="51"/>
      <c r="RJQ37" s="51"/>
      <c r="RJR37" s="51"/>
      <c r="RJS37" s="51"/>
      <c r="RJT37" s="51"/>
      <c r="RJU37" s="51"/>
      <c r="RJV37" s="51"/>
      <c r="RJW37" s="51"/>
      <c r="RJX37" s="51"/>
      <c r="RJY37" s="51"/>
      <c r="RJZ37" s="51"/>
      <c r="RKA37" s="51"/>
      <c r="RKB37" s="51"/>
      <c r="RKC37" s="51"/>
      <c r="RKD37" s="51"/>
      <c r="RKE37" s="51"/>
      <c r="RKF37" s="51"/>
      <c r="RKG37" s="51"/>
      <c r="RKH37" s="51"/>
      <c r="RKI37" s="51"/>
      <c r="RKJ37" s="51"/>
      <c r="RKK37" s="51"/>
      <c r="RKL37" s="51"/>
      <c r="RKM37" s="51"/>
      <c r="RKN37" s="51"/>
      <c r="RKO37" s="51"/>
      <c r="RKP37" s="51"/>
      <c r="RKQ37" s="51"/>
      <c r="RKR37" s="51"/>
      <c r="RKS37" s="51"/>
      <c r="RKT37" s="51"/>
      <c r="RKU37" s="51"/>
      <c r="RKV37" s="51"/>
      <c r="RKW37" s="51"/>
      <c r="RKX37" s="51"/>
      <c r="RKY37" s="51"/>
      <c r="RKZ37" s="51"/>
      <c r="RLA37" s="51"/>
      <c r="RLB37" s="51"/>
      <c r="RLC37" s="51"/>
      <c r="RLD37" s="51"/>
      <c r="RLE37" s="51"/>
      <c r="RLF37" s="51"/>
      <c r="RLG37" s="51"/>
      <c r="RLH37" s="51"/>
      <c r="RLI37" s="51"/>
      <c r="RLJ37" s="51"/>
      <c r="RLK37" s="51"/>
      <c r="RLL37" s="51"/>
      <c r="RLM37" s="51"/>
      <c r="RLN37" s="51"/>
      <c r="RLO37" s="51"/>
      <c r="RLP37" s="51"/>
      <c r="RLQ37" s="51"/>
      <c r="RLR37" s="51"/>
      <c r="RLS37" s="51"/>
      <c r="RLT37" s="51"/>
      <c r="RLU37" s="51"/>
      <c r="RLV37" s="51"/>
      <c r="RLW37" s="51"/>
      <c r="RLX37" s="51"/>
      <c r="RLY37" s="51"/>
      <c r="RLZ37" s="51"/>
      <c r="RMA37" s="51"/>
      <c r="RMB37" s="51"/>
      <c r="RMC37" s="51"/>
      <c r="RMD37" s="51"/>
      <c r="RME37" s="51"/>
      <c r="RMF37" s="51"/>
      <c r="RMG37" s="51"/>
      <c r="RMH37" s="51"/>
      <c r="RMI37" s="51"/>
      <c r="RMJ37" s="51"/>
      <c r="RMK37" s="51"/>
      <c r="RML37" s="51"/>
      <c r="RMM37" s="51"/>
      <c r="RMN37" s="51"/>
      <c r="RMO37" s="51"/>
      <c r="RMP37" s="51"/>
      <c r="RMQ37" s="51"/>
      <c r="RMR37" s="51"/>
      <c r="RMS37" s="51"/>
      <c r="RMT37" s="51"/>
      <c r="RMU37" s="51"/>
      <c r="RMV37" s="51"/>
      <c r="RMW37" s="51"/>
      <c r="RMX37" s="51"/>
      <c r="RMY37" s="51"/>
      <c r="RMZ37" s="51"/>
      <c r="RNA37" s="51"/>
      <c r="RNB37" s="51"/>
      <c r="RNC37" s="51"/>
      <c r="RND37" s="51"/>
      <c r="RNE37" s="51"/>
      <c r="RNF37" s="51"/>
      <c r="RNG37" s="51"/>
      <c r="RNH37" s="51"/>
      <c r="RNI37" s="51"/>
      <c r="RNJ37" s="51"/>
      <c r="RNK37" s="51"/>
      <c r="RNL37" s="51"/>
      <c r="RNM37" s="51"/>
      <c r="RNN37" s="51"/>
      <c r="RNO37" s="51"/>
      <c r="RNP37" s="51"/>
      <c r="RNQ37" s="51"/>
      <c r="RNR37" s="51"/>
      <c r="RNS37" s="51"/>
      <c r="RNT37" s="51"/>
      <c r="RNU37" s="51"/>
      <c r="RNV37" s="51"/>
      <c r="RNW37" s="51"/>
      <c r="RNX37" s="51"/>
      <c r="RNY37" s="51"/>
      <c r="RNZ37" s="51"/>
      <c r="ROA37" s="51"/>
      <c r="ROB37" s="51"/>
      <c r="ROC37" s="51"/>
      <c r="ROD37" s="51"/>
      <c r="ROE37" s="51"/>
      <c r="ROF37" s="51"/>
      <c r="ROG37" s="51"/>
      <c r="ROH37" s="51"/>
      <c r="ROI37" s="51"/>
      <c r="ROJ37" s="51"/>
      <c r="ROK37" s="51"/>
      <c r="ROL37" s="51"/>
      <c r="ROM37" s="51"/>
      <c r="RON37" s="51"/>
      <c r="ROO37" s="51"/>
      <c r="ROP37" s="51"/>
      <c r="ROQ37" s="51"/>
      <c r="ROR37" s="51"/>
      <c r="ROS37" s="51"/>
      <c r="ROT37" s="51"/>
      <c r="ROU37" s="51"/>
      <c r="ROV37" s="51"/>
      <c r="ROW37" s="51"/>
      <c r="ROX37" s="51"/>
      <c r="ROY37" s="51"/>
      <c r="ROZ37" s="51"/>
      <c r="RPA37" s="51"/>
      <c r="RPB37" s="51"/>
      <c r="RPC37" s="51"/>
      <c r="RPD37" s="51"/>
      <c r="RPE37" s="51"/>
      <c r="RPF37" s="51"/>
      <c r="RPG37" s="51"/>
      <c r="RPH37" s="51"/>
      <c r="RPI37" s="51"/>
      <c r="RPJ37" s="51"/>
      <c r="RPK37" s="51"/>
      <c r="RPL37" s="51"/>
      <c r="RPM37" s="51"/>
      <c r="RPN37" s="51"/>
      <c r="RPO37" s="51"/>
      <c r="RPP37" s="51"/>
      <c r="RPQ37" s="51"/>
      <c r="RPR37" s="51"/>
      <c r="RPS37" s="51"/>
      <c r="RPT37" s="51"/>
      <c r="RPU37" s="51"/>
      <c r="RPV37" s="51"/>
      <c r="RPW37" s="51"/>
      <c r="RPX37" s="51"/>
      <c r="RPY37" s="51"/>
      <c r="RPZ37" s="51"/>
      <c r="RQA37" s="51"/>
      <c r="RQB37" s="51"/>
      <c r="RQC37" s="51"/>
      <c r="RQD37" s="51"/>
      <c r="RQE37" s="51"/>
      <c r="RQF37" s="51"/>
      <c r="RQG37" s="51"/>
      <c r="RQH37" s="51"/>
      <c r="RQI37" s="51"/>
      <c r="RQJ37" s="51"/>
      <c r="RQK37" s="51"/>
      <c r="RQL37" s="51"/>
      <c r="RQM37" s="51"/>
      <c r="RQN37" s="51"/>
      <c r="RQO37" s="51"/>
      <c r="RQP37" s="51"/>
      <c r="RQQ37" s="51"/>
      <c r="RQR37" s="51"/>
      <c r="RQS37" s="51"/>
      <c r="RQT37" s="51"/>
      <c r="RQU37" s="51"/>
      <c r="RQV37" s="51"/>
      <c r="RQW37" s="51"/>
      <c r="RQX37" s="51"/>
      <c r="RQY37" s="51"/>
      <c r="RQZ37" s="51"/>
      <c r="RRA37" s="51"/>
      <c r="RRB37" s="51"/>
      <c r="RRC37" s="51"/>
      <c r="RRD37" s="51"/>
      <c r="RRE37" s="51"/>
      <c r="RRF37" s="51"/>
      <c r="RRG37" s="51"/>
      <c r="RRH37" s="51"/>
      <c r="RRI37" s="51"/>
      <c r="RRJ37" s="51"/>
      <c r="RRK37" s="51"/>
      <c r="RRL37" s="51"/>
      <c r="RRM37" s="51"/>
      <c r="RRN37" s="51"/>
      <c r="RRO37" s="51"/>
      <c r="RRP37" s="51"/>
      <c r="RRQ37" s="51"/>
      <c r="RRR37" s="51"/>
      <c r="RRS37" s="51"/>
      <c r="RRT37" s="51"/>
      <c r="RRU37" s="51"/>
      <c r="RRV37" s="51"/>
      <c r="RRW37" s="51"/>
      <c r="RRX37" s="51"/>
      <c r="RRY37" s="51"/>
      <c r="RRZ37" s="51"/>
      <c r="RSA37" s="51"/>
      <c r="RSB37" s="51"/>
      <c r="RSC37" s="51"/>
      <c r="RSD37" s="51"/>
      <c r="RSE37" s="51"/>
      <c r="RSF37" s="51"/>
      <c r="RSG37" s="51"/>
      <c r="RSH37" s="51"/>
      <c r="RSI37" s="51"/>
      <c r="RSJ37" s="51"/>
      <c r="RSK37" s="51"/>
      <c r="RSL37" s="51"/>
      <c r="RSM37" s="51"/>
      <c r="RSN37" s="51"/>
      <c r="RSO37" s="51"/>
      <c r="RSP37" s="51"/>
      <c r="RSQ37" s="51"/>
      <c r="RSR37" s="51"/>
      <c r="RSS37" s="51"/>
      <c r="RST37" s="51"/>
      <c r="RSU37" s="51"/>
      <c r="RSV37" s="51"/>
      <c r="RSW37" s="51"/>
      <c r="RSX37" s="51"/>
      <c r="RSY37" s="51"/>
      <c r="RSZ37" s="51"/>
      <c r="RTA37" s="51"/>
      <c r="RTB37" s="51"/>
      <c r="RTC37" s="51"/>
      <c r="RTD37" s="51"/>
      <c r="RTE37" s="51"/>
      <c r="RTF37" s="51"/>
      <c r="RTG37" s="51"/>
      <c r="RTH37" s="51"/>
      <c r="RTI37" s="51"/>
      <c r="RTJ37" s="51"/>
      <c r="RTK37" s="51"/>
      <c r="RTL37" s="51"/>
      <c r="RTM37" s="51"/>
      <c r="RTN37" s="51"/>
      <c r="RTO37" s="51"/>
      <c r="RTP37" s="51"/>
      <c r="RTQ37" s="51"/>
      <c r="RTR37" s="51"/>
      <c r="RTS37" s="51"/>
      <c r="RTT37" s="51"/>
      <c r="RTU37" s="51"/>
      <c r="RTV37" s="51"/>
      <c r="RTW37" s="51"/>
      <c r="RTX37" s="51"/>
      <c r="RTY37" s="51"/>
      <c r="RTZ37" s="51"/>
      <c r="RUA37" s="51"/>
      <c r="RUB37" s="51"/>
      <c r="RUC37" s="51"/>
      <c r="RUD37" s="51"/>
      <c r="RUE37" s="51"/>
      <c r="RUF37" s="51"/>
      <c r="RUG37" s="51"/>
      <c r="RUH37" s="51"/>
      <c r="RUI37" s="51"/>
      <c r="RUJ37" s="51"/>
      <c r="RUK37" s="51"/>
      <c r="RUL37" s="51"/>
      <c r="RUM37" s="51"/>
      <c r="RUN37" s="51"/>
      <c r="RUO37" s="51"/>
      <c r="RUP37" s="51"/>
      <c r="RUQ37" s="51"/>
      <c r="RUR37" s="51"/>
      <c r="RUS37" s="51"/>
      <c r="RUT37" s="51"/>
      <c r="RUU37" s="51"/>
      <c r="RUV37" s="51"/>
      <c r="RUW37" s="51"/>
      <c r="RUX37" s="51"/>
      <c r="RUY37" s="51"/>
      <c r="RUZ37" s="51"/>
      <c r="RVA37" s="51"/>
      <c r="RVB37" s="51"/>
      <c r="RVC37" s="51"/>
      <c r="RVD37" s="51"/>
      <c r="RVE37" s="51"/>
      <c r="RVF37" s="51"/>
      <c r="RVG37" s="51"/>
      <c r="RVH37" s="51"/>
      <c r="RVI37" s="51"/>
      <c r="RVJ37" s="51"/>
      <c r="RVK37" s="51"/>
      <c r="RVL37" s="51"/>
      <c r="RVM37" s="51"/>
      <c r="RVN37" s="51"/>
      <c r="RVO37" s="51"/>
      <c r="RVP37" s="51"/>
      <c r="RVQ37" s="51"/>
      <c r="RVR37" s="51"/>
      <c r="RVS37" s="51"/>
      <c r="RVT37" s="51"/>
      <c r="RVU37" s="51"/>
      <c r="RVV37" s="51"/>
      <c r="RVW37" s="51"/>
      <c r="RVX37" s="51"/>
      <c r="RVY37" s="51"/>
      <c r="RVZ37" s="51"/>
      <c r="RWA37" s="51"/>
      <c r="RWB37" s="51"/>
      <c r="RWC37" s="51"/>
      <c r="RWD37" s="51"/>
      <c r="RWE37" s="51"/>
      <c r="RWF37" s="51"/>
      <c r="RWG37" s="51"/>
      <c r="RWH37" s="51"/>
      <c r="RWI37" s="51"/>
      <c r="RWJ37" s="51"/>
      <c r="RWK37" s="51"/>
      <c r="RWL37" s="51"/>
      <c r="RWM37" s="51"/>
      <c r="RWN37" s="51"/>
      <c r="RWO37" s="51"/>
      <c r="RWP37" s="51"/>
      <c r="RWQ37" s="51"/>
      <c r="RWR37" s="51"/>
      <c r="RWS37" s="51"/>
      <c r="RWT37" s="51"/>
      <c r="RWU37" s="51"/>
      <c r="RWV37" s="51"/>
      <c r="RWW37" s="51"/>
      <c r="RWX37" s="51"/>
      <c r="RWY37" s="51"/>
      <c r="RWZ37" s="51"/>
      <c r="RXA37" s="51"/>
      <c r="RXB37" s="51"/>
      <c r="RXC37" s="51"/>
      <c r="RXD37" s="51"/>
      <c r="RXE37" s="51"/>
      <c r="RXF37" s="51"/>
      <c r="RXG37" s="51"/>
      <c r="RXH37" s="51"/>
      <c r="RXI37" s="51"/>
      <c r="RXJ37" s="51"/>
      <c r="RXK37" s="51"/>
      <c r="RXL37" s="51"/>
      <c r="RXM37" s="51"/>
      <c r="RXN37" s="51"/>
      <c r="RXO37" s="51"/>
      <c r="RXP37" s="51"/>
      <c r="RXQ37" s="51"/>
      <c r="RXR37" s="51"/>
      <c r="RXS37" s="51"/>
      <c r="RXT37" s="51"/>
      <c r="RXU37" s="51"/>
      <c r="RXV37" s="51"/>
      <c r="RXW37" s="51"/>
      <c r="RXX37" s="51"/>
      <c r="RXY37" s="51"/>
      <c r="RXZ37" s="51"/>
      <c r="RYA37" s="51"/>
      <c r="RYB37" s="51"/>
      <c r="RYC37" s="51"/>
      <c r="RYD37" s="51"/>
      <c r="RYE37" s="51"/>
      <c r="RYF37" s="51"/>
      <c r="RYG37" s="51"/>
      <c r="RYH37" s="51"/>
      <c r="RYI37" s="51"/>
      <c r="RYJ37" s="51"/>
      <c r="RYK37" s="51"/>
      <c r="RYL37" s="51"/>
      <c r="RYM37" s="51"/>
      <c r="RYN37" s="51"/>
      <c r="RYO37" s="51"/>
      <c r="RYP37" s="51"/>
      <c r="RYQ37" s="51"/>
      <c r="RYR37" s="51"/>
      <c r="RYS37" s="51"/>
      <c r="RYT37" s="51"/>
      <c r="RYU37" s="51"/>
      <c r="RYV37" s="51"/>
      <c r="RYW37" s="51"/>
      <c r="RYX37" s="51"/>
      <c r="RYY37" s="51"/>
      <c r="RYZ37" s="51"/>
      <c r="RZA37" s="51"/>
      <c r="RZB37" s="51"/>
      <c r="RZC37" s="51"/>
      <c r="RZD37" s="51"/>
      <c r="RZE37" s="51"/>
      <c r="RZF37" s="51"/>
      <c r="RZG37" s="51"/>
      <c r="RZH37" s="51"/>
      <c r="RZI37" s="51"/>
      <c r="RZJ37" s="51"/>
      <c r="RZK37" s="51"/>
      <c r="RZL37" s="51"/>
      <c r="RZM37" s="51"/>
      <c r="RZN37" s="51"/>
      <c r="RZO37" s="51"/>
      <c r="RZP37" s="51"/>
      <c r="RZQ37" s="51"/>
      <c r="RZR37" s="51"/>
      <c r="RZS37" s="51"/>
      <c r="RZT37" s="51"/>
      <c r="RZU37" s="51"/>
      <c r="RZV37" s="51"/>
      <c r="RZW37" s="51"/>
      <c r="RZX37" s="51"/>
      <c r="RZY37" s="51"/>
      <c r="RZZ37" s="51"/>
      <c r="SAA37" s="51"/>
      <c r="SAB37" s="51"/>
      <c r="SAC37" s="51"/>
      <c r="SAD37" s="51"/>
      <c r="SAE37" s="51"/>
      <c r="SAF37" s="51"/>
      <c r="SAG37" s="51"/>
      <c r="SAH37" s="51"/>
      <c r="SAI37" s="51"/>
      <c r="SAJ37" s="51"/>
      <c r="SAK37" s="51"/>
      <c r="SAL37" s="51"/>
      <c r="SAM37" s="51"/>
      <c r="SAN37" s="51"/>
      <c r="SAO37" s="51"/>
      <c r="SAP37" s="51"/>
      <c r="SAQ37" s="51"/>
      <c r="SAR37" s="51"/>
      <c r="SAS37" s="51"/>
      <c r="SAT37" s="51"/>
      <c r="SAU37" s="51"/>
      <c r="SAV37" s="51"/>
      <c r="SAW37" s="51"/>
      <c r="SAX37" s="51"/>
      <c r="SAY37" s="51"/>
      <c r="SAZ37" s="51"/>
      <c r="SBA37" s="51"/>
      <c r="SBB37" s="51"/>
      <c r="SBC37" s="51"/>
      <c r="SBD37" s="51"/>
      <c r="SBE37" s="51"/>
      <c r="SBF37" s="51"/>
      <c r="SBG37" s="51"/>
      <c r="SBH37" s="51"/>
      <c r="SBI37" s="51"/>
      <c r="SBJ37" s="51"/>
      <c r="SBK37" s="51"/>
      <c r="SBL37" s="51"/>
      <c r="SBM37" s="51"/>
      <c r="SBN37" s="51"/>
      <c r="SBO37" s="51"/>
      <c r="SBP37" s="51"/>
      <c r="SBQ37" s="51"/>
      <c r="SBR37" s="51"/>
      <c r="SBS37" s="51"/>
      <c r="SBT37" s="51"/>
      <c r="SBU37" s="51"/>
      <c r="SBV37" s="51"/>
      <c r="SBW37" s="51"/>
      <c r="SBX37" s="51"/>
      <c r="SBY37" s="51"/>
      <c r="SBZ37" s="51"/>
      <c r="SCA37" s="51"/>
      <c r="SCB37" s="51"/>
      <c r="SCC37" s="51"/>
      <c r="SCD37" s="51"/>
      <c r="SCE37" s="51"/>
      <c r="SCF37" s="51"/>
      <c r="SCG37" s="51"/>
      <c r="SCH37" s="51"/>
      <c r="SCI37" s="51"/>
      <c r="SCJ37" s="51"/>
      <c r="SCK37" s="51"/>
      <c r="SCL37" s="51"/>
      <c r="SCM37" s="51"/>
      <c r="SCN37" s="51"/>
      <c r="SCO37" s="51"/>
      <c r="SCP37" s="51"/>
      <c r="SCQ37" s="51"/>
      <c r="SCR37" s="51"/>
      <c r="SCS37" s="51"/>
      <c r="SCT37" s="51"/>
      <c r="SCU37" s="51"/>
      <c r="SCV37" s="51"/>
      <c r="SCW37" s="51"/>
      <c r="SCX37" s="51"/>
      <c r="SCY37" s="51"/>
      <c r="SCZ37" s="51"/>
      <c r="SDA37" s="51"/>
      <c r="SDB37" s="51"/>
      <c r="SDC37" s="51"/>
      <c r="SDD37" s="51"/>
      <c r="SDE37" s="51"/>
      <c r="SDF37" s="51"/>
      <c r="SDG37" s="51"/>
      <c r="SDH37" s="51"/>
      <c r="SDI37" s="51"/>
      <c r="SDJ37" s="51"/>
      <c r="SDK37" s="51"/>
      <c r="SDL37" s="51"/>
      <c r="SDM37" s="51"/>
      <c r="SDN37" s="51"/>
      <c r="SDO37" s="51"/>
      <c r="SDP37" s="51"/>
      <c r="SDQ37" s="51"/>
      <c r="SDR37" s="51"/>
      <c r="SDS37" s="51"/>
      <c r="SDT37" s="51"/>
      <c r="SDU37" s="51"/>
      <c r="SDV37" s="51"/>
      <c r="SDW37" s="51"/>
      <c r="SDX37" s="51"/>
      <c r="SDY37" s="51"/>
      <c r="SDZ37" s="51"/>
      <c r="SEA37" s="51"/>
      <c r="SEB37" s="51"/>
      <c r="SEC37" s="51"/>
      <c r="SED37" s="51"/>
      <c r="SEE37" s="51"/>
      <c r="SEF37" s="51"/>
      <c r="SEG37" s="51"/>
      <c r="SEH37" s="51"/>
      <c r="SEI37" s="51"/>
      <c r="SEJ37" s="51"/>
      <c r="SEK37" s="51"/>
      <c r="SEL37" s="51"/>
      <c r="SEM37" s="51"/>
      <c r="SEN37" s="51"/>
      <c r="SEO37" s="51"/>
      <c r="SEP37" s="51"/>
      <c r="SEQ37" s="51"/>
      <c r="SER37" s="51"/>
      <c r="SES37" s="51"/>
      <c r="SET37" s="51"/>
      <c r="SEU37" s="51"/>
      <c r="SEV37" s="51"/>
      <c r="SEW37" s="51"/>
      <c r="SEX37" s="51"/>
      <c r="SEY37" s="51"/>
      <c r="SEZ37" s="51"/>
      <c r="SFA37" s="51"/>
      <c r="SFB37" s="51"/>
      <c r="SFC37" s="51"/>
      <c r="SFD37" s="51"/>
      <c r="SFE37" s="51"/>
      <c r="SFF37" s="51"/>
      <c r="SFG37" s="51"/>
      <c r="SFH37" s="51"/>
      <c r="SFI37" s="51"/>
      <c r="SFJ37" s="51"/>
      <c r="SFK37" s="51"/>
      <c r="SFL37" s="51"/>
      <c r="SFM37" s="51"/>
      <c r="SFN37" s="51"/>
      <c r="SFO37" s="51"/>
      <c r="SFP37" s="51"/>
      <c r="SFQ37" s="51"/>
      <c r="SFR37" s="51"/>
      <c r="SFS37" s="51"/>
      <c r="SFT37" s="51"/>
      <c r="SFU37" s="51"/>
      <c r="SFV37" s="51"/>
      <c r="SFW37" s="51"/>
      <c r="SFX37" s="51"/>
      <c r="SFY37" s="51"/>
      <c r="SFZ37" s="51"/>
      <c r="SGA37" s="51"/>
      <c r="SGB37" s="51"/>
      <c r="SGC37" s="51"/>
      <c r="SGD37" s="51"/>
      <c r="SGE37" s="51"/>
      <c r="SGF37" s="51"/>
      <c r="SGG37" s="51"/>
      <c r="SGH37" s="51"/>
      <c r="SGI37" s="51"/>
      <c r="SGJ37" s="51"/>
      <c r="SGK37" s="51"/>
      <c r="SGL37" s="51"/>
      <c r="SGM37" s="51"/>
      <c r="SGN37" s="51"/>
      <c r="SGO37" s="51"/>
      <c r="SGP37" s="51"/>
      <c r="SGQ37" s="51"/>
      <c r="SGR37" s="51"/>
      <c r="SGS37" s="51"/>
      <c r="SGT37" s="51"/>
      <c r="SGU37" s="51"/>
      <c r="SGV37" s="51"/>
      <c r="SGW37" s="51"/>
      <c r="SGX37" s="51"/>
      <c r="SGY37" s="51"/>
      <c r="SGZ37" s="51"/>
      <c r="SHA37" s="51"/>
      <c r="SHB37" s="51"/>
      <c r="SHC37" s="51"/>
      <c r="SHD37" s="51"/>
      <c r="SHE37" s="51"/>
      <c r="SHF37" s="51"/>
      <c r="SHG37" s="51"/>
      <c r="SHH37" s="51"/>
      <c r="SHI37" s="51"/>
      <c r="SHJ37" s="51"/>
      <c r="SHK37" s="51"/>
      <c r="SHL37" s="51"/>
      <c r="SHM37" s="51"/>
      <c r="SHN37" s="51"/>
      <c r="SHO37" s="51"/>
      <c r="SHP37" s="51"/>
      <c r="SHQ37" s="51"/>
      <c r="SHR37" s="51"/>
      <c r="SHS37" s="51"/>
      <c r="SHT37" s="51"/>
      <c r="SHU37" s="51"/>
      <c r="SHV37" s="51"/>
      <c r="SHW37" s="51"/>
      <c r="SHX37" s="51"/>
      <c r="SHY37" s="51"/>
      <c r="SHZ37" s="51"/>
      <c r="SIA37" s="51"/>
      <c r="SIB37" s="51"/>
      <c r="SIC37" s="51"/>
      <c r="SID37" s="51"/>
      <c r="SIE37" s="51"/>
      <c r="SIF37" s="51"/>
      <c r="SIG37" s="51"/>
      <c r="SIH37" s="51"/>
      <c r="SII37" s="51"/>
      <c r="SIJ37" s="51"/>
      <c r="SIK37" s="51"/>
      <c r="SIL37" s="51"/>
      <c r="SIM37" s="51"/>
      <c r="SIN37" s="51"/>
      <c r="SIO37" s="51"/>
      <c r="SIP37" s="51"/>
      <c r="SIQ37" s="51"/>
      <c r="SIR37" s="51"/>
      <c r="SIS37" s="51"/>
      <c r="SIT37" s="51"/>
      <c r="SIU37" s="51"/>
      <c r="SIV37" s="51"/>
      <c r="SIW37" s="51"/>
      <c r="SIX37" s="51"/>
      <c r="SIY37" s="51"/>
      <c r="SIZ37" s="51"/>
      <c r="SJA37" s="51"/>
      <c r="SJB37" s="51"/>
      <c r="SJC37" s="51"/>
      <c r="SJD37" s="51"/>
      <c r="SJE37" s="51"/>
      <c r="SJF37" s="51"/>
      <c r="SJG37" s="51"/>
      <c r="SJH37" s="51"/>
      <c r="SJI37" s="51"/>
      <c r="SJJ37" s="51"/>
      <c r="SJK37" s="51"/>
      <c r="SJL37" s="51"/>
      <c r="SJM37" s="51"/>
      <c r="SJN37" s="51"/>
      <c r="SJO37" s="51"/>
      <c r="SJP37" s="51"/>
      <c r="SJQ37" s="51"/>
      <c r="SJR37" s="51"/>
      <c r="SJS37" s="51"/>
      <c r="SJT37" s="51"/>
      <c r="SJU37" s="51"/>
      <c r="SJV37" s="51"/>
      <c r="SJW37" s="51"/>
      <c r="SJX37" s="51"/>
      <c r="SJY37" s="51"/>
      <c r="SJZ37" s="51"/>
      <c r="SKA37" s="51"/>
      <c r="SKB37" s="51"/>
      <c r="SKC37" s="51"/>
      <c r="SKD37" s="51"/>
      <c r="SKE37" s="51"/>
      <c r="SKF37" s="51"/>
      <c r="SKG37" s="51"/>
      <c r="SKH37" s="51"/>
      <c r="SKI37" s="51"/>
      <c r="SKJ37" s="51"/>
      <c r="SKK37" s="51"/>
      <c r="SKL37" s="51"/>
      <c r="SKM37" s="51"/>
      <c r="SKN37" s="51"/>
      <c r="SKO37" s="51"/>
      <c r="SKP37" s="51"/>
      <c r="SKQ37" s="51"/>
      <c r="SKR37" s="51"/>
      <c r="SKS37" s="51"/>
      <c r="SKT37" s="51"/>
      <c r="SKU37" s="51"/>
      <c r="SKV37" s="51"/>
      <c r="SKW37" s="51"/>
      <c r="SKX37" s="51"/>
      <c r="SKY37" s="51"/>
      <c r="SKZ37" s="51"/>
      <c r="SLA37" s="51"/>
      <c r="SLB37" s="51"/>
      <c r="SLC37" s="51"/>
      <c r="SLD37" s="51"/>
      <c r="SLE37" s="51"/>
      <c r="SLF37" s="51"/>
      <c r="SLG37" s="51"/>
      <c r="SLH37" s="51"/>
      <c r="SLI37" s="51"/>
      <c r="SLJ37" s="51"/>
      <c r="SLK37" s="51"/>
      <c r="SLL37" s="51"/>
      <c r="SLM37" s="51"/>
      <c r="SLN37" s="51"/>
      <c r="SLO37" s="51"/>
      <c r="SLP37" s="51"/>
      <c r="SLQ37" s="51"/>
      <c r="SLR37" s="51"/>
      <c r="SLS37" s="51"/>
      <c r="SLT37" s="51"/>
      <c r="SLU37" s="51"/>
      <c r="SLV37" s="51"/>
      <c r="SLW37" s="51"/>
      <c r="SLX37" s="51"/>
      <c r="SLY37" s="51"/>
      <c r="SLZ37" s="51"/>
      <c r="SMA37" s="51"/>
      <c r="SMB37" s="51"/>
      <c r="SMC37" s="51"/>
      <c r="SMD37" s="51"/>
      <c r="SME37" s="51"/>
      <c r="SMF37" s="51"/>
      <c r="SMG37" s="51"/>
      <c r="SMH37" s="51"/>
      <c r="SMI37" s="51"/>
      <c r="SMJ37" s="51"/>
      <c r="SMK37" s="51"/>
      <c r="SML37" s="51"/>
      <c r="SMM37" s="51"/>
      <c r="SMN37" s="51"/>
      <c r="SMO37" s="51"/>
      <c r="SMP37" s="51"/>
      <c r="SMQ37" s="51"/>
      <c r="SMR37" s="51"/>
      <c r="SMS37" s="51"/>
      <c r="SMT37" s="51"/>
      <c r="SMU37" s="51"/>
      <c r="SMV37" s="51"/>
      <c r="SMW37" s="51"/>
      <c r="SMX37" s="51"/>
      <c r="SMY37" s="51"/>
      <c r="SMZ37" s="51"/>
      <c r="SNA37" s="51"/>
      <c r="SNB37" s="51"/>
      <c r="SNC37" s="51"/>
      <c r="SND37" s="51"/>
      <c r="SNE37" s="51"/>
      <c r="SNF37" s="51"/>
      <c r="SNG37" s="51"/>
      <c r="SNH37" s="51"/>
      <c r="SNI37" s="51"/>
      <c r="SNJ37" s="51"/>
      <c r="SNK37" s="51"/>
      <c r="SNL37" s="51"/>
      <c r="SNM37" s="51"/>
      <c r="SNN37" s="51"/>
      <c r="SNO37" s="51"/>
      <c r="SNP37" s="51"/>
      <c r="SNQ37" s="51"/>
      <c r="SNR37" s="51"/>
      <c r="SNS37" s="51"/>
      <c r="SNT37" s="51"/>
      <c r="SNU37" s="51"/>
      <c r="SNV37" s="51"/>
      <c r="SNW37" s="51"/>
      <c r="SNX37" s="51"/>
      <c r="SNY37" s="51"/>
      <c r="SNZ37" s="51"/>
      <c r="SOA37" s="51"/>
      <c r="SOB37" s="51"/>
      <c r="SOC37" s="51"/>
      <c r="SOD37" s="51"/>
      <c r="SOE37" s="51"/>
      <c r="SOF37" s="51"/>
      <c r="SOG37" s="51"/>
      <c r="SOH37" s="51"/>
      <c r="SOI37" s="51"/>
      <c r="SOJ37" s="51"/>
      <c r="SOK37" s="51"/>
      <c r="SOL37" s="51"/>
      <c r="SOM37" s="51"/>
      <c r="SON37" s="51"/>
      <c r="SOO37" s="51"/>
      <c r="SOP37" s="51"/>
      <c r="SOQ37" s="51"/>
      <c r="SOR37" s="51"/>
      <c r="SOS37" s="51"/>
      <c r="SOT37" s="51"/>
      <c r="SOU37" s="51"/>
      <c r="SOV37" s="51"/>
      <c r="SOW37" s="51"/>
      <c r="SOX37" s="51"/>
      <c r="SOY37" s="51"/>
      <c r="SOZ37" s="51"/>
      <c r="SPA37" s="51"/>
      <c r="SPB37" s="51"/>
      <c r="SPC37" s="51"/>
      <c r="SPD37" s="51"/>
      <c r="SPE37" s="51"/>
      <c r="SPF37" s="51"/>
      <c r="SPG37" s="51"/>
      <c r="SPH37" s="51"/>
      <c r="SPI37" s="51"/>
      <c r="SPJ37" s="51"/>
      <c r="SPK37" s="51"/>
      <c r="SPL37" s="51"/>
      <c r="SPM37" s="51"/>
      <c r="SPN37" s="51"/>
      <c r="SPO37" s="51"/>
      <c r="SPP37" s="51"/>
      <c r="SPQ37" s="51"/>
      <c r="SPR37" s="51"/>
      <c r="SPS37" s="51"/>
      <c r="SPT37" s="51"/>
      <c r="SPU37" s="51"/>
      <c r="SPV37" s="51"/>
      <c r="SPW37" s="51"/>
      <c r="SPX37" s="51"/>
      <c r="SPY37" s="51"/>
      <c r="SPZ37" s="51"/>
      <c r="SQA37" s="51"/>
      <c r="SQB37" s="51"/>
      <c r="SQC37" s="51"/>
      <c r="SQD37" s="51"/>
      <c r="SQE37" s="51"/>
      <c r="SQF37" s="51"/>
      <c r="SQG37" s="51"/>
      <c r="SQH37" s="51"/>
      <c r="SQI37" s="51"/>
      <c r="SQJ37" s="51"/>
      <c r="SQK37" s="51"/>
      <c r="SQL37" s="51"/>
      <c r="SQM37" s="51"/>
      <c r="SQN37" s="51"/>
      <c r="SQO37" s="51"/>
      <c r="SQP37" s="51"/>
      <c r="SQQ37" s="51"/>
      <c r="SQR37" s="51"/>
      <c r="SQS37" s="51"/>
      <c r="SQT37" s="51"/>
      <c r="SQU37" s="51"/>
      <c r="SQV37" s="51"/>
      <c r="SQW37" s="51"/>
      <c r="SQX37" s="51"/>
      <c r="SQY37" s="51"/>
      <c r="SQZ37" s="51"/>
      <c r="SRA37" s="51"/>
      <c r="SRB37" s="51"/>
      <c r="SRC37" s="51"/>
      <c r="SRD37" s="51"/>
      <c r="SRE37" s="51"/>
      <c r="SRF37" s="51"/>
      <c r="SRG37" s="51"/>
      <c r="SRH37" s="51"/>
      <c r="SRI37" s="51"/>
      <c r="SRJ37" s="51"/>
      <c r="SRK37" s="51"/>
      <c r="SRL37" s="51"/>
      <c r="SRM37" s="51"/>
      <c r="SRN37" s="51"/>
      <c r="SRO37" s="51"/>
      <c r="SRP37" s="51"/>
      <c r="SRQ37" s="51"/>
      <c r="SRR37" s="51"/>
      <c r="SRS37" s="51"/>
      <c r="SRT37" s="51"/>
      <c r="SRU37" s="51"/>
      <c r="SRV37" s="51"/>
      <c r="SRW37" s="51"/>
      <c r="SRX37" s="51"/>
      <c r="SRY37" s="51"/>
      <c r="SRZ37" s="51"/>
      <c r="SSA37" s="51"/>
      <c r="SSB37" s="51"/>
      <c r="SSC37" s="51"/>
      <c r="SSD37" s="51"/>
      <c r="SSE37" s="51"/>
      <c r="SSF37" s="51"/>
      <c r="SSG37" s="51"/>
      <c r="SSH37" s="51"/>
      <c r="SSI37" s="51"/>
      <c r="SSJ37" s="51"/>
      <c r="SSK37" s="51"/>
      <c r="SSL37" s="51"/>
      <c r="SSM37" s="51"/>
      <c r="SSN37" s="51"/>
      <c r="SSO37" s="51"/>
      <c r="SSP37" s="51"/>
      <c r="SSQ37" s="51"/>
      <c r="SSR37" s="51"/>
      <c r="SSS37" s="51"/>
      <c r="SST37" s="51"/>
      <c r="SSU37" s="51"/>
      <c r="SSV37" s="51"/>
      <c r="SSW37" s="51"/>
      <c r="SSX37" s="51"/>
      <c r="SSY37" s="51"/>
      <c r="SSZ37" s="51"/>
      <c r="STA37" s="51"/>
      <c r="STB37" s="51"/>
      <c r="STC37" s="51"/>
      <c r="STD37" s="51"/>
      <c r="STE37" s="51"/>
      <c r="STF37" s="51"/>
      <c r="STG37" s="51"/>
      <c r="STH37" s="51"/>
      <c r="STI37" s="51"/>
      <c r="STJ37" s="51"/>
      <c r="STK37" s="51"/>
      <c r="STL37" s="51"/>
      <c r="STM37" s="51"/>
      <c r="STN37" s="51"/>
      <c r="STO37" s="51"/>
      <c r="STP37" s="51"/>
      <c r="STQ37" s="51"/>
      <c r="STR37" s="51"/>
      <c r="STS37" s="51"/>
      <c r="STT37" s="51"/>
      <c r="STU37" s="51"/>
      <c r="STV37" s="51"/>
      <c r="STW37" s="51"/>
      <c r="STX37" s="51"/>
      <c r="STY37" s="51"/>
      <c r="STZ37" s="51"/>
      <c r="SUA37" s="51"/>
      <c r="SUB37" s="51"/>
      <c r="SUC37" s="51"/>
      <c r="SUD37" s="51"/>
      <c r="SUE37" s="51"/>
      <c r="SUF37" s="51"/>
      <c r="SUG37" s="51"/>
      <c r="SUH37" s="51"/>
      <c r="SUI37" s="51"/>
      <c r="SUJ37" s="51"/>
      <c r="SUK37" s="51"/>
      <c r="SUL37" s="51"/>
      <c r="SUM37" s="51"/>
      <c r="SUN37" s="51"/>
      <c r="SUO37" s="51"/>
      <c r="SUP37" s="51"/>
      <c r="SUQ37" s="51"/>
      <c r="SUR37" s="51"/>
      <c r="SUS37" s="51"/>
      <c r="SUT37" s="51"/>
      <c r="SUU37" s="51"/>
      <c r="SUV37" s="51"/>
      <c r="SUW37" s="51"/>
      <c r="SUX37" s="51"/>
      <c r="SUY37" s="51"/>
      <c r="SUZ37" s="51"/>
      <c r="SVA37" s="51"/>
      <c r="SVB37" s="51"/>
      <c r="SVC37" s="51"/>
      <c r="SVD37" s="51"/>
      <c r="SVE37" s="51"/>
      <c r="SVF37" s="51"/>
      <c r="SVG37" s="51"/>
      <c r="SVH37" s="51"/>
      <c r="SVI37" s="51"/>
      <c r="SVJ37" s="51"/>
      <c r="SVK37" s="51"/>
      <c r="SVL37" s="51"/>
      <c r="SVM37" s="51"/>
      <c r="SVN37" s="51"/>
      <c r="SVO37" s="51"/>
      <c r="SVP37" s="51"/>
      <c r="SVQ37" s="51"/>
      <c r="SVR37" s="51"/>
      <c r="SVS37" s="51"/>
      <c r="SVT37" s="51"/>
      <c r="SVU37" s="51"/>
      <c r="SVV37" s="51"/>
      <c r="SVW37" s="51"/>
      <c r="SVX37" s="51"/>
      <c r="SVY37" s="51"/>
      <c r="SVZ37" s="51"/>
      <c r="SWA37" s="51"/>
      <c r="SWB37" s="51"/>
      <c r="SWC37" s="51"/>
      <c r="SWD37" s="51"/>
      <c r="SWE37" s="51"/>
      <c r="SWF37" s="51"/>
      <c r="SWG37" s="51"/>
      <c r="SWH37" s="51"/>
      <c r="SWI37" s="51"/>
      <c r="SWJ37" s="51"/>
      <c r="SWK37" s="51"/>
      <c r="SWL37" s="51"/>
      <c r="SWM37" s="51"/>
      <c r="SWN37" s="51"/>
      <c r="SWO37" s="51"/>
      <c r="SWP37" s="51"/>
      <c r="SWQ37" s="51"/>
      <c r="SWR37" s="51"/>
      <c r="SWS37" s="51"/>
      <c r="SWT37" s="51"/>
      <c r="SWU37" s="51"/>
      <c r="SWV37" s="51"/>
      <c r="SWW37" s="51"/>
      <c r="SWX37" s="51"/>
      <c r="SWY37" s="51"/>
      <c r="SWZ37" s="51"/>
      <c r="SXA37" s="51"/>
      <c r="SXB37" s="51"/>
      <c r="SXC37" s="51"/>
      <c r="SXD37" s="51"/>
      <c r="SXE37" s="51"/>
      <c r="SXF37" s="51"/>
      <c r="SXG37" s="51"/>
      <c r="SXH37" s="51"/>
      <c r="SXI37" s="51"/>
      <c r="SXJ37" s="51"/>
      <c r="SXK37" s="51"/>
      <c r="SXL37" s="51"/>
      <c r="SXM37" s="51"/>
      <c r="SXN37" s="51"/>
      <c r="SXO37" s="51"/>
      <c r="SXP37" s="51"/>
      <c r="SXQ37" s="51"/>
      <c r="SXR37" s="51"/>
      <c r="SXS37" s="51"/>
      <c r="SXT37" s="51"/>
      <c r="SXU37" s="51"/>
      <c r="SXV37" s="51"/>
      <c r="SXW37" s="51"/>
      <c r="SXX37" s="51"/>
      <c r="SXY37" s="51"/>
      <c r="SXZ37" s="51"/>
      <c r="SYA37" s="51"/>
      <c r="SYB37" s="51"/>
      <c r="SYC37" s="51"/>
      <c r="SYD37" s="51"/>
      <c r="SYE37" s="51"/>
      <c r="SYF37" s="51"/>
      <c r="SYG37" s="51"/>
      <c r="SYH37" s="51"/>
      <c r="SYI37" s="51"/>
      <c r="SYJ37" s="51"/>
      <c r="SYK37" s="51"/>
      <c r="SYL37" s="51"/>
      <c r="SYM37" s="51"/>
      <c r="SYN37" s="51"/>
      <c r="SYO37" s="51"/>
      <c r="SYP37" s="51"/>
      <c r="SYQ37" s="51"/>
      <c r="SYR37" s="51"/>
      <c r="SYS37" s="51"/>
      <c r="SYT37" s="51"/>
      <c r="SYU37" s="51"/>
      <c r="SYV37" s="51"/>
      <c r="SYW37" s="51"/>
      <c r="SYX37" s="51"/>
      <c r="SYY37" s="51"/>
      <c r="SYZ37" s="51"/>
      <c r="SZA37" s="51"/>
      <c r="SZB37" s="51"/>
      <c r="SZC37" s="51"/>
      <c r="SZD37" s="51"/>
      <c r="SZE37" s="51"/>
      <c r="SZF37" s="51"/>
      <c r="SZG37" s="51"/>
      <c r="SZH37" s="51"/>
      <c r="SZI37" s="51"/>
      <c r="SZJ37" s="51"/>
      <c r="SZK37" s="51"/>
      <c r="SZL37" s="51"/>
      <c r="SZM37" s="51"/>
      <c r="SZN37" s="51"/>
      <c r="SZO37" s="51"/>
      <c r="SZP37" s="51"/>
      <c r="SZQ37" s="51"/>
      <c r="SZR37" s="51"/>
      <c r="SZS37" s="51"/>
      <c r="SZT37" s="51"/>
      <c r="SZU37" s="51"/>
      <c r="SZV37" s="51"/>
      <c r="SZW37" s="51"/>
      <c r="SZX37" s="51"/>
      <c r="SZY37" s="51"/>
      <c r="SZZ37" s="51"/>
      <c r="TAA37" s="51"/>
      <c r="TAB37" s="51"/>
      <c r="TAC37" s="51"/>
      <c r="TAD37" s="51"/>
      <c r="TAE37" s="51"/>
      <c r="TAF37" s="51"/>
      <c r="TAG37" s="51"/>
      <c r="TAH37" s="51"/>
      <c r="TAI37" s="51"/>
      <c r="TAJ37" s="51"/>
      <c r="TAK37" s="51"/>
      <c r="TAL37" s="51"/>
      <c r="TAM37" s="51"/>
      <c r="TAN37" s="51"/>
      <c r="TAO37" s="51"/>
      <c r="TAP37" s="51"/>
      <c r="TAQ37" s="51"/>
      <c r="TAR37" s="51"/>
      <c r="TAS37" s="51"/>
      <c r="TAT37" s="51"/>
      <c r="TAU37" s="51"/>
      <c r="TAV37" s="51"/>
      <c r="TAW37" s="51"/>
      <c r="TAX37" s="51"/>
      <c r="TAY37" s="51"/>
      <c r="TAZ37" s="51"/>
      <c r="TBA37" s="51"/>
      <c r="TBB37" s="51"/>
      <c r="TBC37" s="51"/>
      <c r="TBD37" s="51"/>
      <c r="TBE37" s="51"/>
      <c r="TBF37" s="51"/>
      <c r="TBG37" s="51"/>
      <c r="TBH37" s="51"/>
      <c r="TBI37" s="51"/>
      <c r="TBJ37" s="51"/>
      <c r="TBK37" s="51"/>
      <c r="TBL37" s="51"/>
      <c r="TBM37" s="51"/>
      <c r="TBN37" s="51"/>
      <c r="TBO37" s="51"/>
      <c r="TBP37" s="51"/>
      <c r="TBQ37" s="51"/>
      <c r="TBR37" s="51"/>
      <c r="TBS37" s="51"/>
      <c r="TBT37" s="51"/>
      <c r="TBU37" s="51"/>
      <c r="TBV37" s="51"/>
      <c r="TBW37" s="51"/>
      <c r="TBX37" s="51"/>
      <c r="TBY37" s="51"/>
      <c r="TBZ37" s="51"/>
      <c r="TCA37" s="51"/>
      <c r="TCB37" s="51"/>
      <c r="TCC37" s="51"/>
      <c r="TCD37" s="51"/>
      <c r="TCE37" s="51"/>
      <c r="TCF37" s="51"/>
      <c r="TCG37" s="51"/>
      <c r="TCH37" s="51"/>
      <c r="TCI37" s="51"/>
      <c r="TCJ37" s="51"/>
      <c r="TCK37" s="51"/>
      <c r="TCL37" s="51"/>
      <c r="TCM37" s="51"/>
      <c r="TCN37" s="51"/>
      <c r="TCO37" s="51"/>
      <c r="TCP37" s="51"/>
      <c r="TCQ37" s="51"/>
      <c r="TCR37" s="51"/>
      <c r="TCS37" s="51"/>
      <c r="TCT37" s="51"/>
      <c r="TCU37" s="51"/>
      <c r="TCV37" s="51"/>
      <c r="TCW37" s="51"/>
      <c r="TCX37" s="51"/>
      <c r="TCY37" s="51"/>
      <c r="TCZ37" s="51"/>
      <c r="TDA37" s="51"/>
      <c r="TDB37" s="51"/>
      <c r="TDC37" s="51"/>
      <c r="TDD37" s="51"/>
      <c r="TDE37" s="51"/>
      <c r="TDF37" s="51"/>
      <c r="TDG37" s="51"/>
      <c r="TDH37" s="51"/>
      <c r="TDI37" s="51"/>
      <c r="TDJ37" s="51"/>
      <c r="TDK37" s="51"/>
      <c r="TDL37" s="51"/>
      <c r="TDM37" s="51"/>
      <c r="TDN37" s="51"/>
      <c r="TDO37" s="51"/>
      <c r="TDP37" s="51"/>
      <c r="TDQ37" s="51"/>
      <c r="TDR37" s="51"/>
      <c r="TDS37" s="51"/>
      <c r="TDT37" s="51"/>
      <c r="TDU37" s="51"/>
      <c r="TDV37" s="51"/>
      <c r="TDW37" s="51"/>
      <c r="TDX37" s="51"/>
      <c r="TDY37" s="51"/>
      <c r="TDZ37" s="51"/>
      <c r="TEA37" s="51"/>
      <c r="TEB37" s="51"/>
      <c r="TEC37" s="51"/>
      <c r="TED37" s="51"/>
      <c r="TEE37" s="51"/>
      <c r="TEF37" s="51"/>
      <c r="TEG37" s="51"/>
      <c r="TEH37" s="51"/>
      <c r="TEI37" s="51"/>
      <c r="TEJ37" s="51"/>
      <c r="TEK37" s="51"/>
      <c r="TEL37" s="51"/>
      <c r="TEM37" s="51"/>
      <c r="TEN37" s="51"/>
      <c r="TEO37" s="51"/>
      <c r="TEP37" s="51"/>
      <c r="TEQ37" s="51"/>
      <c r="TER37" s="51"/>
      <c r="TES37" s="51"/>
      <c r="TET37" s="51"/>
      <c r="TEU37" s="51"/>
      <c r="TEV37" s="51"/>
      <c r="TEW37" s="51"/>
      <c r="TEX37" s="51"/>
      <c r="TEY37" s="51"/>
      <c r="TEZ37" s="51"/>
      <c r="TFA37" s="51"/>
      <c r="TFB37" s="51"/>
      <c r="TFC37" s="51"/>
      <c r="TFD37" s="51"/>
      <c r="TFE37" s="51"/>
      <c r="TFF37" s="51"/>
      <c r="TFG37" s="51"/>
      <c r="TFH37" s="51"/>
      <c r="TFI37" s="51"/>
      <c r="TFJ37" s="51"/>
      <c r="TFK37" s="51"/>
      <c r="TFL37" s="51"/>
      <c r="TFM37" s="51"/>
      <c r="TFN37" s="51"/>
      <c r="TFO37" s="51"/>
      <c r="TFP37" s="51"/>
      <c r="TFQ37" s="51"/>
      <c r="TFR37" s="51"/>
      <c r="TFS37" s="51"/>
      <c r="TFT37" s="51"/>
      <c r="TFU37" s="51"/>
      <c r="TFV37" s="51"/>
      <c r="TFW37" s="51"/>
      <c r="TFX37" s="51"/>
      <c r="TFY37" s="51"/>
      <c r="TFZ37" s="51"/>
      <c r="TGA37" s="51"/>
      <c r="TGB37" s="51"/>
      <c r="TGC37" s="51"/>
      <c r="TGD37" s="51"/>
      <c r="TGE37" s="51"/>
      <c r="TGF37" s="51"/>
      <c r="TGG37" s="51"/>
      <c r="TGH37" s="51"/>
      <c r="TGI37" s="51"/>
      <c r="TGJ37" s="51"/>
      <c r="TGK37" s="51"/>
      <c r="TGL37" s="51"/>
      <c r="TGM37" s="51"/>
      <c r="TGN37" s="51"/>
      <c r="TGO37" s="51"/>
      <c r="TGP37" s="51"/>
      <c r="TGQ37" s="51"/>
      <c r="TGR37" s="51"/>
      <c r="TGS37" s="51"/>
      <c r="TGT37" s="51"/>
      <c r="TGU37" s="51"/>
      <c r="TGV37" s="51"/>
      <c r="TGW37" s="51"/>
      <c r="TGX37" s="51"/>
      <c r="TGY37" s="51"/>
      <c r="TGZ37" s="51"/>
      <c r="THA37" s="51"/>
      <c r="THB37" s="51"/>
      <c r="THC37" s="51"/>
      <c r="THD37" s="51"/>
      <c r="THE37" s="51"/>
      <c r="THF37" s="51"/>
      <c r="THG37" s="51"/>
      <c r="THH37" s="51"/>
      <c r="THI37" s="51"/>
      <c r="THJ37" s="51"/>
      <c r="THK37" s="51"/>
      <c r="THL37" s="51"/>
      <c r="THM37" s="51"/>
      <c r="THN37" s="51"/>
      <c r="THO37" s="51"/>
      <c r="THP37" s="51"/>
      <c r="THQ37" s="51"/>
      <c r="THR37" s="51"/>
      <c r="THS37" s="51"/>
      <c r="THT37" s="51"/>
      <c r="THU37" s="51"/>
      <c r="THV37" s="51"/>
      <c r="THW37" s="51"/>
      <c r="THX37" s="51"/>
      <c r="THY37" s="51"/>
      <c r="THZ37" s="51"/>
      <c r="TIA37" s="51"/>
      <c r="TIB37" s="51"/>
      <c r="TIC37" s="51"/>
      <c r="TID37" s="51"/>
      <c r="TIE37" s="51"/>
      <c r="TIF37" s="51"/>
      <c r="TIG37" s="51"/>
      <c r="TIH37" s="51"/>
      <c r="TII37" s="51"/>
      <c r="TIJ37" s="51"/>
      <c r="TIK37" s="51"/>
      <c r="TIL37" s="51"/>
      <c r="TIM37" s="51"/>
      <c r="TIN37" s="51"/>
      <c r="TIO37" s="51"/>
      <c r="TIP37" s="51"/>
      <c r="TIQ37" s="51"/>
      <c r="TIR37" s="51"/>
      <c r="TIS37" s="51"/>
      <c r="TIT37" s="51"/>
      <c r="TIU37" s="51"/>
      <c r="TIV37" s="51"/>
      <c r="TIW37" s="51"/>
      <c r="TIX37" s="51"/>
      <c r="TIY37" s="51"/>
      <c r="TIZ37" s="51"/>
      <c r="TJA37" s="51"/>
      <c r="TJB37" s="51"/>
      <c r="TJC37" s="51"/>
      <c r="TJD37" s="51"/>
      <c r="TJE37" s="51"/>
      <c r="TJF37" s="51"/>
      <c r="TJG37" s="51"/>
      <c r="TJH37" s="51"/>
      <c r="TJI37" s="51"/>
      <c r="TJJ37" s="51"/>
      <c r="TJK37" s="51"/>
      <c r="TJL37" s="51"/>
      <c r="TJM37" s="51"/>
      <c r="TJN37" s="51"/>
      <c r="TJO37" s="51"/>
      <c r="TJP37" s="51"/>
      <c r="TJQ37" s="51"/>
      <c r="TJR37" s="51"/>
      <c r="TJS37" s="51"/>
      <c r="TJT37" s="51"/>
      <c r="TJU37" s="51"/>
      <c r="TJV37" s="51"/>
      <c r="TJW37" s="51"/>
      <c r="TJX37" s="51"/>
      <c r="TJY37" s="51"/>
      <c r="TJZ37" s="51"/>
      <c r="TKA37" s="51"/>
      <c r="TKB37" s="51"/>
      <c r="TKC37" s="51"/>
      <c r="TKD37" s="51"/>
      <c r="TKE37" s="51"/>
      <c r="TKF37" s="51"/>
      <c r="TKG37" s="51"/>
      <c r="TKH37" s="51"/>
      <c r="TKI37" s="51"/>
      <c r="TKJ37" s="51"/>
      <c r="TKK37" s="51"/>
      <c r="TKL37" s="51"/>
      <c r="TKM37" s="51"/>
      <c r="TKN37" s="51"/>
      <c r="TKO37" s="51"/>
      <c r="TKP37" s="51"/>
      <c r="TKQ37" s="51"/>
      <c r="TKR37" s="51"/>
      <c r="TKS37" s="51"/>
      <c r="TKT37" s="51"/>
      <c r="TKU37" s="51"/>
      <c r="TKV37" s="51"/>
      <c r="TKW37" s="51"/>
      <c r="TKX37" s="51"/>
      <c r="TKY37" s="51"/>
      <c r="TKZ37" s="51"/>
      <c r="TLA37" s="51"/>
      <c r="TLB37" s="51"/>
      <c r="TLC37" s="51"/>
      <c r="TLD37" s="51"/>
      <c r="TLE37" s="51"/>
      <c r="TLF37" s="51"/>
      <c r="TLG37" s="51"/>
      <c r="TLH37" s="51"/>
      <c r="TLI37" s="51"/>
      <c r="TLJ37" s="51"/>
      <c r="TLK37" s="51"/>
      <c r="TLL37" s="51"/>
      <c r="TLM37" s="51"/>
      <c r="TLN37" s="51"/>
      <c r="TLO37" s="51"/>
      <c r="TLP37" s="51"/>
      <c r="TLQ37" s="51"/>
      <c r="TLR37" s="51"/>
      <c r="TLS37" s="51"/>
      <c r="TLT37" s="51"/>
      <c r="TLU37" s="51"/>
      <c r="TLV37" s="51"/>
      <c r="TLW37" s="51"/>
      <c r="TLX37" s="51"/>
      <c r="TLY37" s="51"/>
      <c r="TLZ37" s="51"/>
      <c r="TMA37" s="51"/>
      <c r="TMB37" s="51"/>
      <c r="TMC37" s="51"/>
      <c r="TMD37" s="51"/>
      <c r="TME37" s="51"/>
      <c r="TMF37" s="51"/>
      <c r="TMG37" s="51"/>
      <c r="TMH37" s="51"/>
      <c r="TMI37" s="51"/>
      <c r="TMJ37" s="51"/>
      <c r="TMK37" s="51"/>
      <c r="TML37" s="51"/>
      <c r="TMM37" s="51"/>
      <c r="TMN37" s="51"/>
      <c r="TMO37" s="51"/>
      <c r="TMP37" s="51"/>
      <c r="TMQ37" s="51"/>
      <c r="TMR37" s="51"/>
      <c r="TMS37" s="51"/>
      <c r="TMT37" s="51"/>
      <c r="TMU37" s="51"/>
      <c r="TMV37" s="51"/>
      <c r="TMW37" s="51"/>
      <c r="TMX37" s="51"/>
      <c r="TMY37" s="51"/>
      <c r="TMZ37" s="51"/>
      <c r="TNA37" s="51"/>
      <c r="TNB37" s="51"/>
      <c r="TNC37" s="51"/>
      <c r="TND37" s="51"/>
      <c r="TNE37" s="51"/>
      <c r="TNF37" s="51"/>
      <c r="TNG37" s="51"/>
      <c r="TNH37" s="51"/>
      <c r="TNI37" s="51"/>
      <c r="TNJ37" s="51"/>
      <c r="TNK37" s="51"/>
      <c r="TNL37" s="51"/>
      <c r="TNM37" s="51"/>
      <c r="TNN37" s="51"/>
      <c r="TNO37" s="51"/>
      <c r="TNP37" s="51"/>
      <c r="TNQ37" s="51"/>
      <c r="TNR37" s="51"/>
      <c r="TNS37" s="51"/>
      <c r="TNT37" s="51"/>
      <c r="TNU37" s="51"/>
      <c r="TNV37" s="51"/>
      <c r="TNW37" s="51"/>
      <c r="TNX37" s="51"/>
      <c r="TNY37" s="51"/>
      <c r="TNZ37" s="51"/>
      <c r="TOA37" s="51"/>
      <c r="TOB37" s="51"/>
      <c r="TOC37" s="51"/>
      <c r="TOD37" s="51"/>
      <c r="TOE37" s="51"/>
      <c r="TOF37" s="51"/>
      <c r="TOG37" s="51"/>
      <c r="TOH37" s="51"/>
      <c r="TOI37" s="51"/>
      <c r="TOJ37" s="51"/>
      <c r="TOK37" s="51"/>
      <c r="TOL37" s="51"/>
      <c r="TOM37" s="51"/>
      <c r="TON37" s="51"/>
      <c r="TOO37" s="51"/>
      <c r="TOP37" s="51"/>
      <c r="TOQ37" s="51"/>
      <c r="TOR37" s="51"/>
      <c r="TOS37" s="51"/>
      <c r="TOT37" s="51"/>
      <c r="TOU37" s="51"/>
      <c r="TOV37" s="51"/>
      <c r="TOW37" s="51"/>
      <c r="TOX37" s="51"/>
      <c r="TOY37" s="51"/>
      <c r="TOZ37" s="51"/>
      <c r="TPA37" s="51"/>
      <c r="TPB37" s="51"/>
      <c r="TPC37" s="51"/>
      <c r="TPD37" s="51"/>
      <c r="TPE37" s="51"/>
      <c r="TPF37" s="51"/>
      <c r="TPG37" s="51"/>
      <c r="TPH37" s="51"/>
      <c r="TPI37" s="51"/>
      <c r="TPJ37" s="51"/>
      <c r="TPK37" s="51"/>
      <c r="TPL37" s="51"/>
      <c r="TPM37" s="51"/>
      <c r="TPN37" s="51"/>
      <c r="TPO37" s="51"/>
      <c r="TPP37" s="51"/>
      <c r="TPQ37" s="51"/>
      <c r="TPR37" s="51"/>
      <c r="TPS37" s="51"/>
      <c r="TPT37" s="51"/>
      <c r="TPU37" s="51"/>
      <c r="TPV37" s="51"/>
      <c r="TPW37" s="51"/>
      <c r="TPX37" s="51"/>
      <c r="TPY37" s="51"/>
      <c r="TPZ37" s="51"/>
      <c r="TQA37" s="51"/>
      <c r="TQB37" s="51"/>
      <c r="TQC37" s="51"/>
      <c r="TQD37" s="51"/>
      <c r="TQE37" s="51"/>
      <c r="TQF37" s="51"/>
      <c r="TQG37" s="51"/>
      <c r="TQH37" s="51"/>
      <c r="TQI37" s="51"/>
      <c r="TQJ37" s="51"/>
      <c r="TQK37" s="51"/>
      <c r="TQL37" s="51"/>
      <c r="TQM37" s="51"/>
      <c r="TQN37" s="51"/>
      <c r="TQO37" s="51"/>
      <c r="TQP37" s="51"/>
      <c r="TQQ37" s="51"/>
      <c r="TQR37" s="51"/>
      <c r="TQS37" s="51"/>
      <c r="TQT37" s="51"/>
      <c r="TQU37" s="51"/>
      <c r="TQV37" s="51"/>
      <c r="TQW37" s="51"/>
      <c r="TQX37" s="51"/>
      <c r="TQY37" s="51"/>
      <c r="TQZ37" s="51"/>
      <c r="TRA37" s="51"/>
      <c r="TRB37" s="51"/>
      <c r="TRC37" s="51"/>
      <c r="TRD37" s="51"/>
      <c r="TRE37" s="51"/>
      <c r="TRF37" s="51"/>
      <c r="TRG37" s="51"/>
      <c r="TRH37" s="51"/>
      <c r="TRI37" s="51"/>
      <c r="TRJ37" s="51"/>
      <c r="TRK37" s="51"/>
      <c r="TRL37" s="51"/>
      <c r="TRM37" s="51"/>
      <c r="TRN37" s="51"/>
      <c r="TRO37" s="51"/>
      <c r="TRP37" s="51"/>
      <c r="TRQ37" s="51"/>
      <c r="TRR37" s="51"/>
      <c r="TRS37" s="51"/>
      <c r="TRT37" s="51"/>
      <c r="TRU37" s="51"/>
      <c r="TRV37" s="51"/>
      <c r="TRW37" s="51"/>
      <c r="TRX37" s="51"/>
      <c r="TRY37" s="51"/>
      <c r="TRZ37" s="51"/>
      <c r="TSA37" s="51"/>
      <c r="TSB37" s="51"/>
      <c r="TSC37" s="51"/>
      <c r="TSD37" s="51"/>
      <c r="TSE37" s="51"/>
      <c r="TSF37" s="51"/>
      <c r="TSG37" s="51"/>
      <c r="TSH37" s="51"/>
      <c r="TSI37" s="51"/>
      <c r="TSJ37" s="51"/>
      <c r="TSK37" s="51"/>
      <c r="TSL37" s="51"/>
      <c r="TSM37" s="51"/>
      <c r="TSN37" s="51"/>
      <c r="TSO37" s="51"/>
      <c r="TSP37" s="51"/>
      <c r="TSQ37" s="51"/>
      <c r="TSR37" s="51"/>
      <c r="TSS37" s="51"/>
      <c r="TST37" s="51"/>
      <c r="TSU37" s="51"/>
      <c r="TSV37" s="51"/>
      <c r="TSW37" s="51"/>
      <c r="TSX37" s="51"/>
      <c r="TSY37" s="51"/>
      <c r="TSZ37" s="51"/>
      <c r="TTA37" s="51"/>
      <c r="TTB37" s="51"/>
      <c r="TTC37" s="51"/>
      <c r="TTD37" s="51"/>
      <c r="TTE37" s="51"/>
      <c r="TTF37" s="51"/>
      <c r="TTG37" s="51"/>
      <c r="TTH37" s="51"/>
      <c r="TTI37" s="51"/>
      <c r="TTJ37" s="51"/>
      <c r="TTK37" s="51"/>
      <c r="TTL37" s="51"/>
      <c r="TTM37" s="51"/>
      <c r="TTN37" s="51"/>
      <c r="TTO37" s="51"/>
      <c r="TTP37" s="51"/>
      <c r="TTQ37" s="51"/>
      <c r="TTR37" s="51"/>
      <c r="TTS37" s="51"/>
      <c r="TTT37" s="51"/>
      <c r="TTU37" s="51"/>
      <c r="TTV37" s="51"/>
      <c r="TTW37" s="51"/>
      <c r="TTX37" s="51"/>
      <c r="TTY37" s="51"/>
      <c r="TTZ37" s="51"/>
      <c r="TUA37" s="51"/>
      <c r="TUB37" s="51"/>
      <c r="TUC37" s="51"/>
      <c r="TUD37" s="51"/>
      <c r="TUE37" s="51"/>
      <c r="TUF37" s="51"/>
      <c r="TUG37" s="51"/>
      <c r="TUH37" s="51"/>
      <c r="TUI37" s="51"/>
      <c r="TUJ37" s="51"/>
      <c r="TUK37" s="51"/>
      <c r="TUL37" s="51"/>
      <c r="TUM37" s="51"/>
      <c r="TUN37" s="51"/>
      <c r="TUO37" s="51"/>
      <c r="TUP37" s="51"/>
      <c r="TUQ37" s="51"/>
      <c r="TUR37" s="51"/>
      <c r="TUS37" s="51"/>
      <c r="TUT37" s="51"/>
      <c r="TUU37" s="51"/>
      <c r="TUV37" s="51"/>
      <c r="TUW37" s="51"/>
      <c r="TUX37" s="51"/>
      <c r="TUY37" s="51"/>
      <c r="TUZ37" s="51"/>
      <c r="TVA37" s="51"/>
      <c r="TVB37" s="51"/>
      <c r="TVC37" s="51"/>
      <c r="TVD37" s="51"/>
      <c r="TVE37" s="51"/>
      <c r="TVF37" s="51"/>
      <c r="TVG37" s="51"/>
      <c r="TVH37" s="51"/>
      <c r="TVI37" s="51"/>
      <c r="TVJ37" s="51"/>
      <c r="TVK37" s="51"/>
      <c r="TVL37" s="51"/>
      <c r="TVM37" s="51"/>
      <c r="TVN37" s="51"/>
      <c r="TVO37" s="51"/>
      <c r="TVP37" s="51"/>
      <c r="TVQ37" s="51"/>
      <c r="TVR37" s="51"/>
      <c r="TVS37" s="51"/>
      <c r="TVT37" s="51"/>
      <c r="TVU37" s="51"/>
      <c r="TVV37" s="51"/>
      <c r="TVW37" s="51"/>
      <c r="TVX37" s="51"/>
      <c r="TVY37" s="51"/>
      <c r="TVZ37" s="51"/>
      <c r="TWA37" s="51"/>
      <c r="TWB37" s="51"/>
      <c r="TWC37" s="51"/>
      <c r="TWD37" s="51"/>
      <c r="TWE37" s="51"/>
      <c r="TWF37" s="51"/>
      <c r="TWG37" s="51"/>
      <c r="TWH37" s="51"/>
      <c r="TWI37" s="51"/>
      <c r="TWJ37" s="51"/>
      <c r="TWK37" s="51"/>
      <c r="TWL37" s="51"/>
      <c r="TWM37" s="51"/>
      <c r="TWN37" s="51"/>
      <c r="TWO37" s="51"/>
      <c r="TWP37" s="51"/>
      <c r="TWQ37" s="51"/>
      <c r="TWR37" s="51"/>
      <c r="TWS37" s="51"/>
      <c r="TWT37" s="51"/>
      <c r="TWU37" s="51"/>
      <c r="TWV37" s="51"/>
      <c r="TWW37" s="51"/>
      <c r="TWX37" s="51"/>
      <c r="TWY37" s="51"/>
      <c r="TWZ37" s="51"/>
      <c r="TXA37" s="51"/>
      <c r="TXB37" s="51"/>
      <c r="TXC37" s="51"/>
      <c r="TXD37" s="51"/>
      <c r="TXE37" s="51"/>
      <c r="TXF37" s="51"/>
      <c r="TXG37" s="51"/>
      <c r="TXH37" s="51"/>
      <c r="TXI37" s="51"/>
      <c r="TXJ37" s="51"/>
      <c r="TXK37" s="51"/>
      <c r="TXL37" s="51"/>
      <c r="TXM37" s="51"/>
      <c r="TXN37" s="51"/>
      <c r="TXO37" s="51"/>
      <c r="TXP37" s="51"/>
      <c r="TXQ37" s="51"/>
      <c r="TXR37" s="51"/>
      <c r="TXS37" s="51"/>
      <c r="TXT37" s="51"/>
      <c r="TXU37" s="51"/>
      <c r="TXV37" s="51"/>
      <c r="TXW37" s="51"/>
      <c r="TXX37" s="51"/>
      <c r="TXY37" s="51"/>
      <c r="TXZ37" s="51"/>
      <c r="TYA37" s="51"/>
      <c r="TYB37" s="51"/>
      <c r="TYC37" s="51"/>
      <c r="TYD37" s="51"/>
      <c r="TYE37" s="51"/>
      <c r="TYF37" s="51"/>
      <c r="TYG37" s="51"/>
      <c r="TYH37" s="51"/>
      <c r="TYI37" s="51"/>
      <c r="TYJ37" s="51"/>
      <c r="TYK37" s="51"/>
      <c r="TYL37" s="51"/>
      <c r="TYM37" s="51"/>
      <c r="TYN37" s="51"/>
      <c r="TYO37" s="51"/>
      <c r="TYP37" s="51"/>
      <c r="TYQ37" s="51"/>
      <c r="TYR37" s="51"/>
      <c r="TYS37" s="51"/>
      <c r="TYT37" s="51"/>
      <c r="TYU37" s="51"/>
      <c r="TYV37" s="51"/>
      <c r="TYW37" s="51"/>
      <c r="TYX37" s="51"/>
      <c r="TYY37" s="51"/>
      <c r="TYZ37" s="51"/>
      <c r="TZA37" s="51"/>
      <c r="TZB37" s="51"/>
      <c r="TZC37" s="51"/>
      <c r="TZD37" s="51"/>
      <c r="TZE37" s="51"/>
      <c r="TZF37" s="51"/>
      <c r="TZG37" s="51"/>
      <c r="TZH37" s="51"/>
      <c r="TZI37" s="51"/>
      <c r="TZJ37" s="51"/>
      <c r="TZK37" s="51"/>
      <c r="TZL37" s="51"/>
      <c r="TZM37" s="51"/>
      <c r="TZN37" s="51"/>
      <c r="TZO37" s="51"/>
      <c r="TZP37" s="51"/>
      <c r="TZQ37" s="51"/>
      <c r="TZR37" s="51"/>
      <c r="TZS37" s="51"/>
      <c r="TZT37" s="51"/>
      <c r="TZU37" s="51"/>
      <c r="TZV37" s="51"/>
      <c r="TZW37" s="51"/>
      <c r="TZX37" s="51"/>
      <c r="TZY37" s="51"/>
      <c r="TZZ37" s="51"/>
      <c r="UAA37" s="51"/>
      <c r="UAB37" s="51"/>
      <c r="UAC37" s="51"/>
      <c r="UAD37" s="51"/>
      <c r="UAE37" s="51"/>
      <c r="UAF37" s="51"/>
      <c r="UAG37" s="51"/>
      <c r="UAH37" s="51"/>
      <c r="UAI37" s="51"/>
      <c r="UAJ37" s="51"/>
      <c r="UAK37" s="51"/>
      <c r="UAL37" s="51"/>
      <c r="UAM37" s="51"/>
      <c r="UAN37" s="51"/>
      <c r="UAO37" s="51"/>
      <c r="UAP37" s="51"/>
      <c r="UAQ37" s="51"/>
      <c r="UAR37" s="51"/>
      <c r="UAS37" s="51"/>
      <c r="UAT37" s="51"/>
      <c r="UAU37" s="51"/>
      <c r="UAV37" s="51"/>
      <c r="UAW37" s="51"/>
      <c r="UAX37" s="51"/>
      <c r="UAY37" s="51"/>
      <c r="UAZ37" s="51"/>
      <c r="UBA37" s="51"/>
      <c r="UBB37" s="51"/>
      <c r="UBC37" s="51"/>
      <c r="UBD37" s="51"/>
      <c r="UBE37" s="51"/>
      <c r="UBF37" s="51"/>
      <c r="UBG37" s="51"/>
      <c r="UBH37" s="51"/>
      <c r="UBI37" s="51"/>
      <c r="UBJ37" s="51"/>
      <c r="UBK37" s="51"/>
      <c r="UBL37" s="51"/>
      <c r="UBM37" s="51"/>
      <c r="UBN37" s="51"/>
      <c r="UBO37" s="51"/>
      <c r="UBP37" s="51"/>
      <c r="UBQ37" s="51"/>
      <c r="UBR37" s="51"/>
      <c r="UBS37" s="51"/>
      <c r="UBT37" s="51"/>
      <c r="UBU37" s="51"/>
      <c r="UBV37" s="51"/>
      <c r="UBW37" s="51"/>
      <c r="UBX37" s="51"/>
      <c r="UBY37" s="51"/>
      <c r="UBZ37" s="51"/>
      <c r="UCA37" s="51"/>
      <c r="UCB37" s="51"/>
      <c r="UCC37" s="51"/>
      <c r="UCD37" s="51"/>
      <c r="UCE37" s="51"/>
      <c r="UCF37" s="51"/>
      <c r="UCG37" s="51"/>
      <c r="UCH37" s="51"/>
      <c r="UCI37" s="51"/>
      <c r="UCJ37" s="51"/>
      <c r="UCK37" s="51"/>
      <c r="UCL37" s="51"/>
      <c r="UCM37" s="51"/>
      <c r="UCN37" s="51"/>
      <c r="UCO37" s="51"/>
      <c r="UCP37" s="51"/>
      <c r="UCQ37" s="51"/>
      <c r="UCR37" s="51"/>
      <c r="UCS37" s="51"/>
      <c r="UCT37" s="51"/>
      <c r="UCU37" s="51"/>
      <c r="UCV37" s="51"/>
      <c r="UCW37" s="51"/>
      <c r="UCX37" s="51"/>
      <c r="UCY37" s="51"/>
      <c r="UCZ37" s="51"/>
      <c r="UDA37" s="51"/>
      <c r="UDB37" s="51"/>
      <c r="UDC37" s="51"/>
      <c r="UDD37" s="51"/>
      <c r="UDE37" s="51"/>
      <c r="UDF37" s="51"/>
      <c r="UDG37" s="51"/>
      <c r="UDH37" s="51"/>
      <c r="UDI37" s="51"/>
      <c r="UDJ37" s="51"/>
      <c r="UDK37" s="51"/>
      <c r="UDL37" s="51"/>
      <c r="UDM37" s="51"/>
      <c r="UDN37" s="51"/>
      <c r="UDO37" s="51"/>
      <c r="UDP37" s="51"/>
      <c r="UDQ37" s="51"/>
      <c r="UDR37" s="51"/>
      <c r="UDS37" s="51"/>
      <c r="UDT37" s="51"/>
      <c r="UDU37" s="51"/>
      <c r="UDV37" s="51"/>
      <c r="UDW37" s="51"/>
      <c r="UDX37" s="51"/>
      <c r="UDY37" s="51"/>
      <c r="UDZ37" s="51"/>
      <c r="UEA37" s="51"/>
      <c r="UEB37" s="51"/>
      <c r="UEC37" s="51"/>
      <c r="UED37" s="51"/>
      <c r="UEE37" s="51"/>
      <c r="UEF37" s="51"/>
      <c r="UEG37" s="51"/>
      <c r="UEH37" s="51"/>
      <c r="UEI37" s="51"/>
      <c r="UEJ37" s="51"/>
      <c r="UEK37" s="51"/>
      <c r="UEL37" s="51"/>
      <c r="UEM37" s="51"/>
      <c r="UEN37" s="51"/>
      <c r="UEO37" s="51"/>
      <c r="UEP37" s="51"/>
      <c r="UEQ37" s="51"/>
      <c r="UER37" s="51"/>
      <c r="UES37" s="51"/>
      <c r="UET37" s="51"/>
      <c r="UEU37" s="51"/>
      <c r="UEV37" s="51"/>
      <c r="UEW37" s="51"/>
      <c r="UEX37" s="51"/>
      <c r="UEY37" s="51"/>
      <c r="UEZ37" s="51"/>
      <c r="UFA37" s="51"/>
      <c r="UFB37" s="51"/>
      <c r="UFC37" s="51"/>
      <c r="UFD37" s="51"/>
      <c r="UFE37" s="51"/>
      <c r="UFF37" s="51"/>
      <c r="UFG37" s="51"/>
      <c r="UFH37" s="51"/>
      <c r="UFI37" s="51"/>
      <c r="UFJ37" s="51"/>
      <c r="UFK37" s="51"/>
      <c r="UFL37" s="51"/>
      <c r="UFM37" s="51"/>
      <c r="UFN37" s="51"/>
      <c r="UFO37" s="51"/>
      <c r="UFP37" s="51"/>
      <c r="UFQ37" s="51"/>
      <c r="UFR37" s="51"/>
      <c r="UFS37" s="51"/>
      <c r="UFT37" s="51"/>
      <c r="UFU37" s="51"/>
      <c r="UFV37" s="51"/>
      <c r="UFW37" s="51"/>
      <c r="UFX37" s="51"/>
      <c r="UFY37" s="51"/>
      <c r="UFZ37" s="51"/>
      <c r="UGA37" s="51"/>
      <c r="UGB37" s="51"/>
      <c r="UGC37" s="51"/>
      <c r="UGD37" s="51"/>
      <c r="UGE37" s="51"/>
      <c r="UGF37" s="51"/>
      <c r="UGG37" s="51"/>
      <c r="UGH37" s="51"/>
      <c r="UGI37" s="51"/>
      <c r="UGJ37" s="51"/>
      <c r="UGK37" s="51"/>
      <c r="UGL37" s="51"/>
      <c r="UGM37" s="51"/>
      <c r="UGN37" s="51"/>
      <c r="UGO37" s="51"/>
      <c r="UGP37" s="51"/>
      <c r="UGQ37" s="51"/>
      <c r="UGR37" s="51"/>
      <c r="UGS37" s="51"/>
      <c r="UGT37" s="51"/>
      <c r="UGU37" s="51"/>
      <c r="UGV37" s="51"/>
      <c r="UGW37" s="51"/>
      <c r="UGX37" s="51"/>
      <c r="UGY37" s="51"/>
      <c r="UGZ37" s="51"/>
      <c r="UHA37" s="51"/>
      <c r="UHB37" s="51"/>
      <c r="UHC37" s="51"/>
      <c r="UHD37" s="51"/>
      <c r="UHE37" s="51"/>
      <c r="UHF37" s="51"/>
      <c r="UHG37" s="51"/>
      <c r="UHH37" s="51"/>
      <c r="UHI37" s="51"/>
      <c r="UHJ37" s="51"/>
      <c r="UHK37" s="51"/>
      <c r="UHL37" s="51"/>
      <c r="UHM37" s="51"/>
      <c r="UHN37" s="51"/>
      <c r="UHO37" s="51"/>
      <c r="UHP37" s="51"/>
      <c r="UHQ37" s="51"/>
      <c r="UHR37" s="51"/>
      <c r="UHS37" s="51"/>
      <c r="UHT37" s="51"/>
      <c r="UHU37" s="51"/>
      <c r="UHV37" s="51"/>
      <c r="UHW37" s="51"/>
      <c r="UHX37" s="51"/>
      <c r="UHY37" s="51"/>
      <c r="UHZ37" s="51"/>
      <c r="UIA37" s="51"/>
      <c r="UIB37" s="51"/>
      <c r="UIC37" s="51"/>
      <c r="UID37" s="51"/>
      <c r="UIE37" s="51"/>
      <c r="UIF37" s="51"/>
      <c r="UIG37" s="51"/>
      <c r="UIH37" s="51"/>
      <c r="UII37" s="51"/>
      <c r="UIJ37" s="51"/>
      <c r="UIK37" s="51"/>
      <c r="UIL37" s="51"/>
      <c r="UIM37" s="51"/>
      <c r="UIN37" s="51"/>
      <c r="UIO37" s="51"/>
      <c r="UIP37" s="51"/>
      <c r="UIQ37" s="51"/>
      <c r="UIR37" s="51"/>
      <c r="UIS37" s="51"/>
      <c r="UIT37" s="51"/>
      <c r="UIU37" s="51"/>
      <c r="UIV37" s="51"/>
      <c r="UIW37" s="51"/>
      <c r="UIX37" s="51"/>
      <c r="UIY37" s="51"/>
      <c r="UIZ37" s="51"/>
      <c r="UJA37" s="51"/>
      <c r="UJB37" s="51"/>
      <c r="UJC37" s="51"/>
      <c r="UJD37" s="51"/>
      <c r="UJE37" s="51"/>
      <c r="UJF37" s="51"/>
      <c r="UJG37" s="51"/>
      <c r="UJH37" s="51"/>
      <c r="UJI37" s="51"/>
      <c r="UJJ37" s="51"/>
      <c r="UJK37" s="51"/>
      <c r="UJL37" s="51"/>
      <c r="UJM37" s="51"/>
      <c r="UJN37" s="51"/>
      <c r="UJO37" s="51"/>
      <c r="UJP37" s="51"/>
      <c r="UJQ37" s="51"/>
      <c r="UJR37" s="51"/>
      <c r="UJS37" s="51"/>
      <c r="UJT37" s="51"/>
      <c r="UJU37" s="51"/>
      <c r="UJV37" s="51"/>
      <c r="UJW37" s="51"/>
      <c r="UJX37" s="51"/>
      <c r="UJY37" s="51"/>
      <c r="UJZ37" s="51"/>
      <c r="UKA37" s="51"/>
      <c r="UKB37" s="51"/>
      <c r="UKC37" s="51"/>
      <c r="UKD37" s="51"/>
      <c r="UKE37" s="51"/>
      <c r="UKF37" s="51"/>
      <c r="UKG37" s="51"/>
      <c r="UKH37" s="51"/>
      <c r="UKI37" s="51"/>
      <c r="UKJ37" s="51"/>
      <c r="UKK37" s="51"/>
      <c r="UKL37" s="51"/>
      <c r="UKM37" s="51"/>
      <c r="UKN37" s="51"/>
      <c r="UKO37" s="51"/>
      <c r="UKP37" s="51"/>
      <c r="UKQ37" s="51"/>
      <c r="UKR37" s="51"/>
      <c r="UKS37" s="51"/>
      <c r="UKT37" s="51"/>
      <c r="UKU37" s="51"/>
      <c r="UKV37" s="51"/>
      <c r="UKW37" s="51"/>
      <c r="UKX37" s="51"/>
      <c r="UKY37" s="51"/>
      <c r="UKZ37" s="51"/>
      <c r="ULA37" s="51"/>
      <c r="ULB37" s="51"/>
      <c r="ULC37" s="51"/>
      <c r="ULD37" s="51"/>
      <c r="ULE37" s="51"/>
      <c r="ULF37" s="51"/>
      <c r="ULG37" s="51"/>
      <c r="ULH37" s="51"/>
      <c r="ULI37" s="51"/>
      <c r="ULJ37" s="51"/>
      <c r="ULK37" s="51"/>
      <c r="ULL37" s="51"/>
      <c r="ULM37" s="51"/>
      <c r="ULN37" s="51"/>
      <c r="ULO37" s="51"/>
      <c r="ULP37" s="51"/>
      <c r="ULQ37" s="51"/>
      <c r="ULR37" s="51"/>
      <c r="ULS37" s="51"/>
      <c r="ULT37" s="51"/>
      <c r="ULU37" s="51"/>
      <c r="ULV37" s="51"/>
      <c r="ULW37" s="51"/>
      <c r="ULX37" s="51"/>
      <c r="ULY37" s="51"/>
      <c r="ULZ37" s="51"/>
      <c r="UMA37" s="51"/>
      <c r="UMB37" s="51"/>
      <c r="UMC37" s="51"/>
      <c r="UMD37" s="51"/>
      <c r="UME37" s="51"/>
      <c r="UMF37" s="51"/>
      <c r="UMG37" s="51"/>
      <c r="UMH37" s="51"/>
      <c r="UMI37" s="51"/>
      <c r="UMJ37" s="51"/>
      <c r="UMK37" s="51"/>
      <c r="UML37" s="51"/>
      <c r="UMM37" s="51"/>
      <c r="UMN37" s="51"/>
      <c r="UMO37" s="51"/>
      <c r="UMP37" s="51"/>
      <c r="UMQ37" s="51"/>
      <c r="UMR37" s="51"/>
      <c r="UMS37" s="51"/>
      <c r="UMT37" s="51"/>
      <c r="UMU37" s="51"/>
      <c r="UMV37" s="51"/>
      <c r="UMW37" s="51"/>
      <c r="UMX37" s="51"/>
      <c r="UMY37" s="51"/>
      <c r="UMZ37" s="51"/>
      <c r="UNA37" s="51"/>
      <c r="UNB37" s="51"/>
      <c r="UNC37" s="51"/>
      <c r="UND37" s="51"/>
      <c r="UNE37" s="51"/>
      <c r="UNF37" s="51"/>
      <c r="UNG37" s="51"/>
      <c r="UNH37" s="51"/>
      <c r="UNI37" s="51"/>
      <c r="UNJ37" s="51"/>
      <c r="UNK37" s="51"/>
      <c r="UNL37" s="51"/>
      <c r="UNM37" s="51"/>
      <c r="UNN37" s="51"/>
      <c r="UNO37" s="51"/>
      <c r="UNP37" s="51"/>
      <c r="UNQ37" s="51"/>
      <c r="UNR37" s="51"/>
      <c r="UNS37" s="51"/>
      <c r="UNT37" s="51"/>
      <c r="UNU37" s="51"/>
      <c r="UNV37" s="51"/>
      <c r="UNW37" s="51"/>
      <c r="UNX37" s="51"/>
      <c r="UNY37" s="51"/>
      <c r="UNZ37" s="51"/>
      <c r="UOA37" s="51"/>
      <c r="UOB37" s="51"/>
      <c r="UOC37" s="51"/>
      <c r="UOD37" s="51"/>
      <c r="UOE37" s="51"/>
      <c r="UOF37" s="51"/>
      <c r="UOG37" s="51"/>
      <c r="UOH37" s="51"/>
      <c r="UOI37" s="51"/>
      <c r="UOJ37" s="51"/>
      <c r="UOK37" s="51"/>
      <c r="UOL37" s="51"/>
      <c r="UOM37" s="51"/>
      <c r="UON37" s="51"/>
      <c r="UOO37" s="51"/>
      <c r="UOP37" s="51"/>
      <c r="UOQ37" s="51"/>
      <c r="UOR37" s="51"/>
      <c r="UOS37" s="51"/>
      <c r="UOT37" s="51"/>
      <c r="UOU37" s="51"/>
      <c r="UOV37" s="51"/>
      <c r="UOW37" s="51"/>
      <c r="UOX37" s="51"/>
      <c r="UOY37" s="51"/>
      <c r="UOZ37" s="51"/>
      <c r="UPA37" s="51"/>
      <c r="UPB37" s="51"/>
      <c r="UPC37" s="51"/>
      <c r="UPD37" s="51"/>
      <c r="UPE37" s="51"/>
      <c r="UPF37" s="51"/>
      <c r="UPG37" s="51"/>
      <c r="UPH37" s="51"/>
      <c r="UPI37" s="51"/>
      <c r="UPJ37" s="51"/>
      <c r="UPK37" s="51"/>
      <c r="UPL37" s="51"/>
      <c r="UPM37" s="51"/>
      <c r="UPN37" s="51"/>
      <c r="UPO37" s="51"/>
      <c r="UPP37" s="51"/>
      <c r="UPQ37" s="51"/>
      <c r="UPR37" s="51"/>
      <c r="UPS37" s="51"/>
      <c r="UPT37" s="51"/>
      <c r="UPU37" s="51"/>
      <c r="UPV37" s="51"/>
      <c r="UPW37" s="51"/>
      <c r="UPX37" s="51"/>
      <c r="UPY37" s="51"/>
      <c r="UPZ37" s="51"/>
      <c r="UQA37" s="51"/>
      <c r="UQB37" s="51"/>
      <c r="UQC37" s="51"/>
      <c r="UQD37" s="51"/>
      <c r="UQE37" s="51"/>
      <c r="UQF37" s="51"/>
      <c r="UQG37" s="51"/>
      <c r="UQH37" s="51"/>
      <c r="UQI37" s="51"/>
      <c r="UQJ37" s="51"/>
      <c r="UQK37" s="51"/>
      <c r="UQL37" s="51"/>
      <c r="UQM37" s="51"/>
      <c r="UQN37" s="51"/>
      <c r="UQO37" s="51"/>
      <c r="UQP37" s="51"/>
      <c r="UQQ37" s="51"/>
      <c r="UQR37" s="51"/>
      <c r="UQS37" s="51"/>
      <c r="UQT37" s="51"/>
      <c r="UQU37" s="51"/>
      <c r="UQV37" s="51"/>
      <c r="UQW37" s="51"/>
      <c r="UQX37" s="51"/>
      <c r="UQY37" s="51"/>
      <c r="UQZ37" s="51"/>
      <c r="URA37" s="51"/>
      <c r="URB37" s="51"/>
      <c r="URC37" s="51"/>
      <c r="URD37" s="51"/>
      <c r="URE37" s="51"/>
      <c r="URF37" s="51"/>
      <c r="URG37" s="51"/>
      <c r="URH37" s="51"/>
      <c r="URI37" s="51"/>
      <c r="URJ37" s="51"/>
      <c r="URK37" s="51"/>
      <c r="URL37" s="51"/>
      <c r="URM37" s="51"/>
      <c r="URN37" s="51"/>
      <c r="URO37" s="51"/>
      <c r="URP37" s="51"/>
      <c r="URQ37" s="51"/>
      <c r="URR37" s="51"/>
      <c r="URS37" s="51"/>
      <c r="URT37" s="51"/>
      <c r="URU37" s="51"/>
      <c r="URV37" s="51"/>
      <c r="URW37" s="51"/>
      <c r="URX37" s="51"/>
      <c r="URY37" s="51"/>
      <c r="URZ37" s="51"/>
      <c r="USA37" s="51"/>
      <c r="USB37" s="51"/>
      <c r="USC37" s="51"/>
      <c r="USD37" s="51"/>
      <c r="USE37" s="51"/>
      <c r="USF37" s="51"/>
      <c r="USG37" s="51"/>
      <c r="USH37" s="51"/>
      <c r="USI37" s="51"/>
      <c r="USJ37" s="51"/>
      <c r="USK37" s="51"/>
      <c r="USL37" s="51"/>
      <c r="USM37" s="51"/>
      <c r="USN37" s="51"/>
      <c r="USO37" s="51"/>
      <c r="USP37" s="51"/>
      <c r="USQ37" s="51"/>
      <c r="USR37" s="51"/>
      <c r="USS37" s="51"/>
      <c r="UST37" s="51"/>
      <c r="USU37" s="51"/>
      <c r="USV37" s="51"/>
      <c r="USW37" s="51"/>
      <c r="USX37" s="51"/>
      <c r="USY37" s="51"/>
      <c r="USZ37" s="51"/>
      <c r="UTA37" s="51"/>
      <c r="UTB37" s="51"/>
      <c r="UTC37" s="51"/>
      <c r="UTD37" s="51"/>
      <c r="UTE37" s="51"/>
      <c r="UTF37" s="51"/>
      <c r="UTG37" s="51"/>
      <c r="UTH37" s="51"/>
      <c r="UTI37" s="51"/>
      <c r="UTJ37" s="51"/>
      <c r="UTK37" s="51"/>
      <c r="UTL37" s="51"/>
      <c r="UTM37" s="51"/>
      <c r="UTN37" s="51"/>
      <c r="UTO37" s="51"/>
      <c r="UTP37" s="51"/>
      <c r="UTQ37" s="51"/>
      <c r="UTR37" s="51"/>
      <c r="UTS37" s="51"/>
      <c r="UTT37" s="51"/>
      <c r="UTU37" s="51"/>
      <c r="UTV37" s="51"/>
      <c r="UTW37" s="51"/>
      <c r="UTX37" s="51"/>
      <c r="UTY37" s="51"/>
      <c r="UTZ37" s="51"/>
      <c r="UUA37" s="51"/>
      <c r="UUB37" s="51"/>
      <c r="UUC37" s="51"/>
      <c r="UUD37" s="51"/>
      <c r="UUE37" s="51"/>
      <c r="UUF37" s="51"/>
      <c r="UUG37" s="51"/>
      <c r="UUH37" s="51"/>
      <c r="UUI37" s="51"/>
      <c r="UUJ37" s="51"/>
      <c r="UUK37" s="51"/>
      <c r="UUL37" s="51"/>
      <c r="UUM37" s="51"/>
      <c r="UUN37" s="51"/>
      <c r="UUO37" s="51"/>
      <c r="UUP37" s="51"/>
      <c r="UUQ37" s="51"/>
      <c r="UUR37" s="51"/>
      <c r="UUS37" s="51"/>
      <c r="UUT37" s="51"/>
      <c r="UUU37" s="51"/>
      <c r="UUV37" s="51"/>
      <c r="UUW37" s="51"/>
      <c r="UUX37" s="51"/>
      <c r="UUY37" s="51"/>
      <c r="UUZ37" s="51"/>
      <c r="UVA37" s="51"/>
      <c r="UVB37" s="51"/>
      <c r="UVC37" s="51"/>
      <c r="UVD37" s="51"/>
      <c r="UVE37" s="51"/>
      <c r="UVF37" s="51"/>
      <c r="UVG37" s="51"/>
      <c r="UVH37" s="51"/>
      <c r="UVI37" s="51"/>
      <c r="UVJ37" s="51"/>
      <c r="UVK37" s="51"/>
      <c r="UVL37" s="51"/>
      <c r="UVM37" s="51"/>
      <c r="UVN37" s="51"/>
      <c r="UVO37" s="51"/>
      <c r="UVP37" s="51"/>
      <c r="UVQ37" s="51"/>
      <c r="UVR37" s="51"/>
      <c r="UVS37" s="51"/>
      <c r="UVT37" s="51"/>
      <c r="UVU37" s="51"/>
      <c r="UVV37" s="51"/>
      <c r="UVW37" s="51"/>
      <c r="UVX37" s="51"/>
      <c r="UVY37" s="51"/>
      <c r="UVZ37" s="51"/>
      <c r="UWA37" s="51"/>
      <c r="UWB37" s="51"/>
      <c r="UWC37" s="51"/>
      <c r="UWD37" s="51"/>
      <c r="UWE37" s="51"/>
      <c r="UWF37" s="51"/>
      <c r="UWG37" s="51"/>
      <c r="UWH37" s="51"/>
      <c r="UWI37" s="51"/>
      <c r="UWJ37" s="51"/>
      <c r="UWK37" s="51"/>
      <c r="UWL37" s="51"/>
      <c r="UWM37" s="51"/>
      <c r="UWN37" s="51"/>
      <c r="UWO37" s="51"/>
      <c r="UWP37" s="51"/>
      <c r="UWQ37" s="51"/>
      <c r="UWR37" s="51"/>
      <c r="UWS37" s="51"/>
      <c r="UWT37" s="51"/>
      <c r="UWU37" s="51"/>
      <c r="UWV37" s="51"/>
      <c r="UWW37" s="51"/>
      <c r="UWX37" s="51"/>
      <c r="UWY37" s="51"/>
      <c r="UWZ37" s="51"/>
      <c r="UXA37" s="51"/>
      <c r="UXB37" s="51"/>
      <c r="UXC37" s="51"/>
      <c r="UXD37" s="51"/>
      <c r="UXE37" s="51"/>
      <c r="UXF37" s="51"/>
      <c r="UXG37" s="51"/>
      <c r="UXH37" s="51"/>
      <c r="UXI37" s="51"/>
      <c r="UXJ37" s="51"/>
      <c r="UXK37" s="51"/>
      <c r="UXL37" s="51"/>
      <c r="UXM37" s="51"/>
      <c r="UXN37" s="51"/>
      <c r="UXO37" s="51"/>
      <c r="UXP37" s="51"/>
      <c r="UXQ37" s="51"/>
      <c r="UXR37" s="51"/>
      <c r="UXS37" s="51"/>
      <c r="UXT37" s="51"/>
      <c r="UXU37" s="51"/>
      <c r="UXV37" s="51"/>
      <c r="UXW37" s="51"/>
      <c r="UXX37" s="51"/>
      <c r="UXY37" s="51"/>
      <c r="UXZ37" s="51"/>
      <c r="UYA37" s="51"/>
      <c r="UYB37" s="51"/>
      <c r="UYC37" s="51"/>
      <c r="UYD37" s="51"/>
      <c r="UYE37" s="51"/>
      <c r="UYF37" s="51"/>
      <c r="UYG37" s="51"/>
      <c r="UYH37" s="51"/>
      <c r="UYI37" s="51"/>
      <c r="UYJ37" s="51"/>
      <c r="UYK37" s="51"/>
      <c r="UYL37" s="51"/>
      <c r="UYM37" s="51"/>
      <c r="UYN37" s="51"/>
      <c r="UYO37" s="51"/>
      <c r="UYP37" s="51"/>
      <c r="UYQ37" s="51"/>
      <c r="UYR37" s="51"/>
      <c r="UYS37" s="51"/>
      <c r="UYT37" s="51"/>
      <c r="UYU37" s="51"/>
      <c r="UYV37" s="51"/>
      <c r="UYW37" s="51"/>
      <c r="UYX37" s="51"/>
      <c r="UYY37" s="51"/>
      <c r="UYZ37" s="51"/>
      <c r="UZA37" s="51"/>
      <c r="UZB37" s="51"/>
      <c r="UZC37" s="51"/>
      <c r="UZD37" s="51"/>
      <c r="UZE37" s="51"/>
      <c r="UZF37" s="51"/>
      <c r="UZG37" s="51"/>
      <c r="UZH37" s="51"/>
      <c r="UZI37" s="51"/>
      <c r="UZJ37" s="51"/>
      <c r="UZK37" s="51"/>
      <c r="UZL37" s="51"/>
      <c r="UZM37" s="51"/>
      <c r="UZN37" s="51"/>
      <c r="UZO37" s="51"/>
      <c r="UZP37" s="51"/>
      <c r="UZQ37" s="51"/>
      <c r="UZR37" s="51"/>
      <c r="UZS37" s="51"/>
      <c r="UZT37" s="51"/>
      <c r="UZU37" s="51"/>
      <c r="UZV37" s="51"/>
      <c r="UZW37" s="51"/>
      <c r="UZX37" s="51"/>
      <c r="UZY37" s="51"/>
      <c r="UZZ37" s="51"/>
      <c r="VAA37" s="51"/>
      <c r="VAB37" s="51"/>
      <c r="VAC37" s="51"/>
      <c r="VAD37" s="51"/>
      <c r="VAE37" s="51"/>
      <c r="VAF37" s="51"/>
      <c r="VAG37" s="51"/>
      <c r="VAH37" s="51"/>
      <c r="VAI37" s="51"/>
      <c r="VAJ37" s="51"/>
      <c r="VAK37" s="51"/>
      <c r="VAL37" s="51"/>
      <c r="VAM37" s="51"/>
      <c r="VAN37" s="51"/>
      <c r="VAO37" s="51"/>
      <c r="VAP37" s="51"/>
      <c r="VAQ37" s="51"/>
      <c r="VAR37" s="51"/>
      <c r="VAS37" s="51"/>
      <c r="VAT37" s="51"/>
      <c r="VAU37" s="51"/>
      <c r="VAV37" s="51"/>
      <c r="VAW37" s="51"/>
      <c r="VAX37" s="51"/>
      <c r="VAY37" s="51"/>
      <c r="VAZ37" s="51"/>
      <c r="VBA37" s="51"/>
      <c r="VBB37" s="51"/>
      <c r="VBC37" s="51"/>
      <c r="VBD37" s="51"/>
      <c r="VBE37" s="51"/>
      <c r="VBF37" s="51"/>
      <c r="VBG37" s="51"/>
      <c r="VBH37" s="51"/>
      <c r="VBI37" s="51"/>
      <c r="VBJ37" s="51"/>
      <c r="VBK37" s="51"/>
      <c r="VBL37" s="51"/>
      <c r="VBM37" s="51"/>
      <c r="VBN37" s="51"/>
      <c r="VBO37" s="51"/>
      <c r="VBP37" s="51"/>
      <c r="VBQ37" s="51"/>
      <c r="VBR37" s="51"/>
      <c r="VBS37" s="51"/>
      <c r="VBT37" s="51"/>
      <c r="VBU37" s="51"/>
      <c r="VBV37" s="51"/>
      <c r="VBW37" s="51"/>
      <c r="VBX37" s="51"/>
      <c r="VBY37" s="51"/>
      <c r="VBZ37" s="51"/>
      <c r="VCA37" s="51"/>
      <c r="VCB37" s="51"/>
      <c r="VCC37" s="51"/>
      <c r="VCD37" s="51"/>
      <c r="VCE37" s="51"/>
      <c r="VCF37" s="51"/>
      <c r="VCG37" s="51"/>
      <c r="VCH37" s="51"/>
      <c r="VCI37" s="51"/>
      <c r="VCJ37" s="51"/>
      <c r="VCK37" s="51"/>
      <c r="VCL37" s="51"/>
      <c r="VCM37" s="51"/>
      <c r="VCN37" s="51"/>
      <c r="VCO37" s="51"/>
      <c r="VCP37" s="51"/>
      <c r="VCQ37" s="51"/>
      <c r="VCR37" s="51"/>
      <c r="VCS37" s="51"/>
      <c r="VCT37" s="51"/>
      <c r="VCU37" s="51"/>
      <c r="VCV37" s="51"/>
      <c r="VCW37" s="51"/>
      <c r="VCX37" s="51"/>
      <c r="VCY37" s="51"/>
      <c r="VCZ37" s="51"/>
      <c r="VDA37" s="51"/>
      <c r="VDB37" s="51"/>
      <c r="VDC37" s="51"/>
      <c r="VDD37" s="51"/>
      <c r="VDE37" s="51"/>
      <c r="VDF37" s="51"/>
      <c r="VDG37" s="51"/>
      <c r="VDH37" s="51"/>
      <c r="VDI37" s="51"/>
      <c r="VDJ37" s="51"/>
      <c r="VDK37" s="51"/>
      <c r="VDL37" s="51"/>
      <c r="VDM37" s="51"/>
      <c r="VDN37" s="51"/>
      <c r="VDO37" s="51"/>
      <c r="VDP37" s="51"/>
      <c r="VDQ37" s="51"/>
      <c r="VDR37" s="51"/>
      <c r="VDS37" s="51"/>
      <c r="VDT37" s="51"/>
      <c r="VDU37" s="51"/>
      <c r="VDV37" s="51"/>
      <c r="VDW37" s="51"/>
      <c r="VDX37" s="51"/>
      <c r="VDY37" s="51"/>
      <c r="VDZ37" s="51"/>
      <c r="VEA37" s="51"/>
      <c r="VEB37" s="51"/>
      <c r="VEC37" s="51"/>
      <c r="VED37" s="51"/>
      <c r="VEE37" s="51"/>
      <c r="VEF37" s="51"/>
      <c r="VEG37" s="51"/>
      <c r="VEH37" s="51"/>
      <c r="VEI37" s="51"/>
      <c r="VEJ37" s="51"/>
      <c r="VEK37" s="51"/>
      <c r="VEL37" s="51"/>
      <c r="VEM37" s="51"/>
      <c r="VEN37" s="51"/>
      <c r="VEO37" s="51"/>
      <c r="VEP37" s="51"/>
      <c r="VEQ37" s="51"/>
      <c r="VER37" s="51"/>
      <c r="VES37" s="51"/>
      <c r="VET37" s="51"/>
      <c r="VEU37" s="51"/>
      <c r="VEV37" s="51"/>
      <c r="VEW37" s="51"/>
      <c r="VEX37" s="51"/>
      <c r="VEY37" s="51"/>
      <c r="VEZ37" s="51"/>
      <c r="VFA37" s="51"/>
      <c r="VFB37" s="51"/>
      <c r="VFC37" s="51"/>
      <c r="VFD37" s="51"/>
      <c r="VFE37" s="51"/>
      <c r="VFF37" s="51"/>
      <c r="VFG37" s="51"/>
      <c r="VFH37" s="51"/>
      <c r="VFI37" s="51"/>
      <c r="VFJ37" s="51"/>
      <c r="VFK37" s="51"/>
      <c r="VFL37" s="51"/>
      <c r="VFM37" s="51"/>
      <c r="VFN37" s="51"/>
      <c r="VFO37" s="51"/>
      <c r="VFP37" s="51"/>
      <c r="VFQ37" s="51"/>
      <c r="VFR37" s="51"/>
      <c r="VFS37" s="51"/>
      <c r="VFT37" s="51"/>
      <c r="VFU37" s="51"/>
      <c r="VFV37" s="51"/>
      <c r="VFW37" s="51"/>
      <c r="VFX37" s="51"/>
      <c r="VFY37" s="51"/>
      <c r="VFZ37" s="51"/>
      <c r="VGA37" s="51"/>
      <c r="VGB37" s="51"/>
      <c r="VGC37" s="51"/>
      <c r="VGD37" s="51"/>
      <c r="VGE37" s="51"/>
      <c r="VGF37" s="51"/>
      <c r="VGG37" s="51"/>
      <c r="VGH37" s="51"/>
      <c r="VGI37" s="51"/>
      <c r="VGJ37" s="51"/>
      <c r="VGK37" s="51"/>
      <c r="VGL37" s="51"/>
      <c r="VGM37" s="51"/>
      <c r="VGN37" s="51"/>
      <c r="VGO37" s="51"/>
      <c r="VGP37" s="51"/>
      <c r="VGQ37" s="51"/>
      <c r="VGR37" s="51"/>
      <c r="VGS37" s="51"/>
      <c r="VGT37" s="51"/>
      <c r="VGU37" s="51"/>
      <c r="VGV37" s="51"/>
      <c r="VGW37" s="51"/>
      <c r="VGX37" s="51"/>
      <c r="VGY37" s="51"/>
      <c r="VGZ37" s="51"/>
      <c r="VHA37" s="51"/>
      <c r="VHB37" s="51"/>
      <c r="VHC37" s="51"/>
      <c r="VHD37" s="51"/>
      <c r="VHE37" s="51"/>
      <c r="VHF37" s="51"/>
      <c r="VHG37" s="51"/>
      <c r="VHH37" s="51"/>
      <c r="VHI37" s="51"/>
      <c r="VHJ37" s="51"/>
      <c r="VHK37" s="51"/>
      <c r="VHL37" s="51"/>
      <c r="VHM37" s="51"/>
      <c r="VHN37" s="51"/>
      <c r="VHO37" s="51"/>
      <c r="VHP37" s="51"/>
      <c r="VHQ37" s="51"/>
      <c r="VHR37" s="51"/>
      <c r="VHS37" s="51"/>
      <c r="VHT37" s="51"/>
      <c r="VHU37" s="51"/>
      <c r="VHV37" s="51"/>
      <c r="VHW37" s="51"/>
      <c r="VHX37" s="51"/>
      <c r="VHY37" s="51"/>
      <c r="VHZ37" s="51"/>
      <c r="VIA37" s="51"/>
      <c r="VIB37" s="51"/>
      <c r="VIC37" s="51"/>
      <c r="VID37" s="51"/>
      <c r="VIE37" s="51"/>
      <c r="VIF37" s="51"/>
      <c r="VIG37" s="51"/>
      <c r="VIH37" s="51"/>
      <c r="VII37" s="51"/>
      <c r="VIJ37" s="51"/>
      <c r="VIK37" s="51"/>
      <c r="VIL37" s="51"/>
      <c r="VIM37" s="51"/>
      <c r="VIN37" s="51"/>
      <c r="VIO37" s="51"/>
      <c r="VIP37" s="51"/>
      <c r="VIQ37" s="51"/>
      <c r="VIR37" s="51"/>
      <c r="VIS37" s="51"/>
      <c r="VIT37" s="51"/>
      <c r="VIU37" s="51"/>
      <c r="VIV37" s="51"/>
      <c r="VIW37" s="51"/>
      <c r="VIX37" s="51"/>
      <c r="VIY37" s="51"/>
      <c r="VIZ37" s="51"/>
      <c r="VJA37" s="51"/>
      <c r="VJB37" s="51"/>
      <c r="VJC37" s="51"/>
      <c r="VJD37" s="51"/>
      <c r="VJE37" s="51"/>
      <c r="VJF37" s="51"/>
      <c r="VJG37" s="51"/>
      <c r="VJH37" s="51"/>
      <c r="VJI37" s="51"/>
      <c r="VJJ37" s="51"/>
      <c r="VJK37" s="51"/>
      <c r="VJL37" s="51"/>
      <c r="VJM37" s="51"/>
      <c r="VJN37" s="51"/>
      <c r="VJO37" s="51"/>
      <c r="VJP37" s="51"/>
      <c r="VJQ37" s="51"/>
      <c r="VJR37" s="51"/>
      <c r="VJS37" s="51"/>
      <c r="VJT37" s="51"/>
      <c r="VJU37" s="51"/>
      <c r="VJV37" s="51"/>
      <c r="VJW37" s="51"/>
      <c r="VJX37" s="51"/>
      <c r="VJY37" s="51"/>
      <c r="VJZ37" s="51"/>
      <c r="VKA37" s="51"/>
      <c r="VKB37" s="51"/>
      <c r="VKC37" s="51"/>
      <c r="VKD37" s="51"/>
      <c r="VKE37" s="51"/>
      <c r="VKF37" s="51"/>
      <c r="VKG37" s="51"/>
      <c r="VKH37" s="51"/>
      <c r="VKI37" s="51"/>
      <c r="VKJ37" s="51"/>
      <c r="VKK37" s="51"/>
      <c r="VKL37" s="51"/>
      <c r="VKM37" s="51"/>
      <c r="VKN37" s="51"/>
      <c r="VKO37" s="51"/>
      <c r="VKP37" s="51"/>
      <c r="VKQ37" s="51"/>
      <c r="VKR37" s="51"/>
      <c r="VKS37" s="51"/>
      <c r="VKT37" s="51"/>
      <c r="VKU37" s="51"/>
      <c r="VKV37" s="51"/>
      <c r="VKW37" s="51"/>
      <c r="VKX37" s="51"/>
      <c r="VKY37" s="51"/>
      <c r="VKZ37" s="51"/>
      <c r="VLA37" s="51"/>
      <c r="VLB37" s="51"/>
      <c r="VLC37" s="51"/>
      <c r="VLD37" s="51"/>
      <c r="VLE37" s="51"/>
      <c r="VLF37" s="51"/>
      <c r="VLG37" s="51"/>
      <c r="VLH37" s="51"/>
      <c r="VLI37" s="51"/>
      <c r="VLJ37" s="51"/>
      <c r="VLK37" s="51"/>
      <c r="VLL37" s="51"/>
      <c r="VLM37" s="51"/>
      <c r="VLN37" s="51"/>
      <c r="VLO37" s="51"/>
      <c r="VLP37" s="51"/>
      <c r="VLQ37" s="51"/>
      <c r="VLR37" s="51"/>
      <c r="VLS37" s="51"/>
      <c r="VLT37" s="51"/>
      <c r="VLU37" s="51"/>
      <c r="VLV37" s="51"/>
      <c r="VLW37" s="51"/>
      <c r="VLX37" s="51"/>
      <c r="VLY37" s="51"/>
      <c r="VLZ37" s="51"/>
      <c r="VMA37" s="51"/>
      <c r="VMB37" s="51"/>
      <c r="VMC37" s="51"/>
      <c r="VMD37" s="51"/>
      <c r="VME37" s="51"/>
      <c r="VMF37" s="51"/>
      <c r="VMG37" s="51"/>
      <c r="VMH37" s="51"/>
      <c r="VMI37" s="51"/>
      <c r="VMJ37" s="51"/>
      <c r="VMK37" s="51"/>
      <c r="VML37" s="51"/>
      <c r="VMM37" s="51"/>
      <c r="VMN37" s="51"/>
      <c r="VMO37" s="51"/>
      <c r="VMP37" s="51"/>
      <c r="VMQ37" s="51"/>
      <c r="VMR37" s="51"/>
      <c r="VMS37" s="51"/>
      <c r="VMT37" s="51"/>
      <c r="VMU37" s="51"/>
      <c r="VMV37" s="51"/>
      <c r="VMW37" s="51"/>
      <c r="VMX37" s="51"/>
      <c r="VMY37" s="51"/>
      <c r="VMZ37" s="51"/>
      <c r="VNA37" s="51"/>
      <c r="VNB37" s="51"/>
      <c r="VNC37" s="51"/>
      <c r="VND37" s="51"/>
      <c r="VNE37" s="51"/>
      <c r="VNF37" s="51"/>
      <c r="VNG37" s="51"/>
      <c r="VNH37" s="51"/>
      <c r="VNI37" s="51"/>
      <c r="VNJ37" s="51"/>
      <c r="VNK37" s="51"/>
      <c r="VNL37" s="51"/>
      <c r="VNM37" s="51"/>
      <c r="VNN37" s="51"/>
      <c r="VNO37" s="51"/>
      <c r="VNP37" s="51"/>
      <c r="VNQ37" s="51"/>
      <c r="VNR37" s="51"/>
      <c r="VNS37" s="51"/>
      <c r="VNT37" s="51"/>
      <c r="VNU37" s="51"/>
      <c r="VNV37" s="51"/>
      <c r="VNW37" s="51"/>
      <c r="VNX37" s="51"/>
      <c r="VNY37" s="51"/>
      <c r="VNZ37" s="51"/>
      <c r="VOA37" s="51"/>
      <c r="VOB37" s="51"/>
      <c r="VOC37" s="51"/>
      <c r="VOD37" s="51"/>
      <c r="VOE37" s="51"/>
      <c r="VOF37" s="51"/>
      <c r="VOG37" s="51"/>
      <c r="VOH37" s="51"/>
      <c r="VOI37" s="51"/>
      <c r="VOJ37" s="51"/>
      <c r="VOK37" s="51"/>
      <c r="VOL37" s="51"/>
      <c r="VOM37" s="51"/>
      <c r="VON37" s="51"/>
      <c r="VOO37" s="51"/>
      <c r="VOP37" s="51"/>
      <c r="VOQ37" s="51"/>
      <c r="VOR37" s="51"/>
      <c r="VOS37" s="51"/>
      <c r="VOT37" s="51"/>
      <c r="VOU37" s="51"/>
      <c r="VOV37" s="51"/>
      <c r="VOW37" s="51"/>
      <c r="VOX37" s="51"/>
      <c r="VOY37" s="51"/>
      <c r="VOZ37" s="51"/>
      <c r="VPA37" s="51"/>
      <c r="VPB37" s="51"/>
      <c r="VPC37" s="51"/>
      <c r="VPD37" s="51"/>
      <c r="VPE37" s="51"/>
      <c r="VPF37" s="51"/>
      <c r="VPG37" s="51"/>
      <c r="VPH37" s="51"/>
      <c r="VPI37" s="51"/>
      <c r="VPJ37" s="51"/>
      <c r="VPK37" s="51"/>
      <c r="VPL37" s="51"/>
      <c r="VPM37" s="51"/>
      <c r="VPN37" s="51"/>
      <c r="VPO37" s="51"/>
      <c r="VPP37" s="51"/>
      <c r="VPQ37" s="51"/>
      <c r="VPR37" s="51"/>
      <c r="VPS37" s="51"/>
      <c r="VPT37" s="51"/>
      <c r="VPU37" s="51"/>
      <c r="VPV37" s="51"/>
      <c r="VPW37" s="51"/>
      <c r="VPX37" s="51"/>
      <c r="VPY37" s="51"/>
      <c r="VPZ37" s="51"/>
      <c r="VQA37" s="51"/>
      <c r="VQB37" s="51"/>
      <c r="VQC37" s="51"/>
      <c r="VQD37" s="51"/>
      <c r="VQE37" s="51"/>
      <c r="VQF37" s="51"/>
      <c r="VQG37" s="51"/>
      <c r="VQH37" s="51"/>
      <c r="VQI37" s="51"/>
      <c r="VQJ37" s="51"/>
      <c r="VQK37" s="51"/>
      <c r="VQL37" s="51"/>
      <c r="VQM37" s="51"/>
      <c r="VQN37" s="51"/>
      <c r="VQO37" s="51"/>
      <c r="VQP37" s="51"/>
      <c r="VQQ37" s="51"/>
      <c r="VQR37" s="51"/>
      <c r="VQS37" s="51"/>
      <c r="VQT37" s="51"/>
      <c r="VQU37" s="51"/>
      <c r="VQV37" s="51"/>
      <c r="VQW37" s="51"/>
      <c r="VQX37" s="51"/>
      <c r="VQY37" s="51"/>
      <c r="VQZ37" s="51"/>
      <c r="VRA37" s="51"/>
      <c r="VRB37" s="51"/>
      <c r="VRC37" s="51"/>
      <c r="VRD37" s="51"/>
      <c r="VRE37" s="51"/>
      <c r="VRF37" s="51"/>
      <c r="VRG37" s="51"/>
      <c r="VRH37" s="51"/>
      <c r="VRI37" s="51"/>
      <c r="VRJ37" s="51"/>
      <c r="VRK37" s="51"/>
      <c r="VRL37" s="51"/>
      <c r="VRM37" s="51"/>
      <c r="VRN37" s="51"/>
      <c r="VRO37" s="51"/>
      <c r="VRP37" s="51"/>
      <c r="VRQ37" s="51"/>
      <c r="VRR37" s="51"/>
      <c r="VRS37" s="51"/>
      <c r="VRT37" s="51"/>
      <c r="VRU37" s="51"/>
      <c r="VRV37" s="51"/>
      <c r="VRW37" s="51"/>
      <c r="VRX37" s="51"/>
      <c r="VRY37" s="51"/>
      <c r="VRZ37" s="51"/>
      <c r="VSA37" s="51"/>
      <c r="VSB37" s="51"/>
      <c r="VSC37" s="51"/>
      <c r="VSD37" s="51"/>
      <c r="VSE37" s="51"/>
      <c r="VSF37" s="51"/>
      <c r="VSG37" s="51"/>
      <c r="VSH37" s="51"/>
      <c r="VSI37" s="51"/>
      <c r="VSJ37" s="51"/>
      <c r="VSK37" s="51"/>
      <c r="VSL37" s="51"/>
      <c r="VSM37" s="51"/>
      <c r="VSN37" s="51"/>
      <c r="VSO37" s="51"/>
      <c r="VSP37" s="51"/>
      <c r="VSQ37" s="51"/>
      <c r="VSR37" s="51"/>
      <c r="VSS37" s="51"/>
      <c r="VST37" s="51"/>
      <c r="VSU37" s="51"/>
      <c r="VSV37" s="51"/>
      <c r="VSW37" s="51"/>
      <c r="VSX37" s="51"/>
      <c r="VSY37" s="51"/>
      <c r="VSZ37" s="51"/>
      <c r="VTA37" s="51"/>
      <c r="VTB37" s="51"/>
      <c r="VTC37" s="51"/>
      <c r="VTD37" s="51"/>
      <c r="VTE37" s="51"/>
      <c r="VTF37" s="51"/>
      <c r="VTG37" s="51"/>
      <c r="VTH37" s="51"/>
      <c r="VTI37" s="51"/>
      <c r="VTJ37" s="51"/>
      <c r="VTK37" s="51"/>
      <c r="VTL37" s="51"/>
      <c r="VTM37" s="51"/>
      <c r="VTN37" s="51"/>
      <c r="VTO37" s="51"/>
      <c r="VTP37" s="51"/>
      <c r="VTQ37" s="51"/>
      <c r="VTR37" s="51"/>
      <c r="VTS37" s="51"/>
      <c r="VTT37" s="51"/>
      <c r="VTU37" s="51"/>
      <c r="VTV37" s="51"/>
      <c r="VTW37" s="51"/>
      <c r="VTX37" s="51"/>
      <c r="VTY37" s="51"/>
      <c r="VTZ37" s="51"/>
      <c r="VUA37" s="51"/>
      <c r="VUB37" s="51"/>
      <c r="VUC37" s="51"/>
      <c r="VUD37" s="51"/>
      <c r="VUE37" s="51"/>
      <c r="VUF37" s="51"/>
      <c r="VUG37" s="51"/>
      <c r="VUH37" s="51"/>
      <c r="VUI37" s="51"/>
      <c r="VUJ37" s="51"/>
      <c r="VUK37" s="51"/>
      <c r="VUL37" s="51"/>
      <c r="VUM37" s="51"/>
      <c r="VUN37" s="51"/>
      <c r="VUO37" s="51"/>
      <c r="VUP37" s="51"/>
      <c r="VUQ37" s="51"/>
      <c r="VUR37" s="51"/>
      <c r="VUS37" s="51"/>
      <c r="VUT37" s="51"/>
      <c r="VUU37" s="51"/>
      <c r="VUV37" s="51"/>
      <c r="VUW37" s="51"/>
      <c r="VUX37" s="51"/>
      <c r="VUY37" s="51"/>
      <c r="VUZ37" s="51"/>
      <c r="VVA37" s="51"/>
      <c r="VVB37" s="51"/>
      <c r="VVC37" s="51"/>
      <c r="VVD37" s="51"/>
      <c r="VVE37" s="51"/>
      <c r="VVF37" s="51"/>
      <c r="VVG37" s="51"/>
      <c r="VVH37" s="51"/>
      <c r="VVI37" s="51"/>
      <c r="VVJ37" s="51"/>
      <c r="VVK37" s="51"/>
      <c r="VVL37" s="51"/>
      <c r="VVM37" s="51"/>
      <c r="VVN37" s="51"/>
      <c r="VVO37" s="51"/>
      <c r="VVP37" s="51"/>
      <c r="VVQ37" s="51"/>
      <c r="VVR37" s="51"/>
      <c r="VVS37" s="51"/>
      <c r="VVT37" s="51"/>
      <c r="VVU37" s="51"/>
      <c r="VVV37" s="51"/>
      <c r="VVW37" s="51"/>
      <c r="VVX37" s="51"/>
      <c r="VVY37" s="51"/>
      <c r="VVZ37" s="51"/>
      <c r="VWA37" s="51"/>
      <c r="VWB37" s="51"/>
      <c r="VWC37" s="51"/>
      <c r="VWD37" s="51"/>
      <c r="VWE37" s="51"/>
      <c r="VWF37" s="51"/>
      <c r="VWG37" s="51"/>
      <c r="VWH37" s="51"/>
      <c r="VWI37" s="51"/>
      <c r="VWJ37" s="51"/>
      <c r="VWK37" s="51"/>
      <c r="VWL37" s="51"/>
      <c r="VWM37" s="51"/>
      <c r="VWN37" s="51"/>
      <c r="VWO37" s="51"/>
      <c r="VWP37" s="51"/>
      <c r="VWQ37" s="51"/>
      <c r="VWR37" s="51"/>
      <c r="VWS37" s="51"/>
      <c r="VWT37" s="51"/>
      <c r="VWU37" s="51"/>
      <c r="VWV37" s="51"/>
      <c r="VWW37" s="51"/>
      <c r="VWX37" s="51"/>
      <c r="VWY37" s="51"/>
      <c r="VWZ37" s="51"/>
      <c r="VXA37" s="51"/>
      <c r="VXB37" s="51"/>
      <c r="VXC37" s="51"/>
      <c r="VXD37" s="51"/>
      <c r="VXE37" s="51"/>
      <c r="VXF37" s="51"/>
      <c r="VXG37" s="51"/>
      <c r="VXH37" s="51"/>
      <c r="VXI37" s="51"/>
      <c r="VXJ37" s="51"/>
      <c r="VXK37" s="51"/>
      <c r="VXL37" s="51"/>
      <c r="VXM37" s="51"/>
      <c r="VXN37" s="51"/>
      <c r="VXO37" s="51"/>
      <c r="VXP37" s="51"/>
      <c r="VXQ37" s="51"/>
      <c r="VXR37" s="51"/>
      <c r="VXS37" s="51"/>
      <c r="VXT37" s="51"/>
      <c r="VXU37" s="51"/>
      <c r="VXV37" s="51"/>
      <c r="VXW37" s="51"/>
      <c r="VXX37" s="51"/>
      <c r="VXY37" s="51"/>
      <c r="VXZ37" s="51"/>
      <c r="VYA37" s="51"/>
      <c r="VYB37" s="51"/>
      <c r="VYC37" s="51"/>
      <c r="VYD37" s="51"/>
      <c r="VYE37" s="51"/>
      <c r="VYF37" s="51"/>
      <c r="VYG37" s="51"/>
      <c r="VYH37" s="51"/>
      <c r="VYI37" s="51"/>
      <c r="VYJ37" s="51"/>
      <c r="VYK37" s="51"/>
      <c r="VYL37" s="51"/>
      <c r="VYM37" s="51"/>
      <c r="VYN37" s="51"/>
      <c r="VYO37" s="51"/>
      <c r="VYP37" s="51"/>
      <c r="VYQ37" s="51"/>
      <c r="VYR37" s="51"/>
      <c r="VYS37" s="51"/>
      <c r="VYT37" s="51"/>
      <c r="VYU37" s="51"/>
      <c r="VYV37" s="51"/>
      <c r="VYW37" s="51"/>
      <c r="VYX37" s="51"/>
      <c r="VYY37" s="51"/>
      <c r="VYZ37" s="51"/>
      <c r="VZA37" s="51"/>
      <c r="VZB37" s="51"/>
      <c r="VZC37" s="51"/>
      <c r="VZD37" s="51"/>
      <c r="VZE37" s="51"/>
      <c r="VZF37" s="51"/>
      <c r="VZG37" s="51"/>
      <c r="VZH37" s="51"/>
      <c r="VZI37" s="51"/>
      <c r="VZJ37" s="51"/>
      <c r="VZK37" s="51"/>
      <c r="VZL37" s="51"/>
      <c r="VZM37" s="51"/>
      <c r="VZN37" s="51"/>
      <c r="VZO37" s="51"/>
      <c r="VZP37" s="51"/>
      <c r="VZQ37" s="51"/>
      <c r="VZR37" s="51"/>
      <c r="VZS37" s="51"/>
      <c r="VZT37" s="51"/>
      <c r="VZU37" s="51"/>
      <c r="VZV37" s="51"/>
      <c r="VZW37" s="51"/>
      <c r="VZX37" s="51"/>
      <c r="VZY37" s="51"/>
      <c r="VZZ37" s="51"/>
      <c r="WAA37" s="51"/>
      <c r="WAB37" s="51"/>
      <c r="WAC37" s="51"/>
      <c r="WAD37" s="51"/>
      <c r="WAE37" s="51"/>
      <c r="WAF37" s="51"/>
      <c r="WAG37" s="51"/>
      <c r="WAH37" s="51"/>
      <c r="WAI37" s="51"/>
      <c r="WAJ37" s="51"/>
      <c r="WAK37" s="51"/>
      <c r="WAL37" s="51"/>
      <c r="WAM37" s="51"/>
      <c r="WAN37" s="51"/>
      <c r="WAO37" s="51"/>
      <c r="WAP37" s="51"/>
      <c r="WAQ37" s="51"/>
      <c r="WAR37" s="51"/>
      <c r="WAS37" s="51"/>
      <c r="WAT37" s="51"/>
      <c r="WAU37" s="51"/>
      <c r="WAV37" s="51"/>
      <c r="WAW37" s="51"/>
      <c r="WAX37" s="51"/>
      <c r="WAY37" s="51"/>
      <c r="WAZ37" s="51"/>
      <c r="WBA37" s="51"/>
      <c r="WBB37" s="51"/>
      <c r="WBC37" s="51"/>
      <c r="WBD37" s="51"/>
      <c r="WBE37" s="51"/>
      <c r="WBF37" s="51"/>
      <c r="WBG37" s="51"/>
      <c r="WBH37" s="51"/>
      <c r="WBI37" s="51"/>
      <c r="WBJ37" s="51"/>
      <c r="WBK37" s="51"/>
      <c r="WBL37" s="51"/>
      <c r="WBM37" s="51"/>
      <c r="WBN37" s="51"/>
      <c r="WBO37" s="51"/>
      <c r="WBP37" s="51"/>
      <c r="WBQ37" s="51"/>
      <c r="WBR37" s="51"/>
      <c r="WBS37" s="51"/>
      <c r="WBT37" s="51"/>
      <c r="WBU37" s="51"/>
      <c r="WBV37" s="51"/>
      <c r="WBW37" s="51"/>
      <c r="WBX37" s="51"/>
      <c r="WBY37" s="51"/>
      <c r="WBZ37" s="51"/>
      <c r="WCA37" s="51"/>
      <c r="WCB37" s="51"/>
      <c r="WCC37" s="51"/>
      <c r="WCD37" s="51"/>
      <c r="WCE37" s="51"/>
      <c r="WCF37" s="51"/>
      <c r="WCG37" s="51"/>
      <c r="WCH37" s="51"/>
      <c r="WCI37" s="51"/>
      <c r="WCJ37" s="51"/>
      <c r="WCK37" s="51"/>
      <c r="WCL37" s="51"/>
      <c r="WCM37" s="51"/>
      <c r="WCN37" s="51"/>
      <c r="WCO37" s="51"/>
      <c r="WCP37" s="51"/>
      <c r="WCQ37" s="51"/>
      <c r="WCR37" s="51"/>
      <c r="WCS37" s="51"/>
      <c r="WCT37" s="51"/>
      <c r="WCU37" s="51"/>
      <c r="WCV37" s="51"/>
      <c r="WCW37" s="51"/>
      <c r="WCX37" s="51"/>
      <c r="WCY37" s="51"/>
      <c r="WCZ37" s="51"/>
      <c r="WDA37" s="51"/>
      <c r="WDB37" s="51"/>
      <c r="WDC37" s="51"/>
      <c r="WDD37" s="51"/>
      <c r="WDE37" s="51"/>
      <c r="WDF37" s="51"/>
      <c r="WDG37" s="51"/>
      <c r="WDH37" s="51"/>
      <c r="WDI37" s="51"/>
      <c r="WDJ37" s="51"/>
      <c r="WDK37" s="51"/>
      <c r="WDL37" s="51"/>
      <c r="WDM37" s="51"/>
      <c r="WDN37" s="51"/>
      <c r="WDO37" s="51"/>
      <c r="WDP37" s="51"/>
      <c r="WDQ37" s="51"/>
      <c r="WDR37" s="51"/>
      <c r="WDS37" s="51"/>
      <c r="WDT37" s="51"/>
      <c r="WDU37" s="51"/>
      <c r="WDV37" s="51"/>
      <c r="WDW37" s="51"/>
      <c r="WDX37" s="51"/>
      <c r="WDY37" s="51"/>
      <c r="WDZ37" s="51"/>
      <c r="WEA37" s="51"/>
      <c r="WEB37" s="51"/>
      <c r="WEC37" s="51"/>
      <c r="WED37" s="51"/>
      <c r="WEE37" s="51"/>
      <c r="WEF37" s="51"/>
      <c r="WEG37" s="51"/>
      <c r="WEH37" s="51"/>
      <c r="WEI37" s="51"/>
      <c r="WEJ37" s="51"/>
      <c r="WEK37" s="51"/>
      <c r="WEL37" s="51"/>
      <c r="WEM37" s="51"/>
      <c r="WEN37" s="51"/>
      <c r="WEO37" s="51"/>
      <c r="WEP37" s="51"/>
      <c r="WEQ37" s="51"/>
      <c r="WER37" s="51"/>
      <c r="WES37" s="51"/>
      <c r="WET37" s="51"/>
      <c r="WEU37" s="51"/>
      <c r="WEV37" s="51"/>
      <c r="WEW37" s="51"/>
      <c r="WEX37" s="51"/>
      <c r="WEY37" s="51"/>
      <c r="WEZ37" s="51"/>
      <c r="WFA37" s="51"/>
      <c r="WFB37" s="51"/>
      <c r="WFC37" s="51"/>
      <c r="WFD37" s="51"/>
      <c r="WFE37" s="51"/>
      <c r="WFF37" s="51"/>
      <c r="WFG37" s="51"/>
      <c r="WFH37" s="51"/>
      <c r="WFI37" s="51"/>
      <c r="WFJ37" s="51"/>
      <c r="WFK37" s="51"/>
      <c r="WFL37" s="51"/>
      <c r="WFM37" s="51"/>
      <c r="WFN37" s="51"/>
      <c r="WFO37" s="51"/>
      <c r="WFP37" s="51"/>
      <c r="WFQ37" s="51"/>
      <c r="WFR37" s="51"/>
      <c r="WFS37" s="51"/>
      <c r="WFT37" s="51"/>
      <c r="WFU37" s="51"/>
      <c r="WFV37" s="51"/>
      <c r="WFW37" s="51"/>
      <c r="WFX37" s="51"/>
      <c r="WFY37" s="51"/>
      <c r="WFZ37" s="51"/>
      <c r="WGA37" s="51"/>
      <c r="WGB37" s="51"/>
      <c r="WGC37" s="51"/>
      <c r="WGD37" s="51"/>
      <c r="WGE37" s="51"/>
      <c r="WGF37" s="51"/>
      <c r="WGG37" s="51"/>
      <c r="WGH37" s="51"/>
      <c r="WGI37" s="51"/>
      <c r="WGJ37" s="51"/>
      <c r="WGK37" s="51"/>
      <c r="WGL37" s="51"/>
      <c r="WGM37" s="51"/>
      <c r="WGN37" s="51"/>
      <c r="WGO37" s="51"/>
      <c r="WGP37" s="51"/>
      <c r="WGQ37" s="51"/>
      <c r="WGR37" s="51"/>
      <c r="WGS37" s="51"/>
      <c r="WGT37" s="51"/>
      <c r="WGU37" s="51"/>
      <c r="WGV37" s="51"/>
      <c r="WGW37" s="51"/>
      <c r="WGX37" s="51"/>
      <c r="WGY37" s="51"/>
      <c r="WGZ37" s="51"/>
      <c r="WHA37" s="51"/>
      <c r="WHB37" s="51"/>
      <c r="WHC37" s="51"/>
      <c r="WHD37" s="51"/>
      <c r="WHE37" s="51"/>
      <c r="WHF37" s="51"/>
      <c r="WHG37" s="51"/>
      <c r="WHH37" s="51"/>
      <c r="WHI37" s="51"/>
      <c r="WHJ37" s="51"/>
      <c r="WHK37" s="51"/>
      <c r="WHL37" s="51"/>
      <c r="WHM37" s="51"/>
      <c r="WHN37" s="51"/>
      <c r="WHO37" s="51"/>
      <c r="WHP37" s="51"/>
      <c r="WHQ37" s="51"/>
      <c r="WHR37" s="51"/>
      <c r="WHS37" s="51"/>
      <c r="WHT37" s="51"/>
      <c r="WHU37" s="51"/>
      <c r="WHV37" s="51"/>
      <c r="WHW37" s="51"/>
      <c r="WHX37" s="51"/>
      <c r="WHY37" s="51"/>
      <c r="WHZ37" s="51"/>
      <c r="WIA37" s="51"/>
      <c r="WIB37" s="51"/>
      <c r="WIC37" s="51"/>
      <c r="WID37" s="51"/>
      <c r="WIE37" s="51"/>
      <c r="WIF37" s="51"/>
      <c r="WIG37" s="51"/>
      <c r="WIH37" s="51"/>
      <c r="WII37" s="51"/>
      <c r="WIJ37" s="51"/>
      <c r="WIK37" s="51"/>
      <c r="WIL37" s="51"/>
      <c r="WIM37" s="51"/>
      <c r="WIN37" s="51"/>
      <c r="WIO37" s="51"/>
      <c r="WIP37" s="51"/>
      <c r="WIQ37" s="51"/>
      <c r="WIR37" s="51"/>
      <c r="WIS37" s="51"/>
      <c r="WIT37" s="51"/>
      <c r="WIU37" s="51"/>
      <c r="WIV37" s="51"/>
      <c r="WIW37" s="51"/>
      <c r="WIX37" s="51"/>
      <c r="WIY37" s="51"/>
      <c r="WIZ37" s="51"/>
      <c r="WJA37" s="51"/>
      <c r="WJB37" s="51"/>
      <c r="WJC37" s="51"/>
      <c r="WJD37" s="51"/>
      <c r="WJE37" s="51"/>
      <c r="WJF37" s="51"/>
      <c r="WJG37" s="51"/>
      <c r="WJH37" s="51"/>
      <c r="WJI37" s="51"/>
      <c r="WJJ37" s="51"/>
      <c r="WJK37" s="51"/>
      <c r="WJL37" s="51"/>
      <c r="WJM37" s="51"/>
      <c r="WJN37" s="51"/>
      <c r="WJO37" s="51"/>
      <c r="WJP37" s="51"/>
      <c r="WJQ37" s="51"/>
      <c r="WJR37" s="51"/>
      <c r="WJS37" s="51"/>
      <c r="WJT37" s="51"/>
      <c r="WJU37" s="51"/>
      <c r="WJV37" s="51"/>
      <c r="WJW37" s="51"/>
      <c r="WJX37" s="51"/>
      <c r="WJY37" s="51"/>
      <c r="WJZ37" s="51"/>
      <c r="WKA37" s="51"/>
      <c r="WKB37" s="51"/>
      <c r="WKC37" s="51"/>
      <c r="WKD37" s="51"/>
      <c r="WKE37" s="51"/>
      <c r="WKF37" s="51"/>
      <c r="WKG37" s="51"/>
      <c r="WKH37" s="51"/>
      <c r="WKI37" s="51"/>
      <c r="WKJ37" s="51"/>
      <c r="WKK37" s="51"/>
      <c r="WKL37" s="51"/>
      <c r="WKM37" s="51"/>
      <c r="WKN37" s="51"/>
      <c r="WKO37" s="51"/>
      <c r="WKP37" s="51"/>
      <c r="WKQ37" s="51"/>
      <c r="WKR37" s="51"/>
      <c r="WKS37" s="51"/>
      <c r="WKT37" s="51"/>
      <c r="WKU37" s="51"/>
      <c r="WKV37" s="51"/>
      <c r="WKW37" s="51"/>
      <c r="WKX37" s="51"/>
      <c r="WKY37" s="51"/>
      <c r="WKZ37" s="51"/>
      <c r="WLA37" s="51"/>
      <c r="WLB37" s="51"/>
      <c r="WLC37" s="51"/>
      <c r="WLD37" s="51"/>
      <c r="WLE37" s="51"/>
      <c r="WLF37" s="51"/>
      <c r="WLG37" s="51"/>
      <c r="WLH37" s="51"/>
      <c r="WLI37" s="51"/>
      <c r="WLJ37" s="51"/>
      <c r="WLK37" s="51"/>
      <c r="WLL37" s="51"/>
      <c r="WLM37" s="51"/>
      <c r="WLN37" s="51"/>
      <c r="WLO37" s="51"/>
      <c r="WLP37" s="51"/>
      <c r="WLQ37" s="51"/>
      <c r="WLR37" s="51"/>
      <c r="WLS37" s="51"/>
      <c r="WLT37" s="51"/>
      <c r="WLU37" s="51"/>
      <c r="WLV37" s="51"/>
      <c r="WLW37" s="51"/>
      <c r="WLX37" s="51"/>
      <c r="WLY37" s="51"/>
      <c r="WLZ37" s="51"/>
      <c r="WMA37" s="51"/>
      <c r="WMB37" s="51"/>
      <c r="WMC37" s="51"/>
      <c r="WMD37" s="51"/>
      <c r="WME37" s="51"/>
      <c r="WMF37" s="51"/>
      <c r="WMG37" s="51"/>
      <c r="WMH37" s="51"/>
      <c r="WMI37" s="51"/>
      <c r="WMJ37" s="51"/>
      <c r="WMK37" s="51"/>
      <c r="WML37" s="51"/>
      <c r="WMM37" s="51"/>
      <c r="WMN37" s="51"/>
      <c r="WMO37" s="51"/>
      <c r="WMP37" s="51"/>
      <c r="WMQ37" s="51"/>
      <c r="WMR37" s="51"/>
      <c r="WMS37" s="51"/>
      <c r="WMT37" s="51"/>
      <c r="WMU37" s="51"/>
      <c r="WMV37" s="51"/>
      <c r="WMW37" s="51"/>
      <c r="WMX37" s="51"/>
      <c r="WMY37" s="51"/>
      <c r="WMZ37" s="51"/>
      <c r="WNA37" s="51"/>
      <c r="WNB37" s="51"/>
      <c r="WNC37" s="51"/>
      <c r="WND37" s="51"/>
      <c r="WNE37" s="51"/>
      <c r="WNF37" s="51"/>
      <c r="WNG37" s="51"/>
      <c r="WNH37" s="51"/>
      <c r="WNI37" s="51"/>
      <c r="WNJ37" s="51"/>
      <c r="WNK37" s="51"/>
      <c r="WNL37" s="51"/>
      <c r="WNM37" s="51"/>
      <c r="WNN37" s="51"/>
      <c r="WNO37" s="51"/>
      <c r="WNP37" s="51"/>
      <c r="WNQ37" s="51"/>
      <c r="WNR37" s="51"/>
      <c r="WNS37" s="51"/>
      <c r="WNT37" s="51"/>
      <c r="WNU37" s="51"/>
      <c r="WNV37" s="51"/>
      <c r="WNW37" s="51"/>
      <c r="WNX37" s="51"/>
      <c r="WNY37" s="51"/>
      <c r="WNZ37" s="51"/>
      <c r="WOA37" s="51"/>
      <c r="WOB37" s="51"/>
      <c r="WOC37" s="51"/>
      <c r="WOD37" s="51"/>
      <c r="WOE37" s="51"/>
      <c r="WOF37" s="51"/>
      <c r="WOG37" s="51"/>
      <c r="WOH37" s="51"/>
      <c r="WOI37" s="51"/>
      <c r="WOJ37" s="51"/>
      <c r="WOK37" s="51"/>
      <c r="WOL37" s="51"/>
      <c r="WOM37" s="51"/>
      <c r="WON37" s="51"/>
      <c r="WOO37" s="51"/>
      <c r="WOP37" s="51"/>
      <c r="WOQ37" s="51"/>
      <c r="WOR37" s="51"/>
      <c r="WOS37" s="51"/>
      <c r="WOT37" s="51"/>
      <c r="WOU37" s="51"/>
      <c r="WOV37" s="51"/>
      <c r="WOW37" s="51"/>
      <c r="WOX37" s="51"/>
      <c r="WOY37" s="51"/>
      <c r="WOZ37" s="51"/>
      <c r="WPA37" s="51"/>
      <c r="WPB37" s="51"/>
      <c r="WPC37" s="51"/>
      <c r="WPD37" s="51"/>
      <c r="WPE37" s="51"/>
      <c r="WPF37" s="51"/>
      <c r="WPG37" s="51"/>
      <c r="WPH37" s="51"/>
      <c r="WPI37" s="51"/>
      <c r="WPJ37" s="51"/>
      <c r="WPK37" s="51"/>
      <c r="WPL37" s="51"/>
      <c r="WPM37" s="51"/>
      <c r="WPN37" s="51"/>
      <c r="WPO37" s="51"/>
      <c r="WPP37" s="51"/>
      <c r="WPQ37" s="51"/>
      <c r="WPR37" s="51"/>
      <c r="WPS37" s="51"/>
      <c r="WPT37" s="51"/>
      <c r="WPU37" s="51"/>
      <c r="WPV37" s="51"/>
      <c r="WPW37" s="51"/>
      <c r="WPX37" s="51"/>
      <c r="WPY37" s="51"/>
      <c r="WPZ37" s="51"/>
      <c r="WQA37" s="51"/>
      <c r="WQB37" s="51"/>
      <c r="WQC37" s="51"/>
      <c r="WQD37" s="51"/>
      <c r="WQE37" s="51"/>
      <c r="WQF37" s="51"/>
      <c r="WQG37" s="51"/>
      <c r="WQH37" s="51"/>
      <c r="WQI37" s="51"/>
      <c r="WQJ37" s="51"/>
      <c r="WQK37" s="51"/>
      <c r="WQL37" s="51"/>
      <c r="WQM37" s="51"/>
      <c r="WQN37" s="51"/>
      <c r="WQO37" s="51"/>
      <c r="WQP37" s="51"/>
      <c r="WQQ37" s="51"/>
      <c r="WQR37" s="51"/>
      <c r="WQS37" s="51"/>
      <c r="WQT37" s="51"/>
      <c r="WQU37" s="51"/>
      <c r="WQV37" s="51"/>
      <c r="WQW37" s="51"/>
      <c r="WQX37" s="51"/>
      <c r="WQY37" s="51"/>
      <c r="WQZ37" s="51"/>
      <c r="WRA37" s="51"/>
      <c r="WRB37" s="51"/>
      <c r="WRC37" s="51"/>
      <c r="WRD37" s="51"/>
      <c r="WRE37" s="51"/>
      <c r="WRF37" s="51"/>
      <c r="WRG37" s="51"/>
      <c r="WRH37" s="51"/>
      <c r="WRI37" s="51"/>
      <c r="WRJ37" s="51"/>
      <c r="WRK37" s="51"/>
      <c r="WRL37" s="51"/>
      <c r="WRM37" s="51"/>
      <c r="WRN37" s="51"/>
      <c r="WRO37" s="51"/>
      <c r="WRP37" s="51"/>
      <c r="WRQ37" s="51"/>
      <c r="WRR37" s="51"/>
      <c r="WRS37" s="51"/>
      <c r="WRT37" s="51"/>
      <c r="WRU37" s="51"/>
      <c r="WRV37" s="51"/>
      <c r="WRW37" s="51"/>
      <c r="WRX37" s="51"/>
      <c r="WRY37" s="51"/>
      <c r="WRZ37" s="51"/>
      <c r="WSA37" s="51"/>
      <c r="WSB37" s="51"/>
      <c r="WSC37" s="51"/>
      <c r="WSD37" s="51"/>
      <c r="WSE37" s="51"/>
      <c r="WSF37" s="51"/>
      <c r="WSG37" s="51"/>
      <c r="WSH37" s="51"/>
      <c r="WSI37" s="51"/>
      <c r="WSJ37" s="51"/>
      <c r="WSK37" s="51"/>
      <c r="WSL37" s="51"/>
      <c r="WSM37" s="51"/>
      <c r="WSN37" s="51"/>
      <c r="WSO37" s="51"/>
      <c r="WSP37" s="51"/>
      <c r="WSQ37" s="51"/>
      <c r="WSR37" s="51"/>
      <c r="WSS37" s="51"/>
      <c r="WST37" s="51"/>
      <c r="WSU37" s="51"/>
      <c r="WSV37" s="51"/>
      <c r="WSW37" s="51"/>
      <c r="WSX37" s="51"/>
      <c r="WSY37" s="51"/>
      <c r="WSZ37" s="51"/>
      <c r="WTA37" s="51"/>
      <c r="WTB37" s="51"/>
      <c r="WTC37" s="51"/>
      <c r="WTD37" s="51"/>
      <c r="WTE37" s="51"/>
      <c r="WTF37" s="51"/>
      <c r="WTG37" s="51"/>
      <c r="WTH37" s="51"/>
      <c r="WTI37" s="51"/>
      <c r="WTJ37" s="51"/>
      <c r="WTK37" s="51"/>
      <c r="WTL37" s="51"/>
      <c r="WTM37" s="51"/>
      <c r="WTN37" s="51"/>
      <c r="WTO37" s="51"/>
      <c r="WTP37" s="51"/>
      <c r="WTQ37" s="51"/>
      <c r="WTR37" s="51"/>
      <c r="WTS37" s="51"/>
      <c r="WTT37" s="51"/>
      <c r="WTU37" s="51"/>
      <c r="WTV37" s="51"/>
      <c r="WTW37" s="51"/>
      <c r="WTX37" s="51"/>
      <c r="WTY37" s="51"/>
      <c r="WTZ37" s="51"/>
      <c r="WUA37" s="51"/>
      <c r="WUB37" s="51"/>
      <c r="WUC37" s="51"/>
      <c r="WUD37" s="51"/>
      <c r="WUE37" s="51"/>
      <c r="WUF37" s="51"/>
      <c r="WUG37" s="51"/>
      <c r="WUH37" s="51"/>
      <c r="WUI37" s="51"/>
      <c r="WUJ37" s="51"/>
      <c r="WUK37" s="51"/>
      <c r="WUL37" s="51"/>
      <c r="WUM37" s="51"/>
      <c r="WUN37" s="51"/>
      <c r="WUO37" s="51"/>
      <c r="WUP37" s="51"/>
      <c r="WUQ37" s="51"/>
      <c r="WUR37" s="51"/>
      <c r="WUS37" s="51"/>
      <c r="WUT37" s="51"/>
      <c r="WUU37" s="51"/>
      <c r="WUV37" s="51"/>
      <c r="WUW37" s="51"/>
      <c r="WUX37" s="51"/>
      <c r="WUY37" s="51"/>
      <c r="WUZ37" s="51"/>
      <c r="WVA37" s="51"/>
      <c r="WVB37" s="51"/>
      <c r="WVC37" s="51"/>
      <c r="WVD37" s="51"/>
      <c r="WVE37" s="51"/>
      <c r="WVF37" s="51"/>
      <c r="WVG37" s="51"/>
      <c r="WVH37" s="51"/>
      <c r="WVI37" s="51"/>
      <c r="WVJ37" s="51"/>
      <c r="WVK37" s="51"/>
      <c r="WVL37" s="51"/>
      <c r="WVM37" s="51"/>
      <c r="WVN37" s="51"/>
      <c r="WVO37" s="51"/>
      <c r="WVP37" s="51"/>
      <c r="WVQ37" s="51"/>
      <c r="WVR37" s="51"/>
      <c r="WVS37" s="51"/>
      <c r="WVT37" s="51"/>
      <c r="WVU37" s="51"/>
      <c r="WVV37" s="51"/>
      <c r="WVW37" s="51"/>
      <c r="WVX37" s="51"/>
      <c r="WVY37" s="51"/>
      <c r="WVZ37" s="51"/>
      <c r="WWA37" s="51"/>
      <c r="WWB37" s="51"/>
      <c r="WWC37" s="51"/>
      <c r="WWD37" s="51"/>
      <c r="WWE37" s="51"/>
      <c r="WWF37" s="51"/>
      <c r="WWG37" s="51"/>
      <c r="WWH37" s="51"/>
      <c r="WWI37" s="51"/>
      <c r="WWJ37" s="51"/>
      <c r="WWK37" s="51"/>
      <c r="WWL37" s="51"/>
      <c r="WWM37" s="51"/>
      <c r="WWN37" s="51"/>
      <c r="WWO37" s="51"/>
      <c r="WWP37" s="51"/>
      <c r="WWQ37" s="51"/>
      <c r="WWR37" s="51"/>
      <c r="WWS37" s="51"/>
      <c r="WWT37" s="51"/>
      <c r="WWU37" s="51"/>
      <c r="WWV37" s="51"/>
      <c r="WWW37" s="51"/>
      <c r="WWX37" s="51"/>
      <c r="WWY37" s="51"/>
      <c r="WWZ37" s="51"/>
      <c r="WXA37" s="51"/>
      <c r="WXB37" s="51"/>
      <c r="WXC37" s="51"/>
      <c r="WXD37" s="51"/>
      <c r="WXE37" s="51"/>
      <c r="WXF37" s="51"/>
      <c r="WXG37" s="51"/>
      <c r="WXH37" s="51"/>
      <c r="WXI37" s="51"/>
      <c r="WXJ37" s="51"/>
      <c r="WXK37" s="51"/>
      <c r="WXL37" s="51"/>
      <c r="WXM37" s="51"/>
      <c r="WXN37" s="51"/>
      <c r="WXO37" s="51"/>
      <c r="WXP37" s="51"/>
      <c r="WXQ37" s="51"/>
      <c r="WXR37" s="51"/>
      <c r="WXS37" s="51"/>
      <c r="WXT37" s="51"/>
      <c r="WXU37" s="51"/>
      <c r="WXV37" s="51"/>
      <c r="WXW37" s="51"/>
      <c r="WXX37" s="51"/>
      <c r="WXY37" s="51"/>
      <c r="WXZ37" s="51"/>
      <c r="WYA37" s="51"/>
      <c r="WYB37" s="51"/>
      <c r="WYC37" s="51"/>
      <c r="WYD37" s="51"/>
      <c r="WYE37" s="51"/>
      <c r="WYF37" s="51"/>
      <c r="WYG37" s="51"/>
      <c r="WYH37" s="51"/>
      <c r="WYI37" s="51"/>
      <c r="WYJ37" s="51"/>
      <c r="WYK37" s="51"/>
      <c r="WYL37" s="51"/>
      <c r="WYM37" s="51"/>
      <c r="WYN37" s="51"/>
      <c r="WYO37" s="51"/>
      <c r="WYP37" s="51"/>
      <c r="WYQ37" s="51"/>
      <c r="WYR37" s="51"/>
      <c r="WYS37" s="51"/>
      <c r="WYT37" s="51"/>
      <c r="WYU37" s="51"/>
      <c r="WYV37" s="51"/>
      <c r="WYW37" s="51"/>
      <c r="WYX37" s="51"/>
      <c r="WYY37" s="51"/>
      <c r="WYZ37" s="51"/>
      <c r="WZA37" s="51"/>
      <c r="WZB37" s="51"/>
      <c r="WZC37" s="51"/>
      <c r="WZD37" s="51"/>
      <c r="WZE37" s="51"/>
      <c r="WZF37" s="51"/>
      <c r="WZG37" s="51"/>
      <c r="WZH37" s="51"/>
      <c r="WZI37" s="51"/>
      <c r="WZJ37" s="51"/>
      <c r="WZK37" s="51"/>
      <c r="WZL37" s="51"/>
      <c r="WZM37" s="51"/>
      <c r="WZN37" s="51"/>
      <c r="WZO37" s="51"/>
      <c r="WZP37" s="51"/>
      <c r="WZQ37" s="51"/>
      <c r="WZR37" s="51"/>
      <c r="WZS37" s="51"/>
      <c r="WZT37" s="51"/>
      <c r="WZU37" s="51"/>
      <c r="WZV37" s="51"/>
      <c r="WZW37" s="51"/>
      <c r="WZX37" s="51"/>
      <c r="WZY37" s="51"/>
      <c r="WZZ37" s="51"/>
      <c r="XAA37" s="51"/>
      <c r="XAB37" s="51"/>
      <c r="XAC37" s="51"/>
      <c r="XAD37" s="51"/>
      <c r="XAE37" s="51"/>
      <c r="XAF37" s="51"/>
      <c r="XAG37" s="51"/>
      <c r="XAH37" s="51"/>
      <c r="XAI37" s="51"/>
      <c r="XAJ37" s="51"/>
      <c r="XAK37" s="51"/>
      <c r="XAL37" s="51"/>
      <c r="XAM37" s="51"/>
      <c r="XAN37" s="51"/>
      <c r="XAO37" s="51"/>
      <c r="XAP37" s="51"/>
      <c r="XAQ37" s="51"/>
      <c r="XAR37" s="51"/>
      <c r="XAS37" s="51"/>
      <c r="XAT37" s="51"/>
      <c r="XAU37" s="51"/>
      <c r="XAV37" s="51"/>
      <c r="XAW37" s="51"/>
      <c r="XAX37" s="51"/>
      <c r="XAY37" s="51"/>
      <c r="XAZ37" s="51"/>
      <c r="XBA37" s="51"/>
      <c r="XBB37" s="51"/>
      <c r="XBC37" s="51"/>
      <c r="XBD37" s="51"/>
      <c r="XBE37" s="51"/>
      <c r="XBF37" s="51"/>
      <c r="XBG37" s="51"/>
      <c r="XBH37" s="51"/>
      <c r="XBI37" s="51"/>
      <c r="XBJ37" s="51"/>
      <c r="XBK37" s="51"/>
      <c r="XBL37" s="51"/>
      <c r="XBM37" s="51"/>
      <c r="XBN37" s="51"/>
      <c r="XBO37" s="51"/>
      <c r="XBP37" s="51"/>
      <c r="XBQ37" s="51"/>
      <c r="XBR37" s="51"/>
      <c r="XBS37" s="51"/>
      <c r="XBT37" s="51"/>
      <c r="XBU37" s="51"/>
      <c r="XBV37" s="51"/>
      <c r="XBW37" s="51"/>
      <c r="XBX37" s="51"/>
      <c r="XBY37" s="51"/>
      <c r="XBZ37" s="51"/>
      <c r="XCA37" s="51"/>
      <c r="XCB37" s="51"/>
      <c r="XCC37" s="51"/>
      <c r="XCD37" s="51"/>
      <c r="XCE37" s="51"/>
      <c r="XCF37" s="51"/>
      <c r="XCG37" s="51"/>
      <c r="XCH37" s="51"/>
      <c r="XCI37" s="51"/>
      <c r="XCJ37" s="51"/>
      <c r="XCK37" s="51"/>
      <c r="XCL37" s="51"/>
      <c r="XCM37" s="51"/>
      <c r="XCN37" s="51"/>
      <c r="XCO37" s="51"/>
      <c r="XCP37" s="51"/>
      <c r="XCQ37" s="51"/>
      <c r="XCR37" s="51"/>
      <c r="XCS37" s="51"/>
      <c r="XCT37" s="51"/>
      <c r="XCU37" s="51"/>
      <c r="XCV37" s="51"/>
      <c r="XCW37" s="51"/>
      <c r="XCX37" s="51"/>
      <c r="XCY37" s="51"/>
      <c r="XCZ37" s="51"/>
      <c r="XDA37" s="51"/>
      <c r="XDB37" s="51"/>
      <c r="XDC37" s="51"/>
      <c r="XDD37" s="51"/>
      <c r="XDE37" s="51"/>
      <c r="XDF37" s="51"/>
      <c r="XDG37" s="51"/>
      <c r="XDH37" s="51"/>
      <c r="XDI37" s="51"/>
      <c r="XDJ37" s="51"/>
      <c r="XDK37" s="51"/>
      <c r="XDL37" s="51"/>
      <c r="XDM37" s="51"/>
      <c r="XDN37" s="51"/>
      <c r="XDO37" s="51"/>
      <c r="XDP37" s="51"/>
      <c r="XDQ37" s="51"/>
      <c r="XDR37" s="51"/>
      <c r="XDS37" s="51"/>
      <c r="XDT37" s="51"/>
      <c r="XDU37" s="51"/>
      <c r="XDV37" s="51"/>
      <c r="XDW37" s="51"/>
      <c r="XDX37" s="51"/>
      <c r="XDY37" s="51"/>
      <c r="XDZ37" s="51"/>
      <c r="XEA37" s="51"/>
      <c r="XEB37" s="51"/>
      <c r="XEC37" s="51"/>
      <c r="XED37" s="51"/>
      <c r="XEE37" s="51"/>
      <c r="XEF37" s="51"/>
      <c r="XEG37" s="51"/>
      <c r="XEH37" s="51"/>
      <c r="XEI37" s="51"/>
      <c r="XEJ37" s="51"/>
      <c r="XEK37" s="51"/>
      <c r="XEL37" s="51"/>
      <c r="XEM37" s="51"/>
      <c r="XEN37" s="51"/>
      <c r="XEO37" s="51"/>
      <c r="XEP37" s="51"/>
      <c r="XEQ37" s="51"/>
      <c r="XER37" s="51"/>
      <c r="XES37" s="51"/>
      <c r="XET37" s="51"/>
      <c r="XEU37" s="51"/>
      <c r="XEV37" s="51"/>
      <c r="XEW37" s="51"/>
      <c r="XEX37" s="51"/>
      <c r="XEY37" s="51"/>
      <c r="XEZ37" s="51"/>
      <c r="XFA37" s="51"/>
      <c r="XFB37" s="51"/>
      <c r="XFC37" s="51"/>
      <c r="XFD37" s="51"/>
    </row>
    <row r="38" spans="1:16384" s="258" customFormat="1">
      <c r="A38" s="51"/>
      <c r="B38" s="51" t="s">
        <v>1038</v>
      </c>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c r="EK38" s="51"/>
      <c r="EL38" s="51"/>
      <c r="EM38" s="51"/>
      <c r="EN38" s="51"/>
      <c r="EO38" s="51"/>
      <c r="EP38" s="51"/>
      <c r="EQ38" s="51"/>
      <c r="ER38" s="51"/>
      <c r="ES38" s="51"/>
      <c r="ET38" s="51"/>
      <c r="EU38" s="51"/>
      <c r="EV38" s="51"/>
      <c r="EW38" s="51"/>
      <c r="EX38" s="51"/>
      <c r="EY38" s="51"/>
      <c r="EZ38" s="51"/>
      <c r="FA38" s="51"/>
      <c r="FB38" s="51"/>
      <c r="FC38" s="51"/>
      <c r="FD38" s="51"/>
      <c r="FE38" s="51"/>
      <c r="FF38" s="51"/>
      <c r="FG38" s="51"/>
      <c r="FH38" s="51"/>
      <c r="FI38" s="51"/>
      <c r="FJ38" s="51"/>
      <c r="FK38" s="51"/>
      <c r="FL38" s="51"/>
      <c r="FM38" s="51"/>
      <c r="FN38" s="51"/>
      <c r="FO38" s="51"/>
      <c r="FP38" s="51"/>
      <c r="FQ38" s="51"/>
      <c r="FR38" s="51"/>
      <c r="FS38" s="51"/>
      <c r="FT38" s="51"/>
      <c r="FU38" s="51"/>
      <c r="FV38" s="51"/>
      <c r="FW38" s="51"/>
      <c r="FX38" s="51"/>
      <c r="FY38" s="51"/>
      <c r="FZ38" s="51"/>
      <c r="GA38" s="51"/>
      <c r="GB38" s="51"/>
      <c r="GC38" s="51"/>
      <c r="GD38" s="51"/>
      <c r="GE38" s="51"/>
      <c r="GF38" s="51"/>
      <c r="GG38" s="51"/>
      <c r="GH38" s="51"/>
      <c r="GI38" s="51"/>
      <c r="GJ38" s="51"/>
      <c r="GK38" s="51"/>
      <c r="GL38" s="51"/>
      <c r="GM38" s="51"/>
      <c r="GN38" s="51"/>
      <c r="GO38" s="51"/>
      <c r="GP38" s="51"/>
      <c r="GQ38" s="51"/>
      <c r="GR38" s="51"/>
      <c r="GS38" s="51"/>
      <c r="GT38" s="51"/>
      <c r="GU38" s="51"/>
      <c r="GV38" s="51"/>
      <c r="GW38" s="51"/>
      <c r="GX38" s="51"/>
      <c r="GY38" s="51"/>
      <c r="GZ38" s="51"/>
      <c r="HA38" s="51"/>
      <c r="HB38" s="51"/>
      <c r="HC38" s="51"/>
      <c r="HD38" s="51"/>
      <c r="HE38" s="51"/>
      <c r="HF38" s="51"/>
      <c r="HG38" s="51"/>
      <c r="HH38" s="51"/>
      <c r="HI38" s="51"/>
      <c r="HJ38" s="51"/>
      <c r="HK38" s="51"/>
      <c r="HL38" s="51"/>
      <c r="HM38" s="51"/>
      <c r="HN38" s="51"/>
      <c r="HO38" s="51"/>
      <c r="HP38" s="51"/>
      <c r="HQ38" s="51"/>
      <c r="HR38" s="51"/>
      <c r="HS38" s="51"/>
      <c r="HT38" s="51"/>
      <c r="HU38" s="51"/>
      <c r="HV38" s="51"/>
      <c r="HW38" s="51"/>
      <c r="HX38" s="51"/>
      <c r="HY38" s="51"/>
      <c r="HZ38" s="51"/>
      <c r="IA38" s="51"/>
      <c r="IB38" s="51"/>
      <c r="IC38" s="51"/>
      <c r="ID38" s="51"/>
      <c r="IE38" s="51"/>
      <c r="IF38" s="51"/>
      <c r="IG38" s="51"/>
      <c r="IH38" s="51"/>
      <c r="II38" s="51"/>
      <c r="IJ38" s="51"/>
      <c r="IK38" s="51"/>
      <c r="IL38" s="51"/>
      <c r="IM38" s="51"/>
      <c r="IN38" s="51"/>
      <c r="IO38" s="51"/>
      <c r="IP38" s="51"/>
      <c r="IQ38" s="51"/>
      <c r="IR38" s="51"/>
      <c r="IS38" s="51"/>
      <c r="IT38" s="51"/>
      <c r="IU38" s="51"/>
      <c r="IV38" s="51"/>
      <c r="IW38" s="51"/>
      <c r="IX38" s="51"/>
      <c r="IY38" s="51"/>
      <c r="IZ38" s="51"/>
      <c r="JA38" s="51"/>
      <c r="JB38" s="51"/>
      <c r="JC38" s="51"/>
      <c r="JD38" s="51"/>
      <c r="JE38" s="51"/>
      <c r="JF38" s="51"/>
      <c r="JG38" s="51"/>
      <c r="JH38" s="51"/>
      <c r="JI38" s="51"/>
      <c r="JJ38" s="51"/>
      <c r="JK38" s="51"/>
      <c r="JL38" s="51"/>
      <c r="JM38" s="51"/>
      <c r="JN38" s="51"/>
      <c r="JO38" s="51"/>
      <c r="JP38" s="51"/>
      <c r="JQ38" s="51"/>
      <c r="JR38" s="51"/>
      <c r="JS38" s="51"/>
      <c r="JT38" s="51"/>
      <c r="JU38" s="51"/>
      <c r="JV38" s="51"/>
      <c r="JW38" s="51"/>
      <c r="JX38" s="51"/>
      <c r="JY38" s="51"/>
      <c r="JZ38" s="51"/>
      <c r="KA38" s="51"/>
      <c r="KB38" s="51"/>
      <c r="KC38" s="51"/>
      <c r="KD38" s="51"/>
      <c r="KE38" s="51"/>
      <c r="KF38" s="51"/>
      <c r="KG38" s="51"/>
      <c r="KH38" s="51"/>
      <c r="KI38" s="51"/>
      <c r="KJ38" s="51"/>
      <c r="KK38" s="51"/>
      <c r="KL38" s="51"/>
      <c r="KM38" s="51"/>
      <c r="KN38" s="51"/>
      <c r="KO38" s="51"/>
      <c r="KP38" s="51"/>
      <c r="KQ38" s="51"/>
      <c r="KR38" s="51"/>
      <c r="KS38" s="51"/>
      <c r="KT38" s="51"/>
      <c r="KU38" s="51"/>
      <c r="KV38" s="51"/>
      <c r="KW38" s="51"/>
      <c r="KX38" s="51"/>
      <c r="KY38" s="51"/>
      <c r="KZ38" s="51"/>
      <c r="LA38" s="51"/>
      <c r="LB38" s="51"/>
      <c r="LC38" s="51"/>
      <c r="LD38" s="51"/>
      <c r="LE38" s="51"/>
      <c r="LF38" s="51"/>
      <c r="LG38" s="51"/>
      <c r="LH38" s="51"/>
      <c r="LI38" s="51"/>
      <c r="LJ38" s="51"/>
      <c r="LK38" s="51"/>
      <c r="LL38" s="51"/>
      <c r="LM38" s="51"/>
      <c r="LN38" s="51"/>
      <c r="LO38" s="51"/>
      <c r="LP38" s="51"/>
      <c r="LQ38" s="51"/>
      <c r="LR38" s="51"/>
      <c r="LS38" s="51"/>
      <c r="LT38" s="51"/>
      <c r="LU38" s="51"/>
      <c r="LV38" s="51"/>
      <c r="LW38" s="51"/>
      <c r="LX38" s="51"/>
      <c r="LY38" s="51"/>
      <c r="LZ38" s="51"/>
      <c r="MA38" s="51"/>
      <c r="MB38" s="51"/>
      <c r="MC38" s="51"/>
      <c r="MD38" s="51"/>
      <c r="ME38" s="51"/>
      <c r="MF38" s="51"/>
      <c r="MG38" s="51"/>
      <c r="MH38" s="51"/>
      <c r="MI38" s="51"/>
      <c r="MJ38" s="51"/>
      <c r="MK38" s="51"/>
      <c r="ML38" s="51"/>
      <c r="MM38" s="51"/>
      <c r="MN38" s="51"/>
      <c r="MO38" s="51"/>
      <c r="MP38" s="51"/>
      <c r="MQ38" s="51"/>
      <c r="MR38" s="51"/>
      <c r="MS38" s="51"/>
      <c r="MT38" s="51"/>
      <c r="MU38" s="51"/>
      <c r="MV38" s="51"/>
      <c r="MW38" s="51"/>
      <c r="MX38" s="51"/>
      <c r="MY38" s="51"/>
      <c r="MZ38" s="51"/>
      <c r="NA38" s="51"/>
      <c r="NB38" s="51"/>
      <c r="NC38" s="51"/>
      <c r="ND38" s="51"/>
      <c r="NE38" s="51"/>
      <c r="NF38" s="51"/>
      <c r="NG38" s="51"/>
      <c r="NH38" s="51"/>
      <c r="NI38" s="51"/>
      <c r="NJ38" s="51"/>
      <c r="NK38" s="51"/>
      <c r="NL38" s="51"/>
      <c r="NM38" s="51"/>
      <c r="NN38" s="51"/>
      <c r="NO38" s="51"/>
      <c r="NP38" s="51"/>
      <c r="NQ38" s="51"/>
      <c r="NR38" s="51"/>
      <c r="NS38" s="51"/>
      <c r="NT38" s="51"/>
      <c r="NU38" s="51"/>
      <c r="NV38" s="51"/>
      <c r="NW38" s="51"/>
      <c r="NX38" s="51"/>
      <c r="NY38" s="51"/>
      <c r="NZ38" s="51"/>
      <c r="OA38" s="51"/>
      <c r="OB38" s="51"/>
      <c r="OC38" s="51"/>
      <c r="OD38" s="51"/>
      <c r="OE38" s="51"/>
      <c r="OF38" s="51"/>
      <c r="OG38" s="51"/>
      <c r="OH38" s="51"/>
      <c r="OI38" s="51"/>
      <c r="OJ38" s="51"/>
      <c r="OK38" s="51"/>
      <c r="OL38" s="51"/>
      <c r="OM38" s="51"/>
      <c r="ON38" s="51"/>
      <c r="OO38" s="51"/>
      <c r="OP38" s="51"/>
      <c r="OQ38" s="51"/>
      <c r="OR38" s="51"/>
      <c r="OS38" s="51"/>
      <c r="OT38" s="51"/>
      <c r="OU38" s="51"/>
      <c r="OV38" s="51"/>
      <c r="OW38" s="51"/>
      <c r="OX38" s="51"/>
      <c r="OY38" s="51"/>
      <c r="OZ38" s="51"/>
      <c r="PA38" s="51"/>
      <c r="PB38" s="51"/>
      <c r="PC38" s="51"/>
      <c r="PD38" s="51"/>
      <c r="PE38" s="51"/>
      <c r="PF38" s="51"/>
      <c r="PG38" s="51"/>
      <c r="PH38" s="51"/>
      <c r="PI38" s="51"/>
      <c r="PJ38" s="51"/>
      <c r="PK38" s="51"/>
      <c r="PL38" s="51"/>
      <c r="PM38" s="51"/>
      <c r="PN38" s="51"/>
      <c r="PO38" s="51"/>
      <c r="PP38" s="51"/>
      <c r="PQ38" s="51"/>
      <c r="PR38" s="51"/>
      <c r="PS38" s="51"/>
      <c r="PT38" s="51"/>
      <c r="PU38" s="51"/>
      <c r="PV38" s="51"/>
      <c r="PW38" s="51"/>
      <c r="PX38" s="51"/>
      <c r="PY38" s="51"/>
      <c r="PZ38" s="51"/>
      <c r="QA38" s="51"/>
      <c r="QB38" s="51"/>
      <c r="QC38" s="51"/>
      <c r="QD38" s="51"/>
      <c r="QE38" s="51"/>
      <c r="QF38" s="51"/>
      <c r="QG38" s="51"/>
      <c r="QH38" s="51"/>
      <c r="QI38" s="51"/>
      <c r="QJ38" s="51"/>
      <c r="QK38" s="51"/>
      <c r="QL38" s="51"/>
      <c r="QM38" s="51"/>
      <c r="QN38" s="51"/>
      <c r="QO38" s="51"/>
      <c r="QP38" s="51"/>
      <c r="QQ38" s="51"/>
      <c r="QR38" s="51"/>
      <c r="QS38" s="51"/>
      <c r="QT38" s="51"/>
      <c r="QU38" s="51"/>
      <c r="QV38" s="51"/>
      <c r="QW38" s="51"/>
      <c r="QX38" s="51"/>
      <c r="QY38" s="51"/>
      <c r="QZ38" s="51"/>
      <c r="RA38" s="51"/>
      <c r="RB38" s="51"/>
      <c r="RC38" s="51"/>
      <c r="RD38" s="51"/>
      <c r="RE38" s="51"/>
      <c r="RF38" s="51"/>
      <c r="RG38" s="51"/>
      <c r="RH38" s="51"/>
      <c r="RI38" s="51"/>
      <c r="RJ38" s="51"/>
      <c r="RK38" s="51"/>
      <c r="RL38" s="51"/>
      <c r="RM38" s="51"/>
      <c r="RN38" s="51"/>
      <c r="RO38" s="51"/>
      <c r="RP38" s="51"/>
      <c r="RQ38" s="51"/>
      <c r="RR38" s="51"/>
      <c r="RS38" s="51"/>
      <c r="RT38" s="51"/>
      <c r="RU38" s="51"/>
      <c r="RV38" s="51"/>
      <c r="RW38" s="51"/>
      <c r="RX38" s="51"/>
      <c r="RY38" s="51"/>
      <c r="RZ38" s="51"/>
      <c r="SA38" s="51"/>
      <c r="SB38" s="51"/>
      <c r="SC38" s="51"/>
      <c r="SD38" s="51"/>
      <c r="SE38" s="51"/>
      <c r="SF38" s="51"/>
      <c r="SG38" s="51"/>
      <c r="SH38" s="51"/>
      <c r="SI38" s="51"/>
      <c r="SJ38" s="51"/>
      <c r="SK38" s="51"/>
      <c r="SL38" s="51"/>
      <c r="SM38" s="51"/>
      <c r="SN38" s="51"/>
      <c r="SO38" s="51"/>
      <c r="SP38" s="51"/>
      <c r="SQ38" s="51"/>
      <c r="SR38" s="51"/>
      <c r="SS38" s="51"/>
      <c r="ST38" s="51"/>
      <c r="SU38" s="51"/>
      <c r="SV38" s="51"/>
      <c r="SW38" s="51"/>
      <c r="SX38" s="51"/>
      <c r="SY38" s="51"/>
      <c r="SZ38" s="51"/>
      <c r="TA38" s="51"/>
      <c r="TB38" s="51"/>
      <c r="TC38" s="51"/>
      <c r="TD38" s="51"/>
      <c r="TE38" s="51"/>
      <c r="TF38" s="51"/>
      <c r="TG38" s="51"/>
      <c r="TH38" s="51"/>
      <c r="TI38" s="51"/>
      <c r="TJ38" s="51"/>
      <c r="TK38" s="51"/>
      <c r="TL38" s="51"/>
      <c r="TM38" s="51"/>
      <c r="TN38" s="51"/>
      <c r="TO38" s="51"/>
      <c r="TP38" s="51"/>
      <c r="TQ38" s="51"/>
      <c r="TR38" s="51"/>
      <c r="TS38" s="51"/>
      <c r="TT38" s="51"/>
      <c r="TU38" s="51"/>
      <c r="TV38" s="51"/>
      <c r="TW38" s="51"/>
      <c r="TX38" s="51"/>
      <c r="TY38" s="51"/>
      <c r="TZ38" s="51"/>
      <c r="UA38" s="51"/>
      <c r="UB38" s="51"/>
      <c r="UC38" s="51"/>
      <c r="UD38" s="51"/>
      <c r="UE38" s="51"/>
      <c r="UF38" s="51"/>
      <c r="UG38" s="51"/>
      <c r="UH38" s="51"/>
      <c r="UI38" s="51"/>
      <c r="UJ38" s="51"/>
      <c r="UK38" s="51"/>
      <c r="UL38" s="51"/>
      <c r="UM38" s="51"/>
      <c r="UN38" s="51"/>
      <c r="UO38" s="51"/>
      <c r="UP38" s="51"/>
      <c r="UQ38" s="51"/>
      <c r="UR38" s="51"/>
      <c r="US38" s="51"/>
      <c r="UT38" s="51"/>
      <c r="UU38" s="51"/>
      <c r="UV38" s="51"/>
      <c r="UW38" s="51"/>
      <c r="UX38" s="51"/>
      <c r="UY38" s="51"/>
      <c r="UZ38" s="51"/>
      <c r="VA38" s="51"/>
      <c r="VB38" s="51"/>
      <c r="VC38" s="51"/>
      <c r="VD38" s="51"/>
      <c r="VE38" s="51"/>
      <c r="VF38" s="51"/>
      <c r="VG38" s="51"/>
      <c r="VH38" s="51"/>
      <c r="VI38" s="51"/>
      <c r="VJ38" s="51"/>
      <c r="VK38" s="51"/>
      <c r="VL38" s="51"/>
      <c r="VM38" s="51"/>
      <c r="VN38" s="51"/>
      <c r="VO38" s="51"/>
      <c r="VP38" s="51"/>
      <c r="VQ38" s="51"/>
      <c r="VR38" s="51"/>
      <c r="VS38" s="51"/>
      <c r="VT38" s="51"/>
      <c r="VU38" s="51"/>
      <c r="VV38" s="51"/>
      <c r="VW38" s="51"/>
      <c r="VX38" s="51"/>
      <c r="VY38" s="51"/>
      <c r="VZ38" s="51"/>
      <c r="WA38" s="51"/>
      <c r="WB38" s="51"/>
      <c r="WC38" s="51"/>
      <c r="WD38" s="51"/>
      <c r="WE38" s="51"/>
      <c r="WF38" s="51"/>
      <c r="WG38" s="51"/>
      <c r="WH38" s="51"/>
      <c r="WI38" s="51"/>
      <c r="WJ38" s="51"/>
      <c r="WK38" s="51"/>
      <c r="WL38" s="51"/>
      <c r="WM38" s="51"/>
      <c r="WN38" s="51"/>
      <c r="WO38" s="51"/>
      <c r="WP38" s="51"/>
      <c r="WQ38" s="51"/>
      <c r="WR38" s="51"/>
      <c r="WS38" s="51"/>
      <c r="WT38" s="51"/>
      <c r="WU38" s="51"/>
      <c r="WV38" s="51"/>
      <c r="WW38" s="51"/>
      <c r="WX38" s="51"/>
      <c r="WY38" s="51"/>
      <c r="WZ38" s="51"/>
      <c r="XA38" s="51"/>
      <c r="XB38" s="51"/>
      <c r="XC38" s="51"/>
      <c r="XD38" s="51"/>
      <c r="XE38" s="51"/>
      <c r="XF38" s="51"/>
      <c r="XG38" s="51"/>
      <c r="XH38" s="51"/>
      <c r="XI38" s="51"/>
      <c r="XJ38" s="51"/>
      <c r="XK38" s="51"/>
      <c r="XL38" s="51"/>
      <c r="XM38" s="51"/>
      <c r="XN38" s="51"/>
      <c r="XO38" s="51"/>
      <c r="XP38" s="51"/>
      <c r="XQ38" s="51"/>
      <c r="XR38" s="51"/>
      <c r="XS38" s="51"/>
      <c r="XT38" s="51"/>
      <c r="XU38" s="51"/>
      <c r="XV38" s="51"/>
      <c r="XW38" s="51"/>
      <c r="XX38" s="51"/>
      <c r="XY38" s="51"/>
      <c r="XZ38" s="51"/>
      <c r="YA38" s="51"/>
      <c r="YB38" s="51"/>
      <c r="YC38" s="51"/>
      <c r="YD38" s="51"/>
      <c r="YE38" s="51"/>
      <c r="YF38" s="51"/>
      <c r="YG38" s="51"/>
      <c r="YH38" s="51"/>
      <c r="YI38" s="51"/>
      <c r="YJ38" s="51"/>
      <c r="YK38" s="51"/>
      <c r="YL38" s="51"/>
      <c r="YM38" s="51"/>
      <c r="YN38" s="51"/>
      <c r="YO38" s="51"/>
      <c r="YP38" s="51"/>
      <c r="YQ38" s="51"/>
      <c r="YR38" s="51"/>
      <c r="YS38" s="51"/>
      <c r="YT38" s="51"/>
      <c r="YU38" s="51"/>
      <c r="YV38" s="51"/>
      <c r="YW38" s="51"/>
      <c r="YX38" s="51"/>
      <c r="YY38" s="51"/>
      <c r="YZ38" s="51"/>
      <c r="ZA38" s="51"/>
      <c r="ZB38" s="51"/>
      <c r="ZC38" s="51"/>
      <c r="ZD38" s="51"/>
      <c r="ZE38" s="51"/>
      <c r="ZF38" s="51"/>
      <c r="ZG38" s="51"/>
      <c r="ZH38" s="51"/>
      <c r="ZI38" s="51"/>
      <c r="ZJ38" s="51"/>
      <c r="ZK38" s="51"/>
      <c r="ZL38" s="51"/>
      <c r="ZM38" s="51"/>
      <c r="ZN38" s="51"/>
      <c r="ZO38" s="51"/>
      <c r="ZP38" s="51"/>
      <c r="ZQ38" s="51"/>
      <c r="ZR38" s="51"/>
      <c r="ZS38" s="51"/>
      <c r="ZT38" s="51"/>
      <c r="ZU38" s="51"/>
      <c r="ZV38" s="51"/>
      <c r="ZW38" s="51"/>
      <c r="ZX38" s="51"/>
      <c r="ZY38" s="51"/>
      <c r="ZZ38" s="51"/>
      <c r="AAA38" s="51"/>
      <c r="AAB38" s="51"/>
      <c r="AAC38" s="51"/>
      <c r="AAD38" s="51"/>
      <c r="AAE38" s="51"/>
      <c r="AAF38" s="51"/>
      <c r="AAG38" s="51"/>
      <c r="AAH38" s="51"/>
      <c r="AAI38" s="51"/>
      <c r="AAJ38" s="51"/>
      <c r="AAK38" s="51"/>
      <c r="AAL38" s="51"/>
      <c r="AAM38" s="51"/>
      <c r="AAN38" s="51"/>
      <c r="AAO38" s="51"/>
      <c r="AAP38" s="51"/>
      <c r="AAQ38" s="51"/>
      <c r="AAR38" s="51"/>
      <c r="AAS38" s="51"/>
      <c r="AAT38" s="51"/>
      <c r="AAU38" s="51"/>
      <c r="AAV38" s="51"/>
      <c r="AAW38" s="51"/>
      <c r="AAX38" s="51"/>
      <c r="AAY38" s="51"/>
      <c r="AAZ38" s="51"/>
      <c r="ABA38" s="51"/>
      <c r="ABB38" s="51"/>
      <c r="ABC38" s="51"/>
      <c r="ABD38" s="51"/>
      <c r="ABE38" s="51"/>
      <c r="ABF38" s="51"/>
      <c r="ABG38" s="51"/>
      <c r="ABH38" s="51"/>
      <c r="ABI38" s="51"/>
      <c r="ABJ38" s="51"/>
      <c r="ABK38" s="51"/>
      <c r="ABL38" s="51"/>
      <c r="ABM38" s="51"/>
      <c r="ABN38" s="51"/>
      <c r="ABO38" s="51"/>
      <c r="ABP38" s="51"/>
      <c r="ABQ38" s="51"/>
      <c r="ABR38" s="51"/>
      <c r="ABS38" s="51"/>
      <c r="ABT38" s="51"/>
      <c r="ABU38" s="51"/>
      <c r="ABV38" s="51"/>
      <c r="ABW38" s="51"/>
      <c r="ABX38" s="51"/>
      <c r="ABY38" s="51"/>
      <c r="ABZ38" s="51"/>
      <c r="ACA38" s="51"/>
      <c r="ACB38" s="51"/>
      <c r="ACC38" s="51"/>
      <c r="ACD38" s="51"/>
      <c r="ACE38" s="51"/>
      <c r="ACF38" s="51"/>
      <c r="ACG38" s="51"/>
      <c r="ACH38" s="51"/>
      <c r="ACI38" s="51"/>
      <c r="ACJ38" s="51"/>
      <c r="ACK38" s="51"/>
      <c r="ACL38" s="51"/>
      <c r="ACM38" s="51"/>
      <c r="ACN38" s="51"/>
      <c r="ACO38" s="51"/>
      <c r="ACP38" s="51"/>
      <c r="ACQ38" s="51"/>
      <c r="ACR38" s="51"/>
      <c r="ACS38" s="51"/>
      <c r="ACT38" s="51"/>
      <c r="ACU38" s="51"/>
      <c r="ACV38" s="51"/>
      <c r="ACW38" s="51"/>
      <c r="ACX38" s="51"/>
      <c r="ACY38" s="51"/>
      <c r="ACZ38" s="51"/>
      <c r="ADA38" s="51"/>
      <c r="ADB38" s="51"/>
      <c r="ADC38" s="51"/>
      <c r="ADD38" s="51"/>
      <c r="ADE38" s="51"/>
      <c r="ADF38" s="51"/>
      <c r="ADG38" s="51"/>
      <c r="ADH38" s="51"/>
      <c r="ADI38" s="51"/>
      <c r="ADJ38" s="51"/>
      <c r="ADK38" s="51"/>
      <c r="ADL38" s="51"/>
      <c r="ADM38" s="51"/>
      <c r="ADN38" s="51"/>
      <c r="ADO38" s="51"/>
      <c r="ADP38" s="51"/>
      <c r="ADQ38" s="51"/>
      <c r="ADR38" s="51"/>
      <c r="ADS38" s="51"/>
      <c r="ADT38" s="51"/>
      <c r="ADU38" s="51"/>
      <c r="ADV38" s="51"/>
      <c r="ADW38" s="51"/>
      <c r="ADX38" s="51"/>
      <c r="ADY38" s="51"/>
      <c r="ADZ38" s="51"/>
      <c r="AEA38" s="51"/>
      <c r="AEB38" s="51"/>
      <c r="AEC38" s="51"/>
      <c r="AED38" s="51"/>
      <c r="AEE38" s="51"/>
      <c r="AEF38" s="51"/>
      <c r="AEG38" s="51"/>
      <c r="AEH38" s="51"/>
      <c r="AEI38" s="51"/>
      <c r="AEJ38" s="51"/>
      <c r="AEK38" s="51"/>
      <c r="AEL38" s="51"/>
      <c r="AEM38" s="51"/>
      <c r="AEN38" s="51"/>
      <c r="AEO38" s="51"/>
      <c r="AEP38" s="51"/>
      <c r="AEQ38" s="51"/>
      <c r="AER38" s="51"/>
      <c r="AES38" s="51"/>
      <c r="AET38" s="51"/>
      <c r="AEU38" s="51"/>
      <c r="AEV38" s="51"/>
      <c r="AEW38" s="51"/>
      <c r="AEX38" s="51"/>
      <c r="AEY38" s="51"/>
      <c r="AEZ38" s="51"/>
      <c r="AFA38" s="51"/>
      <c r="AFB38" s="51"/>
      <c r="AFC38" s="51"/>
      <c r="AFD38" s="51"/>
      <c r="AFE38" s="51"/>
      <c r="AFF38" s="51"/>
      <c r="AFG38" s="51"/>
      <c r="AFH38" s="51"/>
      <c r="AFI38" s="51"/>
      <c r="AFJ38" s="51"/>
      <c r="AFK38" s="51"/>
      <c r="AFL38" s="51"/>
      <c r="AFM38" s="51"/>
      <c r="AFN38" s="51"/>
      <c r="AFO38" s="51"/>
      <c r="AFP38" s="51"/>
      <c r="AFQ38" s="51"/>
      <c r="AFR38" s="51"/>
      <c r="AFS38" s="51"/>
      <c r="AFT38" s="51"/>
      <c r="AFU38" s="51"/>
      <c r="AFV38" s="51"/>
      <c r="AFW38" s="51"/>
      <c r="AFX38" s="51"/>
      <c r="AFY38" s="51"/>
      <c r="AFZ38" s="51"/>
      <c r="AGA38" s="51"/>
      <c r="AGB38" s="51"/>
      <c r="AGC38" s="51"/>
      <c r="AGD38" s="51"/>
      <c r="AGE38" s="51"/>
      <c r="AGF38" s="51"/>
      <c r="AGG38" s="51"/>
      <c r="AGH38" s="51"/>
      <c r="AGI38" s="51"/>
      <c r="AGJ38" s="51"/>
      <c r="AGK38" s="51"/>
      <c r="AGL38" s="51"/>
      <c r="AGM38" s="51"/>
      <c r="AGN38" s="51"/>
      <c r="AGO38" s="51"/>
      <c r="AGP38" s="51"/>
      <c r="AGQ38" s="51"/>
      <c r="AGR38" s="51"/>
      <c r="AGS38" s="51"/>
      <c r="AGT38" s="51"/>
      <c r="AGU38" s="51"/>
      <c r="AGV38" s="51"/>
      <c r="AGW38" s="51"/>
      <c r="AGX38" s="51"/>
      <c r="AGY38" s="51"/>
      <c r="AGZ38" s="51"/>
      <c r="AHA38" s="51"/>
      <c r="AHB38" s="51"/>
      <c r="AHC38" s="51"/>
      <c r="AHD38" s="51"/>
      <c r="AHE38" s="51"/>
      <c r="AHF38" s="51"/>
      <c r="AHG38" s="51"/>
      <c r="AHH38" s="51"/>
      <c r="AHI38" s="51"/>
      <c r="AHJ38" s="51"/>
      <c r="AHK38" s="51"/>
      <c r="AHL38" s="51"/>
      <c r="AHM38" s="51"/>
      <c r="AHN38" s="51"/>
      <c r="AHO38" s="51"/>
      <c r="AHP38" s="51"/>
      <c r="AHQ38" s="51"/>
      <c r="AHR38" s="51"/>
      <c r="AHS38" s="51"/>
      <c r="AHT38" s="51"/>
      <c r="AHU38" s="51"/>
      <c r="AHV38" s="51"/>
      <c r="AHW38" s="51"/>
      <c r="AHX38" s="51"/>
      <c r="AHY38" s="51"/>
      <c r="AHZ38" s="51"/>
      <c r="AIA38" s="51"/>
      <c r="AIB38" s="51"/>
      <c r="AIC38" s="51"/>
      <c r="AID38" s="51"/>
      <c r="AIE38" s="51"/>
      <c r="AIF38" s="51"/>
      <c r="AIG38" s="51"/>
      <c r="AIH38" s="51"/>
      <c r="AII38" s="51"/>
      <c r="AIJ38" s="51"/>
      <c r="AIK38" s="51"/>
      <c r="AIL38" s="51"/>
      <c r="AIM38" s="51"/>
      <c r="AIN38" s="51"/>
      <c r="AIO38" s="51"/>
      <c r="AIP38" s="51"/>
      <c r="AIQ38" s="51"/>
      <c r="AIR38" s="51"/>
      <c r="AIS38" s="51"/>
      <c r="AIT38" s="51"/>
      <c r="AIU38" s="51"/>
      <c r="AIV38" s="51"/>
      <c r="AIW38" s="51"/>
      <c r="AIX38" s="51"/>
      <c r="AIY38" s="51"/>
      <c r="AIZ38" s="51"/>
      <c r="AJA38" s="51"/>
      <c r="AJB38" s="51"/>
      <c r="AJC38" s="51"/>
      <c r="AJD38" s="51"/>
      <c r="AJE38" s="51"/>
      <c r="AJF38" s="51"/>
      <c r="AJG38" s="51"/>
      <c r="AJH38" s="51"/>
      <c r="AJI38" s="51"/>
      <c r="AJJ38" s="51"/>
      <c r="AJK38" s="51"/>
      <c r="AJL38" s="51"/>
      <c r="AJM38" s="51"/>
      <c r="AJN38" s="51"/>
      <c r="AJO38" s="51"/>
      <c r="AJP38" s="51"/>
      <c r="AJQ38" s="51"/>
      <c r="AJR38" s="51"/>
      <c r="AJS38" s="51"/>
      <c r="AJT38" s="51"/>
      <c r="AJU38" s="51"/>
      <c r="AJV38" s="51"/>
      <c r="AJW38" s="51"/>
      <c r="AJX38" s="51"/>
      <c r="AJY38" s="51"/>
      <c r="AJZ38" s="51"/>
      <c r="AKA38" s="51"/>
      <c r="AKB38" s="51"/>
      <c r="AKC38" s="51"/>
      <c r="AKD38" s="51"/>
      <c r="AKE38" s="51"/>
      <c r="AKF38" s="51"/>
      <c r="AKG38" s="51"/>
      <c r="AKH38" s="51"/>
      <c r="AKI38" s="51"/>
      <c r="AKJ38" s="51"/>
      <c r="AKK38" s="51"/>
      <c r="AKL38" s="51"/>
      <c r="AKM38" s="51"/>
      <c r="AKN38" s="51"/>
      <c r="AKO38" s="51"/>
      <c r="AKP38" s="51"/>
      <c r="AKQ38" s="51"/>
      <c r="AKR38" s="51"/>
      <c r="AKS38" s="51"/>
      <c r="AKT38" s="51"/>
      <c r="AKU38" s="51"/>
      <c r="AKV38" s="51"/>
      <c r="AKW38" s="51"/>
      <c r="AKX38" s="51"/>
      <c r="AKY38" s="51"/>
      <c r="AKZ38" s="51"/>
      <c r="ALA38" s="51"/>
      <c r="ALB38" s="51"/>
      <c r="ALC38" s="51"/>
      <c r="ALD38" s="51"/>
      <c r="ALE38" s="51"/>
      <c r="ALF38" s="51"/>
      <c r="ALG38" s="51"/>
      <c r="ALH38" s="51"/>
      <c r="ALI38" s="51"/>
      <c r="ALJ38" s="51"/>
      <c r="ALK38" s="51"/>
      <c r="ALL38" s="51"/>
      <c r="ALM38" s="51"/>
      <c r="ALN38" s="51"/>
      <c r="ALO38" s="51"/>
      <c r="ALP38" s="51"/>
      <c r="ALQ38" s="51"/>
      <c r="ALR38" s="51"/>
      <c r="ALS38" s="51"/>
      <c r="ALT38" s="51"/>
      <c r="ALU38" s="51"/>
      <c r="ALV38" s="51"/>
      <c r="ALW38" s="51"/>
      <c r="ALX38" s="51"/>
      <c r="ALY38" s="51"/>
      <c r="ALZ38" s="51"/>
      <c r="AMA38" s="51"/>
      <c r="AMB38" s="51"/>
      <c r="AMC38" s="51"/>
      <c r="AMD38" s="51"/>
      <c r="AME38" s="51"/>
      <c r="AMF38" s="51"/>
      <c r="AMG38" s="51"/>
      <c r="AMH38" s="51"/>
      <c r="AMI38" s="51"/>
      <c r="AMJ38" s="51"/>
      <c r="AMK38" s="51"/>
      <c r="AML38" s="51"/>
      <c r="AMM38" s="51"/>
      <c r="AMN38" s="51"/>
      <c r="AMO38" s="51"/>
      <c r="AMP38" s="51"/>
      <c r="AMQ38" s="51"/>
      <c r="AMR38" s="51"/>
      <c r="AMS38" s="51"/>
      <c r="AMT38" s="51"/>
      <c r="AMU38" s="51"/>
      <c r="AMV38" s="51"/>
      <c r="AMW38" s="51"/>
      <c r="AMX38" s="51"/>
      <c r="AMY38" s="51"/>
      <c r="AMZ38" s="51"/>
      <c r="ANA38" s="51"/>
      <c r="ANB38" s="51"/>
      <c r="ANC38" s="51"/>
      <c r="AND38" s="51"/>
      <c r="ANE38" s="51"/>
      <c r="ANF38" s="51"/>
      <c r="ANG38" s="51"/>
      <c r="ANH38" s="51"/>
      <c r="ANI38" s="51"/>
      <c r="ANJ38" s="51"/>
      <c r="ANK38" s="51"/>
      <c r="ANL38" s="51"/>
      <c r="ANM38" s="51"/>
      <c r="ANN38" s="51"/>
      <c r="ANO38" s="51"/>
      <c r="ANP38" s="51"/>
      <c r="ANQ38" s="51"/>
      <c r="ANR38" s="51"/>
      <c r="ANS38" s="51"/>
      <c r="ANT38" s="51"/>
      <c r="ANU38" s="51"/>
      <c r="ANV38" s="51"/>
      <c r="ANW38" s="51"/>
      <c r="ANX38" s="51"/>
      <c r="ANY38" s="51"/>
      <c r="ANZ38" s="51"/>
      <c r="AOA38" s="51"/>
      <c r="AOB38" s="51"/>
      <c r="AOC38" s="51"/>
      <c r="AOD38" s="51"/>
      <c r="AOE38" s="51"/>
      <c r="AOF38" s="51"/>
      <c r="AOG38" s="51"/>
      <c r="AOH38" s="51"/>
      <c r="AOI38" s="51"/>
      <c r="AOJ38" s="51"/>
      <c r="AOK38" s="51"/>
      <c r="AOL38" s="51"/>
      <c r="AOM38" s="51"/>
      <c r="AON38" s="51"/>
      <c r="AOO38" s="51"/>
      <c r="AOP38" s="51"/>
      <c r="AOQ38" s="51"/>
      <c r="AOR38" s="51"/>
      <c r="AOS38" s="51"/>
      <c r="AOT38" s="51"/>
      <c r="AOU38" s="51"/>
      <c r="AOV38" s="51"/>
      <c r="AOW38" s="51"/>
      <c r="AOX38" s="51"/>
      <c r="AOY38" s="51"/>
      <c r="AOZ38" s="51"/>
      <c r="APA38" s="51"/>
      <c r="APB38" s="51"/>
      <c r="APC38" s="51"/>
      <c r="APD38" s="51"/>
      <c r="APE38" s="51"/>
      <c r="APF38" s="51"/>
      <c r="APG38" s="51"/>
      <c r="APH38" s="51"/>
      <c r="API38" s="51"/>
      <c r="APJ38" s="51"/>
      <c r="APK38" s="51"/>
      <c r="APL38" s="51"/>
      <c r="APM38" s="51"/>
      <c r="APN38" s="51"/>
      <c r="APO38" s="51"/>
      <c r="APP38" s="51"/>
      <c r="APQ38" s="51"/>
      <c r="APR38" s="51"/>
      <c r="APS38" s="51"/>
      <c r="APT38" s="51"/>
      <c r="APU38" s="51"/>
      <c r="APV38" s="51"/>
      <c r="APW38" s="51"/>
      <c r="APX38" s="51"/>
      <c r="APY38" s="51"/>
      <c r="APZ38" s="51"/>
      <c r="AQA38" s="51"/>
      <c r="AQB38" s="51"/>
      <c r="AQC38" s="51"/>
      <c r="AQD38" s="51"/>
      <c r="AQE38" s="51"/>
      <c r="AQF38" s="51"/>
      <c r="AQG38" s="51"/>
      <c r="AQH38" s="51"/>
      <c r="AQI38" s="51"/>
      <c r="AQJ38" s="51"/>
      <c r="AQK38" s="51"/>
      <c r="AQL38" s="51"/>
      <c r="AQM38" s="51"/>
      <c r="AQN38" s="51"/>
      <c r="AQO38" s="51"/>
      <c r="AQP38" s="51"/>
      <c r="AQQ38" s="51"/>
      <c r="AQR38" s="51"/>
      <c r="AQS38" s="51"/>
      <c r="AQT38" s="51"/>
      <c r="AQU38" s="51"/>
      <c r="AQV38" s="51"/>
      <c r="AQW38" s="51"/>
      <c r="AQX38" s="51"/>
      <c r="AQY38" s="51"/>
      <c r="AQZ38" s="51"/>
      <c r="ARA38" s="51"/>
      <c r="ARB38" s="51"/>
      <c r="ARC38" s="51"/>
      <c r="ARD38" s="51"/>
      <c r="ARE38" s="51"/>
      <c r="ARF38" s="51"/>
      <c r="ARG38" s="51"/>
      <c r="ARH38" s="51"/>
      <c r="ARI38" s="51"/>
      <c r="ARJ38" s="51"/>
      <c r="ARK38" s="51"/>
      <c r="ARL38" s="51"/>
      <c r="ARM38" s="51"/>
      <c r="ARN38" s="51"/>
      <c r="ARO38" s="51"/>
      <c r="ARP38" s="51"/>
      <c r="ARQ38" s="51"/>
      <c r="ARR38" s="51"/>
      <c r="ARS38" s="51"/>
      <c r="ART38" s="51"/>
      <c r="ARU38" s="51"/>
      <c r="ARV38" s="51"/>
      <c r="ARW38" s="51"/>
      <c r="ARX38" s="51"/>
      <c r="ARY38" s="51"/>
      <c r="ARZ38" s="51"/>
      <c r="ASA38" s="51"/>
      <c r="ASB38" s="51"/>
      <c r="ASC38" s="51"/>
      <c r="ASD38" s="51"/>
      <c r="ASE38" s="51"/>
      <c r="ASF38" s="51"/>
      <c r="ASG38" s="51"/>
      <c r="ASH38" s="51"/>
      <c r="ASI38" s="51"/>
      <c r="ASJ38" s="51"/>
      <c r="ASK38" s="51"/>
      <c r="ASL38" s="51"/>
      <c r="ASM38" s="51"/>
      <c r="ASN38" s="51"/>
      <c r="ASO38" s="51"/>
      <c r="ASP38" s="51"/>
      <c r="ASQ38" s="51"/>
      <c r="ASR38" s="51"/>
      <c r="ASS38" s="51"/>
      <c r="AST38" s="51"/>
      <c r="ASU38" s="51"/>
      <c r="ASV38" s="51"/>
      <c r="ASW38" s="51"/>
      <c r="ASX38" s="51"/>
      <c r="ASY38" s="51"/>
      <c r="ASZ38" s="51"/>
      <c r="ATA38" s="51"/>
      <c r="ATB38" s="51"/>
      <c r="ATC38" s="51"/>
      <c r="ATD38" s="51"/>
      <c r="ATE38" s="51"/>
      <c r="ATF38" s="51"/>
      <c r="ATG38" s="51"/>
      <c r="ATH38" s="51"/>
      <c r="ATI38" s="51"/>
      <c r="ATJ38" s="51"/>
      <c r="ATK38" s="51"/>
      <c r="ATL38" s="51"/>
      <c r="ATM38" s="51"/>
      <c r="ATN38" s="51"/>
      <c r="ATO38" s="51"/>
      <c r="ATP38" s="51"/>
      <c r="ATQ38" s="51"/>
      <c r="ATR38" s="51"/>
      <c r="ATS38" s="51"/>
      <c r="ATT38" s="51"/>
      <c r="ATU38" s="51"/>
      <c r="ATV38" s="51"/>
      <c r="ATW38" s="51"/>
      <c r="ATX38" s="51"/>
      <c r="ATY38" s="51"/>
      <c r="ATZ38" s="51"/>
      <c r="AUA38" s="51"/>
      <c r="AUB38" s="51"/>
      <c r="AUC38" s="51"/>
      <c r="AUD38" s="51"/>
      <c r="AUE38" s="51"/>
      <c r="AUF38" s="51"/>
      <c r="AUG38" s="51"/>
      <c r="AUH38" s="51"/>
      <c r="AUI38" s="51"/>
      <c r="AUJ38" s="51"/>
      <c r="AUK38" s="51"/>
      <c r="AUL38" s="51"/>
      <c r="AUM38" s="51"/>
      <c r="AUN38" s="51"/>
      <c r="AUO38" s="51"/>
      <c r="AUP38" s="51"/>
      <c r="AUQ38" s="51"/>
      <c r="AUR38" s="51"/>
      <c r="AUS38" s="51"/>
      <c r="AUT38" s="51"/>
      <c r="AUU38" s="51"/>
      <c r="AUV38" s="51"/>
      <c r="AUW38" s="51"/>
      <c r="AUX38" s="51"/>
      <c r="AUY38" s="51"/>
      <c r="AUZ38" s="51"/>
      <c r="AVA38" s="51"/>
      <c r="AVB38" s="51"/>
      <c r="AVC38" s="51"/>
      <c r="AVD38" s="51"/>
      <c r="AVE38" s="51"/>
      <c r="AVF38" s="51"/>
      <c r="AVG38" s="51"/>
      <c r="AVH38" s="51"/>
      <c r="AVI38" s="51"/>
      <c r="AVJ38" s="51"/>
      <c r="AVK38" s="51"/>
      <c r="AVL38" s="51"/>
      <c r="AVM38" s="51"/>
      <c r="AVN38" s="51"/>
      <c r="AVO38" s="51"/>
      <c r="AVP38" s="51"/>
      <c r="AVQ38" s="51"/>
      <c r="AVR38" s="51"/>
      <c r="AVS38" s="51"/>
      <c r="AVT38" s="51"/>
      <c r="AVU38" s="51"/>
      <c r="AVV38" s="51"/>
      <c r="AVW38" s="51"/>
      <c r="AVX38" s="51"/>
      <c r="AVY38" s="51"/>
      <c r="AVZ38" s="51"/>
      <c r="AWA38" s="51"/>
      <c r="AWB38" s="51"/>
      <c r="AWC38" s="51"/>
      <c r="AWD38" s="51"/>
      <c r="AWE38" s="51"/>
      <c r="AWF38" s="51"/>
      <c r="AWG38" s="51"/>
      <c r="AWH38" s="51"/>
      <c r="AWI38" s="51"/>
      <c r="AWJ38" s="51"/>
      <c r="AWK38" s="51"/>
      <c r="AWL38" s="51"/>
      <c r="AWM38" s="51"/>
      <c r="AWN38" s="51"/>
      <c r="AWO38" s="51"/>
      <c r="AWP38" s="51"/>
      <c r="AWQ38" s="51"/>
      <c r="AWR38" s="51"/>
      <c r="AWS38" s="51"/>
      <c r="AWT38" s="51"/>
      <c r="AWU38" s="51"/>
      <c r="AWV38" s="51"/>
      <c r="AWW38" s="51"/>
      <c r="AWX38" s="51"/>
      <c r="AWY38" s="51"/>
      <c r="AWZ38" s="51"/>
      <c r="AXA38" s="51"/>
      <c r="AXB38" s="51"/>
      <c r="AXC38" s="51"/>
      <c r="AXD38" s="51"/>
      <c r="AXE38" s="51"/>
      <c r="AXF38" s="51"/>
      <c r="AXG38" s="51"/>
      <c r="AXH38" s="51"/>
      <c r="AXI38" s="51"/>
      <c r="AXJ38" s="51"/>
      <c r="AXK38" s="51"/>
      <c r="AXL38" s="51"/>
      <c r="AXM38" s="51"/>
      <c r="AXN38" s="51"/>
      <c r="AXO38" s="51"/>
      <c r="AXP38" s="51"/>
      <c r="AXQ38" s="51"/>
      <c r="AXR38" s="51"/>
      <c r="AXS38" s="51"/>
      <c r="AXT38" s="51"/>
      <c r="AXU38" s="51"/>
      <c r="AXV38" s="51"/>
      <c r="AXW38" s="51"/>
      <c r="AXX38" s="51"/>
      <c r="AXY38" s="51"/>
      <c r="AXZ38" s="51"/>
      <c r="AYA38" s="51"/>
      <c r="AYB38" s="51"/>
      <c r="AYC38" s="51"/>
      <c r="AYD38" s="51"/>
      <c r="AYE38" s="51"/>
      <c r="AYF38" s="51"/>
      <c r="AYG38" s="51"/>
      <c r="AYH38" s="51"/>
      <c r="AYI38" s="51"/>
      <c r="AYJ38" s="51"/>
      <c r="AYK38" s="51"/>
      <c r="AYL38" s="51"/>
      <c r="AYM38" s="51"/>
      <c r="AYN38" s="51"/>
      <c r="AYO38" s="51"/>
      <c r="AYP38" s="51"/>
      <c r="AYQ38" s="51"/>
      <c r="AYR38" s="51"/>
      <c r="AYS38" s="51"/>
      <c r="AYT38" s="51"/>
      <c r="AYU38" s="51"/>
      <c r="AYV38" s="51"/>
      <c r="AYW38" s="51"/>
      <c r="AYX38" s="51"/>
      <c r="AYY38" s="51"/>
      <c r="AYZ38" s="51"/>
      <c r="AZA38" s="51"/>
      <c r="AZB38" s="51"/>
      <c r="AZC38" s="51"/>
      <c r="AZD38" s="51"/>
      <c r="AZE38" s="51"/>
      <c r="AZF38" s="51"/>
      <c r="AZG38" s="51"/>
      <c r="AZH38" s="51"/>
      <c r="AZI38" s="51"/>
      <c r="AZJ38" s="51"/>
      <c r="AZK38" s="51"/>
      <c r="AZL38" s="51"/>
      <c r="AZM38" s="51"/>
      <c r="AZN38" s="51"/>
      <c r="AZO38" s="51"/>
      <c r="AZP38" s="51"/>
      <c r="AZQ38" s="51"/>
      <c r="AZR38" s="51"/>
      <c r="AZS38" s="51"/>
      <c r="AZT38" s="51"/>
      <c r="AZU38" s="51"/>
      <c r="AZV38" s="51"/>
      <c r="AZW38" s="51"/>
      <c r="AZX38" s="51"/>
      <c r="AZY38" s="51"/>
      <c r="AZZ38" s="51"/>
      <c r="BAA38" s="51"/>
      <c r="BAB38" s="51"/>
      <c r="BAC38" s="51"/>
      <c r="BAD38" s="51"/>
      <c r="BAE38" s="51"/>
      <c r="BAF38" s="51"/>
      <c r="BAG38" s="51"/>
      <c r="BAH38" s="51"/>
      <c r="BAI38" s="51"/>
      <c r="BAJ38" s="51"/>
      <c r="BAK38" s="51"/>
      <c r="BAL38" s="51"/>
      <c r="BAM38" s="51"/>
      <c r="BAN38" s="51"/>
      <c r="BAO38" s="51"/>
      <c r="BAP38" s="51"/>
      <c r="BAQ38" s="51"/>
      <c r="BAR38" s="51"/>
      <c r="BAS38" s="51"/>
      <c r="BAT38" s="51"/>
      <c r="BAU38" s="51"/>
      <c r="BAV38" s="51"/>
      <c r="BAW38" s="51"/>
      <c r="BAX38" s="51"/>
      <c r="BAY38" s="51"/>
      <c r="BAZ38" s="51"/>
      <c r="BBA38" s="51"/>
      <c r="BBB38" s="51"/>
      <c r="BBC38" s="51"/>
      <c r="BBD38" s="51"/>
      <c r="BBE38" s="51"/>
      <c r="BBF38" s="51"/>
      <c r="BBG38" s="51"/>
      <c r="BBH38" s="51"/>
      <c r="BBI38" s="51"/>
      <c r="BBJ38" s="51"/>
      <c r="BBK38" s="51"/>
      <c r="BBL38" s="51"/>
      <c r="BBM38" s="51"/>
      <c r="BBN38" s="51"/>
      <c r="BBO38" s="51"/>
      <c r="BBP38" s="51"/>
      <c r="BBQ38" s="51"/>
      <c r="BBR38" s="51"/>
      <c r="BBS38" s="51"/>
      <c r="BBT38" s="51"/>
      <c r="BBU38" s="51"/>
      <c r="BBV38" s="51"/>
      <c r="BBW38" s="51"/>
      <c r="BBX38" s="51"/>
      <c r="BBY38" s="51"/>
      <c r="BBZ38" s="51"/>
      <c r="BCA38" s="51"/>
      <c r="BCB38" s="51"/>
      <c r="BCC38" s="51"/>
      <c r="BCD38" s="51"/>
      <c r="BCE38" s="51"/>
      <c r="BCF38" s="51"/>
      <c r="BCG38" s="51"/>
      <c r="BCH38" s="51"/>
      <c r="BCI38" s="51"/>
      <c r="BCJ38" s="51"/>
      <c r="BCK38" s="51"/>
      <c r="BCL38" s="51"/>
      <c r="BCM38" s="51"/>
      <c r="BCN38" s="51"/>
      <c r="BCO38" s="51"/>
      <c r="BCP38" s="51"/>
      <c r="BCQ38" s="51"/>
      <c r="BCR38" s="51"/>
      <c r="BCS38" s="51"/>
      <c r="BCT38" s="51"/>
      <c r="BCU38" s="51"/>
      <c r="BCV38" s="51"/>
      <c r="BCW38" s="51"/>
      <c r="BCX38" s="51"/>
      <c r="BCY38" s="51"/>
      <c r="BCZ38" s="51"/>
      <c r="BDA38" s="51"/>
      <c r="BDB38" s="51"/>
      <c r="BDC38" s="51"/>
      <c r="BDD38" s="51"/>
      <c r="BDE38" s="51"/>
      <c r="BDF38" s="51"/>
      <c r="BDG38" s="51"/>
      <c r="BDH38" s="51"/>
      <c r="BDI38" s="51"/>
      <c r="BDJ38" s="51"/>
      <c r="BDK38" s="51"/>
      <c r="BDL38" s="51"/>
      <c r="BDM38" s="51"/>
      <c r="BDN38" s="51"/>
      <c r="BDO38" s="51"/>
      <c r="BDP38" s="51"/>
      <c r="BDQ38" s="51"/>
      <c r="BDR38" s="51"/>
      <c r="BDS38" s="51"/>
      <c r="BDT38" s="51"/>
      <c r="BDU38" s="51"/>
      <c r="BDV38" s="51"/>
      <c r="BDW38" s="51"/>
      <c r="BDX38" s="51"/>
      <c r="BDY38" s="51"/>
      <c r="BDZ38" s="51"/>
      <c r="BEA38" s="51"/>
      <c r="BEB38" s="51"/>
      <c r="BEC38" s="51"/>
      <c r="BED38" s="51"/>
      <c r="BEE38" s="51"/>
      <c r="BEF38" s="51"/>
      <c r="BEG38" s="51"/>
      <c r="BEH38" s="51"/>
      <c r="BEI38" s="51"/>
      <c r="BEJ38" s="51"/>
      <c r="BEK38" s="51"/>
      <c r="BEL38" s="51"/>
      <c r="BEM38" s="51"/>
      <c r="BEN38" s="51"/>
      <c r="BEO38" s="51"/>
      <c r="BEP38" s="51"/>
      <c r="BEQ38" s="51"/>
      <c r="BER38" s="51"/>
      <c r="BES38" s="51"/>
      <c r="BET38" s="51"/>
      <c r="BEU38" s="51"/>
      <c r="BEV38" s="51"/>
      <c r="BEW38" s="51"/>
      <c r="BEX38" s="51"/>
      <c r="BEY38" s="51"/>
      <c r="BEZ38" s="51"/>
      <c r="BFA38" s="51"/>
      <c r="BFB38" s="51"/>
      <c r="BFC38" s="51"/>
      <c r="BFD38" s="51"/>
      <c r="BFE38" s="51"/>
      <c r="BFF38" s="51"/>
      <c r="BFG38" s="51"/>
      <c r="BFH38" s="51"/>
      <c r="BFI38" s="51"/>
      <c r="BFJ38" s="51"/>
      <c r="BFK38" s="51"/>
      <c r="BFL38" s="51"/>
      <c r="BFM38" s="51"/>
      <c r="BFN38" s="51"/>
      <c r="BFO38" s="51"/>
      <c r="BFP38" s="51"/>
      <c r="BFQ38" s="51"/>
      <c r="BFR38" s="51"/>
      <c r="BFS38" s="51"/>
      <c r="BFT38" s="51"/>
      <c r="BFU38" s="51"/>
      <c r="BFV38" s="51"/>
      <c r="BFW38" s="51"/>
      <c r="BFX38" s="51"/>
      <c r="BFY38" s="51"/>
      <c r="BFZ38" s="51"/>
      <c r="BGA38" s="51"/>
      <c r="BGB38" s="51"/>
      <c r="BGC38" s="51"/>
      <c r="BGD38" s="51"/>
      <c r="BGE38" s="51"/>
      <c r="BGF38" s="51"/>
      <c r="BGG38" s="51"/>
      <c r="BGH38" s="51"/>
      <c r="BGI38" s="51"/>
      <c r="BGJ38" s="51"/>
      <c r="BGK38" s="51"/>
      <c r="BGL38" s="51"/>
      <c r="BGM38" s="51"/>
      <c r="BGN38" s="51"/>
      <c r="BGO38" s="51"/>
      <c r="BGP38" s="51"/>
      <c r="BGQ38" s="51"/>
      <c r="BGR38" s="51"/>
      <c r="BGS38" s="51"/>
      <c r="BGT38" s="51"/>
      <c r="BGU38" s="51"/>
      <c r="BGV38" s="51"/>
      <c r="BGW38" s="51"/>
      <c r="BGX38" s="51"/>
      <c r="BGY38" s="51"/>
      <c r="BGZ38" s="51"/>
      <c r="BHA38" s="51"/>
      <c r="BHB38" s="51"/>
      <c r="BHC38" s="51"/>
      <c r="BHD38" s="51"/>
      <c r="BHE38" s="51"/>
      <c r="BHF38" s="51"/>
      <c r="BHG38" s="51"/>
      <c r="BHH38" s="51"/>
      <c r="BHI38" s="51"/>
      <c r="BHJ38" s="51"/>
      <c r="BHK38" s="51"/>
      <c r="BHL38" s="51"/>
      <c r="BHM38" s="51"/>
      <c r="BHN38" s="51"/>
      <c r="BHO38" s="51"/>
      <c r="BHP38" s="51"/>
      <c r="BHQ38" s="51"/>
      <c r="BHR38" s="51"/>
      <c r="BHS38" s="51"/>
      <c r="BHT38" s="51"/>
      <c r="BHU38" s="51"/>
      <c r="BHV38" s="51"/>
      <c r="BHW38" s="51"/>
      <c r="BHX38" s="51"/>
      <c r="BHY38" s="51"/>
      <c r="BHZ38" s="51"/>
      <c r="BIA38" s="51"/>
      <c r="BIB38" s="51"/>
      <c r="BIC38" s="51"/>
      <c r="BID38" s="51"/>
      <c r="BIE38" s="51"/>
      <c r="BIF38" s="51"/>
      <c r="BIG38" s="51"/>
      <c r="BIH38" s="51"/>
      <c r="BII38" s="51"/>
      <c r="BIJ38" s="51"/>
      <c r="BIK38" s="51"/>
      <c r="BIL38" s="51"/>
      <c r="BIM38" s="51"/>
      <c r="BIN38" s="51"/>
      <c r="BIO38" s="51"/>
      <c r="BIP38" s="51"/>
      <c r="BIQ38" s="51"/>
      <c r="BIR38" s="51"/>
      <c r="BIS38" s="51"/>
      <c r="BIT38" s="51"/>
      <c r="BIU38" s="51"/>
      <c r="BIV38" s="51"/>
      <c r="BIW38" s="51"/>
      <c r="BIX38" s="51"/>
      <c r="BIY38" s="51"/>
      <c r="BIZ38" s="51"/>
      <c r="BJA38" s="51"/>
      <c r="BJB38" s="51"/>
      <c r="BJC38" s="51"/>
      <c r="BJD38" s="51"/>
      <c r="BJE38" s="51"/>
      <c r="BJF38" s="51"/>
      <c r="BJG38" s="51"/>
      <c r="BJH38" s="51"/>
      <c r="BJI38" s="51"/>
      <c r="BJJ38" s="51"/>
      <c r="BJK38" s="51"/>
      <c r="BJL38" s="51"/>
      <c r="BJM38" s="51"/>
      <c r="BJN38" s="51"/>
      <c r="BJO38" s="51"/>
      <c r="BJP38" s="51"/>
      <c r="BJQ38" s="51"/>
      <c r="BJR38" s="51"/>
      <c r="BJS38" s="51"/>
      <c r="BJT38" s="51"/>
      <c r="BJU38" s="51"/>
      <c r="BJV38" s="51"/>
      <c r="BJW38" s="51"/>
      <c r="BJX38" s="51"/>
      <c r="BJY38" s="51"/>
      <c r="BJZ38" s="51"/>
      <c r="BKA38" s="51"/>
      <c r="BKB38" s="51"/>
      <c r="BKC38" s="51"/>
      <c r="BKD38" s="51"/>
      <c r="BKE38" s="51"/>
      <c r="BKF38" s="51"/>
      <c r="BKG38" s="51"/>
      <c r="BKH38" s="51"/>
      <c r="BKI38" s="51"/>
      <c r="BKJ38" s="51"/>
      <c r="BKK38" s="51"/>
      <c r="BKL38" s="51"/>
      <c r="BKM38" s="51"/>
      <c r="BKN38" s="51"/>
      <c r="BKO38" s="51"/>
      <c r="BKP38" s="51"/>
      <c r="BKQ38" s="51"/>
      <c r="BKR38" s="51"/>
      <c r="BKS38" s="51"/>
      <c r="BKT38" s="51"/>
      <c r="BKU38" s="51"/>
      <c r="BKV38" s="51"/>
      <c r="BKW38" s="51"/>
      <c r="BKX38" s="51"/>
      <c r="BKY38" s="51"/>
      <c r="BKZ38" s="51"/>
      <c r="BLA38" s="51"/>
      <c r="BLB38" s="51"/>
      <c r="BLC38" s="51"/>
      <c r="BLD38" s="51"/>
      <c r="BLE38" s="51"/>
      <c r="BLF38" s="51"/>
      <c r="BLG38" s="51"/>
      <c r="BLH38" s="51"/>
      <c r="BLI38" s="51"/>
      <c r="BLJ38" s="51"/>
      <c r="BLK38" s="51"/>
      <c r="BLL38" s="51"/>
      <c r="BLM38" s="51"/>
      <c r="BLN38" s="51"/>
      <c r="BLO38" s="51"/>
      <c r="BLP38" s="51"/>
      <c r="BLQ38" s="51"/>
      <c r="BLR38" s="51"/>
      <c r="BLS38" s="51"/>
      <c r="BLT38" s="51"/>
      <c r="BLU38" s="51"/>
      <c r="BLV38" s="51"/>
      <c r="BLW38" s="51"/>
      <c r="BLX38" s="51"/>
      <c r="BLY38" s="51"/>
      <c r="BLZ38" s="51"/>
      <c r="BMA38" s="51"/>
      <c r="BMB38" s="51"/>
      <c r="BMC38" s="51"/>
      <c r="BMD38" s="51"/>
      <c r="BME38" s="51"/>
      <c r="BMF38" s="51"/>
      <c r="BMG38" s="51"/>
      <c r="BMH38" s="51"/>
      <c r="BMI38" s="51"/>
      <c r="BMJ38" s="51"/>
      <c r="BMK38" s="51"/>
      <c r="BML38" s="51"/>
      <c r="BMM38" s="51"/>
      <c r="BMN38" s="51"/>
      <c r="BMO38" s="51"/>
      <c r="BMP38" s="51"/>
      <c r="BMQ38" s="51"/>
      <c r="BMR38" s="51"/>
      <c r="BMS38" s="51"/>
      <c r="BMT38" s="51"/>
      <c r="BMU38" s="51"/>
      <c r="BMV38" s="51"/>
      <c r="BMW38" s="51"/>
      <c r="BMX38" s="51"/>
      <c r="BMY38" s="51"/>
      <c r="BMZ38" s="51"/>
      <c r="BNA38" s="51"/>
      <c r="BNB38" s="51"/>
      <c r="BNC38" s="51"/>
      <c r="BND38" s="51"/>
      <c r="BNE38" s="51"/>
      <c r="BNF38" s="51"/>
      <c r="BNG38" s="51"/>
      <c r="BNH38" s="51"/>
      <c r="BNI38" s="51"/>
      <c r="BNJ38" s="51"/>
      <c r="BNK38" s="51"/>
      <c r="BNL38" s="51"/>
      <c r="BNM38" s="51"/>
      <c r="BNN38" s="51"/>
      <c r="BNO38" s="51"/>
      <c r="BNP38" s="51"/>
      <c r="BNQ38" s="51"/>
      <c r="BNR38" s="51"/>
      <c r="BNS38" s="51"/>
      <c r="BNT38" s="51"/>
      <c r="BNU38" s="51"/>
      <c r="BNV38" s="51"/>
      <c r="BNW38" s="51"/>
      <c r="BNX38" s="51"/>
      <c r="BNY38" s="51"/>
      <c r="BNZ38" s="51"/>
      <c r="BOA38" s="51"/>
      <c r="BOB38" s="51"/>
      <c r="BOC38" s="51"/>
      <c r="BOD38" s="51"/>
      <c r="BOE38" s="51"/>
      <c r="BOF38" s="51"/>
      <c r="BOG38" s="51"/>
      <c r="BOH38" s="51"/>
      <c r="BOI38" s="51"/>
      <c r="BOJ38" s="51"/>
      <c r="BOK38" s="51"/>
      <c r="BOL38" s="51"/>
      <c r="BOM38" s="51"/>
      <c r="BON38" s="51"/>
      <c r="BOO38" s="51"/>
      <c r="BOP38" s="51"/>
      <c r="BOQ38" s="51"/>
      <c r="BOR38" s="51"/>
      <c r="BOS38" s="51"/>
      <c r="BOT38" s="51"/>
      <c r="BOU38" s="51"/>
      <c r="BOV38" s="51"/>
      <c r="BOW38" s="51"/>
      <c r="BOX38" s="51"/>
      <c r="BOY38" s="51"/>
      <c r="BOZ38" s="51"/>
      <c r="BPA38" s="51"/>
      <c r="BPB38" s="51"/>
      <c r="BPC38" s="51"/>
      <c r="BPD38" s="51"/>
      <c r="BPE38" s="51"/>
      <c r="BPF38" s="51"/>
      <c r="BPG38" s="51"/>
      <c r="BPH38" s="51"/>
      <c r="BPI38" s="51"/>
      <c r="BPJ38" s="51"/>
      <c r="BPK38" s="51"/>
      <c r="BPL38" s="51"/>
      <c r="BPM38" s="51"/>
      <c r="BPN38" s="51"/>
      <c r="BPO38" s="51"/>
      <c r="BPP38" s="51"/>
      <c r="BPQ38" s="51"/>
      <c r="BPR38" s="51"/>
      <c r="BPS38" s="51"/>
      <c r="BPT38" s="51"/>
      <c r="BPU38" s="51"/>
      <c r="BPV38" s="51"/>
      <c r="BPW38" s="51"/>
      <c r="BPX38" s="51"/>
      <c r="BPY38" s="51"/>
      <c r="BPZ38" s="51"/>
      <c r="BQA38" s="51"/>
      <c r="BQB38" s="51"/>
      <c r="BQC38" s="51"/>
      <c r="BQD38" s="51"/>
      <c r="BQE38" s="51"/>
      <c r="BQF38" s="51"/>
      <c r="BQG38" s="51"/>
      <c r="BQH38" s="51"/>
      <c r="BQI38" s="51"/>
      <c r="BQJ38" s="51"/>
      <c r="BQK38" s="51"/>
      <c r="BQL38" s="51"/>
      <c r="BQM38" s="51"/>
      <c r="BQN38" s="51"/>
      <c r="BQO38" s="51"/>
      <c r="BQP38" s="51"/>
      <c r="BQQ38" s="51"/>
      <c r="BQR38" s="51"/>
      <c r="BQS38" s="51"/>
      <c r="BQT38" s="51"/>
      <c r="BQU38" s="51"/>
      <c r="BQV38" s="51"/>
      <c r="BQW38" s="51"/>
      <c r="BQX38" s="51"/>
      <c r="BQY38" s="51"/>
      <c r="BQZ38" s="51"/>
      <c r="BRA38" s="51"/>
      <c r="BRB38" s="51"/>
      <c r="BRC38" s="51"/>
      <c r="BRD38" s="51"/>
      <c r="BRE38" s="51"/>
      <c r="BRF38" s="51"/>
      <c r="BRG38" s="51"/>
      <c r="BRH38" s="51"/>
      <c r="BRI38" s="51"/>
      <c r="BRJ38" s="51"/>
      <c r="BRK38" s="51"/>
      <c r="BRL38" s="51"/>
      <c r="BRM38" s="51"/>
      <c r="BRN38" s="51"/>
      <c r="BRO38" s="51"/>
      <c r="BRP38" s="51"/>
      <c r="BRQ38" s="51"/>
      <c r="BRR38" s="51"/>
      <c r="BRS38" s="51"/>
      <c r="BRT38" s="51"/>
      <c r="BRU38" s="51"/>
      <c r="BRV38" s="51"/>
      <c r="BRW38" s="51"/>
      <c r="BRX38" s="51"/>
      <c r="BRY38" s="51"/>
      <c r="BRZ38" s="51"/>
      <c r="BSA38" s="51"/>
      <c r="BSB38" s="51"/>
      <c r="BSC38" s="51"/>
      <c r="BSD38" s="51"/>
      <c r="BSE38" s="51"/>
      <c r="BSF38" s="51"/>
      <c r="BSG38" s="51"/>
      <c r="BSH38" s="51"/>
      <c r="BSI38" s="51"/>
      <c r="BSJ38" s="51"/>
      <c r="BSK38" s="51"/>
      <c r="BSL38" s="51"/>
      <c r="BSM38" s="51"/>
      <c r="BSN38" s="51"/>
      <c r="BSO38" s="51"/>
      <c r="BSP38" s="51"/>
      <c r="BSQ38" s="51"/>
      <c r="BSR38" s="51"/>
      <c r="BSS38" s="51"/>
      <c r="BST38" s="51"/>
      <c r="BSU38" s="51"/>
      <c r="BSV38" s="51"/>
      <c r="BSW38" s="51"/>
      <c r="BSX38" s="51"/>
      <c r="BSY38" s="51"/>
      <c r="BSZ38" s="51"/>
      <c r="BTA38" s="51"/>
      <c r="BTB38" s="51"/>
      <c r="BTC38" s="51"/>
      <c r="BTD38" s="51"/>
      <c r="BTE38" s="51"/>
      <c r="BTF38" s="51"/>
      <c r="BTG38" s="51"/>
      <c r="BTH38" s="51"/>
      <c r="BTI38" s="51"/>
      <c r="BTJ38" s="51"/>
      <c r="BTK38" s="51"/>
      <c r="BTL38" s="51"/>
      <c r="BTM38" s="51"/>
      <c r="BTN38" s="51"/>
      <c r="BTO38" s="51"/>
      <c r="BTP38" s="51"/>
      <c r="BTQ38" s="51"/>
      <c r="BTR38" s="51"/>
      <c r="BTS38" s="51"/>
      <c r="BTT38" s="51"/>
      <c r="BTU38" s="51"/>
      <c r="BTV38" s="51"/>
      <c r="BTW38" s="51"/>
      <c r="BTX38" s="51"/>
      <c r="BTY38" s="51"/>
      <c r="BTZ38" s="51"/>
      <c r="BUA38" s="51"/>
      <c r="BUB38" s="51"/>
      <c r="BUC38" s="51"/>
      <c r="BUD38" s="51"/>
      <c r="BUE38" s="51"/>
      <c r="BUF38" s="51"/>
      <c r="BUG38" s="51"/>
      <c r="BUH38" s="51"/>
      <c r="BUI38" s="51"/>
      <c r="BUJ38" s="51"/>
      <c r="BUK38" s="51"/>
      <c r="BUL38" s="51"/>
      <c r="BUM38" s="51"/>
      <c r="BUN38" s="51"/>
      <c r="BUO38" s="51"/>
      <c r="BUP38" s="51"/>
      <c r="BUQ38" s="51"/>
      <c r="BUR38" s="51"/>
      <c r="BUS38" s="51"/>
      <c r="BUT38" s="51"/>
      <c r="BUU38" s="51"/>
      <c r="BUV38" s="51"/>
      <c r="BUW38" s="51"/>
      <c r="BUX38" s="51"/>
      <c r="BUY38" s="51"/>
      <c r="BUZ38" s="51"/>
      <c r="BVA38" s="51"/>
      <c r="BVB38" s="51"/>
      <c r="BVC38" s="51"/>
      <c r="BVD38" s="51"/>
      <c r="BVE38" s="51"/>
      <c r="BVF38" s="51"/>
      <c r="BVG38" s="51"/>
      <c r="BVH38" s="51"/>
      <c r="BVI38" s="51"/>
      <c r="BVJ38" s="51"/>
      <c r="BVK38" s="51"/>
      <c r="BVL38" s="51"/>
      <c r="BVM38" s="51"/>
      <c r="BVN38" s="51"/>
      <c r="BVO38" s="51"/>
      <c r="BVP38" s="51"/>
      <c r="BVQ38" s="51"/>
      <c r="BVR38" s="51"/>
      <c r="BVS38" s="51"/>
      <c r="BVT38" s="51"/>
      <c r="BVU38" s="51"/>
      <c r="BVV38" s="51"/>
      <c r="BVW38" s="51"/>
      <c r="BVX38" s="51"/>
      <c r="BVY38" s="51"/>
      <c r="BVZ38" s="51"/>
      <c r="BWA38" s="51"/>
      <c r="BWB38" s="51"/>
      <c r="BWC38" s="51"/>
      <c r="BWD38" s="51"/>
      <c r="BWE38" s="51"/>
      <c r="BWF38" s="51"/>
      <c r="BWG38" s="51"/>
      <c r="BWH38" s="51"/>
      <c r="BWI38" s="51"/>
      <c r="BWJ38" s="51"/>
      <c r="BWK38" s="51"/>
      <c r="BWL38" s="51"/>
      <c r="BWM38" s="51"/>
      <c r="BWN38" s="51"/>
      <c r="BWO38" s="51"/>
      <c r="BWP38" s="51"/>
      <c r="BWQ38" s="51"/>
      <c r="BWR38" s="51"/>
      <c r="BWS38" s="51"/>
      <c r="BWT38" s="51"/>
      <c r="BWU38" s="51"/>
      <c r="BWV38" s="51"/>
      <c r="BWW38" s="51"/>
      <c r="BWX38" s="51"/>
      <c r="BWY38" s="51"/>
      <c r="BWZ38" s="51"/>
      <c r="BXA38" s="51"/>
      <c r="BXB38" s="51"/>
      <c r="BXC38" s="51"/>
      <c r="BXD38" s="51"/>
      <c r="BXE38" s="51"/>
      <c r="BXF38" s="51"/>
      <c r="BXG38" s="51"/>
      <c r="BXH38" s="51"/>
      <c r="BXI38" s="51"/>
      <c r="BXJ38" s="51"/>
      <c r="BXK38" s="51"/>
      <c r="BXL38" s="51"/>
      <c r="BXM38" s="51"/>
      <c r="BXN38" s="51"/>
      <c r="BXO38" s="51"/>
      <c r="BXP38" s="51"/>
      <c r="BXQ38" s="51"/>
      <c r="BXR38" s="51"/>
      <c r="BXS38" s="51"/>
      <c r="BXT38" s="51"/>
      <c r="BXU38" s="51"/>
      <c r="BXV38" s="51"/>
      <c r="BXW38" s="51"/>
      <c r="BXX38" s="51"/>
      <c r="BXY38" s="51"/>
      <c r="BXZ38" s="51"/>
      <c r="BYA38" s="51"/>
      <c r="BYB38" s="51"/>
      <c r="BYC38" s="51"/>
      <c r="BYD38" s="51"/>
      <c r="BYE38" s="51"/>
      <c r="BYF38" s="51"/>
      <c r="BYG38" s="51"/>
      <c r="BYH38" s="51"/>
      <c r="BYI38" s="51"/>
      <c r="BYJ38" s="51"/>
      <c r="BYK38" s="51"/>
      <c r="BYL38" s="51"/>
      <c r="BYM38" s="51"/>
      <c r="BYN38" s="51"/>
      <c r="BYO38" s="51"/>
      <c r="BYP38" s="51"/>
      <c r="BYQ38" s="51"/>
      <c r="BYR38" s="51"/>
      <c r="BYS38" s="51"/>
      <c r="BYT38" s="51"/>
      <c r="BYU38" s="51"/>
      <c r="BYV38" s="51"/>
      <c r="BYW38" s="51"/>
      <c r="BYX38" s="51"/>
      <c r="BYY38" s="51"/>
      <c r="BYZ38" s="51"/>
      <c r="BZA38" s="51"/>
      <c r="BZB38" s="51"/>
      <c r="BZC38" s="51"/>
      <c r="BZD38" s="51"/>
      <c r="BZE38" s="51"/>
      <c r="BZF38" s="51"/>
      <c r="BZG38" s="51"/>
      <c r="BZH38" s="51"/>
      <c r="BZI38" s="51"/>
      <c r="BZJ38" s="51"/>
      <c r="BZK38" s="51"/>
      <c r="BZL38" s="51"/>
      <c r="BZM38" s="51"/>
      <c r="BZN38" s="51"/>
      <c r="BZO38" s="51"/>
      <c r="BZP38" s="51"/>
      <c r="BZQ38" s="51"/>
      <c r="BZR38" s="51"/>
      <c r="BZS38" s="51"/>
      <c r="BZT38" s="51"/>
      <c r="BZU38" s="51"/>
      <c r="BZV38" s="51"/>
      <c r="BZW38" s="51"/>
      <c r="BZX38" s="51"/>
      <c r="BZY38" s="51"/>
      <c r="BZZ38" s="51"/>
      <c r="CAA38" s="51"/>
      <c r="CAB38" s="51"/>
      <c r="CAC38" s="51"/>
      <c r="CAD38" s="51"/>
      <c r="CAE38" s="51"/>
      <c r="CAF38" s="51"/>
      <c r="CAG38" s="51"/>
      <c r="CAH38" s="51"/>
      <c r="CAI38" s="51"/>
      <c r="CAJ38" s="51"/>
      <c r="CAK38" s="51"/>
      <c r="CAL38" s="51"/>
      <c r="CAM38" s="51"/>
      <c r="CAN38" s="51"/>
      <c r="CAO38" s="51"/>
      <c r="CAP38" s="51"/>
      <c r="CAQ38" s="51"/>
      <c r="CAR38" s="51"/>
      <c r="CAS38" s="51"/>
      <c r="CAT38" s="51"/>
      <c r="CAU38" s="51"/>
      <c r="CAV38" s="51"/>
      <c r="CAW38" s="51"/>
      <c r="CAX38" s="51"/>
      <c r="CAY38" s="51"/>
      <c r="CAZ38" s="51"/>
      <c r="CBA38" s="51"/>
      <c r="CBB38" s="51"/>
      <c r="CBC38" s="51"/>
      <c r="CBD38" s="51"/>
      <c r="CBE38" s="51"/>
      <c r="CBF38" s="51"/>
      <c r="CBG38" s="51"/>
      <c r="CBH38" s="51"/>
      <c r="CBI38" s="51"/>
      <c r="CBJ38" s="51"/>
      <c r="CBK38" s="51"/>
      <c r="CBL38" s="51"/>
      <c r="CBM38" s="51"/>
      <c r="CBN38" s="51"/>
      <c r="CBO38" s="51"/>
      <c r="CBP38" s="51"/>
      <c r="CBQ38" s="51"/>
      <c r="CBR38" s="51"/>
      <c r="CBS38" s="51"/>
      <c r="CBT38" s="51"/>
      <c r="CBU38" s="51"/>
      <c r="CBV38" s="51"/>
      <c r="CBW38" s="51"/>
      <c r="CBX38" s="51"/>
      <c r="CBY38" s="51"/>
      <c r="CBZ38" s="51"/>
      <c r="CCA38" s="51"/>
      <c r="CCB38" s="51"/>
      <c r="CCC38" s="51"/>
      <c r="CCD38" s="51"/>
      <c r="CCE38" s="51"/>
      <c r="CCF38" s="51"/>
      <c r="CCG38" s="51"/>
      <c r="CCH38" s="51"/>
      <c r="CCI38" s="51"/>
      <c r="CCJ38" s="51"/>
      <c r="CCK38" s="51"/>
      <c r="CCL38" s="51"/>
      <c r="CCM38" s="51"/>
      <c r="CCN38" s="51"/>
      <c r="CCO38" s="51"/>
      <c r="CCP38" s="51"/>
      <c r="CCQ38" s="51"/>
      <c r="CCR38" s="51"/>
      <c r="CCS38" s="51"/>
      <c r="CCT38" s="51"/>
      <c r="CCU38" s="51"/>
      <c r="CCV38" s="51"/>
      <c r="CCW38" s="51"/>
      <c r="CCX38" s="51"/>
      <c r="CCY38" s="51"/>
      <c r="CCZ38" s="51"/>
      <c r="CDA38" s="51"/>
      <c r="CDB38" s="51"/>
      <c r="CDC38" s="51"/>
      <c r="CDD38" s="51"/>
      <c r="CDE38" s="51"/>
      <c r="CDF38" s="51"/>
      <c r="CDG38" s="51"/>
      <c r="CDH38" s="51"/>
      <c r="CDI38" s="51"/>
      <c r="CDJ38" s="51"/>
      <c r="CDK38" s="51"/>
      <c r="CDL38" s="51"/>
      <c r="CDM38" s="51"/>
      <c r="CDN38" s="51"/>
      <c r="CDO38" s="51"/>
      <c r="CDP38" s="51"/>
      <c r="CDQ38" s="51"/>
      <c r="CDR38" s="51"/>
      <c r="CDS38" s="51"/>
      <c r="CDT38" s="51"/>
      <c r="CDU38" s="51"/>
      <c r="CDV38" s="51"/>
      <c r="CDW38" s="51"/>
      <c r="CDX38" s="51"/>
      <c r="CDY38" s="51"/>
      <c r="CDZ38" s="51"/>
      <c r="CEA38" s="51"/>
      <c r="CEB38" s="51"/>
      <c r="CEC38" s="51"/>
      <c r="CED38" s="51"/>
      <c r="CEE38" s="51"/>
      <c r="CEF38" s="51"/>
      <c r="CEG38" s="51"/>
      <c r="CEH38" s="51"/>
      <c r="CEI38" s="51"/>
      <c r="CEJ38" s="51"/>
      <c r="CEK38" s="51"/>
      <c r="CEL38" s="51"/>
      <c r="CEM38" s="51"/>
      <c r="CEN38" s="51"/>
      <c r="CEO38" s="51"/>
      <c r="CEP38" s="51"/>
      <c r="CEQ38" s="51"/>
      <c r="CER38" s="51"/>
      <c r="CES38" s="51"/>
      <c r="CET38" s="51"/>
      <c r="CEU38" s="51"/>
      <c r="CEV38" s="51"/>
      <c r="CEW38" s="51"/>
      <c r="CEX38" s="51"/>
      <c r="CEY38" s="51"/>
      <c r="CEZ38" s="51"/>
      <c r="CFA38" s="51"/>
      <c r="CFB38" s="51"/>
      <c r="CFC38" s="51"/>
      <c r="CFD38" s="51"/>
      <c r="CFE38" s="51"/>
      <c r="CFF38" s="51"/>
      <c r="CFG38" s="51"/>
      <c r="CFH38" s="51"/>
      <c r="CFI38" s="51"/>
      <c r="CFJ38" s="51"/>
      <c r="CFK38" s="51"/>
      <c r="CFL38" s="51"/>
      <c r="CFM38" s="51"/>
      <c r="CFN38" s="51"/>
      <c r="CFO38" s="51"/>
      <c r="CFP38" s="51"/>
      <c r="CFQ38" s="51"/>
      <c r="CFR38" s="51"/>
      <c r="CFS38" s="51"/>
      <c r="CFT38" s="51"/>
      <c r="CFU38" s="51"/>
      <c r="CFV38" s="51"/>
      <c r="CFW38" s="51"/>
      <c r="CFX38" s="51"/>
      <c r="CFY38" s="51"/>
      <c r="CFZ38" s="51"/>
      <c r="CGA38" s="51"/>
      <c r="CGB38" s="51"/>
      <c r="CGC38" s="51"/>
      <c r="CGD38" s="51"/>
      <c r="CGE38" s="51"/>
      <c r="CGF38" s="51"/>
      <c r="CGG38" s="51"/>
      <c r="CGH38" s="51"/>
      <c r="CGI38" s="51"/>
      <c r="CGJ38" s="51"/>
      <c r="CGK38" s="51"/>
      <c r="CGL38" s="51"/>
      <c r="CGM38" s="51"/>
      <c r="CGN38" s="51"/>
      <c r="CGO38" s="51"/>
      <c r="CGP38" s="51"/>
      <c r="CGQ38" s="51"/>
      <c r="CGR38" s="51"/>
      <c r="CGS38" s="51"/>
      <c r="CGT38" s="51"/>
      <c r="CGU38" s="51"/>
      <c r="CGV38" s="51"/>
      <c r="CGW38" s="51"/>
      <c r="CGX38" s="51"/>
      <c r="CGY38" s="51"/>
      <c r="CGZ38" s="51"/>
      <c r="CHA38" s="51"/>
      <c r="CHB38" s="51"/>
      <c r="CHC38" s="51"/>
      <c r="CHD38" s="51"/>
      <c r="CHE38" s="51"/>
      <c r="CHF38" s="51"/>
      <c r="CHG38" s="51"/>
      <c r="CHH38" s="51"/>
      <c r="CHI38" s="51"/>
      <c r="CHJ38" s="51"/>
      <c r="CHK38" s="51"/>
      <c r="CHL38" s="51"/>
      <c r="CHM38" s="51"/>
      <c r="CHN38" s="51"/>
      <c r="CHO38" s="51"/>
      <c r="CHP38" s="51"/>
      <c r="CHQ38" s="51"/>
      <c r="CHR38" s="51"/>
      <c r="CHS38" s="51"/>
      <c r="CHT38" s="51"/>
      <c r="CHU38" s="51"/>
      <c r="CHV38" s="51"/>
      <c r="CHW38" s="51"/>
      <c r="CHX38" s="51"/>
      <c r="CHY38" s="51"/>
      <c r="CHZ38" s="51"/>
      <c r="CIA38" s="51"/>
      <c r="CIB38" s="51"/>
      <c r="CIC38" s="51"/>
      <c r="CID38" s="51"/>
      <c r="CIE38" s="51"/>
      <c r="CIF38" s="51"/>
      <c r="CIG38" s="51"/>
      <c r="CIH38" s="51"/>
      <c r="CII38" s="51"/>
      <c r="CIJ38" s="51"/>
      <c r="CIK38" s="51"/>
      <c r="CIL38" s="51"/>
      <c r="CIM38" s="51"/>
      <c r="CIN38" s="51"/>
      <c r="CIO38" s="51"/>
      <c r="CIP38" s="51"/>
      <c r="CIQ38" s="51"/>
      <c r="CIR38" s="51"/>
      <c r="CIS38" s="51"/>
      <c r="CIT38" s="51"/>
      <c r="CIU38" s="51"/>
      <c r="CIV38" s="51"/>
      <c r="CIW38" s="51"/>
      <c r="CIX38" s="51"/>
      <c r="CIY38" s="51"/>
      <c r="CIZ38" s="51"/>
      <c r="CJA38" s="51"/>
      <c r="CJB38" s="51"/>
      <c r="CJC38" s="51"/>
      <c r="CJD38" s="51"/>
      <c r="CJE38" s="51"/>
      <c r="CJF38" s="51"/>
      <c r="CJG38" s="51"/>
      <c r="CJH38" s="51"/>
      <c r="CJI38" s="51"/>
      <c r="CJJ38" s="51"/>
      <c r="CJK38" s="51"/>
      <c r="CJL38" s="51"/>
      <c r="CJM38" s="51"/>
      <c r="CJN38" s="51"/>
      <c r="CJO38" s="51"/>
      <c r="CJP38" s="51"/>
      <c r="CJQ38" s="51"/>
      <c r="CJR38" s="51"/>
      <c r="CJS38" s="51"/>
      <c r="CJT38" s="51"/>
      <c r="CJU38" s="51"/>
      <c r="CJV38" s="51"/>
      <c r="CJW38" s="51"/>
      <c r="CJX38" s="51"/>
      <c r="CJY38" s="51"/>
      <c r="CJZ38" s="51"/>
      <c r="CKA38" s="51"/>
      <c r="CKB38" s="51"/>
      <c r="CKC38" s="51"/>
      <c r="CKD38" s="51"/>
      <c r="CKE38" s="51"/>
      <c r="CKF38" s="51"/>
      <c r="CKG38" s="51"/>
      <c r="CKH38" s="51"/>
      <c r="CKI38" s="51"/>
      <c r="CKJ38" s="51"/>
      <c r="CKK38" s="51"/>
      <c r="CKL38" s="51"/>
      <c r="CKM38" s="51"/>
      <c r="CKN38" s="51"/>
      <c r="CKO38" s="51"/>
      <c r="CKP38" s="51"/>
      <c r="CKQ38" s="51"/>
      <c r="CKR38" s="51"/>
      <c r="CKS38" s="51"/>
      <c r="CKT38" s="51"/>
      <c r="CKU38" s="51"/>
      <c r="CKV38" s="51"/>
      <c r="CKW38" s="51"/>
      <c r="CKX38" s="51"/>
      <c r="CKY38" s="51"/>
      <c r="CKZ38" s="51"/>
      <c r="CLA38" s="51"/>
      <c r="CLB38" s="51"/>
      <c r="CLC38" s="51"/>
      <c r="CLD38" s="51"/>
      <c r="CLE38" s="51"/>
      <c r="CLF38" s="51"/>
      <c r="CLG38" s="51"/>
      <c r="CLH38" s="51"/>
      <c r="CLI38" s="51"/>
      <c r="CLJ38" s="51"/>
      <c r="CLK38" s="51"/>
      <c r="CLL38" s="51"/>
      <c r="CLM38" s="51"/>
      <c r="CLN38" s="51"/>
      <c r="CLO38" s="51"/>
      <c r="CLP38" s="51"/>
      <c r="CLQ38" s="51"/>
      <c r="CLR38" s="51"/>
      <c r="CLS38" s="51"/>
      <c r="CLT38" s="51"/>
      <c r="CLU38" s="51"/>
      <c r="CLV38" s="51"/>
      <c r="CLW38" s="51"/>
      <c r="CLX38" s="51"/>
      <c r="CLY38" s="51"/>
      <c r="CLZ38" s="51"/>
      <c r="CMA38" s="51"/>
      <c r="CMB38" s="51"/>
      <c r="CMC38" s="51"/>
      <c r="CMD38" s="51"/>
      <c r="CME38" s="51"/>
      <c r="CMF38" s="51"/>
      <c r="CMG38" s="51"/>
      <c r="CMH38" s="51"/>
      <c r="CMI38" s="51"/>
      <c r="CMJ38" s="51"/>
      <c r="CMK38" s="51"/>
      <c r="CML38" s="51"/>
      <c r="CMM38" s="51"/>
      <c r="CMN38" s="51"/>
      <c r="CMO38" s="51"/>
      <c r="CMP38" s="51"/>
      <c r="CMQ38" s="51"/>
      <c r="CMR38" s="51"/>
      <c r="CMS38" s="51"/>
      <c r="CMT38" s="51"/>
      <c r="CMU38" s="51"/>
      <c r="CMV38" s="51"/>
      <c r="CMW38" s="51"/>
      <c r="CMX38" s="51"/>
      <c r="CMY38" s="51"/>
      <c r="CMZ38" s="51"/>
      <c r="CNA38" s="51"/>
      <c r="CNB38" s="51"/>
      <c r="CNC38" s="51"/>
      <c r="CND38" s="51"/>
      <c r="CNE38" s="51"/>
      <c r="CNF38" s="51"/>
      <c r="CNG38" s="51"/>
      <c r="CNH38" s="51"/>
      <c r="CNI38" s="51"/>
      <c r="CNJ38" s="51"/>
      <c r="CNK38" s="51"/>
      <c r="CNL38" s="51"/>
      <c r="CNM38" s="51"/>
      <c r="CNN38" s="51"/>
      <c r="CNO38" s="51"/>
      <c r="CNP38" s="51"/>
      <c r="CNQ38" s="51"/>
      <c r="CNR38" s="51"/>
      <c r="CNS38" s="51"/>
      <c r="CNT38" s="51"/>
      <c r="CNU38" s="51"/>
      <c r="CNV38" s="51"/>
      <c r="CNW38" s="51"/>
      <c r="CNX38" s="51"/>
      <c r="CNY38" s="51"/>
      <c r="CNZ38" s="51"/>
      <c r="COA38" s="51"/>
      <c r="COB38" s="51"/>
      <c r="COC38" s="51"/>
      <c r="COD38" s="51"/>
      <c r="COE38" s="51"/>
      <c r="COF38" s="51"/>
      <c r="COG38" s="51"/>
      <c r="COH38" s="51"/>
      <c r="COI38" s="51"/>
      <c r="COJ38" s="51"/>
      <c r="COK38" s="51"/>
      <c r="COL38" s="51"/>
      <c r="COM38" s="51"/>
      <c r="CON38" s="51"/>
      <c r="COO38" s="51"/>
      <c r="COP38" s="51"/>
      <c r="COQ38" s="51"/>
      <c r="COR38" s="51"/>
      <c r="COS38" s="51"/>
      <c r="COT38" s="51"/>
      <c r="COU38" s="51"/>
      <c r="COV38" s="51"/>
      <c r="COW38" s="51"/>
      <c r="COX38" s="51"/>
      <c r="COY38" s="51"/>
      <c r="COZ38" s="51"/>
      <c r="CPA38" s="51"/>
      <c r="CPB38" s="51"/>
      <c r="CPC38" s="51"/>
      <c r="CPD38" s="51"/>
      <c r="CPE38" s="51"/>
      <c r="CPF38" s="51"/>
      <c r="CPG38" s="51"/>
      <c r="CPH38" s="51"/>
      <c r="CPI38" s="51"/>
      <c r="CPJ38" s="51"/>
      <c r="CPK38" s="51"/>
      <c r="CPL38" s="51"/>
      <c r="CPM38" s="51"/>
      <c r="CPN38" s="51"/>
      <c r="CPO38" s="51"/>
      <c r="CPP38" s="51"/>
      <c r="CPQ38" s="51"/>
      <c r="CPR38" s="51"/>
      <c r="CPS38" s="51"/>
      <c r="CPT38" s="51"/>
      <c r="CPU38" s="51"/>
      <c r="CPV38" s="51"/>
      <c r="CPW38" s="51"/>
      <c r="CPX38" s="51"/>
      <c r="CPY38" s="51"/>
      <c r="CPZ38" s="51"/>
      <c r="CQA38" s="51"/>
      <c r="CQB38" s="51"/>
      <c r="CQC38" s="51"/>
      <c r="CQD38" s="51"/>
      <c r="CQE38" s="51"/>
      <c r="CQF38" s="51"/>
      <c r="CQG38" s="51"/>
      <c r="CQH38" s="51"/>
      <c r="CQI38" s="51"/>
      <c r="CQJ38" s="51"/>
      <c r="CQK38" s="51"/>
      <c r="CQL38" s="51"/>
      <c r="CQM38" s="51"/>
      <c r="CQN38" s="51"/>
      <c r="CQO38" s="51"/>
      <c r="CQP38" s="51"/>
      <c r="CQQ38" s="51"/>
      <c r="CQR38" s="51"/>
      <c r="CQS38" s="51"/>
      <c r="CQT38" s="51"/>
      <c r="CQU38" s="51"/>
      <c r="CQV38" s="51"/>
      <c r="CQW38" s="51"/>
      <c r="CQX38" s="51"/>
      <c r="CQY38" s="51"/>
      <c r="CQZ38" s="51"/>
      <c r="CRA38" s="51"/>
      <c r="CRB38" s="51"/>
      <c r="CRC38" s="51"/>
      <c r="CRD38" s="51"/>
      <c r="CRE38" s="51"/>
      <c r="CRF38" s="51"/>
      <c r="CRG38" s="51"/>
      <c r="CRH38" s="51"/>
      <c r="CRI38" s="51"/>
      <c r="CRJ38" s="51"/>
      <c r="CRK38" s="51"/>
      <c r="CRL38" s="51"/>
      <c r="CRM38" s="51"/>
      <c r="CRN38" s="51"/>
      <c r="CRO38" s="51"/>
      <c r="CRP38" s="51"/>
      <c r="CRQ38" s="51"/>
      <c r="CRR38" s="51"/>
      <c r="CRS38" s="51"/>
      <c r="CRT38" s="51"/>
      <c r="CRU38" s="51"/>
      <c r="CRV38" s="51"/>
      <c r="CRW38" s="51"/>
      <c r="CRX38" s="51"/>
      <c r="CRY38" s="51"/>
      <c r="CRZ38" s="51"/>
      <c r="CSA38" s="51"/>
      <c r="CSB38" s="51"/>
      <c r="CSC38" s="51"/>
      <c r="CSD38" s="51"/>
      <c r="CSE38" s="51"/>
      <c r="CSF38" s="51"/>
      <c r="CSG38" s="51"/>
      <c r="CSH38" s="51"/>
      <c r="CSI38" s="51"/>
      <c r="CSJ38" s="51"/>
      <c r="CSK38" s="51"/>
      <c r="CSL38" s="51"/>
      <c r="CSM38" s="51"/>
      <c r="CSN38" s="51"/>
      <c r="CSO38" s="51"/>
      <c r="CSP38" s="51"/>
      <c r="CSQ38" s="51"/>
      <c r="CSR38" s="51"/>
      <c r="CSS38" s="51"/>
      <c r="CST38" s="51"/>
      <c r="CSU38" s="51"/>
      <c r="CSV38" s="51"/>
      <c r="CSW38" s="51"/>
      <c r="CSX38" s="51"/>
      <c r="CSY38" s="51"/>
      <c r="CSZ38" s="51"/>
      <c r="CTA38" s="51"/>
      <c r="CTB38" s="51"/>
      <c r="CTC38" s="51"/>
      <c r="CTD38" s="51"/>
      <c r="CTE38" s="51"/>
      <c r="CTF38" s="51"/>
      <c r="CTG38" s="51"/>
      <c r="CTH38" s="51"/>
      <c r="CTI38" s="51"/>
      <c r="CTJ38" s="51"/>
      <c r="CTK38" s="51"/>
      <c r="CTL38" s="51"/>
      <c r="CTM38" s="51"/>
      <c r="CTN38" s="51"/>
      <c r="CTO38" s="51"/>
      <c r="CTP38" s="51"/>
      <c r="CTQ38" s="51"/>
      <c r="CTR38" s="51"/>
      <c r="CTS38" s="51"/>
      <c r="CTT38" s="51"/>
      <c r="CTU38" s="51"/>
      <c r="CTV38" s="51"/>
      <c r="CTW38" s="51"/>
      <c r="CTX38" s="51"/>
      <c r="CTY38" s="51"/>
      <c r="CTZ38" s="51"/>
      <c r="CUA38" s="51"/>
      <c r="CUB38" s="51"/>
      <c r="CUC38" s="51"/>
      <c r="CUD38" s="51"/>
      <c r="CUE38" s="51"/>
      <c r="CUF38" s="51"/>
      <c r="CUG38" s="51"/>
      <c r="CUH38" s="51"/>
      <c r="CUI38" s="51"/>
      <c r="CUJ38" s="51"/>
      <c r="CUK38" s="51"/>
      <c r="CUL38" s="51"/>
      <c r="CUM38" s="51"/>
      <c r="CUN38" s="51"/>
      <c r="CUO38" s="51"/>
      <c r="CUP38" s="51"/>
      <c r="CUQ38" s="51"/>
      <c r="CUR38" s="51"/>
      <c r="CUS38" s="51"/>
      <c r="CUT38" s="51"/>
      <c r="CUU38" s="51"/>
      <c r="CUV38" s="51"/>
      <c r="CUW38" s="51"/>
      <c r="CUX38" s="51"/>
      <c r="CUY38" s="51"/>
      <c r="CUZ38" s="51"/>
      <c r="CVA38" s="51"/>
      <c r="CVB38" s="51"/>
      <c r="CVC38" s="51"/>
      <c r="CVD38" s="51"/>
      <c r="CVE38" s="51"/>
      <c r="CVF38" s="51"/>
      <c r="CVG38" s="51"/>
      <c r="CVH38" s="51"/>
      <c r="CVI38" s="51"/>
      <c r="CVJ38" s="51"/>
      <c r="CVK38" s="51"/>
      <c r="CVL38" s="51"/>
      <c r="CVM38" s="51"/>
      <c r="CVN38" s="51"/>
      <c r="CVO38" s="51"/>
      <c r="CVP38" s="51"/>
      <c r="CVQ38" s="51"/>
      <c r="CVR38" s="51"/>
      <c r="CVS38" s="51"/>
      <c r="CVT38" s="51"/>
      <c r="CVU38" s="51"/>
      <c r="CVV38" s="51"/>
      <c r="CVW38" s="51"/>
      <c r="CVX38" s="51"/>
      <c r="CVY38" s="51"/>
      <c r="CVZ38" s="51"/>
      <c r="CWA38" s="51"/>
      <c r="CWB38" s="51"/>
      <c r="CWC38" s="51"/>
      <c r="CWD38" s="51"/>
      <c r="CWE38" s="51"/>
      <c r="CWF38" s="51"/>
      <c r="CWG38" s="51"/>
      <c r="CWH38" s="51"/>
      <c r="CWI38" s="51"/>
      <c r="CWJ38" s="51"/>
      <c r="CWK38" s="51"/>
      <c r="CWL38" s="51"/>
      <c r="CWM38" s="51"/>
      <c r="CWN38" s="51"/>
      <c r="CWO38" s="51"/>
      <c r="CWP38" s="51"/>
      <c r="CWQ38" s="51"/>
      <c r="CWR38" s="51"/>
      <c r="CWS38" s="51"/>
      <c r="CWT38" s="51"/>
      <c r="CWU38" s="51"/>
      <c r="CWV38" s="51"/>
      <c r="CWW38" s="51"/>
      <c r="CWX38" s="51"/>
      <c r="CWY38" s="51"/>
      <c r="CWZ38" s="51"/>
      <c r="CXA38" s="51"/>
      <c r="CXB38" s="51"/>
      <c r="CXC38" s="51"/>
      <c r="CXD38" s="51"/>
      <c r="CXE38" s="51"/>
      <c r="CXF38" s="51"/>
      <c r="CXG38" s="51"/>
      <c r="CXH38" s="51"/>
      <c r="CXI38" s="51"/>
      <c r="CXJ38" s="51"/>
      <c r="CXK38" s="51"/>
      <c r="CXL38" s="51"/>
      <c r="CXM38" s="51"/>
      <c r="CXN38" s="51"/>
      <c r="CXO38" s="51"/>
      <c r="CXP38" s="51"/>
      <c r="CXQ38" s="51"/>
      <c r="CXR38" s="51"/>
      <c r="CXS38" s="51"/>
      <c r="CXT38" s="51"/>
      <c r="CXU38" s="51"/>
      <c r="CXV38" s="51"/>
      <c r="CXW38" s="51"/>
      <c r="CXX38" s="51"/>
      <c r="CXY38" s="51"/>
      <c r="CXZ38" s="51"/>
      <c r="CYA38" s="51"/>
      <c r="CYB38" s="51"/>
      <c r="CYC38" s="51"/>
      <c r="CYD38" s="51"/>
      <c r="CYE38" s="51"/>
      <c r="CYF38" s="51"/>
      <c r="CYG38" s="51"/>
      <c r="CYH38" s="51"/>
      <c r="CYI38" s="51"/>
      <c r="CYJ38" s="51"/>
      <c r="CYK38" s="51"/>
      <c r="CYL38" s="51"/>
      <c r="CYM38" s="51"/>
      <c r="CYN38" s="51"/>
      <c r="CYO38" s="51"/>
      <c r="CYP38" s="51"/>
      <c r="CYQ38" s="51"/>
      <c r="CYR38" s="51"/>
      <c r="CYS38" s="51"/>
      <c r="CYT38" s="51"/>
      <c r="CYU38" s="51"/>
      <c r="CYV38" s="51"/>
      <c r="CYW38" s="51"/>
      <c r="CYX38" s="51"/>
      <c r="CYY38" s="51"/>
      <c r="CYZ38" s="51"/>
      <c r="CZA38" s="51"/>
      <c r="CZB38" s="51"/>
      <c r="CZC38" s="51"/>
      <c r="CZD38" s="51"/>
      <c r="CZE38" s="51"/>
      <c r="CZF38" s="51"/>
      <c r="CZG38" s="51"/>
      <c r="CZH38" s="51"/>
      <c r="CZI38" s="51"/>
      <c r="CZJ38" s="51"/>
      <c r="CZK38" s="51"/>
      <c r="CZL38" s="51"/>
      <c r="CZM38" s="51"/>
      <c r="CZN38" s="51"/>
      <c r="CZO38" s="51"/>
      <c r="CZP38" s="51"/>
      <c r="CZQ38" s="51"/>
      <c r="CZR38" s="51"/>
      <c r="CZS38" s="51"/>
      <c r="CZT38" s="51"/>
      <c r="CZU38" s="51"/>
      <c r="CZV38" s="51"/>
      <c r="CZW38" s="51"/>
      <c r="CZX38" s="51"/>
      <c r="CZY38" s="51"/>
      <c r="CZZ38" s="51"/>
      <c r="DAA38" s="51"/>
      <c r="DAB38" s="51"/>
      <c r="DAC38" s="51"/>
      <c r="DAD38" s="51"/>
      <c r="DAE38" s="51"/>
      <c r="DAF38" s="51"/>
      <c r="DAG38" s="51"/>
      <c r="DAH38" s="51"/>
      <c r="DAI38" s="51"/>
      <c r="DAJ38" s="51"/>
      <c r="DAK38" s="51"/>
      <c r="DAL38" s="51"/>
      <c r="DAM38" s="51"/>
      <c r="DAN38" s="51"/>
      <c r="DAO38" s="51"/>
      <c r="DAP38" s="51"/>
      <c r="DAQ38" s="51"/>
      <c r="DAR38" s="51"/>
      <c r="DAS38" s="51"/>
      <c r="DAT38" s="51"/>
      <c r="DAU38" s="51"/>
      <c r="DAV38" s="51"/>
      <c r="DAW38" s="51"/>
      <c r="DAX38" s="51"/>
      <c r="DAY38" s="51"/>
      <c r="DAZ38" s="51"/>
      <c r="DBA38" s="51"/>
      <c r="DBB38" s="51"/>
      <c r="DBC38" s="51"/>
      <c r="DBD38" s="51"/>
      <c r="DBE38" s="51"/>
      <c r="DBF38" s="51"/>
      <c r="DBG38" s="51"/>
      <c r="DBH38" s="51"/>
      <c r="DBI38" s="51"/>
      <c r="DBJ38" s="51"/>
      <c r="DBK38" s="51"/>
      <c r="DBL38" s="51"/>
      <c r="DBM38" s="51"/>
      <c r="DBN38" s="51"/>
      <c r="DBO38" s="51"/>
      <c r="DBP38" s="51"/>
      <c r="DBQ38" s="51"/>
      <c r="DBR38" s="51"/>
      <c r="DBS38" s="51"/>
      <c r="DBT38" s="51"/>
      <c r="DBU38" s="51"/>
      <c r="DBV38" s="51"/>
      <c r="DBW38" s="51"/>
      <c r="DBX38" s="51"/>
      <c r="DBY38" s="51"/>
      <c r="DBZ38" s="51"/>
      <c r="DCA38" s="51"/>
      <c r="DCB38" s="51"/>
      <c r="DCC38" s="51"/>
      <c r="DCD38" s="51"/>
      <c r="DCE38" s="51"/>
      <c r="DCF38" s="51"/>
      <c r="DCG38" s="51"/>
      <c r="DCH38" s="51"/>
      <c r="DCI38" s="51"/>
      <c r="DCJ38" s="51"/>
      <c r="DCK38" s="51"/>
      <c r="DCL38" s="51"/>
      <c r="DCM38" s="51"/>
      <c r="DCN38" s="51"/>
      <c r="DCO38" s="51"/>
      <c r="DCP38" s="51"/>
      <c r="DCQ38" s="51"/>
      <c r="DCR38" s="51"/>
      <c r="DCS38" s="51"/>
      <c r="DCT38" s="51"/>
      <c r="DCU38" s="51"/>
      <c r="DCV38" s="51"/>
      <c r="DCW38" s="51"/>
      <c r="DCX38" s="51"/>
      <c r="DCY38" s="51"/>
      <c r="DCZ38" s="51"/>
      <c r="DDA38" s="51"/>
      <c r="DDB38" s="51"/>
      <c r="DDC38" s="51"/>
      <c r="DDD38" s="51"/>
      <c r="DDE38" s="51"/>
      <c r="DDF38" s="51"/>
      <c r="DDG38" s="51"/>
      <c r="DDH38" s="51"/>
      <c r="DDI38" s="51"/>
      <c r="DDJ38" s="51"/>
      <c r="DDK38" s="51"/>
      <c r="DDL38" s="51"/>
      <c r="DDM38" s="51"/>
      <c r="DDN38" s="51"/>
      <c r="DDO38" s="51"/>
      <c r="DDP38" s="51"/>
      <c r="DDQ38" s="51"/>
      <c r="DDR38" s="51"/>
      <c r="DDS38" s="51"/>
      <c r="DDT38" s="51"/>
      <c r="DDU38" s="51"/>
      <c r="DDV38" s="51"/>
      <c r="DDW38" s="51"/>
      <c r="DDX38" s="51"/>
      <c r="DDY38" s="51"/>
      <c r="DDZ38" s="51"/>
      <c r="DEA38" s="51"/>
      <c r="DEB38" s="51"/>
      <c r="DEC38" s="51"/>
      <c r="DED38" s="51"/>
      <c r="DEE38" s="51"/>
      <c r="DEF38" s="51"/>
      <c r="DEG38" s="51"/>
      <c r="DEH38" s="51"/>
      <c r="DEI38" s="51"/>
      <c r="DEJ38" s="51"/>
      <c r="DEK38" s="51"/>
      <c r="DEL38" s="51"/>
      <c r="DEM38" s="51"/>
      <c r="DEN38" s="51"/>
      <c r="DEO38" s="51"/>
      <c r="DEP38" s="51"/>
      <c r="DEQ38" s="51"/>
      <c r="DER38" s="51"/>
      <c r="DES38" s="51"/>
      <c r="DET38" s="51"/>
      <c r="DEU38" s="51"/>
      <c r="DEV38" s="51"/>
      <c r="DEW38" s="51"/>
      <c r="DEX38" s="51"/>
      <c r="DEY38" s="51"/>
      <c r="DEZ38" s="51"/>
      <c r="DFA38" s="51"/>
      <c r="DFB38" s="51"/>
      <c r="DFC38" s="51"/>
      <c r="DFD38" s="51"/>
      <c r="DFE38" s="51"/>
      <c r="DFF38" s="51"/>
      <c r="DFG38" s="51"/>
      <c r="DFH38" s="51"/>
      <c r="DFI38" s="51"/>
      <c r="DFJ38" s="51"/>
      <c r="DFK38" s="51"/>
      <c r="DFL38" s="51"/>
      <c r="DFM38" s="51"/>
      <c r="DFN38" s="51"/>
      <c r="DFO38" s="51"/>
      <c r="DFP38" s="51"/>
      <c r="DFQ38" s="51"/>
      <c r="DFR38" s="51"/>
      <c r="DFS38" s="51"/>
      <c r="DFT38" s="51"/>
      <c r="DFU38" s="51"/>
      <c r="DFV38" s="51"/>
      <c r="DFW38" s="51"/>
      <c r="DFX38" s="51"/>
      <c r="DFY38" s="51"/>
      <c r="DFZ38" s="51"/>
      <c r="DGA38" s="51"/>
      <c r="DGB38" s="51"/>
      <c r="DGC38" s="51"/>
      <c r="DGD38" s="51"/>
      <c r="DGE38" s="51"/>
      <c r="DGF38" s="51"/>
      <c r="DGG38" s="51"/>
      <c r="DGH38" s="51"/>
      <c r="DGI38" s="51"/>
      <c r="DGJ38" s="51"/>
      <c r="DGK38" s="51"/>
      <c r="DGL38" s="51"/>
      <c r="DGM38" s="51"/>
      <c r="DGN38" s="51"/>
      <c r="DGO38" s="51"/>
      <c r="DGP38" s="51"/>
      <c r="DGQ38" s="51"/>
      <c r="DGR38" s="51"/>
      <c r="DGS38" s="51"/>
      <c r="DGT38" s="51"/>
      <c r="DGU38" s="51"/>
      <c r="DGV38" s="51"/>
      <c r="DGW38" s="51"/>
      <c r="DGX38" s="51"/>
      <c r="DGY38" s="51"/>
      <c r="DGZ38" s="51"/>
      <c r="DHA38" s="51"/>
      <c r="DHB38" s="51"/>
      <c r="DHC38" s="51"/>
      <c r="DHD38" s="51"/>
      <c r="DHE38" s="51"/>
      <c r="DHF38" s="51"/>
      <c r="DHG38" s="51"/>
      <c r="DHH38" s="51"/>
      <c r="DHI38" s="51"/>
      <c r="DHJ38" s="51"/>
      <c r="DHK38" s="51"/>
      <c r="DHL38" s="51"/>
      <c r="DHM38" s="51"/>
      <c r="DHN38" s="51"/>
      <c r="DHO38" s="51"/>
      <c r="DHP38" s="51"/>
      <c r="DHQ38" s="51"/>
      <c r="DHR38" s="51"/>
      <c r="DHS38" s="51"/>
      <c r="DHT38" s="51"/>
      <c r="DHU38" s="51"/>
      <c r="DHV38" s="51"/>
      <c r="DHW38" s="51"/>
      <c r="DHX38" s="51"/>
      <c r="DHY38" s="51"/>
      <c r="DHZ38" s="51"/>
      <c r="DIA38" s="51"/>
      <c r="DIB38" s="51"/>
      <c r="DIC38" s="51"/>
      <c r="DID38" s="51"/>
      <c r="DIE38" s="51"/>
      <c r="DIF38" s="51"/>
      <c r="DIG38" s="51"/>
      <c r="DIH38" s="51"/>
      <c r="DII38" s="51"/>
      <c r="DIJ38" s="51"/>
      <c r="DIK38" s="51"/>
      <c r="DIL38" s="51"/>
      <c r="DIM38" s="51"/>
      <c r="DIN38" s="51"/>
      <c r="DIO38" s="51"/>
      <c r="DIP38" s="51"/>
      <c r="DIQ38" s="51"/>
      <c r="DIR38" s="51"/>
      <c r="DIS38" s="51"/>
      <c r="DIT38" s="51"/>
      <c r="DIU38" s="51"/>
      <c r="DIV38" s="51"/>
      <c r="DIW38" s="51"/>
      <c r="DIX38" s="51"/>
      <c r="DIY38" s="51"/>
      <c r="DIZ38" s="51"/>
      <c r="DJA38" s="51"/>
      <c r="DJB38" s="51"/>
      <c r="DJC38" s="51"/>
      <c r="DJD38" s="51"/>
      <c r="DJE38" s="51"/>
      <c r="DJF38" s="51"/>
      <c r="DJG38" s="51"/>
      <c r="DJH38" s="51"/>
      <c r="DJI38" s="51"/>
      <c r="DJJ38" s="51"/>
      <c r="DJK38" s="51"/>
      <c r="DJL38" s="51"/>
      <c r="DJM38" s="51"/>
      <c r="DJN38" s="51"/>
      <c r="DJO38" s="51"/>
      <c r="DJP38" s="51"/>
      <c r="DJQ38" s="51"/>
      <c r="DJR38" s="51"/>
      <c r="DJS38" s="51"/>
      <c r="DJT38" s="51"/>
      <c r="DJU38" s="51"/>
      <c r="DJV38" s="51"/>
      <c r="DJW38" s="51"/>
      <c r="DJX38" s="51"/>
      <c r="DJY38" s="51"/>
      <c r="DJZ38" s="51"/>
      <c r="DKA38" s="51"/>
      <c r="DKB38" s="51"/>
      <c r="DKC38" s="51"/>
      <c r="DKD38" s="51"/>
      <c r="DKE38" s="51"/>
      <c r="DKF38" s="51"/>
      <c r="DKG38" s="51"/>
      <c r="DKH38" s="51"/>
      <c r="DKI38" s="51"/>
      <c r="DKJ38" s="51"/>
      <c r="DKK38" s="51"/>
      <c r="DKL38" s="51"/>
      <c r="DKM38" s="51"/>
      <c r="DKN38" s="51"/>
      <c r="DKO38" s="51"/>
      <c r="DKP38" s="51"/>
      <c r="DKQ38" s="51"/>
      <c r="DKR38" s="51"/>
      <c r="DKS38" s="51"/>
      <c r="DKT38" s="51"/>
      <c r="DKU38" s="51"/>
      <c r="DKV38" s="51"/>
      <c r="DKW38" s="51"/>
      <c r="DKX38" s="51"/>
      <c r="DKY38" s="51"/>
      <c r="DKZ38" s="51"/>
      <c r="DLA38" s="51"/>
      <c r="DLB38" s="51"/>
      <c r="DLC38" s="51"/>
      <c r="DLD38" s="51"/>
      <c r="DLE38" s="51"/>
      <c r="DLF38" s="51"/>
      <c r="DLG38" s="51"/>
      <c r="DLH38" s="51"/>
      <c r="DLI38" s="51"/>
      <c r="DLJ38" s="51"/>
      <c r="DLK38" s="51"/>
      <c r="DLL38" s="51"/>
      <c r="DLM38" s="51"/>
      <c r="DLN38" s="51"/>
      <c r="DLO38" s="51"/>
      <c r="DLP38" s="51"/>
      <c r="DLQ38" s="51"/>
      <c r="DLR38" s="51"/>
      <c r="DLS38" s="51"/>
      <c r="DLT38" s="51"/>
      <c r="DLU38" s="51"/>
      <c r="DLV38" s="51"/>
      <c r="DLW38" s="51"/>
      <c r="DLX38" s="51"/>
      <c r="DLY38" s="51"/>
      <c r="DLZ38" s="51"/>
      <c r="DMA38" s="51"/>
      <c r="DMB38" s="51"/>
      <c r="DMC38" s="51"/>
      <c r="DMD38" s="51"/>
      <c r="DME38" s="51"/>
      <c r="DMF38" s="51"/>
      <c r="DMG38" s="51"/>
      <c r="DMH38" s="51"/>
      <c r="DMI38" s="51"/>
      <c r="DMJ38" s="51"/>
      <c r="DMK38" s="51"/>
      <c r="DML38" s="51"/>
      <c r="DMM38" s="51"/>
      <c r="DMN38" s="51"/>
      <c r="DMO38" s="51"/>
      <c r="DMP38" s="51"/>
      <c r="DMQ38" s="51"/>
      <c r="DMR38" s="51"/>
      <c r="DMS38" s="51"/>
      <c r="DMT38" s="51"/>
      <c r="DMU38" s="51"/>
      <c r="DMV38" s="51"/>
      <c r="DMW38" s="51"/>
      <c r="DMX38" s="51"/>
      <c r="DMY38" s="51"/>
      <c r="DMZ38" s="51"/>
      <c r="DNA38" s="51"/>
      <c r="DNB38" s="51"/>
      <c r="DNC38" s="51"/>
      <c r="DND38" s="51"/>
      <c r="DNE38" s="51"/>
      <c r="DNF38" s="51"/>
      <c r="DNG38" s="51"/>
      <c r="DNH38" s="51"/>
      <c r="DNI38" s="51"/>
      <c r="DNJ38" s="51"/>
      <c r="DNK38" s="51"/>
      <c r="DNL38" s="51"/>
      <c r="DNM38" s="51"/>
      <c r="DNN38" s="51"/>
      <c r="DNO38" s="51"/>
      <c r="DNP38" s="51"/>
      <c r="DNQ38" s="51"/>
      <c r="DNR38" s="51"/>
      <c r="DNS38" s="51"/>
      <c r="DNT38" s="51"/>
      <c r="DNU38" s="51"/>
      <c r="DNV38" s="51"/>
      <c r="DNW38" s="51"/>
      <c r="DNX38" s="51"/>
      <c r="DNY38" s="51"/>
      <c r="DNZ38" s="51"/>
      <c r="DOA38" s="51"/>
      <c r="DOB38" s="51"/>
      <c r="DOC38" s="51"/>
      <c r="DOD38" s="51"/>
      <c r="DOE38" s="51"/>
      <c r="DOF38" s="51"/>
      <c r="DOG38" s="51"/>
      <c r="DOH38" s="51"/>
      <c r="DOI38" s="51"/>
      <c r="DOJ38" s="51"/>
      <c r="DOK38" s="51"/>
      <c r="DOL38" s="51"/>
      <c r="DOM38" s="51"/>
      <c r="DON38" s="51"/>
      <c r="DOO38" s="51"/>
      <c r="DOP38" s="51"/>
      <c r="DOQ38" s="51"/>
      <c r="DOR38" s="51"/>
      <c r="DOS38" s="51"/>
      <c r="DOT38" s="51"/>
      <c r="DOU38" s="51"/>
      <c r="DOV38" s="51"/>
      <c r="DOW38" s="51"/>
      <c r="DOX38" s="51"/>
      <c r="DOY38" s="51"/>
      <c r="DOZ38" s="51"/>
      <c r="DPA38" s="51"/>
      <c r="DPB38" s="51"/>
      <c r="DPC38" s="51"/>
      <c r="DPD38" s="51"/>
      <c r="DPE38" s="51"/>
      <c r="DPF38" s="51"/>
      <c r="DPG38" s="51"/>
      <c r="DPH38" s="51"/>
      <c r="DPI38" s="51"/>
      <c r="DPJ38" s="51"/>
      <c r="DPK38" s="51"/>
      <c r="DPL38" s="51"/>
      <c r="DPM38" s="51"/>
      <c r="DPN38" s="51"/>
      <c r="DPO38" s="51"/>
      <c r="DPP38" s="51"/>
      <c r="DPQ38" s="51"/>
      <c r="DPR38" s="51"/>
      <c r="DPS38" s="51"/>
      <c r="DPT38" s="51"/>
      <c r="DPU38" s="51"/>
      <c r="DPV38" s="51"/>
      <c r="DPW38" s="51"/>
      <c r="DPX38" s="51"/>
      <c r="DPY38" s="51"/>
      <c r="DPZ38" s="51"/>
      <c r="DQA38" s="51"/>
      <c r="DQB38" s="51"/>
      <c r="DQC38" s="51"/>
      <c r="DQD38" s="51"/>
      <c r="DQE38" s="51"/>
      <c r="DQF38" s="51"/>
      <c r="DQG38" s="51"/>
      <c r="DQH38" s="51"/>
      <c r="DQI38" s="51"/>
      <c r="DQJ38" s="51"/>
      <c r="DQK38" s="51"/>
      <c r="DQL38" s="51"/>
      <c r="DQM38" s="51"/>
      <c r="DQN38" s="51"/>
      <c r="DQO38" s="51"/>
      <c r="DQP38" s="51"/>
      <c r="DQQ38" s="51"/>
      <c r="DQR38" s="51"/>
      <c r="DQS38" s="51"/>
      <c r="DQT38" s="51"/>
      <c r="DQU38" s="51"/>
      <c r="DQV38" s="51"/>
      <c r="DQW38" s="51"/>
      <c r="DQX38" s="51"/>
      <c r="DQY38" s="51"/>
      <c r="DQZ38" s="51"/>
      <c r="DRA38" s="51"/>
      <c r="DRB38" s="51"/>
      <c r="DRC38" s="51"/>
      <c r="DRD38" s="51"/>
      <c r="DRE38" s="51"/>
      <c r="DRF38" s="51"/>
      <c r="DRG38" s="51"/>
      <c r="DRH38" s="51"/>
      <c r="DRI38" s="51"/>
      <c r="DRJ38" s="51"/>
      <c r="DRK38" s="51"/>
      <c r="DRL38" s="51"/>
      <c r="DRM38" s="51"/>
      <c r="DRN38" s="51"/>
      <c r="DRO38" s="51"/>
      <c r="DRP38" s="51"/>
      <c r="DRQ38" s="51"/>
      <c r="DRR38" s="51"/>
      <c r="DRS38" s="51"/>
      <c r="DRT38" s="51"/>
      <c r="DRU38" s="51"/>
      <c r="DRV38" s="51"/>
      <c r="DRW38" s="51"/>
      <c r="DRX38" s="51"/>
      <c r="DRY38" s="51"/>
      <c r="DRZ38" s="51"/>
      <c r="DSA38" s="51"/>
      <c r="DSB38" s="51"/>
      <c r="DSC38" s="51"/>
      <c r="DSD38" s="51"/>
      <c r="DSE38" s="51"/>
      <c r="DSF38" s="51"/>
      <c r="DSG38" s="51"/>
      <c r="DSH38" s="51"/>
      <c r="DSI38" s="51"/>
      <c r="DSJ38" s="51"/>
      <c r="DSK38" s="51"/>
      <c r="DSL38" s="51"/>
      <c r="DSM38" s="51"/>
      <c r="DSN38" s="51"/>
      <c r="DSO38" s="51"/>
      <c r="DSP38" s="51"/>
      <c r="DSQ38" s="51"/>
      <c r="DSR38" s="51"/>
      <c r="DSS38" s="51"/>
      <c r="DST38" s="51"/>
      <c r="DSU38" s="51"/>
      <c r="DSV38" s="51"/>
      <c r="DSW38" s="51"/>
      <c r="DSX38" s="51"/>
      <c r="DSY38" s="51"/>
      <c r="DSZ38" s="51"/>
      <c r="DTA38" s="51"/>
      <c r="DTB38" s="51"/>
      <c r="DTC38" s="51"/>
      <c r="DTD38" s="51"/>
      <c r="DTE38" s="51"/>
      <c r="DTF38" s="51"/>
      <c r="DTG38" s="51"/>
      <c r="DTH38" s="51"/>
      <c r="DTI38" s="51"/>
      <c r="DTJ38" s="51"/>
      <c r="DTK38" s="51"/>
      <c r="DTL38" s="51"/>
      <c r="DTM38" s="51"/>
      <c r="DTN38" s="51"/>
      <c r="DTO38" s="51"/>
      <c r="DTP38" s="51"/>
      <c r="DTQ38" s="51"/>
      <c r="DTR38" s="51"/>
      <c r="DTS38" s="51"/>
      <c r="DTT38" s="51"/>
      <c r="DTU38" s="51"/>
      <c r="DTV38" s="51"/>
      <c r="DTW38" s="51"/>
      <c r="DTX38" s="51"/>
      <c r="DTY38" s="51"/>
      <c r="DTZ38" s="51"/>
      <c r="DUA38" s="51"/>
      <c r="DUB38" s="51"/>
      <c r="DUC38" s="51"/>
      <c r="DUD38" s="51"/>
      <c r="DUE38" s="51"/>
      <c r="DUF38" s="51"/>
      <c r="DUG38" s="51"/>
      <c r="DUH38" s="51"/>
      <c r="DUI38" s="51"/>
      <c r="DUJ38" s="51"/>
      <c r="DUK38" s="51"/>
      <c r="DUL38" s="51"/>
      <c r="DUM38" s="51"/>
      <c r="DUN38" s="51"/>
      <c r="DUO38" s="51"/>
      <c r="DUP38" s="51"/>
      <c r="DUQ38" s="51"/>
      <c r="DUR38" s="51"/>
      <c r="DUS38" s="51"/>
      <c r="DUT38" s="51"/>
      <c r="DUU38" s="51"/>
      <c r="DUV38" s="51"/>
      <c r="DUW38" s="51"/>
      <c r="DUX38" s="51"/>
      <c r="DUY38" s="51"/>
      <c r="DUZ38" s="51"/>
      <c r="DVA38" s="51"/>
      <c r="DVB38" s="51"/>
      <c r="DVC38" s="51"/>
      <c r="DVD38" s="51"/>
      <c r="DVE38" s="51"/>
      <c r="DVF38" s="51"/>
      <c r="DVG38" s="51"/>
      <c r="DVH38" s="51"/>
      <c r="DVI38" s="51"/>
      <c r="DVJ38" s="51"/>
      <c r="DVK38" s="51"/>
      <c r="DVL38" s="51"/>
      <c r="DVM38" s="51"/>
      <c r="DVN38" s="51"/>
      <c r="DVO38" s="51"/>
      <c r="DVP38" s="51"/>
      <c r="DVQ38" s="51"/>
      <c r="DVR38" s="51"/>
      <c r="DVS38" s="51"/>
      <c r="DVT38" s="51"/>
      <c r="DVU38" s="51"/>
      <c r="DVV38" s="51"/>
      <c r="DVW38" s="51"/>
      <c r="DVX38" s="51"/>
      <c r="DVY38" s="51"/>
      <c r="DVZ38" s="51"/>
      <c r="DWA38" s="51"/>
      <c r="DWB38" s="51"/>
      <c r="DWC38" s="51"/>
      <c r="DWD38" s="51"/>
      <c r="DWE38" s="51"/>
      <c r="DWF38" s="51"/>
      <c r="DWG38" s="51"/>
      <c r="DWH38" s="51"/>
      <c r="DWI38" s="51"/>
      <c r="DWJ38" s="51"/>
      <c r="DWK38" s="51"/>
      <c r="DWL38" s="51"/>
      <c r="DWM38" s="51"/>
      <c r="DWN38" s="51"/>
      <c r="DWO38" s="51"/>
      <c r="DWP38" s="51"/>
      <c r="DWQ38" s="51"/>
      <c r="DWR38" s="51"/>
      <c r="DWS38" s="51"/>
      <c r="DWT38" s="51"/>
      <c r="DWU38" s="51"/>
      <c r="DWV38" s="51"/>
      <c r="DWW38" s="51"/>
      <c r="DWX38" s="51"/>
      <c r="DWY38" s="51"/>
      <c r="DWZ38" s="51"/>
      <c r="DXA38" s="51"/>
      <c r="DXB38" s="51"/>
      <c r="DXC38" s="51"/>
      <c r="DXD38" s="51"/>
      <c r="DXE38" s="51"/>
      <c r="DXF38" s="51"/>
      <c r="DXG38" s="51"/>
      <c r="DXH38" s="51"/>
      <c r="DXI38" s="51"/>
      <c r="DXJ38" s="51"/>
      <c r="DXK38" s="51"/>
      <c r="DXL38" s="51"/>
      <c r="DXM38" s="51"/>
      <c r="DXN38" s="51"/>
      <c r="DXO38" s="51"/>
      <c r="DXP38" s="51"/>
      <c r="DXQ38" s="51"/>
      <c r="DXR38" s="51"/>
      <c r="DXS38" s="51"/>
      <c r="DXT38" s="51"/>
      <c r="DXU38" s="51"/>
      <c r="DXV38" s="51"/>
      <c r="DXW38" s="51"/>
      <c r="DXX38" s="51"/>
      <c r="DXY38" s="51"/>
      <c r="DXZ38" s="51"/>
      <c r="DYA38" s="51"/>
      <c r="DYB38" s="51"/>
      <c r="DYC38" s="51"/>
      <c r="DYD38" s="51"/>
      <c r="DYE38" s="51"/>
      <c r="DYF38" s="51"/>
      <c r="DYG38" s="51"/>
      <c r="DYH38" s="51"/>
      <c r="DYI38" s="51"/>
      <c r="DYJ38" s="51"/>
      <c r="DYK38" s="51"/>
      <c r="DYL38" s="51"/>
      <c r="DYM38" s="51"/>
      <c r="DYN38" s="51"/>
      <c r="DYO38" s="51"/>
      <c r="DYP38" s="51"/>
      <c r="DYQ38" s="51"/>
      <c r="DYR38" s="51"/>
      <c r="DYS38" s="51"/>
      <c r="DYT38" s="51"/>
      <c r="DYU38" s="51"/>
      <c r="DYV38" s="51"/>
      <c r="DYW38" s="51"/>
      <c r="DYX38" s="51"/>
      <c r="DYY38" s="51"/>
      <c r="DYZ38" s="51"/>
      <c r="DZA38" s="51"/>
      <c r="DZB38" s="51"/>
      <c r="DZC38" s="51"/>
      <c r="DZD38" s="51"/>
      <c r="DZE38" s="51"/>
      <c r="DZF38" s="51"/>
      <c r="DZG38" s="51"/>
      <c r="DZH38" s="51"/>
      <c r="DZI38" s="51"/>
      <c r="DZJ38" s="51"/>
      <c r="DZK38" s="51"/>
      <c r="DZL38" s="51"/>
      <c r="DZM38" s="51"/>
      <c r="DZN38" s="51"/>
      <c r="DZO38" s="51"/>
      <c r="DZP38" s="51"/>
      <c r="DZQ38" s="51"/>
      <c r="DZR38" s="51"/>
      <c r="DZS38" s="51"/>
      <c r="DZT38" s="51"/>
      <c r="DZU38" s="51"/>
      <c r="DZV38" s="51"/>
      <c r="DZW38" s="51"/>
      <c r="DZX38" s="51"/>
      <c r="DZY38" s="51"/>
      <c r="DZZ38" s="51"/>
      <c r="EAA38" s="51"/>
      <c r="EAB38" s="51"/>
      <c r="EAC38" s="51"/>
      <c r="EAD38" s="51"/>
      <c r="EAE38" s="51"/>
      <c r="EAF38" s="51"/>
      <c r="EAG38" s="51"/>
      <c r="EAH38" s="51"/>
      <c r="EAI38" s="51"/>
      <c r="EAJ38" s="51"/>
      <c r="EAK38" s="51"/>
      <c r="EAL38" s="51"/>
      <c r="EAM38" s="51"/>
      <c r="EAN38" s="51"/>
      <c r="EAO38" s="51"/>
      <c r="EAP38" s="51"/>
      <c r="EAQ38" s="51"/>
      <c r="EAR38" s="51"/>
      <c r="EAS38" s="51"/>
      <c r="EAT38" s="51"/>
      <c r="EAU38" s="51"/>
      <c r="EAV38" s="51"/>
      <c r="EAW38" s="51"/>
      <c r="EAX38" s="51"/>
      <c r="EAY38" s="51"/>
      <c r="EAZ38" s="51"/>
      <c r="EBA38" s="51"/>
      <c r="EBB38" s="51"/>
      <c r="EBC38" s="51"/>
      <c r="EBD38" s="51"/>
      <c r="EBE38" s="51"/>
      <c r="EBF38" s="51"/>
      <c r="EBG38" s="51"/>
      <c r="EBH38" s="51"/>
      <c r="EBI38" s="51"/>
      <c r="EBJ38" s="51"/>
      <c r="EBK38" s="51"/>
      <c r="EBL38" s="51"/>
      <c r="EBM38" s="51"/>
      <c r="EBN38" s="51"/>
      <c r="EBO38" s="51"/>
      <c r="EBP38" s="51"/>
      <c r="EBQ38" s="51"/>
      <c r="EBR38" s="51"/>
      <c r="EBS38" s="51"/>
      <c r="EBT38" s="51"/>
      <c r="EBU38" s="51"/>
      <c r="EBV38" s="51"/>
      <c r="EBW38" s="51"/>
      <c r="EBX38" s="51"/>
      <c r="EBY38" s="51"/>
      <c r="EBZ38" s="51"/>
      <c r="ECA38" s="51"/>
      <c r="ECB38" s="51"/>
      <c r="ECC38" s="51"/>
      <c r="ECD38" s="51"/>
      <c r="ECE38" s="51"/>
      <c r="ECF38" s="51"/>
      <c r="ECG38" s="51"/>
      <c r="ECH38" s="51"/>
      <c r="ECI38" s="51"/>
      <c r="ECJ38" s="51"/>
      <c r="ECK38" s="51"/>
      <c r="ECL38" s="51"/>
      <c r="ECM38" s="51"/>
      <c r="ECN38" s="51"/>
      <c r="ECO38" s="51"/>
      <c r="ECP38" s="51"/>
      <c r="ECQ38" s="51"/>
      <c r="ECR38" s="51"/>
      <c r="ECS38" s="51"/>
      <c r="ECT38" s="51"/>
      <c r="ECU38" s="51"/>
      <c r="ECV38" s="51"/>
      <c r="ECW38" s="51"/>
      <c r="ECX38" s="51"/>
      <c r="ECY38" s="51"/>
      <c r="ECZ38" s="51"/>
      <c r="EDA38" s="51"/>
      <c r="EDB38" s="51"/>
      <c r="EDC38" s="51"/>
      <c r="EDD38" s="51"/>
      <c r="EDE38" s="51"/>
      <c r="EDF38" s="51"/>
      <c r="EDG38" s="51"/>
      <c r="EDH38" s="51"/>
      <c r="EDI38" s="51"/>
      <c r="EDJ38" s="51"/>
      <c r="EDK38" s="51"/>
      <c r="EDL38" s="51"/>
      <c r="EDM38" s="51"/>
      <c r="EDN38" s="51"/>
      <c r="EDO38" s="51"/>
      <c r="EDP38" s="51"/>
      <c r="EDQ38" s="51"/>
      <c r="EDR38" s="51"/>
      <c r="EDS38" s="51"/>
      <c r="EDT38" s="51"/>
      <c r="EDU38" s="51"/>
      <c r="EDV38" s="51"/>
      <c r="EDW38" s="51"/>
      <c r="EDX38" s="51"/>
      <c r="EDY38" s="51"/>
      <c r="EDZ38" s="51"/>
      <c r="EEA38" s="51"/>
      <c r="EEB38" s="51"/>
      <c r="EEC38" s="51"/>
      <c r="EED38" s="51"/>
      <c r="EEE38" s="51"/>
      <c r="EEF38" s="51"/>
      <c r="EEG38" s="51"/>
      <c r="EEH38" s="51"/>
      <c r="EEI38" s="51"/>
      <c r="EEJ38" s="51"/>
      <c r="EEK38" s="51"/>
      <c r="EEL38" s="51"/>
      <c r="EEM38" s="51"/>
      <c r="EEN38" s="51"/>
      <c r="EEO38" s="51"/>
      <c r="EEP38" s="51"/>
      <c r="EEQ38" s="51"/>
      <c r="EER38" s="51"/>
      <c r="EES38" s="51"/>
      <c r="EET38" s="51"/>
      <c r="EEU38" s="51"/>
      <c r="EEV38" s="51"/>
      <c r="EEW38" s="51"/>
      <c r="EEX38" s="51"/>
      <c r="EEY38" s="51"/>
      <c r="EEZ38" s="51"/>
      <c r="EFA38" s="51"/>
      <c r="EFB38" s="51"/>
      <c r="EFC38" s="51"/>
      <c r="EFD38" s="51"/>
      <c r="EFE38" s="51"/>
      <c r="EFF38" s="51"/>
      <c r="EFG38" s="51"/>
      <c r="EFH38" s="51"/>
      <c r="EFI38" s="51"/>
      <c r="EFJ38" s="51"/>
      <c r="EFK38" s="51"/>
      <c r="EFL38" s="51"/>
      <c r="EFM38" s="51"/>
      <c r="EFN38" s="51"/>
      <c r="EFO38" s="51"/>
      <c r="EFP38" s="51"/>
      <c r="EFQ38" s="51"/>
      <c r="EFR38" s="51"/>
      <c r="EFS38" s="51"/>
      <c r="EFT38" s="51"/>
      <c r="EFU38" s="51"/>
      <c r="EFV38" s="51"/>
      <c r="EFW38" s="51"/>
      <c r="EFX38" s="51"/>
      <c r="EFY38" s="51"/>
      <c r="EFZ38" s="51"/>
      <c r="EGA38" s="51"/>
      <c r="EGB38" s="51"/>
      <c r="EGC38" s="51"/>
      <c r="EGD38" s="51"/>
      <c r="EGE38" s="51"/>
      <c r="EGF38" s="51"/>
      <c r="EGG38" s="51"/>
      <c r="EGH38" s="51"/>
      <c r="EGI38" s="51"/>
      <c r="EGJ38" s="51"/>
      <c r="EGK38" s="51"/>
      <c r="EGL38" s="51"/>
      <c r="EGM38" s="51"/>
      <c r="EGN38" s="51"/>
      <c r="EGO38" s="51"/>
      <c r="EGP38" s="51"/>
      <c r="EGQ38" s="51"/>
      <c r="EGR38" s="51"/>
      <c r="EGS38" s="51"/>
      <c r="EGT38" s="51"/>
      <c r="EGU38" s="51"/>
      <c r="EGV38" s="51"/>
      <c r="EGW38" s="51"/>
      <c r="EGX38" s="51"/>
      <c r="EGY38" s="51"/>
      <c r="EGZ38" s="51"/>
      <c r="EHA38" s="51"/>
      <c r="EHB38" s="51"/>
      <c r="EHC38" s="51"/>
      <c r="EHD38" s="51"/>
      <c r="EHE38" s="51"/>
      <c r="EHF38" s="51"/>
      <c r="EHG38" s="51"/>
      <c r="EHH38" s="51"/>
      <c r="EHI38" s="51"/>
      <c r="EHJ38" s="51"/>
      <c r="EHK38" s="51"/>
      <c r="EHL38" s="51"/>
      <c r="EHM38" s="51"/>
      <c r="EHN38" s="51"/>
      <c r="EHO38" s="51"/>
      <c r="EHP38" s="51"/>
      <c r="EHQ38" s="51"/>
      <c r="EHR38" s="51"/>
      <c r="EHS38" s="51"/>
      <c r="EHT38" s="51"/>
      <c r="EHU38" s="51"/>
      <c r="EHV38" s="51"/>
      <c r="EHW38" s="51"/>
      <c r="EHX38" s="51"/>
      <c r="EHY38" s="51"/>
      <c r="EHZ38" s="51"/>
      <c r="EIA38" s="51"/>
      <c r="EIB38" s="51"/>
      <c r="EIC38" s="51"/>
      <c r="EID38" s="51"/>
      <c r="EIE38" s="51"/>
      <c r="EIF38" s="51"/>
      <c r="EIG38" s="51"/>
      <c r="EIH38" s="51"/>
      <c r="EII38" s="51"/>
      <c r="EIJ38" s="51"/>
      <c r="EIK38" s="51"/>
      <c r="EIL38" s="51"/>
      <c r="EIM38" s="51"/>
      <c r="EIN38" s="51"/>
      <c r="EIO38" s="51"/>
      <c r="EIP38" s="51"/>
      <c r="EIQ38" s="51"/>
      <c r="EIR38" s="51"/>
      <c r="EIS38" s="51"/>
      <c r="EIT38" s="51"/>
      <c r="EIU38" s="51"/>
      <c r="EIV38" s="51"/>
      <c r="EIW38" s="51"/>
      <c r="EIX38" s="51"/>
      <c r="EIY38" s="51"/>
      <c r="EIZ38" s="51"/>
      <c r="EJA38" s="51"/>
      <c r="EJB38" s="51"/>
      <c r="EJC38" s="51"/>
      <c r="EJD38" s="51"/>
      <c r="EJE38" s="51"/>
      <c r="EJF38" s="51"/>
      <c r="EJG38" s="51"/>
      <c r="EJH38" s="51"/>
      <c r="EJI38" s="51"/>
      <c r="EJJ38" s="51"/>
      <c r="EJK38" s="51"/>
      <c r="EJL38" s="51"/>
      <c r="EJM38" s="51"/>
      <c r="EJN38" s="51"/>
      <c r="EJO38" s="51"/>
      <c r="EJP38" s="51"/>
      <c r="EJQ38" s="51"/>
      <c r="EJR38" s="51"/>
      <c r="EJS38" s="51"/>
      <c r="EJT38" s="51"/>
      <c r="EJU38" s="51"/>
      <c r="EJV38" s="51"/>
      <c r="EJW38" s="51"/>
      <c r="EJX38" s="51"/>
      <c r="EJY38" s="51"/>
      <c r="EJZ38" s="51"/>
      <c r="EKA38" s="51"/>
      <c r="EKB38" s="51"/>
      <c r="EKC38" s="51"/>
      <c r="EKD38" s="51"/>
      <c r="EKE38" s="51"/>
      <c r="EKF38" s="51"/>
      <c r="EKG38" s="51"/>
      <c r="EKH38" s="51"/>
      <c r="EKI38" s="51"/>
      <c r="EKJ38" s="51"/>
      <c r="EKK38" s="51"/>
      <c r="EKL38" s="51"/>
      <c r="EKM38" s="51"/>
      <c r="EKN38" s="51"/>
      <c r="EKO38" s="51"/>
      <c r="EKP38" s="51"/>
      <c r="EKQ38" s="51"/>
      <c r="EKR38" s="51"/>
      <c r="EKS38" s="51"/>
      <c r="EKT38" s="51"/>
      <c r="EKU38" s="51"/>
      <c r="EKV38" s="51"/>
      <c r="EKW38" s="51"/>
      <c r="EKX38" s="51"/>
      <c r="EKY38" s="51"/>
      <c r="EKZ38" s="51"/>
      <c r="ELA38" s="51"/>
      <c r="ELB38" s="51"/>
      <c r="ELC38" s="51"/>
      <c r="ELD38" s="51"/>
      <c r="ELE38" s="51"/>
      <c r="ELF38" s="51"/>
      <c r="ELG38" s="51"/>
      <c r="ELH38" s="51"/>
      <c r="ELI38" s="51"/>
      <c r="ELJ38" s="51"/>
      <c r="ELK38" s="51"/>
      <c r="ELL38" s="51"/>
      <c r="ELM38" s="51"/>
      <c r="ELN38" s="51"/>
      <c r="ELO38" s="51"/>
      <c r="ELP38" s="51"/>
      <c r="ELQ38" s="51"/>
      <c r="ELR38" s="51"/>
      <c r="ELS38" s="51"/>
      <c r="ELT38" s="51"/>
      <c r="ELU38" s="51"/>
      <c r="ELV38" s="51"/>
      <c r="ELW38" s="51"/>
      <c r="ELX38" s="51"/>
      <c r="ELY38" s="51"/>
      <c r="ELZ38" s="51"/>
      <c r="EMA38" s="51"/>
      <c r="EMB38" s="51"/>
      <c r="EMC38" s="51"/>
      <c r="EMD38" s="51"/>
      <c r="EME38" s="51"/>
      <c r="EMF38" s="51"/>
      <c r="EMG38" s="51"/>
      <c r="EMH38" s="51"/>
      <c r="EMI38" s="51"/>
      <c r="EMJ38" s="51"/>
      <c r="EMK38" s="51"/>
      <c r="EML38" s="51"/>
      <c r="EMM38" s="51"/>
      <c r="EMN38" s="51"/>
      <c r="EMO38" s="51"/>
      <c r="EMP38" s="51"/>
      <c r="EMQ38" s="51"/>
      <c r="EMR38" s="51"/>
      <c r="EMS38" s="51"/>
      <c r="EMT38" s="51"/>
      <c r="EMU38" s="51"/>
      <c r="EMV38" s="51"/>
      <c r="EMW38" s="51"/>
      <c r="EMX38" s="51"/>
      <c r="EMY38" s="51"/>
      <c r="EMZ38" s="51"/>
      <c r="ENA38" s="51"/>
      <c r="ENB38" s="51"/>
      <c r="ENC38" s="51"/>
      <c r="END38" s="51"/>
      <c r="ENE38" s="51"/>
      <c r="ENF38" s="51"/>
      <c r="ENG38" s="51"/>
      <c r="ENH38" s="51"/>
      <c r="ENI38" s="51"/>
      <c r="ENJ38" s="51"/>
      <c r="ENK38" s="51"/>
      <c r="ENL38" s="51"/>
      <c r="ENM38" s="51"/>
      <c r="ENN38" s="51"/>
      <c r="ENO38" s="51"/>
      <c r="ENP38" s="51"/>
      <c r="ENQ38" s="51"/>
      <c r="ENR38" s="51"/>
      <c r="ENS38" s="51"/>
      <c r="ENT38" s="51"/>
      <c r="ENU38" s="51"/>
      <c r="ENV38" s="51"/>
      <c r="ENW38" s="51"/>
      <c r="ENX38" s="51"/>
      <c r="ENY38" s="51"/>
      <c r="ENZ38" s="51"/>
      <c r="EOA38" s="51"/>
      <c r="EOB38" s="51"/>
      <c r="EOC38" s="51"/>
      <c r="EOD38" s="51"/>
      <c r="EOE38" s="51"/>
      <c r="EOF38" s="51"/>
      <c r="EOG38" s="51"/>
      <c r="EOH38" s="51"/>
      <c r="EOI38" s="51"/>
      <c r="EOJ38" s="51"/>
      <c r="EOK38" s="51"/>
      <c r="EOL38" s="51"/>
      <c r="EOM38" s="51"/>
      <c r="EON38" s="51"/>
      <c r="EOO38" s="51"/>
      <c r="EOP38" s="51"/>
      <c r="EOQ38" s="51"/>
      <c r="EOR38" s="51"/>
      <c r="EOS38" s="51"/>
      <c r="EOT38" s="51"/>
      <c r="EOU38" s="51"/>
      <c r="EOV38" s="51"/>
      <c r="EOW38" s="51"/>
      <c r="EOX38" s="51"/>
      <c r="EOY38" s="51"/>
      <c r="EOZ38" s="51"/>
      <c r="EPA38" s="51"/>
      <c r="EPB38" s="51"/>
      <c r="EPC38" s="51"/>
      <c r="EPD38" s="51"/>
      <c r="EPE38" s="51"/>
      <c r="EPF38" s="51"/>
      <c r="EPG38" s="51"/>
      <c r="EPH38" s="51"/>
      <c r="EPI38" s="51"/>
      <c r="EPJ38" s="51"/>
      <c r="EPK38" s="51"/>
      <c r="EPL38" s="51"/>
      <c r="EPM38" s="51"/>
      <c r="EPN38" s="51"/>
      <c r="EPO38" s="51"/>
      <c r="EPP38" s="51"/>
      <c r="EPQ38" s="51"/>
      <c r="EPR38" s="51"/>
      <c r="EPS38" s="51"/>
      <c r="EPT38" s="51"/>
      <c r="EPU38" s="51"/>
      <c r="EPV38" s="51"/>
      <c r="EPW38" s="51"/>
      <c r="EPX38" s="51"/>
      <c r="EPY38" s="51"/>
      <c r="EPZ38" s="51"/>
      <c r="EQA38" s="51"/>
      <c r="EQB38" s="51"/>
      <c r="EQC38" s="51"/>
      <c r="EQD38" s="51"/>
      <c r="EQE38" s="51"/>
      <c r="EQF38" s="51"/>
      <c r="EQG38" s="51"/>
      <c r="EQH38" s="51"/>
      <c r="EQI38" s="51"/>
      <c r="EQJ38" s="51"/>
      <c r="EQK38" s="51"/>
      <c r="EQL38" s="51"/>
      <c r="EQM38" s="51"/>
      <c r="EQN38" s="51"/>
      <c r="EQO38" s="51"/>
      <c r="EQP38" s="51"/>
      <c r="EQQ38" s="51"/>
      <c r="EQR38" s="51"/>
      <c r="EQS38" s="51"/>
      <c r="EQT38" s="51"/>
      <c r="EQU38" s="51"/>
      <c r="EQV38" s="51"/>
      <c r="EQW38" s="51"/>
      <c r="EQX38" s="51"/>
      <c r="EQY38" s="51"/>
      <c r="EQZ38" s="51"/>
      <c r="ERA38" s="51"/>
      <c r="ERB38" s="51"/>
      <c r="ERC38" s="51"/>
      <c r="ERD38" s="51"/>
      <c r="ERE38" s="51"/>
      <c r="ERF38" s="51"/>
      <c r="ERG38" s="51"/>
      <c r="ERH38" s="51"/>
      <c r="ERI38" s="51"/>
      <c r="ERJ38" s="51"/>
      <c r="ERK38" s="51"/>
      <c r="ERL38" s="51"/>
      <c r="ERM38" s="51"/>
      <c r="ERN38" s="51"/>
      <c r="ERO38" s="51"/>
      <c r="ERP38" s="51"/>
      <c r="ERQ38" s="51"/>
      <c r="ERR38" s="51"/>
      <c r="ERS38" s="51"/>
      <c r="ERT38" s="51"/>
      <c r="ERU38" s="51"/>
      <c r="ERV38" s="51"/>
      <c r="ERW38" s="51"/>
      <c r="ERX38" s="51"/>
      <c r="ERY38" s="51"/>
      <c r="ERZ38" s="51"/>
      <c r="ESA38" s="51"/>
      <c r="ESB38" s="51"/>
      <c r="ESC38" s="51"/>
      <c r="ESD38" s="51"/>
      <c r="ESE38" s="51"/>
      <c r="ESF38" s="51"/>
      <c r="ESG38" s="51"/>
      <c r="ESH38" s="51"/>
      <c r="ESI38" s="51"/>
      <c r="ESJ38" s="51"/>
      <c r="ESK38" s="51"/>
      <c r="ESL38" s="51"/>
      <c r="ESM38" s="51"/>
      <c r="ESN38" s="51"/>
      <c r="ESO38" s="51"/>
      <c r="ESP38" s="51"/>
      <c r="ESQ38" s="51"/>
      <c r="ESR38" s="51"/>
      <c r="ESS38" s="51"/>
      <c r="EST38" s="51"/>
      <c r="ESU38" s="51"/>
      <c r="ESV38" s="51"/>
      <c r="ESW38" s="51"/>
      <c r="ESX38" s="51"/>
      <c r="ESY38" s="51"/>
      <c r="ESZ38" s="51"/>
      <c r="ETA38" s="51"/>
      <c r="ETB38" s="51"/>
      <c r="ETC38" s="51"/>
      <c r="ETD38" s="51"/>
      <c r="ETE38" s="51"/>
      <c r="ETF38" s="51"/>
      <c r="ETG38" s="51"/>
      <c r="ETH38" s="51"/>
      <c r="ETI38" s="51"/>
      <c r="ETJ38" s="51"/>
      <c r="ETK38" s="51"/>
      <c r="ETL38" s="51"/>
      <c r="ETM38" s="51"/>
      <c r="ETN38" s="51"/>
      <c r="ETO38" s="51"/>
      <c r="ETP38" s="51"/>
      <c r="ETQ38" s="51"/>
      <c r="ETR38" s="51"/>
      <c r="ETS38" s="51"/>
      <c r="ETT38" s="51"/>
      <c r="ETU38" s="51"/>
      <c r="ETV38" s="51"/>
      <c r="ETW38" s="51"/>
      <c r="ETX38" s="51"/>
      <c r="ETY38" s="51"/>
      <c r="ETZ38" s="51"/>
      <c r="EUA38" s="51"/>
      <c r="EUB38" s="51"/>
      <c r="EUC38" s="51"/>
      <c r="EUD38" s="51"/>
      <c r="EUE38" s="51"/>
      <c r="EUF38" s="51"/>
      <c r="EUG38" s="51"/>
      <c r="EUH38" s="51"/>
      <c r="EUI38" s="51"/>
      <c r="EUJ38" s="51"/>
      <c r="EUK38" s="51"/>
      <c r="EUL38" s="51"/>
      <c r="EUM38" s="51"/>
      <c r="EUN38" s="51"/>
      <c r="EUO38" s="51"/>
      <c r="EUP38" s="51"/>
      <c r="EUQ38" s="51"/>
      <c r="EUR38" s="51"/>
      <c r="EUS38" s="51"/>
      <c r="EUT38" s="51"/>
      <c r="EUU38" s="51"/>
      <c r="EUV38" s="51"/>
      <c r="EUW38" s="51"/>
      <c r="EUX38" s="51"/>
      <c r="EUY38" s="51"/>
      <c r="EUZ38" s="51"/>
      <c r="EVA38" s="51"/>
      <c r="EVB38" s="51"/>
      <c r="EVC38" s="51"/>
      <c r="EVD38" s="51"/>
      <c r="EVE38" s="51"/>
      <c r="EVF38" s="51"/>
      <c r="EVG38" s="51"/>
      <c r="EVH38" s="51"/>
      <c r="EVI38" s="51"/>
      <c r="EVJ38" s="51"/>
      <c r="EVK38" s="51"/>
      <c r="EVL38" s="51"/>
      <c r="EVM38" s="51"/>
      <c r="EVN38" s="51"/>
      <c r="EVO38" s="51"/>
      <c r="EVP38" s="51"/>
      <c r="EVQ38" s="51"/>
      <c r="EVR38" s="51"/>
      <c r="EVS38" s="51"/>
      <c r="EVT38" s="51"/>
      <c r="EVU38" s="51"/>
      <c r="EVV38" s="51"/>
      <c r="EVW38" s="51"/>
      <c r="EVX38" s="51"/>
      <c r="EVY38" s="51"/>
      <c r="EVZ38" s="51"/>
      <c r="EWA38" s="51"/>
      <c r="EWB38" s="51"/>
      <c r="EWC38" s="51"/>
      <c r="EWD38" s="51"/>
      <c r="EWE38" s="51"/>
      <c r="EWF38" s="51"/>
      <c r="EWG38" s="51"/>
      <c r="EWH38" s="51"/>
      <c r="EWI38" s="51"/>
      <c r="EWJ38" s="51"/>
      <c r="EWK38" s="51"/>
      <c r="EWL38" s="51"/>
      <c r="EWM38" s="51"/>
      <c r="EWN38" s="51"/>
      <c r="EWO38" s="51"/>
      <c r="EWP38" s="51"/>
      <c r="EWQ38" s="51"/>
      <c r="EWR38" s="51"/>
      <c r="EWS38" s="51"/>
      <c r="EWT38" s="51"/>
      <c r="EWU38" s="51"/>
      <c r="EWV38" s="51"/>
      <c r="EWW38" s="51"/>
      <c r="EWX38" s="51"/>
      <c r="EWY38" s="51"/>
      <c r="EWZ38" s="51"/>
      <c r="EXA38" s="51"/>
      <c r="EXB38" s="51"/>
      <c r="EXC38" s="51"/>
      <c r="EXD38" s="51"/>
      <c r="EXE38" s="51"/>
      <c r="EXF38" s="51"/>
      <c r="EXG38" s="51"/>
      <c r="EXH38" s="51"/>
      <c r="EXI38" s="51"/>
      <c r="EXJ38" s="51"/>
      <c r="EXK38" s="51"/>
      <c r="EXL38" s="51"/>
      <c r="EXM38" s="51"/>
      <c r="EXN38" s="51"/>
      <c r="EXO38" s="51"/>
      <c r="EXP38" s="51"/>
      <c r="EXQ38" s="51"/>
      <c r="EXR38" s="51"/>
      <c r="EXS38" s="51"/>
      <c r="EXT38" s="51"/>
      <c r="EXU38" s="51"/>
      <c r="EXV38" s="51"/>
      <c r="EXW38" s="51"/>
      <c r="EXX38" s="51"/>
      <c r="EXY38" s="51"/>
      <c r="EXZ38" s="51"/>
      <c r="EYA38" s="51"/>
      <c r="EYB38" s="51"/>
      <c r="EYC38" s="51"/>
      <c r="EYD38" s="51"/>
      <c r="EYE38" s="51"/>
      <c r="EYF38" s="51"/>
      <c r="EYG38" s="51"/>
      <c r="EYH38" s="51"/>
      <c r="EYI38" s="51"/>
      <c r="EYJ38" s="51"/>
      <c r="EYK38" s="51"/>
      <c r="EYL38" s="51"/>
      <c r="EYM38" s="51"/>
      <c r="EYN38" s="51"/>
      <c r="EYO38" s="51"/>
      <c r="EYP38" s="51"/>
      <c r="EYQ38" s="51"/>
      <c r="EYR38" s="51"/>
      <c r="EYS38" s="51"/>
      <c r="EYT38" s="51"/>
      <c r="EYU38" s="51"/>
      <c r="EYV38" s="51"/>
      <c r="EYW38" s="51"/>
      <c r="EYX38" s="51"/>
      <c r="EYY38" s="51"/>
      <c r="EYZ38" s="51"/>
      <c r="EZA38" s="51"/>
      <c r="EZB38" s="51"/>
      <c r="EZC38" s="51"/>
      <c r="EZD38" s="51"/>
      <c r="EZE38" s="51"/>
      <c r="EZF38" s="51"/>
      <c r="EZG38" s="51"/>
      <c r="EZH38" s="51"/>
      <c r="EZI38" s="51"/>
      <c r="EZJ38" s="51"/>
      <c r="EZK38" s="51"/>
      <c r="EZL38" s="51"/>
      <c r="EZM38" s="51"/>
      <c r="EZN38" s="51"/>
      <c r="EZO38" s="51"/>
      <c r="EZP38" s="51"/>
      <c r="EZQ38" s="51"/>
      <c r="EZR38" s="51"/>
      <c r="EZS38" s="51"/>
      <c r="EZT38" s="51"/>
      <c r="EZU38" s="51"/>
      <c r="EZV38" s="51"/>
      <c r="EZW38" s="51"/>
      <c r="EZX38" s="51"/>
      <c r="EZY38" s="51"/>
      <c r="EZZ38" s="51"/>
      <c r="FAA38" s="51"/>
      <c r="FAB38" s="51"/>
      <c r="FAC38" s="51"/>
      <c r="FAD38" s="51"/>
      <c r="FAE38" s="51"/>
      <c r="FAF38" s="51"/>
      <c r="FAG38" s="51"/>
      <c r="FAH38" s="51"/>
      <c r="FAI38" s="51"/>
      <c r="FAJ38" s="51"/>
      <c r="FAK38" s="51"/>
      <c r="FAL38" s="51"/>
      <c r="FAM38" s="51"/>
      <c r="FAN38" s="51"/>
      <c r="FAO38" s="51"/>
      <c r="FAP38" s="51"/>
      <c r="FAQ38" s="51"/>
      <c r="FAR38" s="51"/>
      <c r="FAS38" s="51"/>
      <c r="FAT38" s="51"/>
      <c r="FAU38" s="51"/>
      <c r="FAV38" s="51"/>
      <c r="FAW38" s="51"/>
      <c r="FAX38" s="51"/>
      <c r="FAY38" s="51"/>
      <c r="FAZ38" s="51"/>
      <c r="FBA38" s="51"/>
      <c r="FBB38" s="51"/>
      <c r="FBC38" s="51"/>
      <c r="FBD38" s="51"/>
      <c r="FBE38" s="51"/>
      <c r="FBF38" s="51"/>
      <c r="FBG38" s="51"/>
      <c r="FBH38" s="51"/>
      <c r="FBI38" s="51"/>
      <c r="FBJ38" s="51"/>
      <c r="FBK38" s="51"/>
      <c r="FBL38" s="51"/>
      <c r="FBM38" s="51"/>
      <c r="FBN38" s="51"/>
      <c r="FBO38" s="51"/>
      <c r="FBP38" s="51"/>
      <c r="FBQ38" s="51"/>
      <c r="FBR38" s="51"/>
      <c r="FBS38" s="51"/>
      <c r="FBT38" s="51"/>
      <c r="FBU38" s="51"/>
      <c r="FBV38" s="51"/>
      <c r="FBW38" s="51"/>
      <c r="FBX38" s="51"/>
      <c r="FBY38" s="51"/>
      <c r="FBZ38" s="51"/>
      <c r="FCA38" s="51"/>
      <c r="FCB38" s="51"/>
      <c r="FCC38" s="51"/>
      <c r="FCD38" s="51"/>
      <c r="FCE38" s="51"/>
      <c r="FCF38" s="51"/>
      <c r="FCG38" s="51"/>
      <c r="FCH38" s="51"/>
      <c r="FCI38" s="51"/>
      <c r="FCJ38" s="51"/>
      <c r="FCK38" s="51"/>
      <c r="FCL38" s="51"/>
      <c r="FCM38" s="51"/>
      <c r="FCN38" s="51"/>
      <c r="FCO38" s="51"/>
      <c r="FCP38" s="51"/>
      <c r="FCQ38" s="51"/>
      <c r="FCR38" s="51"/>
      <c r="FCS38" s="51"/>
      <c r="FCT38" s="51"/>
      <c r="FCU38" s="51"/>
      <c r="FCV38" s="51"/>
      <c r="FCW38" s="51"/>
      <c r="FCX38" s="51"/>
      <c r="FCY38" s="51"/>
      <c r="FCZ38" s="51"/>
      <c r="FDA38" s="51"/>
      <c r="FDB38" s="51"/>
      <c r="FDC38" s="51"/>
      <c r="FDD38" s="51"/>
      <c r="FDE38" s="51"/>
      <c r="FDF38" s="51"/>
      <c r="FDG38" s="51"/>
      <c r="FDH38" s="51"/>
      <c r="FDI38" s="51"/>
      <c r="FDJ38" s="51"/>
      <c r="FDK38" s="51"/>
      <c r="FDL38" s="51"/>
      <c r="FDM38" s="51"/>
      <c r="FDN38" s="51"/>
      <c r="FDO38" s="51"/>
      <c r="FDP38" s="51"/>
      <c r="FDQ38" s="51"/>
      <c r="FDR38" s="51"/>
      <c r="FDS38" s="51"/>
      <c r="FDT38" s="51"/>
      <c r="FDU38" s="51"/>
      <c r="FDV38" s="51"/>
      <c r="FDW38" s="51"/>
      <c r="FDX38" s="51"/>
      <c r="FDY38" s="51"/>
      <c r="FDZ38" s="51"/>
      <c r="FEA38" s="51"/>
      <c r="FEB38" s="51"/>
      <c r="FEC38" s="51"/>
      <c r="FED38" s="51"/>
      <c r="FEE38" s="51"/>
      <c r="FEF38" s="51"/>
      <c r="FEG38" s="51"/>
      <c r="FEH38" s="51"/>
      <c r="FEI38" s="51"/>
      <c r="FEJ38" s="51"/>
      <c r="FEK38" s="51"/>
      <c r="FEL38" s="51"/>
      <c r="FEM38" s="51"/>
      <c r="FEN38" s="51"/>
      <c r="FEO38" s="51"/>
      <c r="FEP38" s="51"/>
      <c r="FEQ38" s="51"/>
      <c r="FER38" s="51"/>
      <c r="FES38" s="51"/>
      <c r="FET38" s="51"/>
      <c r="FEU38" s="51"/>
      <c r="FEV38" s="51"/>
      <c r="FEW38" s="51"/>
      <c r="FEX38" s="51"/>
      <c r="FEY38" s="51"/>
      <c r="FEZ38" s="51"/>
      <c r="FFA38" s="51"/>
      <c r="FFB38" s="51"/>
      <c r="FFC38" s="51"/>
      <c r="FFD38" s="51"/>
      <c r="FFE38" s="51"/>
      <c r="FFF38" s="51"/>
      <c r="FFG38" s="51"/>
      <c r="FFH38" s="51"/>
      <c r="FFI38" s="51"/>
      <c r="FFJ38" s="51"/>
      <c r="FFK38" s="51"/>
      <c r="FFL38" s="51"/>
      <c r="FFM38" s="51"/>
      <c r="FFN38" s="51"/>
      <c r="FFO38" s="51"/>
      <c r="FFP38" s="51"/>
      <c r="FFQ38" s="51"/>
      <c r="FFR38" s="51"/>
      <c r="FFS38" s="51"/>
      <c r="FFT38" s="51"/>
      <c r="FFU38" s="51"/>
      <c r="FFV38" s="51"/>
      <c r="FFW38" s="51"/>
      <c r="FFX38" s="51"/>
      <c r="FFY38" s="51"/>
      <c r="FFZ38" s="51"/>
      <c r="FGA38" s="51"/>
      <c r="FGB38" s="51"/>
      <c r="FGC38" s="51"/>
      <c r="FGD38" s="51"/>
      <c r="FGE38" s="51"/>
      <c r="FGF38" s="51"/>
      <c r="FGG38" s="51"/>
      <c r="FGH38" s="51"/>
      <c r="FGI38" s="51"/>
      <c r="FGJ38" s="51"/>
      <c r="FGK38" s="51"/>
      <c r="FGL38" s="51"/>
      <c r="FGM38" s="51"/>
      <c r="FGN38" s="51"/>
      <c r="FGO38" s="51"/>
      <c r="FGP38" s="51"/>
      <c r="FGQ38" s="51"/>
      <c r="FGR38" s="51"/>
      <c r="FGS38" s="51"/>
      <c r="FGT38" s="51"/>
      <c r="FGU38" s="51"/>
      <c r="FGV38" s="51"/>
      <c r="FGW38" s="51"/>
      <c r="FGX38" s="51"/>
      <c r="FGY38" s="51"/>
      <c r="FGZ38" s="51"/>
      <c r="FHA38" s="51"/>
      <c r="FHB38" s="51"/>
      <c r="FHC38" s="51"/>
      <c r="FHD38" s="51"/>
      <c r="FHE38" s="51"/>
      <c r="FHF38" s="51"/>
      <c r="FHG38" s="51"/>
      <c r="FHH38" s="51"/>
      <c r="FHI38" s="51"/>
      <c r="FHJ38" s="51"/>
      <c r="FHK38" s="51"/>
      <c r="FHL38" s="51"/>
      <c r="FHM38" s="51"/>
      <c r="FHN38" s="51"/>
      <c r="FHO38" s="51"/>
      <c r="FHP38" s="51"/>
      <c r="FHQ38" s="51"/>
      <c r="FHR38" s="51"/>
      <c r="FHS38" s="51"/>
      <c r="FHT38" s="51"/>
      <c r="FHU38" s="51"/>
      <c r="FHV38" s="51"/>
      <c r="FHW38" s="51"/>
      <c r="FHX38" s="51"/>
      <c r="FHY38" s="51"/>
      <c r="FHZ38" s="51"/>
      <c r="FIA38" s="51"/>
      <c r="FIB38" s="51"/>
      <c r="FIC38" s="51"/>
      <c r="FID38" s="51"/>
      <c r="FIE38" s="51"/>
      <c r="FIF38" s="51"/>
      <c r="FIG38" s="51"/>
      <c r="FIH38" s="51"/>
      <c r="FII38" s="51"/>
      <c r="FIJ38" s="51"/>
      <c r="FIK38" s="51"/>
      <c r="FIL38" s="51"/>
      <c r="FIM38" s="51"/>
      <c r="FIN38" s="51"/>
      <c r="FIO38" s="51"/>
      <c r="FIP38" s="51"/>
      <c r="FIQ38" s="51"/>
      <c r="FIR38" s="51"/>
      <c r="FIS38" s="51"/>
      <c r="FIT38" s="51"/>
      <c r="FIU38" s="51"/>
      <c r="FIV38" s="51"/>
      <c r="FIW38" s="51"/>
      <c r="FIX38" s="51"/>
      <c r="FIY38" s="51"/>
      <c r="FIZ38" s="51"/>
      <c r="FJA38" s="51"/>
      <c r="FJB38" s="51"/>
      <c r="FJC38" s="51"/>
      <c r="FJD38" s="51"/>
      <c r="FJE38" s="51"/>
      <c r="FJF38" s="51"/>
      <c r="FJG38" s="51"/>
      <c r="FJH38" s="51"/>
      <c r="FJI38" s="51"/>
      <c r="FJJ38" s="51"/>
      <c r="FJK38" s="51"/>
      <c r="FJL38" s="51"/>
      <c r="FJM38" s="51"/>
      <c r="FJN38" s="51"/>
      <c r="FJO38" s="51"/>
      <c r="FJP38" s="51"/>
      <c r="FJQ38" s="51"/>
      <c r="FJR38" s="51"/>
      <c r="FJS38" s="51"/>
      <c r="FJT38" s="51"/>
      <c r="FJU38" s="51"/>
      <c r="FJV38" s="51"/>
      <c r="FJW38" s="51"/>
      <c r="FJX38" s="51"/>
      <c r="FJY38" s="51"/>
      <c r="FJZ38" s="51"/>
      <c r="FKA38" s="51"/>
      <c r="FKB38" s="51"/>
      <c r="FKC38" s="51"/>
      <c r="FKD38" s="51"/>
      <c r="FKE38" s="51"/>
      <c r="FKF38" s="51"/>
      <c r="FKG38" s="51"/>
      <c r="FKH38" s="51"/>
      <c r="FKI38" s="51"/>
      <c r="FKJ38" s="51"/>
      <c r="FKK38" s="51"/>
      <c r="FKL38" s="51"/>
      <c r="FKM38" s="51"/>
      <c r="FKN38" s="51"/>
      <c r="FKO38" s="51"/>
      <c r="FKP38" s="51"/>
      <c r="FKQ38" s="51"/>
      <c r="FKR38" s="51"/>
      <c r="FKS38" s="51"/>
      <c r="FKT38" s="51"/>
      <c r="FKU38" s="51"/>
      <c r="FKV38" s="51"/>
      <c r="FKW38" s="51"/>
      <c r="FKX38" s="51"/>
      <c r="FKY38" s="51"/>
      <c r="FKZ38" s="51"/>
      <c r="FLA38" s="51"/>
      <c r="FLB38" s="51"/>
      <c r="FLC38" s="51"/>
      <c r="FLD38" s="51"/>
      <c r="FLE38" s="51"/>
      <c r="FLF38" s="51"/>
      <c r="FLG38" s="51"/>
      <c r="FLH38" s="51"/>
      <c r="FLI38" s="51"/>
      <c r="FLJ38" s="51"/>
      <c r="FLK38" s="51"/>
      <c r="FLL38" s="51"/>
      <c r="FLM38" s="51"/>
      <c r="FLN38" s="51"/>
      <c r="FLO38" s="51"/>
      <c r="FLP38" s="51"/>
      <c r="FLQ38" s="51"/>
      <c r="FLR38" s="51"/>
      <c r="FLS38" s="51"/>
      <c r="FLT38" s="51"/>
      <c r="FLU38" s="51"/>
      <c r="FLV38" s="51"/>
      <c r="FLW38" s="51"/>
      <c r="FLX38" s="51"/>
      <c r="FLY38" s="51"/>
      <c r="FLZ38" s="51"/>
      <c r="FMA38" s="51"/>
      <c r="FMB38" s="51"/>
      <c r="FMC38" s="51"/>
      <c r="FMD38" s="51"/>
      <c r="FME38" s="51"/>
      <c r="FMF38" s="51"/>
      <c r="FMG38" s="51"/>
      <c r="FMH38" s="51"/>
      <c r="FMI38" s="51"/>
      <c r="FMJ38" s="51"/>
      <c r="FMK38" s="51"/>
      <c r="FML38" s="51"/>
      <c r="FMM38" s="51"/>
      <c r="FMN38" s="51"/>
      <c r="FMO38" s="51"/>
      <c r="FMP38" s="51"/>
      <c r="FMQ38" s="51"/>
      <c r="FMR38" s="51"/>
      <c r="FMS38" s="51"/>
      <c r="FMT38" s="51"/>
      <c r="FMU38" s="51"/>
      <c r="FMV38" s="51"/>
      <c r="FMW38" s="51"/>
      <c r="FMX38" s="51"/>
      <c r="FMY38" s="51"/>
      <c r="FMZ38" s="51"/>
      <c r="FNA38" s="51"/>
      <c r="FNB38" s="51"/>
      <c r="FNC38" s="51"/>
      <c r="FND38" s="51"/>
      <c r="FNE38" s="51"/>
      <c r="FNF38" s="51"/>
      <c r="FNG38" s="51"/>
      <c r="FNH38" s="51"/>
      <c r="FNI38" s="51"/>
      <c r="FNJ38" s="51"/>
      <c r="FNK38" s="51"/>
      <c r="FNL38" s="51"/>
      <c r="FNM38" s="51"/>
      <c r="FNN38" s="51"/>
      <c r="FNO38" s="51"/>
      <c r="FNP38" s="51"/>
      <c r="FNQ38" s="51"/>
      <c r="FNR38" s="51"/>
      <c r="FNS38" s="51"/>
      <c r="FNT38" s="51"/>
      <c r="FNU38" s="51"/>
      <c r="FNV38" s="51"/>
      <c r="FNW38" s="51"/>
      <c r="FNX38" s="51"/>
      <c r="FNY38" s="51"/>
      <c r="FNZ38" s="51"/>
      <c r="FOA38" s="51"/>
      <c r="FOB38" s="51"/>
      <c r="FOC38" s="51"/>
      <c r="FOD38" s="51"/>
      <c r="FOE38" s="51"/>
      <c r="FOF38" s="51"/>
      <c r="FOG38" s="51"/>
      <c r="FOH38" s="51"/>
      <c r="FOI38" s="51"/>
      <c r="FOJ38" s="51"/>
      <c r="FOK38" s="51"/>
      <c r="FOL38" s="51"/>
      <c r="FOM38" s="51"/>
      <c r="FON38" s="51"/>
      <c r="FOO38" s="51"/>
      <c r="FOP38" s="51"/>
      <c r="FOQ38" s="51"/>
      <c r="FOR38" s="51"/>
      <c r="FOS38" s="51"/>
      <c r="FOT38" s="51"/>
      <c r="FOU38" s="51"/>
      <c r="FOV38" s="51"/>
      <c r="FOW38" s="51"/>
      <c r="FOX38" s="51"/>
      <c r="FOY38" s="51"/>
      <c r="FOZ38" s="51"/>
      <c r="FPA38" s="51"/>
      <c r="FPB38" s="51"/>
      <c r="FPC38" s="51"/>
      <c r="FPD38" s="51"/>
      <c r="FPE38" s="51"/>
      <c r="FPF38" s="51"/>
      <c r="FPG38" s="51"/>
      <c r="FPH38" s="51"/>
      <c r="FPI38" s="51"/>
      <c r="FPJ38" s="51"/>
      <c r="FPK38" s="51"/>
      <c r="FPL38" s="51"/>
      <c r="FPM38" s="51"/>
      <c r="FPN38" s="51"/>
      <c r="FPO38" s="51"/>
      <c r="FPP38" s="51"/>
      <c r="FPQ38" s="51"/>
      <c r="FPR38" s="51"/>
      <c r="FPS38" s="51"/>
      <c r="FPT38" s="51"/>
      <c r="FPU38" s="51"/>
      <c r="FPV38" s="51"/>
      <c r="FPW38" s="51"/>
      <c r="FPX38" s="51"/>
      <c r="FPY38" s="51"/>
      <c r="FPZ38" s="51"/>
      <c r="FQA38" s="51"/>
      <c r="FQB38" s="51"/>
      <c r="FQC38" s="51"/>
      <c r="FQD38" s="51"/>
      <c r="FQE38" s="51"/>
      <c r="FQF38" s="51"/>
      <c r="FQG38" s="51"/>
      <c r="FQH38" s="51"/>
      <c r="FQI38" s="51"/>
      <c r="FQJ38" s="51"/>
      <c r="FQK38" s="51"/>
      <c r="FQL38" s="51"/>
      <c r="FQM38" s="51"/>
      <c r="FQN38" s="51"/>
      <c r="FQO38" s="51"/>
      <c r="FQP38" s="51"/>
      <c r="FQQ38" s="51"/>
      <c r="FQR38" s="51"/>
      <c r="FQS38" s="51"/>
      <c r="FQT38" s="51"/>
      <c r="FQU38" s="51"/>
      <c r="FQV38" s="51"/>
      <c r="FQW38" s="51"/>
      <c r="FQX38" s="51"/>
      <c r="FQY38" s="51"/>
      <c r="FQZ38" s="51"/>
      <c r="FRA38" s="51"/>
      <c r="FRB38" s="51"/>
      <c r="FRC38" s="51"/>
      <c r="FRD38" s="51"/>
      <c r="FRE38" s="51"/>
      <c r="FRF38" s="51"/>
      <c r="FRG38" s="51"/>
      <c r="FRH38" s="51"/>
      <c r="FRI38" s="51"/>
      <c r="FRJ38" s="51"/>
      <c r="FRK38" s="51"/>
      <c r="FRL38" s="51"/>
      <c r="FRM38" s="51"/>
      <c r="FRN38" s="51"/>
      <c r="FRO38" s="51"/>
      <c r="FRP38" s="51"/>
      <c r="FRQ38" s="51"/>
      <c r="FRR38" s="51"/>
      <c r="FRS38" s="51"/>
      <c r="FRT38" s="51"/>
      <c r="FRU38" s="51"/>
      <c r="FRV38" s="51"/>
      <c r="FRW38" s="51"/>
      <c r="FRX38" s="51"/>
      <c r="FRY38" s="51"/>
      <c r="FRZ38" s="51"/>
      <c r="FSA38" s="51"/>
      <c r="FSB38" s="51"/>
      <c r="FSC38" s="51"/>
      <c r="FSD38" s="51"/>
      <c r="FSE38" s="51"/>
      <c r="FSF38" s="51"/>
      <c r="FSG38" s="51"/>
      <c r="FSH38" s="51"/>
      <c r="FSI38" s="51"/>
      <c r="FSJ38" s="51"/>
      <c r="FSK38" s="51"/>
      <c r="FSL38" s="51"/>
      <c r="FSM38" s="51"/>
      <c r="FSN38" s="51"/>
      <c r="FSO38" s="51"/>
      <c r="FSP38" s="51"/>
      <c r="FSQ38" s="51"/>
      <c r="FSR38" s="51"/>
      <c r="FSS38" s="51"/>
      <c r="FST38" s="51"/>
      <c r="FSU38" s="51"/>
      <c r="FSV38" s="51"/>
      <c r="FSW38" s="51"/>
      <c r="FSX38" s="51"/>
      <c r="FSY38" s="51"/>
      <c r="FSZ38" s="51"/>
      <c r="FTA38" s="51"/>
      <c r="FTB38" s="51"/>
      <c r="FTC38" s="51"/>
      <c r="FTD38" s="51"/>
      <c r="FTE38" s="51"/>
      <c r="FTF38" s="51"/>
      <c r="FTG38" s="51"/>
      <c r="FTH38" s="51"/>
      <c r="FTI38" s="51"/>
      <c r="FTJ38" s="51"/>
      <c r="FTK38" s="51"/>
      <c r="FTL38" s="51"/>
      <c r="FTM38" s="51"/>
      <c r="FTN38" s="51"/>
      <c r="FTO38" s="51"/>
      <c r="FTP38" s="51"/>
      <c r="FTQ38" s="51"/>
      <c r="FTR38" s="51"/>
      <c r="FTS38" s="51"/>
      <c r="FTT38" s="51"/>
      <c r="FTU38" s="51"/>
      <c r="FTV38" s="51"/>
      <c r="FTW38" s="51"/>
      <c r="FTX38" s="51"/>
      <c r="FTY38" s="51"/>
      <c r="FTZ38" s="51"/>
      <c r="FUA38" s="51"/>
      <c r="FUB38" s="51"/>
      <c r="FUC38" s="51"/>
      <c r="FUD38" s="51"/>
      <c r="FUE38" s="51"/>
      <c r="FUF38" s="51"/>
      <c r="FUG38" s="51"/>
      <c r="FUH38" s="51"/>
      <c r="FUI38" s="51"/>
      <c r="FUJ38" s="51"/>
      <c r="FUK38" s="51"/>
      <c r="FUL38" s="51"/>
      <c r="FUM38" s="51"/>
      <c r="FUN38" s="51"/>
      <c r="FUO38" s="51"/>
      <c r="FUP38" s="51"/>
      <c r="FUQ38" s="51"/>
      <c r="FUR38" s="51"/>
      <c r="FUS38" s="51"/>
      <c r="FUT38" s="51"/>
      <c r="FUU38" s="51"/>
      <c r="FUV38" s="51"/>
      <c r="FUW38" s="51"/>
      <c r="FUX38" s="51"/>
      <c r="FUY38" s="51"/>
      <c r="FUZ38" s="51"/>
      <c r="FVA38" s="51"/>
      <c r="FVB38" s="51"/>
      <c r="FVC38" s="51"/>
      <c r="FVD38" s="51"/>
      <c r="FVE38" s="51"/>
      <c r="FVF38" s="51"/>
      <c r="FVG38" s="51"/>
      <c r="FVH38" s="51"/>
      <c r="FVI38" s="51"/>
      <c r="FVJ38" s="51"/>
      <c r="FVK38" s="51"/>
      <c r="FVL38" s="51"/>
      <c r="FVM38" s="51"/>
      <c r="FVN38" s="51"/>
      <c r="FVO38" s="51"/>
      <c r="FVP38" s="51"/>
      <c r="FVQ38" s="51"/>
      <c r="FVR38" s="51"/>
      <c r="FVS38" s="51"/>
      <c r="FVT38" s="51"/>
      <c r="FVU38" s="51"/>
      <c r="FVV38" s="51"/>
      <c r="FVW38" s="51"/>
      <c r="FVX38" s="51"/>
      <c r="FVY38" s="51"/>
      <c r="FVZ38" s="51"/>
      <c r="FWA38" s="51"/>
      <c r="FWB38" s="51"/>
      <c r="FWC38" s="51"/>
      <c r="FWD38" s="51"/>
      <c r="FWE38" s="51"/>
      <c r="FWF38" s="51"/>
      <c r="FWG38" s="51"/>
      <c r="FWH38" s="51"/>
      <c r="FWI38" s="51"/>
      <c r="FWJ38" s="51"/>
      <c r="FWK38" s="51"/>
      <c r="FWL38" s="51"/>
      <c r="FWM38" s="51"/>
      <c r="FWN38" s="51"/>
      <c r="FWO38" s="51"/>
      <c r="FWP38" s="51"/>
      <c r="FWQ38" s="51"/>
      <c r="FWR38" s="51"/>
      <c r="FWS38" s="51"/>
      <c r="FWT38" s="51"/>
      <c r="FWU38" s="51"/>
      <c r="FWV38" s="51"/>
      <c r="FWW38" s="51"/>
      <c r="FWX38" s="51"/>
      <c r="FWY38" s="51"/>
      <c r="FWZ38" s="51"/>
      <c r="FXA38" s="51"/>
      <c r="FXB38" s="51"/>
      <c r="FXC38" s="51"/>
      <c r="FXD38" s="51"/>
      <c r="FXE38" s="51"/>
      <c r="FXF38" s="51"/>
      <c r="FXG38" s="51"/>
      <c r="FXH38" s="51"/>
      <c r="FXI38" s="51"/>
      <c r="FXJ38" s="51"/>
      <c r="FXK38" s="51"/>
      <c r="FXL38" s="51"/>
      <c r="FXM38" s="51"/>
      <c r="FXN38" s="51"/>
      <c r="FXO38" s="51"/>
      <c r="FXP38" s="51"/>
      <c r="FXQ38" s="51"/>
      <c r="FXR38" s="51"/>
      <c r="FXS38" s="51"/>
      <c r="FXT38" s="51"/>
      <c r="FXU38" s="51"/>
      <c r="FXV38" s="51"/>
      <c r="FXW38" s="51"/>
      <c r="FXX38" s="51"/>
      <c r="FXY38" s="51"/>
      <c r="FXZ38" s="51"/>
      <c r="FYA38" s="51"/>
      <c r="FYB38" s="51"/>
      <c r="FYC38" s="51"/>
      <c r="FYD38" s="51"/>
      <c r="FYE38" s="51"/>
      <c r="FYF38" s="51"/>
      <c r="FYG38" s="51"/>
      <c r="FYH38" s="51"/>
      <c r="FYI38" s="51"/>
      <c r="FYJ38" s="51"/>
      <c r="FYK38" s="51"/>
      <c r="FYL38" s="51"/>
      <c r="FYM38" s="51"/>
      <c r="FYN38" s="51"/>
      <c r="FYO38" s="51"/>
      <c r="FYP38" s="51"/>
      <c r="FYQ38" s="51"/>
      <c r="FYR38" s="51"/>
      <c r="FYS38" s="51"/>
      <c r="FYT38" s="51"/>
      <c r="FYU38" s="51"/>
      <c r="FYV38" s="51"/>
      <c r="FYW38" s="51"/>
      <c r="FYX38" s="51"/>
      <c r="FYY38" s="51"/>
      <c r="FYZ38" s="51"/>
      <c r="FZA38" s="51"/>
      <c r="FZB38" s="51"/>
      <c r="FZC38" s="51"/>
      <c r="FZD38" s="51"/>
      <c r="FZE38" s="51"/>
      <c r="FZF38" s="51"/>
      <c r="FZG38" s="51"/>
      <c r="FZH38" s="51"/>
      <c r="FZI38" s="51"/>
      <c r="FZJ38" s="51"/>
      <c r="FZK38" s="51"/>
      <c r="FZL38" s="51"/>
      <c r="FZM38" s="51"/>
      <c r="FZN38" s="51"/>
      <c r="FZO38" s="51"/>
      <c r="FZP38" s="51"/>
      <c r="FZQ38" s="51"/>
      <c r="FZR38" s="51"/>
      <c r="FZS38" s="51"/>
      <c r="FZT38" s="51"/>
      <c r="FZU38" s="51"/>
      <c r="FZV38" s="51"/>
      <c r="FZW38" s="51"/>
      <c r="FZX38" s="51"/>
      <c r="FZY38" s="51"/>
      <c r="FZZ38" s="51"/>
      <c r="GAA38" s="51"/>
      <c r="GAB38" s="51"/>
      <c r="GAC38" s="51"/>
      <c r="GAD38" s="51"/>
      <c r="GAE38" s="51"/>
      <c r="GAF38" s="51"/>
      <c r="GAG38" s="51"/>
      <c r="GAH38" s="51"/>
      <c r="GAI38" s="51"/>
      <c r="GAJ38" s="51"/>
      <c r="GAK38" s="51"/>
      <c r="GAL38" s="51"/>
      <c r="GAM38" s="51"/>
      <c r="GAN38" s="51"/>
      <c r="GAO38" s="51"/>
      <c r="GAP38" s="51"/>
      <c r="GAQ38" s="51"/>
      <c r="GAR38" s="51"/>
      <c r="GAS38" s="51"/>
      <c r="GAT38" s="51"/>
      <c r="GAU38" s="51"/>
      <c r="GAV38" s="51"/>
      <c r="GAW38" s="51"/>
      <c r="GAX38" s="51"/>
      <c r="GAY38" s="51"/>
      <c r="GAZ38" s="51"/>
      <c r="GBA38" s="51"/>
      <c r="GBB38" s="51"/>
      <c r="GBC38" s="51"/>
      <c r="GBD38" s="51"/>
      <c r="GBE38" s="51"/>
      <c r="GBF38" s="51"/>
      <c r="GBG38" s="51"/>
      <c r="GBH38" s="51"/>
      <c r="GBI38" s="51"/>
      <c r="GBJ38" s="51"/>
      <c r="GBK38" s="51"/>
      <c r="GBL38" s="51"/>
      <c r="GBM38" s="51"/>
      <c r="GBN38" s="51"/>
      <c r="GBO38" s="51"/>
      <c r="GBP38" s="51"/>
      <c r="GBQ38" s="51"/>
      <c r="GBR38" s="51"/>
      <c r="GBS38" s="51"/>
      <c r="GBT38" s="51"/>
      <c r="GBU38" s="51"/>
      <c r="GBV38" s="51"/>
      <c r="GBW38" s="51"/>
      <c r="GBX38" s="51"/>
      <c r="GBY38" s="51"/>
      <c r="GBZ38" s="51"/>
      <c r="GCA38" s="51"/>
      <c r="GCB38" s="51"/>
      <c r="GCC38" s="51"/>
      <c r="GCD38" s="51"/>
      <c r="GCE38" s="51"/>
      <c r="GCF38" s="51"/>
      <c r="GCG38" s="51"/>
      <c r="GCH38" s="51"/>
      <c r="GCI38" s="51"/>
      <c r="GCJ38" s="51"/>
      <c r="GCK38" s="51"/>
      <c r="GCL38" s="51"/>
      <c r="GCM38" s="51"/>
      <c r="GCN38" s="51"/>
      <c r="GCO38" s="51"/>
      <c r="GCP38" s="51"/>
      <c r="GCQ38" s="51"/>
      <c r="GCR38" s="51"/>
      <c r="GCS38" s="51"/>
      <c r="GCT38" s="51"/>
      <c r="GCU38" s="51"/>
      <c r="GCV38" s="51"/>
      <c r="GCW38" s="51"/>
      <c r="GCX38" s="51"/>
      <c r="GCY38" s="51"/>
      <c r="GCZ38" s="51"/>
      <c r="GDA38" s="51"/>
      <c r="GDB38" s="51"/>
      <c r="GDC38" s="51"/>
      <c r="GDD38" s="51"/>
      <c r="GDE38" s="51"/>
      <c r="GDF38" s="51"/>
      <c r="GDG38" s="51"/>
      <c r="GDH38" s="51"/>
      <c r="GDI38" s="51"/>
      <c r="GDJ38" s="51"/>
      <c r="GDK38" s="51"/>
      <c r="GDL38" s="51"/>
      <c r="GDM38" s="51"/>
      <c r="GDN38" s="51"/>
      <c r="GDO38" s="51"/>
      <c r="GDP38" s="51"/>
      <c r="GDQ38" s="51"/>
      <c r="GDR38" s="51"/>
      <c r="GDS38" s="51"/>
      <c r="GDT38" s="51"/>
      <c r="GDU38" s="51"/>
      <c r="GDV38" s="51"/>
      <c r="GDW38" s="51"/>
      <c r="GDX38" s="51"/>
      <c r="GDY38" s="51"/>
      <c r="GDZ38" s="51"/>
      <c r="GEA38" s="51"/>
      <c r="GEB38" s="51"/>
      <c r="GEC38" s="51"/>
      <c r="GED38" s="51"/>
      <c r="GEE38" s="51"/>
      <c r="GEF38" s="51"/>
      <c r="GEG38" s="51"/>
      <c r="GEH38" s="51"/>
      <c r="GEI38" s="51"/>
      <c r="GEJ38" s="51"/>
      <c r="GEK38" s="51"/>
      <c r="GEL38" s="51"/>
      <c r="GEM38" s="51"/>
      <c r="GEN38" s="51"/>
      <c r="GEO38" s="51"/>
      <c r="GEP38" s="51"/>
      <c r="GEQ38" s="51"/>
      <c r="GER38" s="51"/>
      <c r="GES38" s="51"/>
      <c r="GET38" s="51"/>
      <c r="GEU38" s="51"/>
      <c r="GEV38" s="51"/>
      <c r="GEW38" s="51"/>
      <c r="GEX38" s="51"/>
      <c r="GEY38" s="51"/>
      <c r="GEZ38" s="51"/>
      <c r="GFA38" s="51"/>
      <c r="GFB38" s="51"/>
      <c r="GFC38" s="51"/>
      <c r="GFD38" s="51"/>
      <c r="GFE38" s="51"/>
      <c r="GFF38" s="51"/>
      <c r="GFG38" s="51"/>
      <c r="GFH38" s="51"/>
      <c r="GFI38" s="51"/>
      <c r="GFJ38" s="51"/>
      <c r="GFK38" s="51"/>
      <c r="GFL38" s="51"/>
      <c r="GFM38" s="51"/>
      <c r="GFN38" s="51"/>
      <c r="GFO38" s="51"/>
      <c r="GFP38" s="51"/>
      <c r="GFQ38" s="51"/>
      <c r="GFR38" s="51"/>
      <c r="GFS38" s="51"/>
      <c r="GFT38" s="51"/>
      <c r="GFU38" s="51"/>
      <c r="GFV38" s="51"/>
      <c r="GFW38" s="51"/>
      <c r="GFX38" s="51"/>
      <c r="GFY38" s="51"/>
      <c r="GFZ38" s="51"/>
      <c r="GGA38" s="51"/>
      <c r="GGB38" s="51"/>
      <c r="GGC38" s="51"/>
      <c r="GGD38" s="51"/>
      <c r="GGE38" s="51"/>
      <c r="GGF38" s="51"/>
      <c r="GGG38" s="51"/>
      <c r="GGH38" s="51"/>
      <c r="GGI38" s="51"/>
      <c r="GGJ38" s="51"/>
      <c r="GGK38" s="51"/>
      <c r="GGL38" s="51"/>
      <c r="GGM38" s="51"/>
      <c r="GGN38" s="51"/>
      <c r="GGO38" s="51"/>
      <c r="GGP38" s="51"/>
      <c r="GGQ38" s="51"/>
      <c r="GGR38" s="51"/>
      <c r="GGS38" s="51"/>
      <c r="GGT38" s="51"/>
      <c r="GGU38" s="51"/>
      <c r="GGV38" s="51"/>
      <c r="GGW38" s="51"/>
      <c r="GGX38" s="51"/>
      <c r="GGY38" s="51"/>
      <c r="GGZ38" s="51"/>
      <c r="GHA38" s="51"/>
      <c r="GHB38" s="51"/>
      <c r="GHC38" s="51"/>
      <c r="GHD38" s="51"/>
      <c r="GHE38" s="51"/>
      <c r="GHF38" s="51"/>
      <c r="GHG38" s="51"/>
      <c r="GHH38" s="51"/>
      <c r="GHI38" s="51"/>
      <c r="GHJ38" s="51"/>
      <c r="GHK38" s="51"/>
      <c r="GHL38" s="51"/>
      <c r="GHM38" s="51"/>
      <c r="GHN38" s="51"/>
      <c r="GHO38" s="51"/>
      <c r="GHP38" s="51"/>
      <c r="GHQ38" s="51"/>
      <c r="GHR38" s="51"/>
      <c r="GHS38" s="51"/>
      <c r="GHT38" s="51"/>
      <c r="GHU38" s="51"/>
      <c r="GHV38" s="51"/>
      <c r="GHW38" s="51"/>
      <c r="GHX38" s="51"/>
      <c r="GHY38" s="51"/>
      <c r="GHZ38" s="51"/>
      <c r="GIA38" s="51"/>
      <c r="GIB38" s="51"/>
      <c r="GIC38" s="51"/>
      <c r="GID38" s="51"/>
      <c r="GIE38" s="51"/>
      <c r="GIF38" s="51"/>
      <c r="GIG38" s="51"/>
      <c r="GIH38" s="51"/>
      <c r="GII38" s="51"/>
      <c r="GIJ38" s="51"/>
      <c r="GIK38" s="51"/>
      <c r="GIL38" s="51"/>
      <c r="GIM38" s="51"/>
      <c r="GIN38" s="51"/>
      <c r="GIO38" s="51"/>
      <c r="GIP38" s="51"/>
      <c r="GIQ38" s="51"/>
      <c r="GIR38" s="51"/>
      <c r="GIS38" s="51"/>
      <c r="GIT38" s="51"/>
      <c r="GIU38" s="51"/>
      <c r="GIV38" s="51"/>
      <c r="GIW38" s="51"/>
      <c r="GIX38" s="51"/>
      <c r="GIY38" s="51"/>
      <c r="GIZ38" s="51"/>
      <c r="GJA38" s="51"/>
      <c r="GJB38" s="51"/>
      <c r="GJC38" s="51"/>
      <c r="GJD38" s="51"/>
      <c r="GJE38" s="51"/>
      <c r="GJF38" s="51"/>
      <c r="GJG38" s="51"/>
      <c r="GJH38" s="51"/>
      <c r="GJI38" s="51"/>
      <c r="GJJ38" s="51"/>
      <c r="GJK38" s="51"/>
      <c r="GJL38" s="51"/>
      <c r="GJM38" s="51"/>
      <c r="GJN38" s="51"/>
      <c r="GJO38" s="51"/>
      <c r="GJP38" s="51"/>
      <c r="GJQ38" s="51"/>
      <c r="GJR38" s="51"/>
      <c r="GJS38" s="51"/>
      <c r="GJT38" s="51"/>
      <c r="GJU38" s="51"/>
      <c r="GJV38" s="51"/>
      <c r="GJW38" s="51"/>
      <c r="GJX38" s="51"/>
      <c r="GJY38" s="51"/>
      <c r="GJZ38" s="51"/>
      <c r="GKA38" s="51"/>
      <c r="GKB38" s="51"/>
      <c r="GKC38" s="51"/>
      <c r="GKD38" s="51"/>
      <c r="GKE38" s="51"/>
      <c r="GKF38" s="51"/>
      <c r="GKG38" s="51"/>
      <c r="GKH38" s="51"/>
      <c r="GKI38" s="51"/>
      <c r="GKJ38" s="51"/>
      <c r="GKK38" s="51"/>
      <c r="GKL38" s="51"/>
      <c r="GKM38" s="51"/>
      <c r="GKN38" s="51"/>
      <c r="GKO38" s="51"/>
      <c r="GKP38" s="51"/>
      <c r="GKQ38" s="51"/>
      <c r="GKR38" s="51"/>
      <c r="GKS38" s="51"/>
      <c r="GKT38" s="51"/>
      <c r="GKU38" s="51"/>
      <c r="GKV38" s="51"/>
      <c r="GKW38" s="51"/>
      <c r="GKX38" s="51"/>
      <c r="GKY38" s="51"/>
      <c r="GKZ38" s="51"/>
      <c r="GLA38" s="51"/>
      <c r="GLB38" s="51"/>
      <c r="GLC38" s="51"/>
      <c r="GLD38" s="51"/>
      <c r="GLE38" s="51"/>
      <c r="GLF38" s="51"/>
      <c r="GLG38" s="51"/>
      <c r="GLH38" s="51"/>
      <c r="GLI38" s="51"/>
      <c r="GLJ38" s="51"/>
      <c r="GLK38" s="51"/>
      <c r="GLL38" s="51"/>
      <c r="GLM38" s="51"/>
      <c r="GLN38" s="51"/>
      <c r="GLO38" s="51"/>
      <c r="GLP38" s="51"/>
      <c r="GLQ38" s="51"/>
      <c r="GLR38" s="51"/>
      <c r="GLS38" s="51"/>
      <c r="GLT38" s="51"/>
      <c r="GLU38" s="51"/>
      <c r="GLV38" s="51"/>
      <c r="GLW38" s="51"/>
      <c r="GLX38" s="51"/>
      <c r="GLY38" s="51"/>
      <c r="GLZ38" s="51"/>
      <c r="GMA38" s="51"/>
      <c r="GMB38" s="51"/>
      <c r="GMC38" s="51"/>
      <c r="GMD38" s="51"/>
      <c r="GME38" s="51"/>
      <c r="GMF38" s="51"/>
      <c r="GMG38" s="51"/>
      <c r="GMH38" s="51"/>
      <c r="GMI38" s="51"/>
      <c r="GMJ38" s="51"/>
      <c r="GMK38" s="51"/>
      <c r="GML38" s="51"/>
      <c r="GMM38" s="51"/>
      <c r="GMN38" s="51"/>
      <c r="GMO38" s="51"/>
      <c r="GMP38" s="51"/>
      <c r="GMQ38" s="51"/>
      <c r="GMR38" s="51"/>
      <c r="GMS38" s="51"/>
      <c r="GMT38" s="51"/>
      <c r="GMU38" s="51"/>
      <c r="GMV38" s="51"/>
      <c r="GMW38" s="51"/>
      <c r="GMX38" s="51"/>
      <c r="GMY38" s="51"/>
      <c r="GMZ38" s="51"/>
      <c r="GNA38" s="51"/>
      <c r="GNB38" s="51"/>
      <c r="GNC38" s="51"/>
      <c r="GND38" s="51"/>
      <c r="GNE38" s="51"/>
      <c r="GNF38" s="51"/>
      <c r="GNG38" s="51"/>
      <c r="GNH38" s="51"/>
      <c r="GNI38" s="51"/>
      <c r="GNJ38" s="51"/>
      <c r="GNK38" s="51"/>
      <c r="GNL38" s="51"/>
      <c r="GNM38" s="51"/>
      <c r="GNN38" s="51"/>
      <c r="GNO38" s="51"/>
      <c r="GNP38" s="51"/>
      <c r="GNQ38" s="51"/>
      <c r="GNR38" s="51"/>
      <c r="GNS38" s="51"/>
      <c r="GNT38" s="51"/>
      <c r="GNU38" s="51"/>
      <c r="GNV38" s="51"/>
      <c r="GNW38" s="51"/>
      <c r="GNX38" s="51"/>
      <c r="GNY38" s="51"/>
      <c r="GNZ38" s="51"/>
      <c r="GOA38" s="51"/>
      <c r="GOB38" s="51"/>
      <c r="GOC38" s="51"/>
      <c r="GOD38" s="51"/>
      <c r="GOE38" s="51"/>
      <c r="GOF38" s="51"/>
      <c r="GOG38" s="51"/>
      <c r="GOH38" s="51"/>
      <c r="GOI38" s="51"/>
      <c r="GOJ38" s="51"/>
      <c r="GOK38" s="51"/>
      <c r="GOL38" s="51"/>
      <c r="GOM38" s="51"/>
      <c r="GON38" s="51"/>
      <c r="GOO38" s="51"/>
      <c r="GOP38" s="51"/>
      <c r="GOQ38" s="51"/>
      <c r="GOR38" s="51"/>
      <c r="GOS38" s="51"/>
      <c r="GOT38" s="51"/>
      <c r="GOU38" s="51"/>
      <c r="GOV38" s="51"/>
      <c r="GOW38" s="51"/>
      <c r="GOX38" s="51"/>
      <c r="GOY38" s="51"/>
      <c r="GOZ38" s="51"/>
      <c r="GPA38" s="51"/>
      <c r="GPB38" s="51"/>
      <c r="GPC38" s="51"/>
      <c r="GPD38" s="51"/>
      <c r="GPE38" s="51"/>
      <c r="GPF38" s="51"/>
      <c r="GPG38" s="51"/>
      <c r="GPH38" s="51"/>
      <c r="GPI38" s="51"/>
      <c r="GPJ38" s="51"/>
      <c r="GPK38" s="51"/>
      <c r="GPL38" s="51"/>
      <c r="GPM38" s="51"/>
      <c r="GPN38" s="51"/>
      <c r="GPO38" s="51"/>
      <c r="GPP38" s="51"/>
      <c r="GPQ38" s="51"/>
      <c r="GPR38" s="51"/>
      <c r="GPS38" s="51"/>
      <c r="GPT38" s="51"/>
      <c r="GPU38" s="51"/>
      <c r="GPV38" s="51"/>
      <c r="GPW38" s="51"/>
      <c r="GPX38" s="51"/>
      <c r="GPY38" s="51"/>
      <c r="GPZ38" s="51"/>
      <c r="GQA38" s="51"/>
      <c r="GQB38" s="51"/>
      <c r="GQC38" s="51"/>
      <c r="GQD38" s="51"/>
      <c r="GQE38" s="51"/>
      <c r="GQF38" s="51"/>
      <c r="GQG38" s="51"/>
      <c r="GQH38" s="51"/>
      <c r="GQI38" s="51"/>
      <c r="GQJ38" s="51"/>
      <c r="GQK38" s="51"/>
      <c r="GQL38" s="51"/>
      <c r="GQM38" s="51"/>
      <c r="GQN38" s="51"/>
      <c r="GQO38" s="51"/>
      <c r="GQP38" s="51"/>
      <c r="GQQ38" s="51"/>
      <c r="GQR38" s="51"/>
      <c r="GQS38" s="51"/>
      <c r="GQT38" s="51"/>
      <c r="GQU38" s="51"/>
      <c r="GQV38" s="51"/>
      <c r="GQW38" s="51"/>
      <c r="GQX38" s="51"/>
      <c r="GQY38" s="51"/>
      <c r="GQZ38" s="51"/>
      <c r="GRA38" s="51"/>
      <c r="GRB38" s="51"/>
      <c r="GRC38" s="51"/>
      <c r="GRD38" s="51"/>
      <c r="GRE38" s="51"/>
      <c r="GRF38" s="51"/>
      <c r="GRG38" s="51"/>
      <c r="GRH38" s="51"/>
      <c r="GRI38" s="51"/>
      <c r="GRJ38" s="51"/>
      <c r="GRK38" s="51"/>
      <c r="GRL38" s="51"/>
      <c r="GRM38" s="51"/>
      <c r="GRN38" s="51"/>
      <c r="GRO38" s="51"/>
      <c r="GRP38" s="51"/>
      <c r="GRQ38" s="51"/>
      <c r="GRR38" s="51"/>
      <c r="GRS38" s="51"/>
      <c r="GRT38" s="51"/>
      <c r="GRU38" s="51"/>
      <c r="GRV38" s="51"/>
      <c r="GRW38" s="51"/>
      <c r="GRX38" s="51"/>
      <c r="GRY38" s="51"/>
      <c r="GRZ38" s="51"/>
      <c r="GSA38" s="51"/>
      <c r="GSB38" s="51"/>
      <c r="GSC38" s="51"/>
      <c r="GSD38" s="51"/>
      <c r="GSE38" s="51"/>
      <c r="GSF38" s="51"/>
      <c r="GSG38" s="51"/>
      <c r="GSH38" s="51"/>
      <c r="GSI38" s="51"/>
      <c r="GSJ38" s="51"/>
      <c r="GSK38" s="51"/>
      <c r="GSL38" s="51"/>
      <c r="GSM38" s="51"/>
      <c r="GSN38" s="51"/>
      <c r="GSO38" s="51"/>
      <c r="GSP38" s="51"/>
      <c r="GSQ38" s="51"/>
      <c r="GSR38" s="51"/>
      <c r="GSS38" s="51"/>
      <c r="GST38" s="51"/>
      <c r="GSU38" s="51"/>
      <c r="GSV38" s="51"/>
      <c r="GSW38" s="51"/>
      <c r="GSX38" s="51"/>
      <c r="GSY38" s="51"/>
      <c r="GSZ38" s="51"/>
      <c r="GTA38" s="51"/>
      <c r="GTB38" s="51"/>
      <c r="GTC38" s="51"/>
      <c r="GTD38" s="51"/>
      <c r="GTE38" s="51"/>
      <c r="GTF38" s="51"/>
      <c r="GTG38" s="51"/>
      <c r="GTH38" s="51"/>
      <c r="GTI38" s="51"/>
      <c r="GTJ38" s="51"/>
      <c r="GTK38" s="51"/>
      <c r="GTL38" s="51"/>
      <c r="GTM38" s="51"/>
      <c r="GTN38" s="51"/>
      <c r="GTO38" s="51"/>
      <c r="GTP38" s="51"/>
      <c r="GTQ38" s="51"/>
      <c r="GTR38" s="51"/>
      <c r="GTS38" s="51"/>
      <c r="GTT38" s="51"/>
      <c r="GTU38" s="51"/>
      <c r="GTV38" s="51"/>
      <c r="GTW38" s="51"/>
      <c r="GTX38" s="51"/>
      <c r="GTY38" s="51"/>
      <c r="GTZ38" s="51"/>
      <c r="GUA38" s="51"/>
      <c r="GUB38" s="51"/>
      <c r="GUC38" s="51"/>
      <c r="GUD38" s="51"/>
      <c r="GUE38" s="51"/>
      <c r="GUF38" s="51"/>
      <c r="GUG38" s="51"/>
      <c r="GUH38" s="51"/>
      <c r="GUI38" s="51"/>
      <c r="GUJ38" s="51"/>
      <c r="GUK38" s="51"/>
      <c r="GUL38" s="51"/>
      <c r="GUM38" s="51"/>
      <c r="GUN38" s="51"/>
      <c r="GUO38" s="51"/>
      <c r="GUP38" s="51"/>
      <c r="GUQ38" s="51"/>
      <c r="GUR38" s="51"/>
      <c r="GUS38" s="51"/>
      <c r="GUT38" s="51"/>
      <c r="GUU38" s="51"/>
      <c r="GUV38" s="51"/>
      <c r="GUW38" s="51"/>
      <c r="GUX38" s="51"/>
      <c r="GUY38" s="51"/>
      <c r="GUZ38" s="51"/>
      <c r="GVA38" s="51"/>
      <c r="GVB38" s="51"/>
      <c r="GVC38" s="51"/>
      <c r="GVD38" s="51"/>
      <c r="GVE38" s="51"/>
      <c r="GVF38" s="51"/>
      <c r="GVG38" s="51"/>
      <c r="GVH38" s="51"/>
      <c r="GVI38" s="51"/>
      <c r="GVJ38" s="51"/>
      <c r="GVK38" s="51"/>
      <c r="GVL38" s="51"/>
      <c r="GVM38" s="51"/>
      <c r="GVN38" s="51"/>
      <c r="GVO38" s="51"/>
      <c r="GVP38" s="51"/>
      <c r="GVQ38" s="51"/>
      <c r="GVR38" s="51"/>
      <c r="GVS38" s="51"/>
      <c r="GVT38" s="51"/>
      <c r="GVU38" s="51"/>
      <c r="GVV38" s="51"/>
      <c r="GVW38" s="51"/>
      <c r="GVX38" s="51"/>
      <c r="GVY38" s="51"/>
      <c r="GVZ38" s="51"/>
      <c r="GWA38" s="51"/>
      <c r="GWB38" s="51"/>
      <c r="GWC38" s="51"/>
      <c r="GWD38" s="51"/>
      <c r="GWE38" s="51"/>
      <c r="GWF38" s="51"/>
      <c r="GWG38" s="51"/>
      <c r="GWH38" s="51"/>
      <c r="GWI38" s="51"/>
      <c r="GWJ38" s="51"/>
      <c r="GWK38" s="51"/>
      <c r="GWL38" s="51"/>
      <c r="GWM38" s="51"/>
      <c r="GWN38" s="51"/>
      <c r="GWO38" s="51"/>
      <c r="GWP38" s="51"/>
      <c r="GWQ38" s="51"/>
      <c r="GWR38" s="51"/>
      <c r="GWS38" s="51"/>
      <c r="GWT38" s="51"/>
      <c r="GWU38" s="51"/>
      <c r="GWV38" s="51"/>
      <c r="GWW38" s="51"/>
      <c r="GWX38" s="51"/>
      <c r="GWY38" s="51"/>
      <c r="GWZ38" s="51"/>
      <c r="GXA38" s="51"/>
      <c r="GXB38" s="51"/>
      <c r="GXC38" s="51"/>
      <c r="GXD38" s="51"/>
      <c r="GXE38" s="51"/>
      <c r="GXF38" s="51"/>
      <c r="GXG38" s="51"/>
      <c r="GXH38" s="51"/>
      <c r="GXI38" s="51"/>
      <c r="GXJ38" s="51"/>
      <c r="GXK38" s="51"/>
      <c r="GXL38" s="51"/>
      <c r="GXM38" s="51"/>
      <c r="GXN38" s="51"/>
      <c r="GXO38" s="51"/>
      <c r="GXP38" s="51"/>
      <c r="GXQ38" s="51"/>
      <c r="GXR38" s="51"/>
      <c r="GXS38" s="51"/>
      <c r="GXT38" s="51"/>
      <c r="GXU38" s="51"/>
      <c r="GXV38" s="51"/>
      <c r="GXW38" s="51"/>
      <c r="GXX38" s="51"/>
      <c r="GXY38" s="51"/>
      <c r="GXZ38" s="51"/>
      <c r="GYA38" s="51"/>
      <c r="GYB38" s="51"/>
      <c r="GYC38" s="51"/>
      <c r="GYD38" s="51"/>
      <c r="GYE38" s="51"/>
      <c r="GYF38" s="51"/>
      <c r="GYG38" s="51"/>
      <c r="GYH38" s="51"/>
      <c r="GYI38" s="51"/>
      <c r="GYJ38" s="51"/>
      <c r="GYK38" s="51"/>
      <c r="GYL38" s="51"/>
      <c r="GYM38" s="51"/>
      <c r="GYN38" s="51"/>
      <c r="GYO38" s="51"/>
      <c r="GYP38" s="51"/>
      <c r="GYQ38" s="51"/>
      <c r="GYR38" s="51"/>
      <c r="GYS38" s="51"/>
      <c r="GYT38" s="51"/>
      <c r="GYU38" s="51"/>
      <c r="GYV38" s="51"/>
      <c r="GYW38" s="51"/>
      <c r="GYX38" s="51"/>
      <c r="GYY38" s="51"/>
      <c r="GYZ38" s="51"/>
      <c r="GZA38" s="51"/>
      <c r="GZB38" s="51"/>
      <c r="GZC38" s="51"/>
      <c r="GZD38" s="51"/>
      <c r="GZE38" s="51"/>
      <c r="GZF38" s="51"/>
      <c r="GZG38" s="51"/>
      <c r="GZH38" s="51"/>
      <c r="GZI38" s="51"/>
      <c r="GZJ38" s="51"/>
      <c r="GZK38" s="51"/>
      <c r="GZL38" s="51"/>
      <c r="GZM38" s="51"/>
      <c r="GZN38" s="51"/>
      <c r="GZO38" s="51"/>
      <c r="GZP38" s="51"/>
      <c r="GZQ38" s="51"/>
      <c r="GZR38" s="51"/>
      <c r="GZS38" s="51"/>
      <c r="GZT38" s="51"/>
      <c r="GZU38" s="51"/>
      <c r="GZV38" s="51"/>
      <c r="GZW38" s="51"/>
      <c r="GZX38" s="51"/>
      <c r="GZY38" s="51"/>
      <c r="GZZ38" s="51"/>
      <c r="HAA38" s="51"/>
      <c r="HAB38" s="51"/>
      <c r="HAC38" s="51"/>
      <c r="HAD38" s="51"/>
      <c r="HAE38" s="51"/>
      <c r="HAF38" s="51"/>
      <c r="HAG38" s="51"/>
      <c r="HAH38" s="51"/>
      <c r="HAI38" s="51"/>
      <c r="HAJ38" s="51"/>
      <c r="HAK38" s="51"/>
      <c r="HAL38" s="51"/>
      <c r="HAM38" s="51"/>
      <c r="HAN38" s="51"/>
      <c r="HAO38" s="51"/>
      <c r="HAP38" s="51"/>
      <c r="HAQ38" s="51"/>
      <c r="HAR38" s="51"/>
      <c r="HAS38" s="51"/>
      <c r="HAT38" s="51"/>
      <c r="HAU38" s="51"/>
      <c r="HAV38" s="51"/>
      <c r="HAW38" s="51"/>
      <c r="HAX38" s="51"/>
      <c r="HAY38" s="51"/>
      <c r="HAZ38" s="51"/>
      <c r="HBA38" s="51"/>
      <c r="HBB38" s="51"/>
      <c r="HBC38" s="51"/>
      <c r="HBD38" s="51"/>
      <c r="HBE38" s="51"/>
      <c r="HBF38" s="51"/>
      <c r="HBG38" s="51"/>
      <c r="HBH38" s="51"/>
      <c r="HBI38" s="51"/>
      <c r="HBJ38" s="51"/>
      <c r="HBK38" s="51"/>
      <c r="HBL38" s="51"/>
      <c r="HBM38" s="51"/>
      <c r="HBN38" s="51"/>
      <c r="HBO38" s="51"/>
      <c r="HBP38" s="51"/>
      <c r="HBQ38" s="51"/>
      <c r="HBR38" s="51"/>
      <c r="HBS38" s="51"/>
      <c r="HBT38" s="51"/>
      <c r="HBU38" s="51"/>
      <c r="HBV38" s="51"/>
      <c r="HBW38" s="51"/>
      <c r="HBX38" s="51"/>
      <c r="HBY38" s="51"/>
      <c r="HBZ38" s="51"/>
      <c r="HCA38" s="51"/>
      <c r="HCB38" s="51"/>
      <c r="HCC38" s="51"/>
      <c r="HCD38" s="51"/>
      <c r="HCE38" s="51"/>
      <c r="HCF38" s="51"/>
      <c r="HCG38" s="51"/>
      <c r="HCH38" s="51"/>
      <c r="HCI38" s="51"/>
      <c r="HCJ38" s="51"/>
      <c r="HCK38" s="51"/>
      <c r="HCL38" s="51"/>
      <c r="HCM38" s="51"/>
      <c r="HCN38" s="51"/>
      <c r="HCO38" s="51"/>
      <c r="HCP38" s="51"/>
      <c r="HCQ38" s="51"/>
      <c r="HCR38" s="51"/>
      <c r="HCS38" s="51"/>
      <c r="HCT38" s="51"/>
      <c r="HCU38" s="51"/>
      <c r="HCV38" s="51"/>
      <c r="HCW38" s="51"/>
      <c r="HCX38" s="51"/>
      <c r="HCY38" s="51"/>
      <c r="HCZ38" s="51"/>
      <c r="HDA38" s="51"/>
      <c r="HDB38" s="51"/>
      <c r="HDC38" s="51"/>
      <c r="HDD38" s="51"/>
      <c r="HDE38" s="51"/>
      <c r="HDF38" s="51"/>
      <c r="HDG38" s="51"/>
      <c r="HDH38" s="51"/>
      <c r="HDI38" s="51"/>
      <c r="HDJ38" s="51"/>
      <c r="HDK38" s="51"/>
      <c r="HDL38" s="51"/>
      <c r="HDM38" s="51"/>
      <c r="HDN38" s="51"/>
      <c r="HDO38" s="51"/>
      <c r="HDP38" s="51"/>
      <c r="HDQ38" s="51"/>
      <c r="HDR38" s="51"/>
      <c r="HDS38" s="51"/>
      <c r="HDT38" s="51"/>
      <c r="HDU38" s="51"/>
      <c r="HDV38" s="51"/>
      <c r="HDW38" s="51"/>
      <c r="HDX38" s="51"/>
      <c r="HDY38" s="51"/>
      <c r="HDZ38" s="51"/>
      <c r="HEA38" s="51"/>
      <c r="HEB38" s="51"/>
      <c r="HEC38" s="51"/>
      <c r="HED38" s="51"/>
      <c r="HEE38" s="51"/>
      <c r="HEF38" s="51"/>
      <c r="HEG38" s="51"/>
      <c r="HEH38" s="51"/>
      <c r="HEI38" s="51"/>
      <c r="HEJ38" s="51"/>
      <c r="HEK38" s="51"/>
      <c r="HEL38" s="51"/>
      <c r="HEM38" s="51"/>
      <c r="HEN38" s="51"/>
      <c r="HEO38" s="51"/>
      <c r="HEP38" s="51"/>
      <c r="HEQ38" s="51"/>
      <c r="HER38" s="51"/>
      <c r="HES38" s="51"/>
      <c r="HET38" s="51"/>
      <c r="HEU38" s="51"/>
      <c r="HEV38" s="51"/>
      <c r="HEW38" s="51"/>
      <c r="HEX38" s="51"/>
      <c r="HEY38" s="51"/>
      <c r="HEZ38" s="51"/>
      <c r="HFA38" s="51"/>
      <c r="HFB38" s="51"/>
      <c r="HFC38" s="51"/>
      <c r="HFD38" s="51"/>
      <c r="HFE38" s="51"/>
      <c r="HFF38" s="51"/>
      <c r="HFG38" s="51"/>
      <c r="HFH38" s="51"/>
      <c r="HFI38" s="51"/>
      <c r="HFJ38" s="51"/>
      <c r="HFK38" s="51"/>
      <c r="HFL38" s="51"/>
      <c r="HFM38" s="51"/>
      <c r="HFN38" s="51"/>
      <c r="HFO38" s="51"/>
      <c r="HFP38" s="51"/>
      <c r="HFQ38" s="51"/>
      <c r="HFR38" s="51"/>
      <c r="HFS38" s="51"/>
      <c r="HFT38" s="51"/>
      <c r="HFU38" s="51"/>
      <c r="HFV38" s="51"/>
      <c r="HFW38" s="51"/>
      <c r="HFX38" s="51"/>
      <c r="HFY38" s="51"/>
      <c r="HFZ38" s="51"/>
      <c r="HGA38" s="51"/>
      <c r="HGB38" s="51"/>
      <c r="HGC38" s="51"/>
      <c r="HGD38" s="51"/>
      <c r="HGE38" s="51"/>
      <c r="HGF38" s="51"/>
      <c r="HGG38" s="51"/>
      <c r="HGH38" s="51"/>
      <c r="HGI38" s="51"/>
      <c r="HGJ38" s="51"/>
      <c r="HGK38" s="51"/>
      <c r="HGL38" s="51"/>
      <c r="HGM38" s="51"/>
      <c r="HGN38" s="51"/>
      <c r="HGO38" s="51"/>
      <c r="HGP38" s="51"/>
      <c r="HGQ38" s="51"/>
      <c r="HGR38" s="51"/>
      <c r="HGS38" s="51"/>
      <c r="HGT38" s="51"/>
      <c r="HGU38" s="51"/>
      <c r="HGV38" s="51"/>
      <c r="HGW38" s="51"/>
      <c r="HGX38" s="51"/>
      <c r="HGY38" s="51"/>
      <c r="HGZ38" s="51"/>
      <c r="HHA38" s="51"/>
      <c r="HHB38" s="51"/>
      <c r="HHC38" s="51"/>
      <c r="HHD38" s="51"/>
      <c r="HHE38" s="51"/>
      <c r="HHF38" s="51"/>
      <c r="HHG38" s="51"/>
      <c r="HHH38" s="51"/>
      <c r="HHI38" s="51"/>
      <c r="HHJ38" s="51"/>
      <c r="HHK38" s="51"/>
      <c r="HHL38" s="51"/>
      <c r="HHM38" s="51"/>
      <c r="HHN38" s="51"/>
      <c r="HHO38" s="51"/>
      <c r="HHP38" s="51"/>
      <c r="HHQ38" s="51"/>
      <c r="HHR38" s="51"/>
      <c r="HHS38" s="51"/>
      <c r="HHT38" s="51"/>
      <c r="HHU38" s="51"/>
      <c r="HHV38" s="51"/>
      <c r="HHW38" s="51"/>
      <c r="HHX38" s="51"/>
      <c r="HHY38" s="51"/>
      <c r="HHZ38" s="51"/>
      <c r="HIA38" s="51"/>
      <c r="HIB38" s="51"/>
      <c r="HIC38" s="51"/>
      <c r="HID38" s="51"/>
      <c r="HIE38" s="51"/>
      <c r="HIF38" s="51"/>
      <c r="HIG38" s="51"/>
      <c r="HIH38" s="51"/>
      <c r="HII38" s="51"/>
      <c r="HIJ38" s="51"/>
      <c r="HIK38" s="51"/>
      <c r="HIL38" s="51"/>
      <c r="HIM38" s="51"/>
      <c r="HIN38" s="51"/>
      <c r="HIO38" s="51"/>
      <c r="HIP38" s="51"/>
      <c r="HIQ38" s="51"/>
      <c r="HIR38" s="51"/>
      <c r="HIS38" s="51"/>
      <c r="HIT38" s="51"/>
      <c r="HIU38" s="51"/>
      <c r="HIV38" s="51"/>
      <c r="HIW38" s="51"/>
      <c r="HIX38" s="51"/>
      <c r="HIY38" s="51"/>
      <c r="HIZ38" s="51"/>
      <c r="HJA38" s="51"/>
      <c r="HJB38" s="51"/>
      <c r="HJC38" s="51"/>
      <c r="HJD38" s="51"/>
      <c r="HJE38" s="51"/>
      <c r="HJF38" s="51"/>
      <c r="HJG38" s="51"/>
      <c r="HJH38" s="51"/>
      <c r="HJI38" s="51"/>
      <c r="HJJ38" s="51"/>
      <c r="HJK38" s="51"/>
      <c r="HJL38" s="51"/>
      <c r="HJM38" s="51"/>
      <c r="HJN38" s="51"/>
      <c r="HJO38" s="51"/>
      <c r="HJP38" s="51"/>
      <c r="HJQ38" s="51"/>
      <c r="HJR38" s="51"/>
      <c r="HJS38" s="51"/>
      <c r="HJT38" s="51"/>
      <c r="HJU38" s="51"/>
      <c r="HJV38" s="51"/>
      <c r="HJW38" s="51"/>
      <c r="HJX38" s="51"/>
      <c r="HJY38" s="51"/>
      <c r="HJZ38" s="51"/>
      <c r="HKA38" s="51"/>
      <c r="HKB38" s="51"/>
      <c r="HKC38" s="51"/>
      <c r="HKD38" s="51"/>
      <c r="HKE38" s="51"/>
      <c r="HKF38" s="51"/>
      <c r="HKG38" s="51"/>
      <c r="HKH38" s="51"/>
      <c r="HKI38" s="51"/>
      <c r="HKJ38" s="51"/>
      <c r="HKK38" s="51"/>
      <c r="HKL38" s="51"/>
      <c r="HKM38" s="51"/>
      <c r="HKN38" s="51"/>
      <c r="HKO38" s="51"/>
      <c r="HKP38" s="51"/>
      <c r="HKQ38" s="51"/>
      <c r="HKR38" s="51"/>
      <c r="HKS38" s="51"/>
      <c r="HKT38" s="51"/>
      <c r="HKU38" s="51"/>
      <c r="HKV38" s="51"/>
      <c r="HKW38" s="51"/>
      <c r="HKX38" s="51"/>
      <c r="HKY38" s="51"/>
      <c r="HKZ38" s="51"/>
      <c r="HLA38" s="51"/>
      <c r="HLB38" s="51"/>
      <c r="HLC38" s="51"/>
      <c r="HLD38" s="51"/>
      <c r="HLE38" s="51"/>
      <c r="HLF38" s="51"/>
      <c r="HLG38" s="51"/>
      <c r="HLH38" s="51"/>
      <c r="HLI38" s="51"/>
      <c r="HLJ38" s="51"/>
      <c r="HLK38" s="51"/>
      <c r="HLL38" s="51"/>
      <c r="HLM38" s="51"/>
      <c r="HLN38" s="51"/>
      <c r="HLO38" s="51"/>
      <c r="HLP38" s="51"/>
      <c r="HLQ38" s="51"/>
      <c r="HLR38" s="51"/>
      <c r="HLS38" s="51"/>
      <c r="HLT38" s="51"/>
      <c r="HLU38" s="51"/>
      <c r="HLV38" s="51"/>
      <c r="HLW38" s="51"/>
      <c r="HLX38" s="51"/>
      <c r="HLY38" s="51"/>
      <c r="HLZ38" s="51"/>
      <c r="HMA38" s="51"/>
      <c r="HMB38" s="51"/>
      <c r="HMC38" s="51"/>
      <c r="HMD38" s="51"/>
      <c r="HME38" s="51"/>
      <c r="HMF38" s="51"/>
      <c r="HMG38" s="51"/>
      <c r="HMH38" s="51"/>
      <c r="HMI38" s="51"/>
      <c r="HMJ38" s="51"/>
      <c r="HMK38" s="51"/>
      <c r="HML38" s="51"/>
      <c r="HMM38" s="51"/>
      <c r="HMN38" s="51"/>
      <c r="HMO38" s="51"/>
      <c r="HMP38" s="51"/>
      <c r="HMQ38" s="51"/>
      <c r="HMR38" s="51"/>
      <c r="HMS38" s="51"/>
      <c r="HMT38" s="51"/>
      <c r="HMU38" s="51"/>
      <c r="HMV38" s="51"/>
      <c r="HMW38" s="51"/>
      <c r="HMX38" s="51"/>
      <c r="HMY38" s="51"/>
      <c r="HMZ38" s="51"/>
      <c r="HNA38" s="51"/>
      <c r="HNB38" s="51"/>
      <c r="HNC38" s="51"/>
      <c r="HND38" s="51"/>
      <c r="HNE38" s="51"/>
      <c r="HNF38" s="51"/>
      <c r="HNG38" s="51"/>
      <c r="HNH38" s="51"/>
      <c r="HNI38" s="51"/>
      <c r="HNJ38" s="51"/>
      <c r="HNK38" s="51"/>
      <c r="HNL38" s="51"/>
      <c r="HNM38" s="51"/>
      <c r="HNN38" s="51"/>
      <c r="HNO38" s="51"/>
      <c r="HNP38" s="51"/>
      <c r="HNQ38" s="51"/>
      <c r="HNR38" s="51"/>
      <c r="HNS38" s="51"/>
      <c r="HNT38" s="51"/>
      <c r="HNU38" s="51"/>
      <c r="HNV38" s="51"/>
      <c r="HNW38" s="51"/>
      <c r="HNX38" s="51"/>
      <c r="HNY38" s="51"/>
      <c r="HNZ38" s="51"/>
      <c r="HOA38" s="51"/>
      <c r="HOB38" s="51"/>
      <c r="HOC38" s="51"/>
      <c r="HOD38" s="51"/>
      <c r="HOE38" s="51"/>
      <c r="HOF38" s="51"/>
      <c r="HOG38" s="51"/>
      <c r="HOH38" s="51"/>
      <c r="HOI38" s="51"/>
      <c r="HOJ38" s="51"/>
      <c r="HOK38" s="51"/>
      <c r="HOL38" s="51"/>
      <c r="HOM38" s="51"/>
      <c r="HON38" s="51"/>
      <c r="HOO38" s="51"/>
      <c r="HOP38" s="51"/>
      <c r="HOQ38" s="51"/>
      <c r="HOR38" s="51"/>
      <c r="HOS38" s="51"/>
      <c r="HOT38" s="51"/>
      <c r="HOU38" s="51"/>
      <c r="HOV38" s="51"/>
      <c r="HOW38" s="51"/>
      <c r="HOX38" s="51"/>
      <c r="HOY38" s="51"/>
      <c r="HOZ38" s="51"/>
      <c r="HPA38" s="51"/>
      <c r="HPB38" s="51"/>
      <c r="HPC38" s="51"/>
      <c r="HPD38" s="51"/>
      <c r="HPE38" s="51"/>
      <c r="HPF38" s="51"/>
      <c r="HPG38" s="51"/>
      <c r="HPH38" s="51"/>
      <c r="HPI38" s="51"/>
      <c r="HPJ38" s="51"/>
      <c r="HPK38" s="51"/>
      <c r="HPL38" s="51"/>
      <c r="HPM38" s="51"/>
      <c r="HPN38" s="51"/>
      <c r="HPO38" s="51"/>
      <c r="HPP38" s="51"/>
      <c r="HPQ38" s="51"/>
      <c r="HPR38" s="51"/>
      <c r="HPS38" s="51"/>
      <c r="HPT38" s="51"/>
      <c r="HPU38" s="51"/>
      <c r="HPV38" s="51"/>
      <c r="HPW38" s="51"/>
      <c r="HPX38" s="51"/>
      <c r="HPY38" s="51"/>
      <c r="HPZ38" s="51"/>
      <c r="HQA38" s="51"/>
      <c r="HQB38" s="51"/>
      <c r="HQC38" s="51"/>
      <c r="HQD38" s="51"/>
      <c r="HQE38" s="51"/>
      <c r="HQF38" s="51"/>
      <c r="HQG38" s="51"/>
      <c r="HQH38" s="51"/>
      <c r="HQI38" s="51"/>
      <c r="HQJ38" s="51"/>
      <c r="HQK38" s="51"/>
      <c r="HQL38" s="51"/>
      <c r="HQM38" s="51"/>
      <c r="HQN38" s="51"/>
      <c r="HQO38" s="51"/>
      <c r="HQP38" s="51"/>
      <c r="HQQ38" s="51"/>
      <c r="HQR38" s="51"/>
      <c r="HQS38" s="51"/>
      <c r="HQT38" s="51"/>
      <c r="HQU38" s="51"/>
      <c r="HQV38" s="51"/>
      <c r="HQW38" s="51"/>
      <c r="HQX38" s="51"/>
      <c r="HQY38" s="51"/>
      <c r="HQZ38" s="51"/>
      <c r="HRA38" s="51"/>
      <c r="HRB38" s="51"/>
      <c r="HRC38" s="51"/>
      <c r="HRD38" s="51"/>
      <c r="HRE38" s="51"/>
      <c r="HRF38" s="51"/>
      <c r="HRG38" s="51"/>
      <c r="HRH38" s="51"/>
      <c r="HRI38" s="51"/>
      <c r="HRJ38" s="51"/>
      <c r="HRK38" s="51"/>
      <c r="HRL38" s="51"/>
      <c r="HRM38" s="51"/>
      <c r="HRN38" s="51"/>
      <c r="HRO38" s="51"/>
      <c r="HRP38" s="51"/>
      <c r="HRQ38" s="51"/>
      <c r="HRR38" s="51"/>
      <c r="HRS38" s="51"/>
      <c r="HRT38" s="51"/>
      <c r="HRU38" s="51"/>
      <c r="HRV38" s="51"/>
      <c r="HRW38" s="51"/>
      <c r="HRX38" s="51"/>
      <c r="HRY38" s="51"/>
      <c r="HRZ38" s="51"/>
      <c r="HSA38" s="51"/>
      <c r="HSB38" s="51"/>
      <c r="HSC38" s="51"/>
      <c r="HSD38" s="51"/>
      <c r="HSE38" s="51"/>
      <c r="HSF38" s="51"/>
      <c r="HSG38" s="51"/>
      <c r="HSH38" s="51"/>
      <c r="HSI38" s="51"/>
      <c r="HSJ38" s="51"/>
      <c r="HSK38" s="51"/>
      <c r="HSL38" s="51"/>
      <c r="HSM38" s="51"/>
      <c r="HSN38" s="51"/>
      <c r="HSO38" s="51"/>
      <c r="HSP38" s="51"/>
      <c r="HSQ38" s="51"/>
      <c r="HSR38" s="51"/>
      <c r="HSS38" s="51"/>
      <c r="HST38" s="51"/>
      <c r="HSU38" s="51"/>
      <c r="HSV38" s="51"/>
      <c r="HSW38" s="51"/>
      <c r="HSX38" s="51"/>
      <c r="HSY38" s="51"/>
      <c r="HSZ38" s="51"/>
      <c r="HTA38" s="51"/>
      <c r="HTB38" s="51"/>
      <c r="HTC38" s="51"/>
      <c r="HTD38" s="51"/>
      <c r="HTE38" s="51"/>
      <c r="HTF38" s="51"/>
      <c r="HTG38" s="51"/>
      <c r="HTH38" s="51"/>
      <c r="HTI38" s="51"/>
      <c r="HTJ38" s="51"/>
      <c r="HTK38" s="51"/>
      <c r="HTL38" s="51"/>
      <c r="HTM38" s="51"/>
      <c r="HTN38" s="51"/>
      <c r="HTO38" s="51"/>
      <c r="HTP38" s="51"/>
      <c r="HTQ38" s="51"/>
      <c r="HTR38" s="51"/>
      <c r="HTS38" s="51"/>
      <c r="HTT38" s="51"/>
      <c r="HTU38" s="51"/>
      <c r="HTV38" s="51"/>
      <c r="HTW38" s="51"/>
      <c r="HTX38" s="51"/>
      <c r="HTY38" s="51"/>
      <c r="HTZ38" s="51"/>
      <c r="HUA38" s="51"/>
      <c r="HUB38" s="51"/>
      <c r="HUC38" s="51"/>
      <c r="HUD38" s="51"/>
      <c r="HUE38" s="51"/>
      <c r="HUF38" s="51"/>
      <c r="HUG38" s="51"/>
      <c r="HUH38" s="51"/>
      <c r="HUI38" s="51"/>
      <c r="HUJ38" s="51"/>
      <c r="HUK38" s="51"/>
      <c r="HUL38" s="51"/>
      <c r="HUM38" s="51"/>
      <c r="HUN38" s="51"/>
      <c r="HUO38" s="51"/>
      <c r="HUP38" s="51"/>
      <c r="HUQ38" s="51"/>
      <c r="HUR38" s="51"/>
      <c r="HUS38" s="51"/>
      <c r="HUT38" s="51"/>
      <c r="HUU38" s="51"/>
      <c r="HUV38" s="51"/>
      <c r="HUW38" s="51"/>
      <c r="HUX38" s="51"/>
      <c r="HUY38" s="51"/>
      <c r="HUZ38" s="51"/>
      <c r="HVA38" s="51"/>
      <c r="HVB38" s="51"/>
      <c r="HVC38" s="51"/>
      <c r="HVD38" s="51"/>
      <c r="HVE38" s="51"/>
      <c r="HVF38" s="51"/>
      <c r="HVG38" s="51"/>
      <c r="HVH38" s="51"/>
      <c r="HVI38" s="51"/>
      <c r="HVJ38" s="51"/>
      <c r="HVK38" s="51"/>
      <c r="HVL38" s="51"/>
      <c r="HVM38" s="51"/>
      <c r="HVN38" s="51"/>
      <c r="HVO38" s="51"/>
      <c r="HVP38" s="51"/>
      <c r="HVQ38" s="51"/>
      <c r="HVR38" s="51"/>
      <c r="HVS38" s="51"/>
      <c r="HVT38" s="51"/>
      <c r="HVU38" s="51"/>
      <c r="HVV38" s="51"/>
      <c r="HVW38" s="51"/>
      <c r="HVX38" s="51"/>
      <c r="HVY38" s="51"/>
      <c r="HVZ38" s="51"/>
      <c r="HWA38" s="51"/>
      <c r="HWB38" s="51"/>
      <c r="HWC38" s="51"/>
      <c r="HWD38" s="51"/>
      <c r="HWE38" s="51"/>
      <c r="HWF38" s="51"/>
      <c r="HWG38" s="51"/>
      <c r="HWH38" s="51"/>
      <c r="HWI38" s="51"/>
      <c r="HWJ38" s="51"/>
      <c r="HWK38" s="51"/>
      <c r="HWL38" s="51"/>
      <c r="HWM38" s="51"/>
      <c r="HWN38" s="51"/>
      <c r="HWO38" s="51"/>
      <c r="HWP38" s="51"/>
      <c r="HWQ38" s="51"/>
      <c r="HWR38" s="51"/>
      <c r="HWS38" s="51"/>
      <c r="HWT38" s="51"/>
      <c r="HWU38" s="51"/>
      <c r="HWV38" s="51"/>
      <c r="HWW38" s="51"/>
      <c r="HWX38" s="51"/>
      <c r="HWY38" s="51"/>
      <c r="HWZ38" s="51"/>
      <c r="HXA38" s="51"/>
      <c r="HXB38" s="51"/>
      <c r="HXC38" s="51"/>
      <c r="HXD38" s="51"/>
      <c r="HXE38" s="51"/>
      <c r="HXF38" s="51"/>
      <c r="HXG38" s="51"/>
      <c r="HXH38" s="51"/>
      <c r="HXI38" s="51"/>
      <c r="HXJ38" s="51"/>
      <c r="HXK38" s="51"/>
      <c r="HXL38" s="51"/>
      <c r="HXM38" s="51"/>
      <c r="HXN38" s="51"/>
      <c r="HXO38" s="51"/>
      <c r="HXP38" s="51"/>
      <c r="HXQ38" s="51"/>
      <c r="HXR38" s="51"/>
      <c r="HXS38" s="51"/>
      <c r="HXT38" s="51"/>
      <c r="HXU38" s="51"/>
      <c r="HXV38" s="51"/>
      <c r="HXW38" s="51"/>
      <c r="HXX38" s="51"/>
      <c r="HXY38" s="51"/>
      <c r="HXZ38" s="51"/>
      <c r="HYA38" s="51"/>
      <c r="HYB38" s="51"/>
      <c r="HYC38" s="51"/>
      <c r="HYD38" s="51"/>
      <c r="HYE38" s="51"/>
      <c r="HYF38" s="51"/>
      <c r="HYG38" s="51"/>
      <c r="HYH38" s="51"/>
      <c r="HYI38" s="51"/>
      <c r="HYJ38" s="51"/>
      <c r="HYK38" s="51"/>
      <c r="HYL38" s="51"/>
      <c r="HYM38" s="51"/>
      <c r="HYN38" s="51"/>
      <c r="HYO38" s="51"/>
      <c r="HYP38" s="51"/>
      <c r="HYQ38" s="51"/>
      <c r="HYR38" s="51"/>
      <c r="HYS38" s="51"/>
      <c r="HYT38" s="51"/>
      <c r="HYU38" s="51"/>
      <c r="HYV38" s="51"/>
      <c r="HYW38" s="51"/>
      <c r="HYX38" s="51"/>
      <c r="HYY38" s="51"/>
      <c r="HYZ38" s="51"/>
      <c r="HZA38" s="51"/>
      <c r="HZB38" s="51"/>
      <c r="HZC38" s="51"/>
      <c r="HZD38" s="51"/>
      <c r="HZE38" s="51"/>
      <c r="HZF38" s="51"/>
      <c r="HZG38" s="51"/>
      <c r="HZH38" s="51"/>
      <c r="HZI38" s="51"/>
      <c r="HZJ38" s="51"/>
      <c r="HZK38" s="51"/>
      <c r="HZL38" s="51"/>
      <c r="HZM38" s="51"/>
      <c r="HZN38" s="51"/>
      <c r="HZO38" s="51"/>
      <c r="HZP38" s="51"/>
      <c r="HZQ38" s="51"/>
      <c r="HZR38" s="51"/>
      <c r="HZS38" s="51"/>
      <c r="HZT38" s="51"/>
      <c r="HZU38" s="51"/>
      <c r="HZV38" s="51"/>
      <c r="HZW38" s="51"/>
      <c r="HZX38" s="51"/>
      <c r="HZY38" s="51"/>
      <c r="HZZ38" s="51"/>
      <c r="IAA38" s="51"/>
      <c r="IAB38" s="51"/>
      <c r="IAC38" s="51"/>
      <c r="IAD38" s="51"/>
      <c r="IAE38" s="51"/>
      <c r="IAF38" s="51"/>
      <c r="IAG38" s="51"/>
      <c r="IAH38" s="51"/>
      <c r="IAI38" s="51"/>
      <c r="IAJ38" s="51"/>
      <c r="IAK38" s="51"/>
      <c r="IAL38" s="51"/>
      <c r="IAM38" s="51"/>
      <c r="IAN38" s="51"/>
      <c r="IAO38" s="51"/>
      <c r="IAP38" s="51"/>
      <c r="IAQ38" s="51"/>
      <c r="IAR38" s="51"/>
      <c r="IAS38" s="51"/>
      <c r="IAT38" s="51"/>
      <c r="IAU38" s="51"/>
      <c r="IAV38" s="51"/>
      <c r="IAW38" s="51"/>
      <c r="IAX38" s="51"/>
      <c r="IAY38" s="51"/>
      <c r="IAZ38" s="51"/>
      <c r="IBA38" s="51"/>
      <c r="IBB38" s="51"/>
      <c r="IBC38" s="51"/>
      <c r="IBD38" s="51"/>
      <c r="IBE38" s="51"/>
      <c r="IBF38" s="51"/>
      <c r="IBG38" s="51"/>
      <c r="IBH38" s="51"/>
      <c r="IBI38" s="51"/>
      <c r="IBJ38" s="51"/>
      <c r="IBK38" s="51"/>
      <c r="IBL38" s="51"/>
      <c r="IBM38" s="51"/>
      <c r="IBN38" s="51"/>
      <c r="IBO38" s="51"/>
      <c r="IBP38" s="51"/>
      <c r="IBQ38" s="51"/>
      <c r="IBR38" s="51"/>
      <c r="IBS38" s="51"/>
      <c r="IBT38" s="51"/>
      <c r="IBU38" s="51"/>
      <c r="IBV38" s="51"/>
      <c r="IBW38" s="51"/>
      <c r="IBX38" s="51"/>
      <c r="IBY38" s="51"/>
      <c r="IBZ38" s="51"/>
      <c r="ICA38" s="51"/>
      <c r="ICB38" s="51"/>
      <c r="ICC38" s="51"/>
      <c r="ICD38" s="51"/>
      <c r="ICE38" s="51"/>
      <c r="ICF38" s="51"/>
      <c r="ICG38" s="51"/>
      <c r="ICH38" s="51"/>
      <c r="ICI38" s="51"/>
      <c r="ICJ38" s="51"/>
      <c r="ICK38" s="51"/>
      <c r="ICL38" s="51"/>
      <c r="ICM38" s="51"/>
      <c r="ICN38" s="51"/>
      <c r="ICO38" s="51"/>
      <c r="ICP38" s="51"/>
      <c r="ICQ38" s="51"/>
      <c r="ICR38" s="51"/>
      <c r="ICS38" s="51"/>
      <c r="ICT38" s="51"/>
      <c r="ICU38" s="51"/>
      <c r="ICV38" s="51"/>
      <c r="ICW38" s="51"/>
      <c r="ICX38" s="51"/>
      <c r="ICY38" s="51"/>
      <c r="ICZ38" s="51"/>
      <c r="IDA38" s="51"/>
      <c r="IDB38" s="51"/>
      <c r="IDC38" s="51"/>
      <c r="IDD38" s="51"/>
      <c r="IDE38" s="51"/>
      <c r="IDF38" s="51"/>
      <c r="IDG38" s="51"/>
      <c r="IDH38" s="51"/>
      <c r="IDI38" s="51"/>
      <c r="IDJ38" s="51"/>
      <c r="IDK38" s="51"/>
      <c r="IDL38" s="51"/>
      <c r="IDM38" s="51"/>
      <c r="IDN38" s="51"/>
      <c r="IDO38" s="51"/>
      <c r="IDP38" s="51"/>
      <c r="IDQ38" s="51"/>
      <c r="IDR38" s="51"/>
      <c r="IDS38" s="51"/>
      <c r="IDT38" s="51"/>
      <c r="IDU38" s="51"/>
      <c r="IDV38" s="51"/>
      <c r="IDW38" s="51"/>
      <c r="IDX38" s="51"/>
      <c r="IDY38" s="51"/>
      <c r="IDZ38" s="51"/>
      <c r="IEA38" s="51"/>
      <c r="IEB38" s="51"/>
      <c r="IEC38" s="51"/>
      <c r="IED38" s="51"/>
      <c r="IEE38" s="51"/>
      <c r="IEF38" s="51"/>
      <c r="IEG38" s="51"/>
      <c r="IEH38" s="51"/>
      <c r="IEI38" s="51"/>
      <c r="IEJ38" s="51"/>
      <c r="IEK38" s="51"/>
      <c r="IEL38" s="51"/>
      <c r="IEM38" s="51"/>
      <c r="IEN38" s="51"/>
      <c r="IEO38" s="51"/>
      <c r="IEP38" s="51"/>
      <c r="IEQ38" s="51"/>
      <c r="IER38" s="51"/>
      <c r="IES38" s="51"/>
      <c r="IET38" s="51"/>
      <c r="IEU38" s="51"/>
      <c r="IEV38" s="51"/>
      <c r="IEW38" s="51"/>
      <c r="IEX38" s="51"/>
      <c r="IEY38" s="51"/>
      <c r="IEZ38" s="51"/>
      <c r="IFA38" s="51"/>
      <c r="IFB38" s="51"/>
      <c r="IFC38" s="51"/>
      <c r="IFD38" s="51"/>
      <c r="IFE38" s="51"/>
      <c r="IFF38" s="51"/>
      <c r="IFG38" s="51"/>
      <c r="IFH38" s="51"/>
      <c r="IFI38" s="51"/>
      <c r="IFJ38" s="51"/>
      <c r="IFK38" s="51"/>
      <c r="IFL38" s="51"/>
      <c r="IFM38" s="51"/>
      <c r="IFN38" s="51"/>
      <c r="IFO38" s="51"/>
      <c r="IFP38" s="51"/>
      <c r="IFQ38" s="51"/>
      <c r="IFR38" s="51"/>
      <c r="IFS38" s="51"/>
      <c r="IFT38" s="51"/>
      <c r="IFU38" s="51"/>
      <c r="IFV38" s="51"/>
      <c r="IFW38" s="51"/>
      <c r="IFX38" s="51"/>
      <c r="IFY38" s="51"/>
      <c r="IFZ38" s="51"/>
      <c r="IGA38" s="51"/>
      <c r="IGB38" s="51"/>
      <c r="IGC38" s="51"/>
      <c r="IGD38" s="51"/>
      <c r="IGE38" s="51"/>
      <c r="IGF38" s="51"/>
      <c r="IGG38" s="51"/>
      <c r="IGH38" s="51"/>
      <c r="IGI38" s="51"/>
      <c r="IGJ38" s="51"/>
      <c r="IGK38" s="51"/>
      <c r="IGL38" s="51"/>
      <c r="IGM38" s="51"/>
      <c r="IGN38" s="51"/>
      <c r="IGO38" s="51"/>
      <c r="IGP38" s="51"/>
      <c r="IGQ38" s="51"/>
      <c r="IGR38" s="51"/>
      <c r="IGS38" s="51"/>
      <c r="IGT38" s="51"/>
      <c r="IGU38" s="51"/>
      <c r="IGV38" s="51"/>
      <c r="IGW38" s="51"/>
      <c r="IGX38" s="51"/>
      <c r="IGY38" s="51"/>
      <c r="IGZ38" s="51"/>
      <c r="IHA38" s="51"/>
      <c r="IHB38" s="51"/>
      <c r="IHC38" s="51"/>
      <c r="IHD38" s="51"/>
      <c r="IHE38" s="51"/>
      <c r="IHF38" s="51"/>
      <c r="IHG38" s="51"/>
      <c r="IHH38" s="51"/>
      <c r="IHI38" s="51"/>
      <c r="IHJ38" s="51"/>
      <c r="IHK38" s="51"/>
      <c r="IHL38" s="51"/>
      <c r="IHM38" s="51"/>
      <c r="IHN38" s="51"/>
      <c r="IHO38" s="51"/>
      <c r="IHP38" s="51"/>
      <c r="IHQ38" s="51"/>
      <c r="IHR38" s="51"/>
      <c r="IHS38" s="51"/>
      <c r="IHT38" s="51"/>
      <c r="IHU38" s="51"/>
      <c r="IHV38" s="51"/>
      <c r="IHW38" s="51"/>
      <c r="IHX38" s="51"/>
      <c r="IHY38" s="51"/>
      <c r="IHZ38" s="51"/>
      <c r="IIA38" s="51"/>
      <c r="IIB38" s="51"/>
      <c r="IIC38" s="51"/>
      <c r="IID38" s="51"/>
      <c r="IIE38" s="51"/>
      <c r="IIF38" s="51"/>
      <c r="IIG38" s="51"/>
      <c r="IIH38" s="51"/>
      <c r="III38" s="51"/>
      <c r="IIJ38" s="51"/>
      <c r="IIK38" s="51"/>
      <c r="IIL38" s="51"/>
      <c r="IIM38" s="51"/>
      <c r="IIN38" s="51"/>
      <c r="IIO38" s="51"/>
      <c r="IIP38" s="51"/>
      <c r="IIQ38" s="51"/>
      <c r="IIR38" s="51"/>
      <c r="IIS38" s="51"/>
      <c r="IIT38" s="51"/>
      <c r="IIU38" s="51"/>
      <c r="IIV38" s="51"/>
      <c r="IIW38" s="51"/>
      <c r="IIX38" s="51"/>
      <c r="IIY38" s="51"/>
      <c r="IIZ38" s="51"/>
      <c r="IJA38" s="51"/>
      <c r="IJB38" s="51"/>
      <c r="IJC38" s="51"/>
      <c r="IJD38" s="51"/>
      <c r="IJE38" s="51"/>
      <c r="IJF38" s="51"/>
      <c r="IJG38" s="51"/>
      <c r="IJH38" s="51"/>
      <c r="IJI38" s="51"/>
      <c r="IJJ38" s="51"/>
      <c r="IJK38" s="51"/>
      <c r="IJL38" s="51"/>
      <c r="IJM38" s="51"/>
      <c r="IJN38" s="51"/>
      <c r="IJO38" s="51"/>
      <c r="IJP38" s="51"/>
      <c r="IJQ38" s="51"/>
      <c r="IJR38" s="51"/>
      <c r="IJS38" s="51"/>
      <c r="IJT38" s="51"/>
      <c r="IJU38" s="51"/>
      <c r="IJV38" s="51"/>
      <c r="IJW38" s="51"/>
      <c r="IJX38" s="51"/>
      <c r="IJY38" s="51"/>
      <c r="IJZ38" s="51"/>
      <c r="IKA38" s="51"/>
      <c r="IKB38" s="51"/>
      <c r="IKC38" s="51"/>
      <c r="IKD38" s="51"/>
      <c r="IKE38" s="51"/>
      <c r="IKF38" s="51"/>
      <c r="IKG38" s="51"/>
      <c r="IKH38" s="51"/>
      <c r="IKI38" s="51"/>
      <c r="IKJ38" s="51"/>
      <c r="IKK38" s="51"/>
      <c r="IKL38" s="51"/>
      <c r="IKM38" s="51"/>
      <c r="IKN38" s="51"/>
      <c r="IKO38" s="51"/>
      <c r="IKP38" s="51"/>
      <c r="IKQ38" s="51"/>
      <c r="IKR38" s="51"/>
      <c r="IKS38" s="51"/>
      <c r="IKT38" s="51"/>
      <c r="IKU38" s="51"/>
      <c r="IKV38" s="51"/>
      <c r="IKW38" s="51"/>
      <c r="IKX38" s="51"/>
      <c r="IKY38" s="51"/>
      <c r="IKZ38" s="51"/>
      <c r="ILA38" s="51"/>
      <c r="ILB38" s="51"/>
      <c r="ILC38" s="51"/>
      <c r="ILD38" s="51"/>
      <c r="ILE38" s="51"/>
      <c r="ILF38" s="51"/>
      <c r="ILG38" s="51"/>
      <c r="ILH38" s="51"/>
      <c r="ILI38" s="51"/>
      <c r="ILJ38" s="51"/>
      <c r="ILK38" s="51"/>
      <c r="ILL38" s="51"/>
      <c r="ILM38" s="51"/>
      <c r="ILN38" s="51"/>
      <c r="ILO38" s="51"/>
      <c r="ILP38" s="51"/>
      <c r="ILQ38" s="51"/>
      <c r="ILR38" s="51"/>
      <c r="ILS38" s="51"/>
      <c r="ILT38" s="51"/>
      <c r="ILU38" s="51"/>
      <c r="ILV38" s="51"/>
      <c r="ILW38" s="51"/>
      <c r="ILX38" s="51"/>
      <c r="ILY38" s="51"/>
      <c r="ILZ38" s="51"/>
      <c r="IMA38" s="51"/>
      <c r="IMB38" s="51"/>
      <c r="IMC38" s="51"/>
      <c r="IMD38" s="51"/>
      <c r="IME38" s="51"/>
      <c r="IMF38" s="51"/>
      <c r="IMG38" s="51"/>
      <c r="IMH38" s="51"/>
      <c r="IMI38" s="51"/>
      <c r="IMJ38" s="51"/>
      <c r="IMK38" s="51"/>
      <c r="IML38" s="51"/>
      <c r="IMM38" s="51"/>
      <c r="IMN38" s="51"/>
      <c r="IMO38" s="51"/>
      <c r="IMP38" s="51"/>
      <c r="IMQ38" s="51"/>
      <c r="IMR38" s="51"/>
      <c r="IMS38" s="51"/>
      <c r="IMT38" s="51"/>
      <c r="IMU38" s="51"/>
      <c r="IMV38" s="51"/>
      <c r="IMW38" s="51"/>
      <c r="IMX38" s="51"/>
      <c r="IMY38" s="51"/>
      <c r="IMZ38" s="51"/>
      <c r="INA38" s="51"/>
      <c r="INB38" s="51"/>
      <c r="INC38" s="51"/>
      <c r="IND38" s="51"/>
      <c r="INE38" s="51"/>
      <c r="INF38" s="51"/>
      <c r="ING38" s="51"/>
      <c r="INH38" s="51"/>
      <c r="INI38" s="51"/>
      <c r="INJ38" s="51"/>
      <c r="INK38" s="51"/>
      <c r="INL38" s="51"/>
      <c r="INM38" s="51"/>
      <c r="INN38" s="51"/>
      <c r="INO38" s="51"/>
      <c r="INP38" s="51"/>
      <c r="INQ38" s="51"/>
      <c r="INR38" s="51"/>
      <c r="INS38" s="51"/>
      <c r="INT38" s="51"/>
      <c r="INU38" s="51"/>
      <c r="INV38" s="51"/>
      <c r="INW38" s="51"/>
      <c r="INX38" s="51"/>
      <c r="INY38" s="51"/>
      <c r="INZ38" s="51"/>
      <c r="IOA38" s="51"/>
      <c r="IOB38" s="51"/>
      <c r="IOC38" s="51"/>
      <c r="IOD38" s="51"/>
      <c r="IOE38" s="51"/>
      <c r="IOF38" s="51"/>
      <c r="IOG38" s="51"/>
      <c r="IOH38" s="51"/>
      <c r="IOI38" s="51"/>
      <c r="IOJ38" s="51"/>
      <c r="IOK38" s="51"/>
      <c r="IOL38" s="51"/>
      <c r="IOM38" s="51"/>
      <c r="ION38" s="51"/>
      <c r="IOO38" s="51"/>
      <c r="IOP38" s="51"/>
      <c r="IOQ38" s="51"/>
      <c r="IOR38" s="51"/>
      <c r="IOS38" s="51"/>
      <c r="IOT38" s="51"/>
      <c r="IOU38" s="51"/>
      <c r="IOV38" s="51"/>
      <c r="IOW38" s="51"/>
      <c r="IOX38" s="51"/>
      <c r="IOY38" s="51"/>
      <c r="IOZ38" s="51"/>
      <c r="IPA38" s="51"/>
      <c r="IPB38" s="51"/>
      <c r="IPC38" s="51"/>
      <c r="IPD38" s="51"/>
      <c r="IPE38" s="51"/>
      <c r="IPF38" s="51"/>
      <c r="IPG38" s="51"/>
      <c r="IPH38" s="51"/>
      <c r="IPI38" s="51"/>
      <c r="IPJ38" s="51"/>
      <c r="IPK38" s="51"/>
      <c r="IPL38" s="51"/>
      <c r="IPM38" s="51"/>
      <c r="IPN38" s="51"/>
      <c r="IPO38" s="51"/>
      <c r="IPP38" s="51"/>
      <c r="IPQ38" s="51"/>
      <c r="IPR38" s="51"/>
      <c r="IPS38" s="51"/>
      <c r="IPT38" s="51"/>
      <c r="IPU38" s="51"/>
      <c r="IPV38" s="51"/>
      <c r="IPW38" s="51"/>
      <c r="IPX38" s="51"/>
      <c r="IPY38" s="51"/>
      <c r="IPZ38" s="51"/>
      <c r="IQA38" s="51"/>
      <c r="IQB38" s="51"/>
      <c r="IQC38" s="51"/>
      <c r="IQD38" s="51"/>
      <c r="IQE38" s="51"/>
      <c r="IQF38" s="51"/>
      <c r="IQG38" s="51"/>
      <c r="IQH38" s="51"/>
      <c r="IQI38" s="51"/>
      <c r="IQJ38" s="51"/>
      <c r="IQK38" s="51"/>
      <c r="IQL38" s="51"/>
      <c r="IQM38" s="51"/>
      <c r="IQN38" s="51"/>
      <c r="IQO38" s="51"/>
      <c r="IQP38" s="51"/>
      <c r="IQQ38" s="51"/>
      <c r="IQR38" s="51"/>
      <c r="IQS38" s="51"/>
      <c r="IQT38" s="51"/>
      <c r="IQU38" s="51"/>
      <c r="IQV38" s="51"/>
      <c r="IQW38" s="51"/>
      <c r="IQX38" s="51"/>
      <c r="IQY38" s="51"/>
      <c r="IQZ38" s="51"/>
      <c r="IRA38" s="51"/>
      <c r="IRB38" s="51"/>
      <c r="IRC38" s="51"/>
      <c r="IRD38" s="51"/>
      <c r="IRE38" s="51"/>
      <c r="IRF38" s="51"/>
      <c r="IRG38" s="51"/>
      <c r="IRH38" s="51"/>
      <c r="IRI38" s="51"/>
      <c r="IRJ38" s="51"/>
      <c r="IRK38" s="51"/>
      <c r="IRL38" s="51"/>
      <c r="IRM38" s="51"/>
      <c r="IRN38" s="51"/>
      <c r="IRO38" s="51"/>
      <c r="IRP38" s="51"/>
      <c r="IRQ38" s="51"/>
      <c r="IRR38" s="51"/>
      <c r="IRS38" s="51"/>
      <c r="IRT38" s="51"/>
      <c r="IRU38" s="51"/>
      <c r="IRV38" s="51"/>
      <c r="IRW38" s="51"/>
      <c r="IRX38" s="51"/>
      <c r="IRY38" s="51"/>
      <c r="IRZ38" s="51"/>
      <c r="ISA38" s="51"/>
      <c r="ISB38" s="51"/>
      <c r="ISC38" s="51"/>
      <c r="ISD38" s="51"/>
      <c r="ISE38" s="51"/>
      <c r="ISF38" s="51"/>
      <c r="ISG38" s="51"/>
      <c r="ISH38" s="51"/>
      <c r="ISI38" s="51"/>
      <c r="ISJ38" s="51"/>
      <c r="ISK38" s="51"/>
      <c r="ISL38" s="51"/>
      <c r="ISM38" s="51"/>
      <c r="ISN38" s="51"/>
      <c r="ISO38" s="51"/>
      <c r="ISP38" s="51"/>
      <c r="ISQ38" s="51"/>
      <c r="ISR38" s="51"/>
      <c r="ISS38" s="51"/>
      <c r="IST38" s="51"/>
      <c r="ISU38" s="51"/>
      <c r="ISV38" s="51"/>
      <c r="ISW38" s="51"/>
      <c r="ISX38" s="51"/>
      <c r="ISY38" s="51"/>
      <c r="ISZ38" s="51"/>
      <c r="ITA38" s="51"/>
      <c r="ITB38" s="51"/>
      <c r="ITC38" s="51"/>
      <c r="ITD38" s="51"/>
      <c r="ITE38" s="51"/>
      <c r="ITF38" s="51"/>
      <c r="ITG38" s="51"/>
      <c r="ITH38" s="51"/>
      <c r="ITI38" s="51"/>
      <c r="ITJ38" s="51"/>
      <c r="ITK38" s="51"/>
      <c r="ITL38" s="51"/>
      <c r="ITM38" s="51"/>
      <c r="ITN38" s="51"/>
      <c r="ITO38" s="51"/>
      <c r="ITP38" s="51"/>
      <c r="ITQ38" s="51"/>
      <c r="ITR38" s="51"/>
      <c r="ITS38" s="51"/>
      <c r="ITT38" s="51"/>
      <c r="ITU38" s="51"/>
      <c r="ITV38" s="51"/>
      <c r="ITW38" s="51"/>
      <c r="ITX38" s="51"/>
      <c r="ITY38" s="51"/>
      <c r="ITZ38" s="51"/>
      <c r="IUA38" s="51"/>
      <c r="IUB38" s="51"/>
      <c r="IUC38" s="51"/>
      <c r="IUD38" s="51"/>
      <c r="IUE38" s="51"/>
      <c r="IUF38" s="51"/>
      <c r="IUG38" s="51"/>
      <c r="IUH38" s="51"/>
      <c r="IUI38" s="51"/>
      <c r="IUJ38" s="51"/>
      <c r="IUK38" s="51"/>
      <c r="IUL38" s="51"/>
      <c r="IUM38" s="51"/>
      <c r="IUN38" s="51"/>
      <c r="IUO38" s="51"/>
      <c r="IUP38" s="51"/>
      <c r="IUQ38" s="51"/>
      <c r="IUR38" s="51"/>
      <c r="IUS38" s="51"/>
      <c r="IUT38" s="51"/>
      <c r="IUU38" s="51"/>
      <c r="IUV38" s="51"/>
      <c r="IUW38" s="51"/>
      <c r="IUX38" s="51"/>
      <c r="IUY38" s="51"/>
      <c r="IUZ38" s="51"/>
      <c r="IVA38" s="51"/>
      <c r="IVB38" s="51"/>
      <c r="IVC38" s="51"/>
      <c r="IVD38" s="51"/>
      <c r="IVE38" s="51"/>
      <c r="IVF38" s="51"/>
      <c r="IVG38" s="51"/>
      <c r="IVH38" s="51"/>
      <c r="IVI38" s="51"/>
      <c r="IVJ38" s="51"/>
      <c r="IVK38" s="51"/>
      <c r="IVL38" s="51"/>
      <c r="IVM38" s="51"/>
      <c r="IVN38" s="51"/>
      <c r="IVO38" s="51"/>
      <c r="IVP38" s="51"/>
      <c r="IVQ38" s="51"/>
      <c r="IVR38" s="51"/>
      <c r="IVS38" s="51"/>
      <c r="IVT38" s="51"/>
      <c r="IVU38" s="51"/>
      <c r="IVV38" s="51"/>
      <c r="IVW38" s="51"/>
      <c r="IVX38" s="51"/>
      <c r="IVY38" s="51"/>
      <c r="IVZ38" s="51"/>
      <c r="IWA38" s="51"/>
      <c r="IWB38" s="51"/>
      <c r="IWC38" s="51"/>
      <c r="IWD38" s="51"/>
      <c r="IWE38" s="51"/>
      <c r="IWF38" s="51"/>
      <c r="IWG38" s="51"/>
      <c r="IWH38" s="51"/>
      <c r="IWI38" s="51"/>
      <c r="IWJ38" s="51"/>
      <c r="IWK38" s="51"/>
      <c r="IWL38" s="51"/>
      <c r="IWM38" s="51"/>
      <c r="IWN38" s="51"/>
      <c r="IWO38" s="51"/>
      <c r="IWP38" s="51"/>
      <c r="IWQ38" s="51"/>
      <c r="IWR38" s="51"/>
      <c r="IWS38" s="51"/>
      <c r="IWT38" s="51"/>
      <c r="IWU38" s="51"/>
      <c r="IWV38" s="51"/>
      <c r="IWW38" s="51"/>
      <c r="IWX38" s="51"/>
      <c r="IWY38" s="51"/>
      <c r="IWZ38" s="51"/>
      <c r="IXA38" s="51"/>
      <c r="IXB38" s="51"/>
      <c r="IXC38" s="51"/>
      <c r="IXD38" s="51"/>
      <c r="IXE38" s="51"/>
      <c r="IXF38" s="51"/>
      <c r="IXG38" s="51"/>
      <c r="IXH38" s="51"/>
      <c r="IXI38" s="51"/>
      <c r="IXJ38" s="51"/>
      <c r="IXK38" s="51"/>
      <c r="IXL38" s="51"/>
      <c r="IXM38" s="51"/>
      <c r="IXN38" s="51"/>
      <c r="IXO38" s="51"/>
      <c r="IXP38" s="51"/>
      <c r="IXQ38" s="51"/>
      <c r="IXR38" s="51"/>
      <c r="IXS38" s="51"/>
      <c r="IXT38" s="51"/>
      <c r="IXU38" s="51"/>
      <c r="IXV38" s="51"/>
      <c r="IXW38" s="51"/>
      <c r="IXX38" s="51"/>
      <c r="IXY38" s="51"/>
      <c r="IXZ38" s="51"/>
      <c r="IYA38" s="51"/>
      <c r="IYB38" s="51"/>
      <c r="IYC38" s="51"/>
      <c r="IYD38" s="51"/>
      <c r="IYE38" s="51"/>
      <c r="IYF38" s="51"/>
      <c r="IYG38" s="51"/>
      <c r="IYH38" s="51"/>
      <c r="IYI38" s="51"/>
      <c r="IYJ38" s="51"/>
      <c r="IYK38" s="51"/>
      <c r="IYL38" s="51"/>
      <c r="IYM38" s="51"/>
      <c r="IYN38" s="51"/>
      <c r="IYO38" s="51"/>
      <c r="IYP38" s="51"/>
      <c r="IYQ38" s="51"/>
      <c r="IYR38" s="51"/>
      <c r="IYS38" s="51"/>
      <c r="IYT38" s="51"/>
      <c r="IYU38" s="51"/>
      <c r="IYV38" s="51"/>
      <c r="IYW38" s="51"/>
      <c r="IYX38" s="51"/>
      <c r="IYY38" s="51"/>
      <c r="IYZ38" s="51"/>
      <c r="IZA38" s="51"/>
      <c r="IZB38" s="51"/>
      <c r="IZC38" s="51"/>
      <c r="IZD38" s="51"/>
      <c r="IZE38" s="51"/>
      <c r="IZF38" s="51"/>
      <c r="IZG38" s="51"/>
      <c r="IZH38" s="51"/>
      <c r="IZI38" s="51"/>
      <c r="IZJ38" s="51"/>
      <c r="IZK38" s="51"/>
      <c r="IZL38" s="51"/>
      <c r="IZM38" s="51"/>
      <c r="IZN38" s="51"/>
      <c r="IZO38" s="51"/>
      <c r="IZP38" s="51"/>
      <c r="IZQ38" s="51"/>
      <c r="IZR38" s="51"/>
      <c r="IZS38" s="51"/>
      <c r="IZT38" s="51"/>
      <c r="IZU38" s="51"/>
      <c r="IZV38" s="51"/>
      <c r="IZW38" s="51"/>
      <c r="IZX38" s="51"/>
      <c r="IZY38" s="51"/>
      <c r="IZZ38" s="51"/>
      <c r="JAA38" s="51"/>
      <c r="JAB38" s="51"/>
      <c r="JAC38" s="51"/>
      <c r="JAD38" s="51"/>
      <c r="JAE38" s="51"/>
      <c r="JAF38" s="51"/>
      <c r="JAG38" s="51"/>
      <c r="JAH38" s="51"/>
      <c r="JAI38" s="51"/>
      <c r="JAJ38" s="51"/>
      <c r="JAK38" s="51"/>
      <c r="JAL38" s="51"/>
      <c r="JAM38" s="51"/>
      <c r="JAN38" s="51"/>
      <c r="JAO38" s="51"/>
      <c r="JAP38" s="51"/>
      <c r="JAQ38" s="51"/>
      <c r="JAR38" s="51"/>
      <c r="JAS38" s="51"/>
      <c r="JAT38" s="51"/>
      <c r="JAU38" s="51"/>
      <c r="JAV38" s="51"/>
      <c r="JAW38" s="51"/>
      <c r="JAX38" s="51"/>
      <c r="JAY38" s="51"/>
      <c r="JAZ38" s="51"/>
      <c r="JBA38" s="51"/>
      <c r="JBB38" s="51"/>
      <c r="JBC38" s="51"/>
      <c r="JBD38" s="51"/>
      <c r="JBE38" s="51"/>
      <c r="JBF38" s="51"/>
      <c r="JBG38" s="51"/>
      <c r="JBH38" s="51"/>
      <c r="JBI38" s="51"/>
      <c r="JBJ38" s="51"/>
      <c r="JBK38" s="51"/>
      <c r="JBL38" s="51"/>
      <c r="JBM38" s="51"/>
      <c r="JBN38" s="51"/>
      <c r="JBO38" s="51"/>
      <c r="JBP38" s="51"/>
      <c r="JBQ38" s="51"/>
      <c r="JBR38" s="51"/>
      <c r="JBS38" s="51"/>
      <c r="JBT38" s="51"/>
      <c r="JBU38" s="51"/>
      <c r="JBV38" s="51"/>
      <c r="JBW38" s="51"/>
      <c r="JBX38" s="51"/>
      <c r="JBY38" s="51"/>
      <c r="JBZ38" s="51"/>
      <c r="JCA38" s="51"/>
      <c r="JCB38" s="51"/>
      <c r="JCC38" s="51"/>
      <c r="JCD38" s="51"/>
      <c r="JCE38" s="51"/>
      <c r="JCF38" s="51"/>
      <c r="JCG38" s="51"/>
      <c r="JCH38" s="51"/>
      <c r="JCI38" s="51"/>
      <c r="JCJ38" s="51"/>
      <c r="JCK38" s="51"/>
      <c r="JCL38" s="51"/>
      <c r="JCM38" s="51"/>
      <c r="JCN38" s="51"/>
      <c r="JCO38" s="51"/>
      <c r="JCP38" s="51"/>
      <c r="JCQ38" s="51"/>
      <c r="JCR38" s="51"/>
      <c r="JCS38" s="51"/>
      <c r="JCT38" s="51"/>
      <c r="JCU38" s="51"/>
      <c r="JCV38" s="51"/>
      <c r="JCW38" s="51"/>
      <c r="JCX38" s="51"/>
      <c r="JCY38" s="51"/>
      <c r="JCZ38" s="51"/>
      <c r="JDA38" s="51"/>
      <c r="JDB38" s="51"/>
      <c r="JDC38" s="51"/>
      <c r="JDD38" s="51"/>
      <c r="JDE38" s="51"/>
      <c r="JDF38" s="51"/>
      <c r="JDG38" s="51"/>
      <c r="JDH38" s="51"/>
      <c r="JDI38" s="51"/>
      <c r="JDJ38" s="51"/>
      <c r="JDK38" s="51"/>
      <c r="JDL38" s="51"/>
      <c r="JDM38" s="51"/>
      <c r="JDN38" s="51"/>
      <c r="JDO38" s="51"/>
      <c r="JDP38" s="51"/>
      <c r="JDQ38" s="51"/>
      <c r="JDR38" s="51"/>
      <c r="JDS38" s="51"/>
      <c r="JDT38" s="51"/>
      <c r="JDU38" s="51"/>
      <c r="JDV38" s="51"/>
      <c r="JDW38" s="51"/>
      <c r="JDX38" s="51"/>
      <c r="JDY38" s="51"/>
      <c r="JDZ38" s="51"/>
      <c r="JEA38" s="51"/>
      <c r="JEB38" s="51"/>
      <c r="JEC38" s="51"/>
      <c r="JED38" s="51"/>
      <c r="JEE38" s="51"/>
      <c r="JEF38" s="51"/>
      <c r="JEG38" s="51"/>
      <c r="JEH38" s="51"/>
      <c r="JEI38" s="51"/>
      <c r="JEJ38" s="51"/>
      <c r="JEK38" s="51"/>
      <c r="JEL38" s="51"/>
      <c r="JEM38" s="51"/>
      <c r="JEN38" s="51"/>
      <c r="JEO38" s="51"/>
      <c r="JEP38" s="51"/>
      <c r="JEQ38" s="51"/>
      <c r="JER38" s="51"/>
      <c r="JES38" s="51"/>
      <c r="JET38" s="51"/>
      <c r="JEU38" s="51"/>
      <c r="JEV38" s="51"/>
      <c r="JEW38" s="51"/>
      <c r="JEX38" s="51"/>
      <c r="JEY38" s="51"/>
      <c r="JEZ38" s="51"/>
      <c r="JFA38" s="51"/>
      <c r="JFB38" s="51"/>
      <c r="JFC38" s="51"/>
      <c r="JFD38" s="51"/>
      <c r="JFE38" s="51"/>
      <c r="JFF38" s="51"/>
      <c r="JFG38" s="51"/>
      <c r="JFH38" s="51"/>
      <c r="JFI38" s="51"/>
      <c r="JFJ38" s="51"/>
      <c r="JFK38" s="51"/>
      <c r="JFL38" s="51"/>
      <c r="JFM38" s="51"/>
      <c r="JFN38" s="51"/>
      <c r="JFO38" s="51"/>
      <c r="JFP38" s="51"/>
      <c r="JFQ38" s="51"/>
      <c r="JFR38" s="51"/>
      <c r="JFS38" s="51"/>
      <c r="JFT38" s="51"/>
      <c r="JFU38" s="51"/>
      <c r="JFV38" s="51"/>
      <c r="JFW38" s="51"/>
      <c r="JFX38" s="51"/>
      <c r="JFY38" s="51"/>
      <c r="JFZ38" s="51"/>
      <c r="JGA38" s="51"/>
      <c r="JGB38" s="51"/>
      <c r="JGC38" s="51"/>
      <c r="JGD38" s="51"/>
      <c r="JGE38" s="51"/>
      <c r="JGF38" s="51"/>
      <c r="JGG38" s="51"/>
      <c r="JGH38" s="51"/>
      <c r="JGI38" s="51"/>
      <c r="JGJ38" s="51"/>
      <c r="JGK38" s="51"/>
      <c r="JGL38" s="51"/>
      <c r="JGM38" s="51"/>
      <c r="JGN38" s="51"/>
      <c r="JGO38" s="51"/>
      <c r="JGP38" s="51"/>
      <c r="JGQ38" s="51"/>
      <c r="JGR38" s="51"/>
      <c r="JGS38" s="51"/>
      <c r="JGT38" s="51"/>
      <c r="JGU38" s="51"/>
      <c r="JGV38" s="51"/>
      <c r="JGW38" s="51"/>
      <c r="JGX38" s="51"/>
      <c r="JGY38" s="51"/>
      <c r="JGZ38" s="51"/>
      <c r="JHA38" s="51"/>
      <c r="JHB38" s="51"/>
      <c r="JHC38" s="51"/>
      <c r="JHD38" s="51"/>
      <c r="JHE38" s="51"/>
      <c r="JHF38" s="51"/>
      <c r="JHG38" s="51"/>
      <c r="JHH38" s="51"/>
      <c r="JHI38" s="51"/>
      <c r="JHJ38" s="51"/>
      <c r="JHK38" s="51"/>
      <c r="JHL38" s="51"/>
      <c r="JHM38" s="51"/>
      <c r="JHN38" s="51"/>
      <c r="JHO38" s="51"/>
      <c r="JHP38" s="51"/>
      <c r="JHQ38" s="51"/>
      <c r="JHR38" s="51"/>
      <c r="JHS38" s="51"/>
      <c r="JHT38" s="51"/>
      <c r="JHU38" s="51"/>
      <c r="JHV38" s="51"/>
      <c r="JHW38" s="51"/>
      <c r="JHX38" s="51"/>
      <c r="JHY38" s="51"/>
      <c r="JHZ38" s="51"/>
      <c r="JIA38" s="51"/>
      <c r="JIB38" s="51"/>
      <c r="JIC38" s="51"/>
      <c r="JID38" s="51"/>
      <c r="JIE38" s="51"/>
      <c r="JIF38" s="51"/>
      <c r="JIG38" s="51"/>
      <c r="JIH38" s="51"/>
      <c r="JII38" s="51"/>
      <c r="JIJ38" s="51"/>
      <c r="JIK38" s="51"/>
      <c r="JIL38" s="51"/>
      <c r="JIM38" s="51"/>
      <c r="JIN38" s="51"/>
      <c r="JIO38" s="51"/>
      <c r="JIP38" s="51"/>
      <c r="JIQ38" s="51"/>
      <c r="JIR38" s="51"/>
      <c r="JIS38" s="51"/>
      <c r="JIT38" s="51"/>
      <c r="JIU38" s="51"/>
      <c r="JIV38" s="51"/>
      <c r="JIW38" s="51"/>
      <c r="JIX38" s="51"/>
      <c r="JIY38" s="51"/>
      <c r="JIZ38" s="51"/>
      <c r="JJA38" s="51"/>
      <c r="JJB38" s="51"/>
      <c r="JJC38" s="51"/>
      <c r="JJD38" s="51"/>
      <c r="JJE38" s="51"/>
      <c r="JJF38" s="51"/>
      <c r="JJG38" s="51"/>
      <c r="JJH38" s="51"/>
      <c r="JJI38" s="51"/>
      <c r="JJJ38" s="51"/>
      <c r="JJK38" s="51"/>
      <c r="JJL38" s="51"/>
      <c r="JJM38" s="51"/>
      <c r="JJN38" s="51"/>
      <c r="JJO38" s="51"/>
      <c r="JJP38" s="51"/>
      <c r="JJQ38" s="51"/>
      <c r="JJR38" s="51"/>
      <c r="JJS38" s="51"/>
      <c r="JJT38" s="51"/>
      <c r="JJU38" s="51"/>
      <c r="JJV38" s="51"/>
      <c r="JJW38" s="51"/>
      <c r="JJX38" s="51"/>
      <c r="JJY38" s="51"/>
      <c r="JJZ38" s="51"/>
      <c r="JKA38" s="51"/>
      <c r="JKB38" s="51"/>
      <c r="JKC38" s="51"/>
      <c r="JKD38" s="51"/>
      <c r="JKE38" s="51"/>
      <c r="JKF38" s="51"/>
      <c r="JKG38" s="51"/>
      <c r="JKH38" s="51"/>
      <c r="JKI38" s="51"/>
      <c r="JKJ38" s="51"/>
      <c r="JKK38" s="51"/>
      <c r="JKL38" s="51"/>
      <c r="JKM38" s="51"/>
      <c r="JKN38" s="51"/>
      <c r="JKO38" s="51"/>
      <c r="JKP38" s="51"/>
      <c r="JKQ38" s="51"/>
      <c r="JKR38" s="51"/>
      <c r="JKS38" s="51"/>
      <c r="JKT38" s="51"/>
      <c r="JKU38" s="51"/>
      <c r="JKV38" s="51"/>
      <c r="JKW38" s="51"/>
      <c r="JKX38" s="51"/>
      <c r="JKY38" s="51"/>
      <c r="JKZ38" s="51"/>
      <c r="JLA38" s="51"/>
      <c r="JLB38" s="51"/>
      <c r="JLC38" s="51"/>
      <c r="JLD38" s="51"/>
      <c r="JLE38" s="51"/>
      <c r="JLF38" s="51"/>
      <c r="JLG38" s="51"/>
      <c r="JLH38" s="51"/>
      <c r="JLI38" s="51"/>
      <c r="JLJ38" s="51"/>
      <c r="JLK38" s="51"/>
      <c r="JLL38" s="51"/>
      <c r="JLM38" s="51"/>
      <c r="JLN38" s="51"/>
      <c r="JLO38" s="51"/>
      <c r="JLP38" s="51"/>
      <c r="JLQ38" s="51"/>
      <c r="JLR38" s="51"/>
      <c r="JLS38" s="51"/>
      <c r="JLT38" s="51"/>
      <c r="JLU38" s="51"/>
      <c r="JLV38" s="51"/>
      <c r="JLW38" s="51"/>
      <c r="JLX38" s="51"/>
      <c r="JLY38" s="51"/>
      <c r="JLZ38" s="51"/>
      <c r="JMA38" s="51"/>
      <c r="JMB38" s="51"/>
      <c r="JMC38" s="51"/>
      <c r="JMD38" s="51"/>
      <c r="JME38" s="51"/>
      <c r="JMF38" s="51"/>
      <c r="JMG38" s="51"/>
      <c r="JMH38" s="51"/>
      <c r="JMI38" s="51"/>
      <c r="JMJ38" s="51"/>
      <c r="JMK38" s="51"/>
      <c r="JML38" s="51"/>
      <c r="JMM38" s="51"/>
      <c r="JMN38" s="51"/>
      <c r="JMO38" s="51"/>
      <c r="JMP38" s="51"/>
      <c r="JMQ38" s="51"/>
      <c r="JMR38" s="51"/>
      <c r="JMS38" s="51"/>
      <c r="JMT38" s="51"/>
      <c r="JMU38" s="51"/>
      <c r="JMV38" s="51"/>
      <c r="JMW38" s="51"/>
      <c r="JMX38" s="51"/>
      <c r="JMY38" s="51"/>
      <c r="JMZ38" s="51"/>
      <c r="JNA38" s="51"/>
      <c r="JNB38" s="51"/>
      <c r="JNC38" s="51"/>
      <c r="JND38" s="51"/>
      <c r="JNE38" s="51"/>
      <c r="JNF38" s="51"/>
      <c r="JNG38" s="51"/>
      <c r="JNH38" s="51"/>
      <c r="JNI38" s="51"/>
      <c r="JNJ38" s="51"/>
      <c r="JNK38" s="51"/>
      <c r="JNL38" s="51"/>
      <c r="JNM38" s="51"/>
      <c r="JNN38" s="51"/>
      <c r="JNO38" s="51"/>
      <c r="JNP38" s="51"/>
      <c r="JNQ38" s="51"/>
      <c r="JNR38" s="51"/>
      <c r="JNS38" s="51"/>
      <c r="JNT38" s="51"/>
      <c r="JNU38" s="51"/>
      <c r="JNV38" s="51"/>
      <c r="JNW38" s="51"/>
      <c r="JNX38" s="51"/>
      <c r="JNY38" s="51"/>
      <c r="JNZ38" s="51"/>
      <c r="JOA38" s="51"/>
      <c r="JOB38" s="51"/>
      <c r="JOC38" s="51"/>
      <c r="JOD38" s="51"/>
      <c r="JOE38" s="51"/>
      <c r="JOF38" s="51"/>
      <c r="JOG38" s="51"/>
      <c r="JOH38" s="51"/>
      <c r="JOI38" s="51"/>
      <c r="JOJ38" s="51"/>
      <c r="JOK38" s="51"/>
      <c r="JOL38" s="51"/>
      <c r="JOM38" s="51"/>
      <c r="JON38" s="51"/>
      <c r="JOO38" s="51"/>
      <c r="JOP38" s="51"/>
      <c r="JOQ38" s="51"/>
      <c r="JOR38" s="51"/>
      <c r="JOS38" s="51"/>
      <c r="JOT38" s="51"/>
      <c r="JOU38" s="51"/>
      <c r="JOV38" s="51"/>
      <c r="JOW38" s="51"/>
      <c r="JOX38" s="51"/>
      <c r="JOY38" s="51"/>
      <c r="JOZ38" s="51"/>
      <c r="JPA38" s="51"/>
      <c r="JPB38" s="51"/>
      <c r="JPC38" s="51"/>
      <c r="JPD38" s="51"/>
      <c r="JPE38" s="51"/>
      <c r="JPF38" s="51"/>
      <c r="JPG38" s="51"/>
      <c r="JPH38" s="51"/>
      <c r="JPI38" s="51"/>
      <c r="JPJ38" s="51"/>
      <c r="JPK38" s="51"/>
      <c r="JPL38" s="51"/>
      <c r="JPM38" s="51"/>
      <c r="JPN38" s="51"/>
      <c r="JPO38" s="51"/>
      <c r="JPP38" s="51"/>
      <c r="JPQ38" s="51"/>
      <c r="JPR38" s="51"/>
      <c r="JPS38" s="51"/>
      <c r="JPT38" s="51"/>
      <c r="JPU38" s="51"/>
      <c r="JPV38" s="51"/>
      <c r="JPW38" s="51"/>
      <c r="JPX38" s="51"/>
      <c r="JPY38" s="51"/>
      <c r="JPZ38" s="51"/>
      <c r="JQA38" s="51"/>
      <c r="JQB38" s="51"/>
      <c r="JQC38" s="51"/>
      <c r="JQD38" s="51"/>
      <c r="JQE38" s="51"/>
      <c r="JQF38" s="51"/>
      <c r="JQG38" s="51"/>
      <c r="JQH38" s="51"/>
      <c r="JQI38" s="51"/>
      <c r="JQJ38" s="51"/>
      <c r="JQK38" s="51"/>
      <c r="JQL38" s="51"/>
      <c r="JQM38" s="51"/>
      <c r="JQN38" s="51"/>
      <c r="JQO38" s="51"/>
      <c r="JQP38" s="51"/>
      <c r="JQQ38" s="51"/>
      <c r="JQR38" s="51"/>
      <c r="JQS38" s="51"/>
      <c r="JQT38" s="51"/>
      <c r="JQU38" s="51"/>
      <c r="JQV38" s="51"/>
      <c r="JQW38" s="51"/>
      <c r="JQX38" s="51"/>
      <c r="JQY38" s="51"/>
      <c r="JQZ38" s="51"/>
      <c r="JRA38" s="51"/>
      <c r="JRB38" s="51"/>
      <c r="JRC38" s="51"/>
      <c r="JRD38" s="51"/>
      <c r="JRE38" s="51"/>
      <c r="JRF38" s="51"/>
      <c r="JRG38" s="51"/>
      <c r="JRH38" s="51"/>
      <c r="JRI38" s="51"/>
      <c r="JRJ38" s="51"/>
      <c r="JRK38" s="51"/>
      <c r="JRL38" s="51"/>
      <c r="JRM38" s="51"/>
      <c r="JRN38" s="51"/>
      <c r="JRO38" s="51"/>
      <c r="JRP38" s="51"/>
      <c r="JRQ38" s="51"/>
      <c r="JRR38" s="51"/>
      <c r="JRS38" s="51"/>
      <c r="JRT38" s="51"/>
      <c r="JRU38" s="51"/>
      <c r="JRV38" s="51"/>
      <c r="JRW38" s="51"/>
      <c r="JRX38" s="51"/>
      <c r="JRY38" s="51"/>
      <c r="JRZ38" s="51"/>
      <c r="JSA38" s="51"/>
      <c r="JSB38" s="51"/>
      <c r="JSC38" s="51"/>
      <c r="JSD38" s="51"/>
      <c r="JSE38" s="51"/>
      <c r="JSF38" s="51"/>
      <c r="JSG38" s="51"/>
      <c r="JSH38" s="51"/>
      <c r="JSI38" s="51"/>
      <c r="JSJ38" s="51"/>
      <c r="JSK38" s="51"/>
      <c r="JSL38" s="51"/>
      <c r="JSM38" s="51"/>
      <c r="JSN38" s="51"/>
      <c r="JSO38" s="51"/>
      <c r="JSP38" s="51"/>
      <c r="JSQ38" s="51"/>
      <c r="JSR38" s="51"/>
      <c r="JSS38" s="51"/>
      <c r="JST38" s="51"/>
      <c r="JSU38" s="51"/>
      <c r="JSV38" s="51"/>
      <c r="JSW38" s="51"/>
      <c r="JSX38" s="51"/>
      <c r="JSY38" s="51"/>
      <c r="JSZ38" s="51"/>
      <c r="JTA38" s="51"/>
      <c r="JTB38" s="51"/>
      <c r="JTC38" s="51"/>
      <c r="JTD38" s="51"/>
      <c r="JTE38" s="51"/>
      <c r="JTF38" s="51"/>
      <c r="JTG38" s="51"/>
      <c r="JTH38" s="51"/>
      <c r="JTI38" s="51"/>
      <c r="JTJ38" s="51"/>
      <c r="JTK38" s="51"/>
      <c r="JTL38" s="51"/>
      <c r="JTM38" s="51"/>
      <c r="JTN38" s="51"/>
      <c r="JTO38" s="51"/>
      <c r="JTP38" s="51"/>
      <c r="JTQ38" s="51"/>
      <c r="JTR38" s="51"/>
      <c r="JTS38" s="51"/>
      <c r="JTT38" s="51"/>
      <c r="JTU38" s="51"/>
      <c r="JTV38" s="51"/>
      <c r="JTW38" s="51"/>
      <c r="JTX38" s="51"/>
      <c r="JTY38" s="51"/>
      <c r="JTZ38" s="51"/>
      <c r="JUA38" s="51"/>
      <c r="JUB38" s="51"/>
      <c r="JUC38" s="51"/>
      <c r="JUD38" s="51"/>
      <c r="JUE38" s="51"/>
      <c r="JUF38" s="51"/>
      <c r="JUG38" s="51"/>
      <c r="JUH38" s="51"/>
      <c r="JUI38" s="51"/>
      <c r="JUJ38" s="51"/>
      <c r="JUK38" s="51"/>
      <c r="JUL38" s="51"/>
      <c r="JUM38" s="51"/>
      <c r="JUN38" s="51"/>
      <c r="JUO38" s="51"/>
      <c r="JUP38" s="51"/>
      <c r="JUQ38" s="51"/>
      <c r="JUR38" s="51"/>
      <c r="JUS38" s="51"/>
      <c r="JUT38" s="51"/>
      <c r="JUU38" s="51"/>
      <c r="JUV38" s="51"/>
      <c r="JUW38" s="51"/>
      <c r="JUX38" s="51"/>
      <c r="JUY38" s="51"/>
      <c r="JUZ38" s="51"/>
      <c r="JVA38" s="51"/>
      <c r="JVB38" s="51"/>
      <c r="JVC38" s="51"/>
      <c r="JVD38" s="51"/>
      <c r="JVE38" s="51"/>
      <c r="JVF38" s="51"/>
      <c r="JVG38" s="51"/>
      <c r="JVH38" s="51"/>
      <c r="JVI38" s="51"/>
      <c r="JVJ38" s="51"/>
      <c r="JVK38" s="51"/>
      <c r="JVL38" s="51"/>
      <c r="JVM38" s="51"/>
      <c r="JVN38" s="51"/>
      <c r="JVO38" s="51"/>
      <c r="JVP38" s="51"/>
      <c r="JVQ38" s="51"/>
      <c r="JVR38" s="51"/>
      <c r="JVS38" s="51"/>
      <c r="JVT38" s="51"/>
      <c r="JVU38" s="51"/>
      <c r="JVV38" s="51"/>
      <c r="JVW38" s="51"/>
      <c r="JVX38" s="51"/>
      <c r="JVY38" s="51"/>
      <c r="JVZ38" s="51"/>
      <c r="JWA38" s="51"/>
      <c r="JWB38" s="51"/>
      <c r="JWC38" s="51"/>
      <c r="JWD38" s="51"/>
      <c r="JWE38" s="51"/>
      <c r="JWF38" s="51"/>
      <c r="JWG38" s="51"/>
      <c r="JWH38" s="51"/>
      <c r="JWI38" s="51"/>
      <c r="JWJ38" s="51"/>
      <c r="JWK38" s="51"/>
      <c r="JWL38" s="51"/>
      <c r="JWM38" s="51"/>
      <c r="JWN38" s="51"/>
      <c r="JWO38" s="51"/>
      <c r="JWP38" s="51"/>
      <c r="JWQ38" s="51"/>
      <c r="JWR38" s="51"/>
      <c r="JWS38" s="51"/>
      <c r="JWT38" s="51"/>
      <c r="JWU38" s="51"/>
      <c r="JWV38" s="51"/>
      <c r="JWW38" s="51"/>
      <c r="JWX38" s="51"/>
      <c r="JWY38" s="51"/>
      <c r="JWZ38" s="51"/>
      <c r="JXA38" s="51"/>
      <c r="JXB38" s="51"/>
      <c r="JXC38" s="51"/>
      <c r="JXD38" s="51"/>
      <c r="JXE38" s="51"/>
      <c r="JXF38" s="51"/>
      <c r="JXG38" s="51"/>
      <c r="JXH38" s="51"/>
      <c r="JXI38" s="51"/>
      <c r="JXJ38" s="51"/>
      <c r="JXK38" s="51"/>
      <c r="JXL38" s="51"/>
      <c r="JXM38" s="51"/>
      <c r="JXN38" s="51"/>
      <c r="JXO38" s="51"/>
      <c r="JXP38" s="51"/>
      <c r="JXQ38" s="51"/>
      <c r="JXR38" s="51"/>
      <c r="JXS38" s="51"/>
      <c r="JXT38" s="51"/>
      <c r="JXU38" s="51"/>
      <c r="JXV38" s="51"/>
      <c r="JXW38" s="51"/>
      <c r="JXX38" s="51"/>
      <c r="JXY38" s="51"/>
      <c r="JXZ38" s="51"/>
      <c r="JYA38" s="51"/>
      <c r="JYB38" s="51"/>
      <c r="JYC38" s="51"/>
      <c r="JYD38" s="51"/>
      <c r="JYE38" s="51"/>
      <c r="JYF38" s="51"/>
      <c r="JYG38" s="51"/>
      <c r="JYH38" s="51"/>
      <c r="JYI38" s="51"/>
      <c r="JYJ38" s="51"/>
      <c r="JYK38" s="51"/>
      <c r="JYL38" s="51"/>
      <c r="JYM38" s="51"/>
      <c r="JYN38" s="51"/>
      <c r="JYO38" s="51"/>
      <c r="JYP38" s="51"/>
      <c r="JYQ38" s="51"/>
      <c r="JYR38" s="51"/>
      <c r="JYS38" s="51"/>
      <c r="JYT38" s="51"/>
      <c r="JYU38" s="51"/>
      <c r="JYV38" s="51"/>
      <c r="JYW38" s="51"/>
      <c r="JYX38" s="51"/>
      <c r="JYY38" s="51"/>
      <c r="JYZ38" s="51"/>
      <c r="JZA38" s="51"/>
      <c r="JZB38" s="51"/>
      <c r="JZC38" s="51"/>
      <c r="JZD38" s="51"/>
      <c r="JZE38" s="51"/>
      <c r="JZF38" s="51"/>
      <c r="JZG38" s="51"/>
      <c r="JZH38" s="51"/>
      <c r="JZI38" s="51"/>
      <c r="JZJ38" s="51"/>
      <c r="JZK38" s="51"/>
      <c r="JZL38" s="51"/>
      <c r="JZM38" s="51"/>
      <c r="JZN38" s="51"/>
      <c r="JZO38" s="51"/>
      <c r="JZP38" s="51"/>
      <c r="JZQ38" s="51"/>
      <c r="JZR38" s="51"/>
      <c r="JZS38" s="51"/>
      <c r="JZT38" s="51"/>
      <c r="JZU38" s="51"/>
      <c r="JZV38" s="51"/>
      <c r="JZW38" s="51"/>
      <c r="JZX38" s="51"/>
      <c r="JZY38" s="51"/>
      <c r="JZZ38" s="51"/>
      <c r="KAA38" s="51"/>
      <c r="KAB38" s="51"/>
      <c r="KAC38" s="51"/>
      <c r="KAD38" s="51"/>
      <c r="KAE38" s="51"/>
      <c r="KAF38" s="51"/>
      <c r="KAG38" s="51"/>
      <c r="KAH38" s="51"/>
      <c r="KAI38" s="51"/>
      <c r="KAJ38" s="51"/>
      <c r="KAK38" s="51"/>
      <c r="KAL38" s="51"/>
      <c r="KAM38" s="51"/>
      <c r="KAN38" s="51"/>
      <c r="KAO38" s="51"/>
      <c r="KAP38" s="51"/>
      <c r="KAQ38" s="51"/>
      <c r="KAR38" s="51"/>
      <c r="KAS38" s="51"/>
      <c r="KAT38" s="51"/>
      <c r="KAU38" s="51"/>
      <c r="KAV38" s="51"/>
      <c r="KAW38" s="51"/>
      <c r="KAX38" s="51"/>
      <c r="KAY38" s="51"/>
      <c r="KAZ38" s="51"/>
      <c r="KBA38" s="51"/>
      <c r="KBB38" s="51"/>
      <c r="KBC38" s="51"/>
      <c r="KBD38" s="51"/>
      <c r="KBE38" s="51"/>
      <c r="KBF38" s="51"/>
      <c r="KBG38" s="51"/>
      <c r="KBH38" s="51"/>
      <c r="KBI38" s="51"/>
      <c r="KBJ38" s="51"/>
      <c r="KBK38" s="51"/>
      <c r="KBL38" s="51"/>
      <c r="KBM38" s="51"/>
      <c r="KBN38" s="51"/>
      <c r="KBO38" s="51"/>
      <c r="KBP38" s="51"/>
      <c r="KBQ38" s="51"/>
      <c r="KBR38" s="51"/>
      <c r="KBS38" s="51"/>
      <c r="KBT38" s="51"/>
      <c r="KBU38" s="51"/>
      <c r="KBV38" s="51"/>
      <c r="KBW38" s="51"/>
      <c r="KBX38" s="51"/>
      <c r="KBY38" s="51"/>
      <c r="KBZ38" s="51"/>
      <c r="KCA38" s="51"/>
      <c r="KCB38" s="51"/>
      <c r="KCC38" s="51"/>
      <c r="KCD38" s="51"/>
      <c r="KCE38" s="51"/>
      <c r="KCF38" s="51"/>
      <c r="KCG38" s="51"/>
      <c r="KCH38" s="51"/>
      <c r="KCI38" s="51"/>
      <c r="KCJ38" s="51"/>
      <c r="KCK38" s="51"/>
      <c r="KCL38" s="51"/>
      <c r="KCM38" s="51"/>
      <c r="KCN38" s="51"/>
      <c r="KCO38" s="51"/>
      <c r="KCP38" s="51"/>
      <c r="KCQ38" s="51"/>
      <c r="KCR38" s="51"/>
      <c r="KCS38" s="51"/>
      <c r="KCT38" s="51"/>
      <c r="KCU38" s="51"/>
      <c r="KCV38" s="51"/>
      <c r="KCW38" s="51"/>
      <c r="KCX38" s="51"/>
      <c r="KCY38" s="51"/>
      <c r="KCZ38" s="51"/>
      <c r="KDA38" s="51"/>
      <c r="KDB38" s="51"/>
      <c r="KDC38" s="51"/>
      <c r="KDD38" s="51"/>
      <c r="KDE38" s="51"/>
      <c r="KDF38" s="51"/>
      <c r="KDG38" s="51"/>
      <c r="KDH38" s="51"/>
      <c r="KDI38" s="51"/>
      <c r="KDJ38" s="51"/>
      <c r="KDK38" s="51"/>
      <c r="KDL38" s="51"/>
      <c r="KDM38" s="51"/>
      <c r="KDN38" s="51"/>
      <c r="KDO38" s="51"/>
      <c r="KDP38" s="51"/>
      <c r="KDQ38" s="51"/>
      <c r="KDR38" s="51"/>
      <c r="KDS38" s="51"/>
      <c r="KDT38" s="51"/>
      <c r="KDU38" s="51"/>
      <c r="KDV38" s="51"/>
      <c r="KDW38" s="51"/>
      <c r="KDX38" s="51"/>
      <c r="KDY38" s="51"/>
      <c r="KDZ38" s="51"/>
      <c r="KEA38" s="51"/>
      <c r="KEB38" s="51"/>
      <c r="KEC38" s="51"/>
      <c r="KED38" s="51"/>
      <c r="KEE38" s="51"/>
      <c r="KEF38" s="51"/>
      <c r="KEG38" s="51"/>
      <c r="KEH38" s="51"/>
      <c r="KEI38" s="51"/>
      <c r="KEJ38" s="51"/>
      <c r="KEK38" s="51"/>
      <c r="KEL38" s="51"/>
      <c r="KEM38" s="51"/>
      <c r="KEN38" s="51"/>
      <c r="KEO38" s="51"/>
      <c r="KEP38" s="51"/>
      <c r="KEQ38" s="51"/>
      <c r="KER38" s="51"/>
      <c r="KES38" s="51"/>
      <c r="KET38" s="51"/>
      <c r="KEU38" s="51"/>
      <c r="KEV38" s="51"/>
      <c r="KEW38" s="51"/>
      <c r="KEX38" s="51"/>
      <c r="KEY38" s="51"/>
      <c r="KEZ38" s="51"/>
      <c r="KFA38" s="51"/>
      <c r="KFB38" s="51"/>
      <c r="KFC38" s="51"/>
      <c r="KFD38" s="51"/>
      <c r="KFE38" s="51"/>
      <c r="KFF38" s="51"/>
      <c r="KFG38" s="51"/>
      <c r="KFH38" s="51"/>
      <c r="KFI38" s="51"/>
      <c r="KFJ38" s="51"/>
      <c r="KFK38" s="51"/>
      <c r="KFL38" s="51"/>
      <c r="KFM38" s="51"/>
      <c r="KFN38" s="51"/>
      <c r="KFO38" s="51"/>
      <c r="KFP38" s="51"/>
      <c r="KFQ38" s="51"/>
      <c r="KFR38" s="51"/>
      <c r="KFS38" s="51"/>
      <c r="KFT38" s="51"/>
      <c r="KFU38" s="51"/>
      <c r="KFV38" s="51"/>
      <c r="KFW38" s="51"/>
      <c r="KFX38" s="51"/>
      <c r="KFY38" s="51"/>
      <c r="KFZ38" s="51"/>
      <c r="KGA38" s="51"/>
      <c r="KGB38" s="51"/>
      <c r="KGC38" s="51"/>
      <c r="KGD38" s="51"/>
      <c r="KGE38" s="51"/>
      <c r="KGF38" s="51"/>
      <c r="KGG38" s="51"/>
      <c r="KGH38" s="51"/>
      <c r="KGI38" s="51"/>
      <c r="KGJ38" s="51"/>
      <c r="KGK38" s="51"/>
      <c r="KGL38" s="51"/>
      <c r="KGM38" s="51"/>
      <c r="KGN38" s="51"/>
      <c r="KGO38" s="51"/>
      <c r="KGP38" s="51"/>
      <c r="KGQ38" s="51"/>
      <c r="KGR38" s="51"/>
      <c r="KGS38" s="51"/>
      <c r="KGT38" s="51"/>
      <c r="KGU38" s="51"/>
      <c r="KGV38" s="51"/>
      <c r="KGW38" s="51"/>
      <c r="KGX38" s="51"/>
      <c r="KGY38" s="51"/>
      <c r="KGZ38" s="51"/>
      <c r="KHA38" s="51"/>
      <c r="KHB38" s="51"/>
      <c r="KHC38" s="51"/>
      <c r="KHD38" s="51"/>
      <c r="KHE38" s="51"/>
      <c r="KHF38" s="51"/>
      <c r="KHG38" s="51"/>
      <c r="KHH38" s="51"/>
      <c r="KHI38" s="51"/>
      <c r="KHJ38" s="51"/>
      <c r="KHK38" s="51"/>
      <c r="KHL38" s="51"/>
      <c r="KHM38" s="51"/>
      <c r="KHN38" s="51"/>
      <c r="KHO38" s="51"/>
      <c r="KHP38" s="51"/>
      <c r="KHQ38" s="51"/>
      <c r="KHR38" s="51"/>
      <c r="KHS38" s="51"/>
      <c r="KHT38" s="51"/>
      <c r="KHU38" s="51"/>
      <c r="KHV38" s="51"/>
      <c r="KHW38" s="51"/>
      <c r="KHX38" s="51"/>
      <c r="KHY38" s="51"/>
      <c r="KHZ38" s="51"/>
      <c r="KIA38" s="51"/>
      <c r="KIB38" s="51"/>
      <c r="KIC38" s="51"/>
      <c r="KID38" s="51"/>
      <c r="KIE38" s="51"/>
      <c r="KIF38" s="51"/>
      <c r="KIG38" s="51"/>
      <c r="KIH38" s="51"/>
      <c r="KII38" s="51"/>
      <c r="KIJ38" s="51"/>
      <c r="KIK38" s="51"/>
      <c r="KIL38" s="51"/>
      <c r="KIM38" s="51"/>
      <c r="KIN38" s="51"/>
      <c r="KIO38" s="51"/>
      <c r="KIP38" s="51"/>
      <c r="KIQ38" s="51"/>
      <c r="KIR38" s="51"/>
      <c r="KIS38" s="51"/>
      <c r="KIT38" s="51"/>
      <c r="KIU38" s="51"/>
      <c r="KIV38" s="51"/>
      <c r="KIW38" s="51"/>
      <c r="KIX38" s="51"/>
      <c r="KIY38" s="51"/>
      <c r="KIZ38" s="51"/>
      <c r="KJA38" s="51"/>
      <c r="KJB38" s="51"/>
      <c r="KJC38" s="51"/>
      <c r="KJD38" s="51"/>
      <c r="KJE38" s="51"/>
      <c r="KJF38" s="51"/>
      <c r="KJG38" s="51"/>
      <c r="KJH38" s="51"/>
      <c r="KJI38" s="51"/>
      <c r="KJJ38" s="51"/>
      <c r="KJK38" s="51"/>
      <c r="KJL38" s="51"/>
      <c r="KJM38" s="51"/>
      <c r="KJN38" s="51"/>
      <c r="KJO38" s="51"/>
      <c r="KJP38" s="51"/>
      <c r="KJQ38" s="51"/>
      <c r="KJR38" s="51"/>
      <c r="KJS38" s="51"/>
      <c r="KJT38" s="51"/>
      <c r="KJU38" s="51"/>
      <c r="KJV38" s="51"/>
      <c r="KJW38" s="51"/>
      <c r="KJX38" s="51"/>
      <c r="KJY38" s="51"/>
      <c r="KJZ38" s="51"/>
      <c r="KKA38" s="51"/>
      <c r="KKB38" s="51"/>
      <c r="KKC38" s="51"/>
      <c r="KKD38" s="51"/>
      <c r="KKE38" s="51"/>
      <c r="KKF38" s="51"/>
      <c r="KKG38" s="51"/>
      <c r="KKH38" s="51"/>
      <c r="KKI38" s="51"/>
      <c r="KKJ38" s="51"/>
      <c r="KKK38" s="51"/>
      <c r="KKL38" s="51"/>
      <c r="KKM38" s="51"/>
      <c r="KKN38" s="51"/>
      <c r="KKO38" s="51"/>
      <c r="KKP38" s="51"/>
      <c r="KKQ38" s="51"/>
      <c r="KKR38" s="51"/>
      <c r="KKS38" s="51"/>
      <c r="KKT38" s="51"/>
      <c r="KKU38" s="51"/>
      <c r="KKV38" s="51"/>
      <c r="KKW38" s="51"/>
      <c r="KKX38" s="51"/>
      <c r="KKY38" s="51"/>
      <c r="KKZ38" s="51"/>
      <c r="KLA38" s="51"/>
      <c r="KLB38" s="51"/>
      <c r="KLC38" s="51"/>
      <c r="KLD38" s="51"/>
      <c r="KLE38" s="51"/>
      <c r="KLF38" s="51"/>
      <c r="KLG38" s="51"/>
      <c r="KLH38" s="51"/>
      <c r="KLI38" s="51"/>
      <c r="KLJ38" s="51"/>
      <c r="KLK38" s="51"/>
      <c r="KLL38" s="51"/>
      <c r="KLM38" s="51"/>
      <c r="KLN38" s="51"/>
      <c r="KLO38" s="51"/>
      <c r="KLP38" s="51"/>
      <c r="KLQ38" s="51"/>
      <c r="KLR38" s="51"/>
      <c r="KLS38" s="51"/>
      <c r="KLT38" s="51"/>
      <c r="KLU38" s="51"/>
      <c r="KLV38" s="51"/>
      <c r="KLW38" s="51"/>
      <c r="KLX38" s="51"/>
      <c r="KLY38" s="51"/>
      <c r="KLZ38" s="51"/>
      <c r="KMA38" s="51"/>
      <c r="KMB38" s="51"/>
      <c r="KMC38" s="51"/>
      <c r="KMD38" s="51"/>
      <c r="KME38" s="51"/>
      <c r="KMF38" s="51"/>
      <c r="KMG38" s="51"/>
      <c r="KMH38" s="51"/>
      <c r="KMI38" s="51"/>
      <c r="KMJ38" s="51"/>
      <c r="KMK38" s="51"/>
      <c r="KML38" s="51"/>
      <c r="KMM38" s="51"/>
      <c r="KMN38" s="51"/>
      <c r="KMO38" s="51"/>
      <c r="KMP38" s="51"/>
      <c r="KMQ38" s="51"/>
      <c r="KMR38" s="51"/>
      <c r="KMS38" s="51"/>
      <c r="KMT38" s="51"/>
      <c r="KMU38" s="51"/>
      <c r="KMV38" s="51"/>
      <c r="KMW38" s="51"/>
      <c r="KMX38" s="51"/>
      <c r="KMY38" s="51"/>
      <c r="KMZ38" s="51"/>
      <c r="KNA38" s="51"/>
      <c r="KNB38" s="51"/>
      <c r="KNC38" s="51"/>
      <c r="KND38" s="51"/>
      <c r="KNE38" s="51"/>
      <c r="KNF38" s="51"/>
      <c r="KNG38" s="51"/>
      <c r="KNH38" s="51"/>
      <c r="KNI38" s="51"/>
      <c r="KNJ38" s="51"/>
      <c r="KNK38" s="51"/>
      <c r="KNL38" s="51"/>
      <c r="KNM38" s="51"/>
      <c r="KNN38" s="51"/>
      <c r="KNO38" s="51"/>
      <c r="KNP38" s="51"/>
      <c r="KNQ38" s="51"/>
      <c r="KNR38" s="51"/>
      <c r="KNS38" s="51"/>
      <c r="KNT38" s="51"/>
      <c r="KNU38" s="51"/>
      <c r="KNV38" s="51"/>
      <c r="KNW38" s="51"/>
      <c r="KNX38" s="51"/>
      <c r="KNY38" s="51"/>
      <c r="KNZ38" s="51"/>
      <c r="KOA38" s="51"/>
      <c r="KOB38" s="51"/>
      <c r="KOC38" s="51"/>
      <c r="KOD38" s="51"/>
      <c r="KOE38" s="51"/>
      <c r="KOF38" s="51"/>
      <c r="KOG38" s="51"/>
      <c r="KOH38" s="51"/>
      <c r="KOI38" s="51"/>
      <c r="KOJ38" s="51"/>
      <c r="KOK38" s="51"/>
      <c r="KOL38" s="51"/>
      <c r="KOM38" s="51"/>
      <c r="KON38" s="51"/>
      <c r="KOO38" s="51"/>
      <c r="KOP38" s="51"/>
      <c r="KOQ38" s="51"/>
      <c r="KOR38" s="51"/>
      <c r="KOS38" s="51"/>
      <c r="KOT38" s="51"/>
      <c r="KOU38" s="51"/>
      <c r="KOV38" s="51"/>
      <c r="KOW38" s="51"/>
      <c r="KOX38" s="51"/>
      <c r="KOY38" s="51"/>
      <c r="KOZ38" s="51"/>
      <c r="KPA38" s="51"/>
      <c r="KPB38" s="51"/>
      <c r="KPC38" s="51"/>
      <c r="KPD38" s="51"/>
      <c r="KPE38" s="51"/>
      <c r="KPF38" s="51"/>
      <c r="KPG38" s="51"/>
      <c r="KPH38" s="51"/>
      <c r="KPI38" s="51"/>
      <c r="KPJ38" s="51"/>
      <c r="KPK38" s="51"/>
      <c r="KPL38" s="51"/>
      <c r="KPM38" s="51"/>
      <c r="KPN38" s="51"/>
      <c r="KPO38" s="51"/>
      <c r="KPP38" s="51"/>
      <c r="KPQ38" s="51"/>
      <c r="KPR38" s="51"/>
      <c r="KPS38" s="51"/>
      <c r="KPT38" s="51"/>
      <c r="KPU38" s="51"/>
      <c r="KPV38" s="51"/>
      <c r="KPW38" s="51"/>
      <c r="KPX38" s="51"/>
      <c r="KPY38" s="51"/>
      <c r="KPZ38" s="51"/>
      <c r="KQA38" s="51"/>
      <c r="KQB38" s="51"/>
      <c r="KQC38" s="51"/>
      <c r="KQD38" s="51"/>
      <c r="KQE38" s="51"/>
      <c r="KQF38" s="51"/>
      <c r="KQG38" s="51"/>
      <c r="KQH38" s="51"/>
      <c r="KQI38" s="51"/>
      <c r="KQJ38" s="51"/>
      <c r="KQK38" s="51"/>
      <c r="KQL38" s="51"/>
      <c r="KQM38" s="51"/>
      <c r="KQN38" s="51"/>
      <c r="KQO38" s="51"/>
      <c r="KQP38" s="51"/>
      <c r="KQQ38" s="51"/>
      <c r="KQR38" s="51"/>
      <c r="KQS38" s="51"/>
      <c r="KQT38" s="51"/>
      <c r="KQU38" s="51"/>
      <c r="KQV38" s="51"/>
      <c r="KQW38" s="51"/>
      <c r="KQX38" s="51"/>
      <c r="KQY38" s="51"/>
      <c r="KQZ38" s="51"/>
      <c r="KRA38" s="51"/>
      <c r="KRB38" s="51"/>
      <c r="KRC38" s="51"/>
      <c r="KRD38" s="51"/>
      <c r="KRE38" s="51"/>
      <c r="KRF38" s="51"/>
      <c r="KRG38" s="51"/>
      <c r="KRH38" s="51"/>
      <c r="KRI38" s="51"/>
      <c r="KRJ38" s="51"/>
      <c r="KRK38" s="51"/>
      <c r="KRL38" s="51"/>
      <c r="KRM38" s="51"/>
      <c r="KRN38" s="51"/>
      <c r="KRO38" s="51"/>
      <c r="KRP38" s="51"/>
      <c r="KRQ38" s="51"/>
      <c r="KRR38" s="51"/>
      <c r="KRS38" s="51"/>
      <c r="KRT38" s="51"/>
      <c r="KRU38" s="51"/>
      <c r="KRV38" s="51"/>
      <c r="KRW38" s="51"/>
      <c r="KRX38" s="51"/>
      <c r="KRY38" s="51"/>
      <c r="KRZ38" s="51"/>
      <c r="KSA38" s="51"/>
      <c r="KSB38" s="51"/>
      <c r="KSC38" s="51"/>
      <c r="KSD38" s="51"/>
      <c r="KSE38" s="51"/>
      <c r="KSF38" s="51"/>
      <c r="KSG38" s="51"/>
      <c r="KSH38" s="51"/>
      <c r="KSI38" s="51"/>
      <c r="KSJ38" s="51"/>
      <c r="KSK38" s="51"/>
      <c r="KSL38" s="51"/>
      <c r="KSM38" s="51"/>
      <c r="KSN38" s="51"/>
      <c r="KSO38" s="51"/>
      <c r="KSP38" s="51"/>
      <c r="KSQ38" s="51"/>
      <c r="KSR38" s="51"/>
      <c r="KSS38" s="51"/>
      <c r="KST38" s="51"/>
      <c r="KSU38" s="51"/>
      <c r="KSV38" s="51"/>
      <c r="KSW38" s="51"/>
      <c r="KSX38" s="51"/>
      <c r="KSY38" s="51"/>
      <c r="KSZ38" s="51"/>
      <c r="KTA38" s="51"/>
      <c r="KTB38" s="51"/>
      <c r="KTC38" s="51"/>
      <c r="KTD38" s="51"/>
      <c r="KTE38" s="51"/>
      <c r="KTF38" s="51"/>
      <c r="KTG38" s="51"/>
      <c r="KTH38" s="51"/>
      <c r="KTI38" s="51"/>
      <c r="KTJ38" s="51"/>
      <c r="KTK38" s="51"/>
      <c r="KTL38" s="51"/>
      <c r="KTM38" s="51"/>
      <c r="KTN38" s="51"/>
      <c r="KTO38" s="51"/>
      <c r="KTP38" s="51"/>
      <c r="KTQ38" s="51"/>
      <c r="KTR38" s="51"/>
      <c r="KTS38" s="51"/>
      <c r="KTT38" s="51"/>
      <c r="KTU38" s="51"/>
      <c r="KTV38" s="51"/>
      <c r="KTW38" s="51"/>
      <c r="KTX38" s="51"/>
      <c r="KTY38" s="51"/>
      <c r="KTZ38" s="51"/>
      <c r="KUA38" s="51"/>
      <c r="KUB38" s="51"/>
      <c r="KUC38" s="51"/>
      <c r="KUD38" s="51"/>
      <c r="KUE38" s="51"/>
      <c r="KUF38" s="51"/>
      <c r="KUG38" s="51"/>
      <c r="KUH38" s="51"/>
      <c r="KUI38" s="51"/>
      <c r="KUJ38" s="51"/>
      <c r="KUK38" s="51"/>
      <c r="KUL38" s="51"/>
      <c r="KUM38" s="51"/>
      <c r="KUN38" s="51"/>
      <c r="KUO38" s="51"/>
      <c r="KUP38" s="51"/>
      <c r="KUQ38" s="51"/>
      <c r="KUR38" s="51"/>
      <c r="KUS38" s="51"/>
      <c r="KUT38" s="51"/>
      <c r="KUU38" s="51"/>
      <c r="KUV38" s="51"/>
      <c r="KUW38" s="51"/>
      <c r="KUX38" s="51"/>
      <c r="KUY38" s="51"/>
      <c r="KUZ38" s="51"/>
      <c r="KVA38" s="51"/>
      <c r="KVB38" s="51"/>
      <c r="KVC38" s="51"/>
      <c r="KVD38" s="51"/>
      <c r="KVE38" s="51"/>
      <c r="KVF38" s="51"/>
      <c r="KVG38" s="51"/>
      <c r="KVH38" s="51"/>
      <c r="KVI38" s="51"/>
      <c r="KVJ38" s="51"/>
      <c r="KVK38" s="51"/>
      <c r="KVL38" s="51"/>
      <c r="KVM38" s="51"/>
      <c r="KVN38" s="51"/>
      <c r="KVO38" s="51"/>
      <c r="KVP38" s="51"/>
      <c r="KVQ38" s="51"/>
      <c r="KVR38" s="51"/>
      <c r="KVS38" s="51"/>
      <c r="KVT38" s="51"/>
      <c r="KVU38" s="51"/>
      <c r="KVV38" s="51"/>
      <c r="KVW38" s="51"/>
      <c r="KVX38" s="51"/>
      <c r="KVY38" s="51"/>
      <c r="KVZ38" s="51"/>
      <c r="KWA38" s="51"/>
      <c r="KWB38" s="51"/>
      <c r="KWC38" s="51"/>
      <c r="KWD38" s="51"/>
      <c r="KWE38" s="51"/>
      <c r="KWF38" s="51"/>
      <c r="KWG38" s="51"/>
      <c r="KWH38" s="51"/>
      <c r="KWI38" s="51"/>
      <c r="KWJ38" s="51"/>
      <c r="KWK38" s="51"/>
      <c r="KWL38" s="51"/>
      <c r="KWM38" s="51"/>
      <c r="KWN38" s="51"/>
      <c r="KWO38" s="51"/>
      <c r="KWP38" s="51"/>
      <c r="KWQ38" s="51"/>
      <c r="KWR38" s="51"/>
      <c r="KWS38" s="51"/>
      <c r="KWT38" s="51"/>
      <c r="KWU38" s="51"/>
      <c r="KWV38" s="51"/>
      <c r="KWW38" s="51"/>
      <c r="KWX38" s="51"/>
      <c r="KWY38" s="51"/>
      <c r="KWZ38" s="51"/>
      <c r="KXA38" s="51"/>
      <c r="KXB38" s="51"/>
      <c r="KXC38" s="51"/>
      <c r="KXD38" s="51"/>
      <c r="KXE38" s="51"/>
      <c r="KXF38" s="51"/>
      <c r="KXG38" s="51"/>
      <c r="KXH38" s="51"/>
      <c r="KXI38" s="51"/>
      <c r="KXJ38" s="51"/>
      <c r="KXK38" s="51"/>
      <c r="KXL38" s="51"/>
      <c r="KXM38" s="51"/>
      <c r="KXN38" s="51"/>
      <c r="KXO38" s="51"/>
      <c r="KXP38" s="51"/>
      <c r="KXQ38" s="51"/>
      <c r="KXR38" s="51"/>
      <c r="KXS38" s="51"/>
      <c r="KXT38" s="51"/>
      <c r="KXU38" s="51"/>
      <c r="KXV38" s="51"/>
      <c r="KXW38" s="51"/>
      <c r="KXX38" s="51"/>
      <c r="KXY38" s="51"/>
      <c r="KXZ38" s="51"/>
      <c r="KYA38" s="51"/>
      <c r="KYB38" s="51"/>
      <c r="KYC38" s="51"/>
      <c r="KYD38" s="51"/>
      <c r="KYE38" s="51"/>
      <c r="KYF38" s="51"/>
      <c r="KYG38" s="51"/>
      <c r="KYH38" s="51"/>
      <c r="KYI38" s="51"/>
      <c r="KYJ38" s="51"/>
      <c r="KYK38" s="51"/>
      <c r="KYL38" s="51"/>
      <c r="KYM38" s="51"/>
      <c r="KYN38" s="51"/>
      <c r="KYO38" s="51"/>
      <c r="KYP38" s="51"/>
      <c r="KYQ38" s="51"/>
      <c r="KYR38" s="51"/>
      <c r="KYS38" s="51"/>
      <c r="KYT38" s="51"/>
      <c r="KYU38" s="51"/>
      <c r="KYV38" s="51"/>
      <c r="KYW38" s="51"/>
      <c r="KYX38" s="51"/>
      <c r="KYY38" s="51"/>
      <c r="KYZ38" s="51"/>
      <c r="KZA38" s="51"/>
      <c r="KZB38" s="51"/>
      <c r="KZC38" s="51"/>
      <c r="KZD38" s="51"/>
      <c r="KZE38" s="51"/>
      <c r="KZF38" s="51"/>
      <c r="KZG38" s="51"/>
      <c r="KZH38" s="51"/>
      <c r="KZI38" s="51"/>
      <c r="KZJ38" s="51"/>
      <c r="KZK38" s="51"/>
      <c r="KZL38" s="51"/>
      <c r="KZM38" s="51"/>
      <c r="KZN38" s="51"/>
      <c r="KZO38" s="51"/>
      <c r="KZP38" s="51"/>
      <c r="KZQ38" s="51"/>
      <c r="KZR38" s="51"/>
      <c r="KZS38" s="51"/>
      <c r="KZT38" s="51"/>
      <c r="KZU38" s="51"/>
      <c r="KZV38" s="51"/>
      <c r="KZW38" s="51"/>
      <c r="KZX38" s="51"/>
      <c r="KZY38" s="51"/>
      <c r="KZZ38" s="51"/>
      <c r="LAA38" s="51"/>
      <c r="LAB38" s="51"/>
      <c r="LAC38" s="51"/>
      <c r="LAD38" s="51"/>
      <c r="LAE38" s="51"/>
      <c r="LAF38" s="51"/>
      <c r="LAG38" s="51"/>
      <c r="LAH38" s="51"/>
      <c r="LAI38" s="51"/>
      <c r="LAJ38" s="51"/>
      <c r="LAK38" s="51"/>
      <c r="LAL38" s="51"/>
      <c r="LAM38" s="51"/>
      <c r="LAN38" s="51"/>
      <c r="LAO38" s="51"/>
      <c r="LAP38" s="51"/>
      <c r="LAQ38" s="51"/>
      <c r="LAR38" s="51"/>
      <c r="LAS38" s="51"/>
      <c r="LAT38" s="51"/>
      <c r="LAU38" s="51"/>
      <c r="LAV38" s="51"/>
      <c r="LAW38" s="51"/>
      <c r="LAX38" s="51"/>
      <c r="LAY38" s="51"/>
      <c r="LAZ38" s="51"/>
      <c r="LBA38" s="51"/>
      <c r="LBB38" s="51"/>
      <c r="LBC38" s="51"/>
      <c r="LBD38" s="51"/>
      <c r="LBE38" s="51"/>
      <c r="LBF38" s="51"/>
      <c r="LBG38" s="51"/>
      <c r="LBH38" s="51"/>
      <c r="LBI38" s="51"/>
      <c r="LBJ38" s="51"/>
      <c r="LBK38" s="51"/>
      <c r="LBL38" s="51"/>
      <c r="LBM38" s="51"/>
      <c r="LBN38" s="51"/>
      <c r="LBO38" s="51"/>
      <c r="LBP38" s="51"/>
      <c r="LBQ38" s="51"/>
      <c r="LBR38" s="51"/>
      <c r="LBS38" s="51"/>
      <c r="LBT38" s="51"/>
      <c r="LBU38" s="51"/>
      <c r="LBV38" s="51"/>
      <c r="LBW38" s="51"/>
      <c r="LBX38" s="51"/>
      <c r="LBY38" s="51"/>
      <c r="LBZ38" s="51"/>
      <c r="LCA38" s="51"/>
      <c r="LCB38" s="51"/>
      <c r="LCC38" s="51"/>
      <c r="LCD38" s="51"/>
      <c r="LCE38" s="51"/>
      <c r="LCF38" s="51"/>
      <c r="LCG38" s="51"/>
      <c r="LCH38" s="51"/>
      <c r="LCI38" s="51"/>
      <c r="LCJ38" s="51"/>
      <c r="LCK38" s="51"/>
      <c r="LCL38" s="51"/>
      <c r="LCM38" s="51"/>
      <c r="LCN38" s="51"/>
      <c r="LCO38" s="51"/>
      <c r="LCP38" s="51"/>
      <c r="LCQ38" s="51"/>
      <c r="LCR38" s="51"/>
      <c r="LCS38" s="51"/>
      <c r="LCT38" s="51"/>
      <c r="LCU38" s="51"/>
      <c r="LCV38" s="51"/>
      <c r="LCW38" s="51"/>
      <c r="LCX38" s="51"/>
      <c r="LCY38" s="51"/>
      <c r="LCZ38" s="51"/>
      <c r="LDA38" s="51"/>
      <c r="LDB38" s="51"/>
      <c r="LDC38" s="51"/>
      <c r="LDD38" s="51"/>
      <c r="LDE38" s="51"/>
      <c r="LDF38" s="51"/>
      <c r="LDG38" s="51"/>
      <c r="LDH38" s="51"/>
      <c r="LDI38" s="51"/>
      <c r="LDJ38" s="51"/>
      <c r="LDK38" s="51"/>
      <c r="LDL38" s="51"/>
      <c r="LDM38" s="51"/>
      <c r="LDN38" s="51"/>
      <c r="LDO38" s="51"/>
      <c r="LDP38" s="51"/>
      <c r="LDQ38" s="51"/>
      <c r="LDR38" s="51"/>
      <c r="LDS38" s="51"/>
      <c r="LDT38" s="51"/>
      <c r="LDU38" s="51"/>
      <c r="LDV38" s="51"/>
      <c r="LDW38" s="51"/>
      <c r="LDX38" s="51"/>
      <c r="LDY38" s="51"/>
      <c r="LDZ38" s="51"/>
      <c r="LEA38" s="51"/>
      <c r="LEB38" s="51"/>
      <c r="LEC38" s="51"/>
      <c r="LED38" s="51"/>
      <c r="LEE38" s="51"/>
      <c r="LEF38" s="51"/>
      <c r="LEG38" s="51"/>
      <c r="LEH38" s="51"/>
      <c r="LEI38" s="51"/>
      <c r="LEJ38" s="51"/>
      <c r="LEK38" s="51"/>
      <c r="LEL38" s="51"/>
      <c r="LEM38" s="51"/>
      <c r="LEN38" s="51"/>
      <c r="LEO38" s="51"/>
      <c r="LEP38" s="51"/>
      <c r="LEQ38" s="51"/>
      <c r="LER38" s="51"/>
      <c r="LES38" s="51"/>
      <c r="LET38" s="51"/>
      <c r="LEU38" s="51"/>
      <c r="LEV38" s="51"/>
      <c r="LEW38" s="51"/>
      <c r="LEX38" s="51"/>
      <c r="LEY38" s="51"/>
      <c r="LEZ38" s="51"/>
      <c r="LFA38" s="51"/>
      <c r="LFB38" s="51"/>
      <c r="LFC38" s="51"/>
      <c r="LFD38" s="51"/>
      <c r="LFE38" s="51"/>
      <c r="LFF38" s="51"/>
      <c r="LFG38" s="51"/>
      <c r="LFH38" s="51"/>
      <c r="LFI38" s="51"/>
      <c r="LFJ38" s="51"/>
      <c r="LFK38" s="51"/>
      <c r="LFL38" s="51"/>
      <c r="LFM38" s="51"/>
      <c r="LFN38" s="51"/>
      <c r="LFO38" s="51"/>
      <c r="LFP38" s="51"/>
      <c r="LFQ38" s="51"/>
      <c r="LFR38" s="51"/>
      <c r="LFS38" s="51"/>
      <c r="LFT38" s="51"/>
      <c r="LFU38" s="51"/>
      <c r="LFV38" s="51"/>
      <c r="LFW38" s="51"/>
      <c r="LFX38" s="51"/>
      <c r="LFY38" s="51"/>
      <c r="LFZ38" s="51"/>
      <c r="LGA38" s="51"/>
      <c r="LGB38" s="51"/>
      <c r="LGC38" s="51"/>
      <c r="LGD38" s="51"/>
      <c r="LGE38" s="51"/>
      <c r="LGF38" s="51"/>
      <c r="LGG38" s="51"/>
      <c r="LGH38" s="51"/>
      <c r="LGI38" s="51"/>
      <c r="LGJ38" s="51"/>
      <c r="LGK38" s="51"/>
      <c r="LGL38" s="51"/>
      <c r="LGM38" s="51"/>
      <c r="LGN38" s="51"/>
      <c r="LGO38" s="51"/>
      <c r="LGP38" s="51"/>
      <c r="LGQ38" s="51"/>
      <c r="LGR38" s="51"/>
      <c r="LGS38" s="51"/>
      <c r="LGT38" s="51"/>
      <c r="LGU38" s="51"/>
      <c r="LGV38" s="51"/>
      <c r="LGW38" s="51"/>
      <c r="LGX38" s="51"/>
      <c r="LGY38" s="51"/>
      <c r="LGZ38" s="51"/>
      <c r="LHA38" s="51"/>
      <c r="LHB38" s="51"/>
      <c r="LHC38" s="51"/>
      <c r="LHD38" s="51"/>
      <c r="LHE38" s="51"/>
      <c r="LHF38" s="51"/>
      <c r="LHG38" s="51"/>
      <c r="LHH38" s="51"/>
      <c r="LHI38" s="51"/>
      <c r="LHJ38" s="51"/>
      <c r="LHK38" s="51"/>
      <c r="LHL38" s="51"/>
      <c r="LHM38" s="51"/>
      <c r="LHN38" s="51"/>
      <c r="LHO38" s="51"/>
      <c r="LHP38" s="51"/>
      <c r="LHQ38" s="51"/>
      <c r="LHR38" s="51"/>
      <c r="LHS38" s="51"/>
      <c r="LHT38" s="51"/>
      <c r="LHU38" s="51"/>
      <c r="LHV38" s="51"/>
      <c r="LHW38" s="51"/>
      <c r="LHX38" s="51"/>
      <c r="LHY38" s="51"/>
      <c r="LHZ38" s="51"/>
      <c r="LIA38" s="51"/>
      <c r="LIB38" s="51"/>
      <c r="LIC38" s="51"/>
      <c r="LID38" s="51"/>
      <c r="LIE38" s="51"/>
      <c r="LIF38" s="51"/>
      <c r="LIG38" s="51"/>
      <c r="LIH38" s="51"/>
      <c r="LII38" s="51"/>
      <c r="LIJ38" s="51"/>
      <c r="LIK38" s="51"/>
      <c r="LIL38" s="51"/>
      <c r="LIM38" s="51"/>
      <c r="LIN38" s="51"/>
      <c r="LIO38" s="51"/>
      <c r="LIP38" s="51"/>
      <c r="LIQ38" s="51"/>
      <c r="LIR38" s="51"/>
      <c r="LIS38" s="51"/>
      <c r="LIT38" s="51"/>
      <c r="LIU38" s="51"/>
      <c r="LIV38" s="51"/>
      <c r="LIW38" s="51"/>
      <c r="LIX38" s="51"/>
      <c r="LIY38" s="51"/>
      <c r="LIZ38" s="51"/>
      <c r="LJA38" s="51"/>
      <c r="LJB38" s="51"/>
      <c r="LJC38" s="51"/>
      <c r="LJD38" s="51"/>
      <c r="LJE38" s="51"/>
      <c r="LJF38" s="51"/>
      <c r="LJG38" s="51"/>
      <c r="LJH38" s="51"/>
      <c r="LJI38" s="51"/>
      <c r="LJJ38" s="51"/>
      <c r="LJK38" s="51"/>
      <c r="LJL38" s="51"/>
      <c r="LJM38" s="51"/>
      <c r="LJN38" s="51"/>
      <c r="LJO38" s="51"/>
      <c r="LJP38" s="51"/>
      <c r="LJQ38" s="51"/>
      <c r="LJR38" s="51"/>
      <c r="LJS38" s="51"/>
      <c r="LJT38" s="51"/>
      <c r="LJU38" s="51"/>
      <c r="LJV38" s="51"/>
      <c r="LJW38" s="51"/>
      <c r="LJX38" s="51"/>
      <c r="LJY38" s="51"/>
      <c r="LJZ38" s="51"/>
      <c r="LKA38" s="51"/>
      <c r="LKB38" s="51"/>
      <c r="LKC38" s="51"/>
      <c r="LKD38" s="51"/>
      <c r="LKE38" s="51"/>
      <c r="LKF38" s="51"/>
      <c r="LKG38" s="51"/>
      <c r="LKH38" s="51"/>
      <c r="LKI38" s="51"/>
      <c r="LKJ38" s="51"/>
      <c r="LKK38" s="51"/>
      <c r="LKL38" s="51"/>
      <c r="LKM38" s="51"/>
      <c r="LKN38" s="51"/>
      <c r="LKO38" s="51"/>
      <c r="LKP38" s="51"/>
      <c r="LKQ38" s="51"/>
      <c r="LKR38" s="51"/>
      <c r="LKS38" s="51"/>
      <c r="LKT38" s="51"/>
      <c r="LKU38" s="51"/>
      <c r="LKV38" s="51"/>
      <c r="LKW38" s="51"/>
      <c r="LKX38" s="51"/>
      <c r="LKY38" s="51"/>
      <c r="LKZ38" s="51"/>
      <c r="LLA38" s="51"/>
      <c r="LLB38" s="51"/>
      <c r="LLC38" s="51"/>
      <c r="LLD38" s="51"/>
      <c r="LLE38" s="51"/>
      <c r="LLF38" s="51"/>
      <c r="LLG38" s="51"/>
      <c r="LLH38" s="51"/>
      <c r="LLI38" s="51"/>
      <c r="LLJ38" s="51"/>
      <c r="LLK38" s="51"/>
      <c r="LLL38" s="51"/>
      <c r="LLM38" s="51"/>
      <c r="LLN38" s="51"/>
      <c r="LLO38" s="51"/>
      <c r="LLP38" s="51"/>
      <c r="LLQ38" s="51"/>
      <c r="LLR38" s="51"/>
      <c r="LLS38" s="51"/>
      <c r="LLT38" s="51"/>
      <c r="LLU38" s="51"/>
      <c r="LLV38" s="51"/>
      <c r="LLW38" s="51"/>
      <c r="LLX38" s="51"/>
      <c r="LLY38" s="51"/>
      <c r="LLZ38" s="51"/>
      <c r="LMA38" s="51"/>
      <c r="LMB38" s="51"/>
      <c r="LMC38" s="51"/>
      <c r="LMD38" s="51"/>
      <c r="LME38" s="51"/>
      <c r="LMF38" s="51"/>
      <c r="LMG38" s="51"/>
      <c r="LMH38" s="51"/>
      <c r="LMI38" s="51"/>
      <c r="LMJ38" s="51"/>
      <c r="LMK38" s="51"/>
      <c r="LML38" s="51"/>
      <c r="LMM38" s="51"/>
      <c r="LMN38" s="51"/>
      <c r="LMO38" s="51"/>
      <c r="LMP38" s="51"/>
      <c r="LMQ38" s="51"/>
      <c r="LMR38" s="51"/>
      <c r="LMS38" s="51"/>
      <c r="LMT38" s="51"/>
      <c r="LMU38" s="51"/>
      <c r="LMV38" s="51"/>
      <c r="LMW38" s="51"/>
      <c r="LMX38" s="51"/>
      <c r="LMY38" s="51"/>
      <c r="LMZ38" s="51"/>
      <c r="LNA38" s="51"/>
      <c r="LNB38" s="51"/>
      <c r="LNC38" s="51"/>
      <c r="LND38" s="51"/>
      <c r="LNE38" s="51"/>
      <c r="LNF38" s="51"/>
      <c r="LNG38" s="51"/>
      <c r="LNH38" s="51"/>
      <c r="LNI38" s="51"/>
      <c r="LNJ38" s="51"/>
      <c r="LNK38" s="51"/>
      <c r="LNL38" s="51"/>
      <c r="LNM38" s="51"/>
      <c r="LNN38" s="51"/>
      <c r="LNO38" s="51"/>
      <c r="LNP38" s="51"/>
      <c r="LNQ38" s="51"/>
      <c r="LNR38" s="51"/>
      <c r="LNS38" s="51"/>
      <c r="LNT38" s="51"/>
      <c r="LNU38" s="51"/>
      <c r="LNV38" s="51"/>
      <c r="LNW38" s="51"/>
      <c r="LNX38" s="51"/>
      <c r="LNY38" s="51"/>
      <c r="LNZ38" s="51"/>
      <c r="LOA38" s="51"/>
      <c r="LOB38" s="51"/>
      <c r="LOC38" s="51"/>
      <c r="LOD38" s="51"/>
      <c r="LOE38" s="51"/>
      <c r="LOF38" s="51"/>
      <c r="LOG38" s="51"/>
      <c r="LOH38" s="51"/>
      <c r="LOI38" s="51"/>
      <c r="LOJ38" s="51"/>
      <c r="LOK38" s="51"/>
      <c r="LOL38" s="51"/>
      <c r="LOM38" s="51"/>
      <c r="LON38" s="51"/>
      <c r="LOO38" s="51"/>
      <c r="LOP38" s="51"/>
      <c r="LOQ38" s="51"/>
      <c r="LOR38" s="51"/>
      <c r="LOS38" s="51"/>
      <c r="LOT38" s="51"/>
      <c r="LOU38" s="51"/>
      <c r="LOV38" s="51"/>
      <c r="LOW38" s="51"/>
      <c r="LOX38" s="51"/>
      <c r="LOY38" s="51"/>
      <c r="LOZ38" s="51"/>
      <c r="LPA38" s="51"/>
      <c r="LPB38" s="51"/>
      <c r="LPC38" s="51"/>
      <c r="LPD38" s="51"/>
      <c r="LPE38" s="51"/>
      <c r="LPF38" s="51"/>
      <c r="LPG38" s="51"/>
      <c r="LPH38" s="51"/>
      <c r="LPI38" s="51"/>
      <c r="LPJ38" s="51"/>
      <c r="LPK38" s="51"/>
      <c r="LPL38" s="51"/>
      <c r="LPM38" s="51"/>
      <c r="LPN38" s="51"/>
      <c r="LPO38" s="51"/>
      <c r="LPP38" s="51"/>
      <c r="LPQ38" s="51"/>
      <c r="LPR38" s="51"/>
      <c r="LPS38" s="51"/>
      <c r="LPT38" s="51"/>
      <c r="LPU38" s="51"/>
      <c r="LPV38" s="51"/>
      <c r="LPW38" s="51"/>
      <c r="LPX38" s="51"/>
      <c r="LPY38" s="51"/>
      <c r="LPZ38" s="51"/>
      <c r="LQA38" s="51"/>
      <c r="LQB38" s="51"/>
      <c r="LQC38" s="51"/>
      <c r="LQD38" s="51"/>
      <c r="LQE38" s="51"/>
      <c r="LQF38" s="51"/>
      <c r="LQG38" s="51"/>
      <c r="LQH38" s="51"/>
      <c r="LQI38" s="51"/>
      <c r="LQJ38" s="51"/>
      <c r="LQK38" s="51"/>
      <c r="LQL38" s="51"/>
      <c r="LQM38" s="51"/>
      <c r="LQN38" s="51"/>
      <c r="LQO38" s="51"/>
      <c r="LQP38" s="51"/>
      <c r="LQQ38" s="51"/>
      <c r="LQR38" s="51"/>
      <c r="LQS38" s="51"/>
      <c r="LQT38" s="51"/>
      <c r="LQU38" s="51"/>
      <c r="LQV38" s="51"/>
      <c r="LQW38" s="51"/>
      <c r="LQX38" s="51"/>
      <c r="LQY38" s="51"/>
      <c r="LQZ38" s="51"/>
      <c r="LRA38" s="51"/>
      <c r="LRB38" s="51"/>
      <c r="LRC38" s="51"/>
      <c r="LRD38" s="51"/>
      <c r="LRE38" s="51"/>
      <c r="LRF38" s="51"/>
      <c r="LRG38" s="51"/>
      <c r="LRH38" s="51"/>
      <c r="LRI38" s="51"/>
      <c r="LRJ38" s="51"/>
      <c r="LRK38" s="51"/>
      <c r="LRL38" s="51"/>
      <c r="LRM38" s="51"/>
      <c r="LRN38" s="51"/>
      <c r="LRO38" s="51"/>
      <c r="LRP38" s="51"/>
      <c r="LRQ38" s="51"/>
      <c r="LRR38" s="51"/>
      <c r="LRS38" s="51"/>
      <c r="LRT38" s="51"/>
      <c r="LRU38" s="51"/>
      <c r="LRV38" s="51"/>
      <c r="LRW38" s="51"/>
      <c r="LRX38" s="51"/>
      <c r="LRY38" s="51"/>
      <c r="LRZ38" s="51"/>
      <c r="LSA38" s="51"/>
      <c r="LSB38" s="51"/>
      <c r="LSC38" s="51"/>
      <c r="LSD38" s="51"/>
      <c r="LSE38" s="51"/>
      <c r="LSF38" s="51"/>
      <c r="LSG38" s="51"/>
      <c r="LSH38" s="51"/>
      <c r="LSI38" s="51"/>
      <c r="LSJ38" s="51"/>
      <c r="LSK38" s="51"/>
      <c r="LSL38" s="51"/>
      <c r="LSM38" s="51"/>
      <c r="LSN38" s="51"/>
      <c r="LSO38" s="51"/>
      <c r="LSP38" s="51"/>
      <c r="LSQ38" s="51"/>
      <c r="LSR38" s="51"/>
      <c r="LSS38" s="51"/>
      <c r="LST38" s="51"/>
      <c r="LSU38" s="51"/>
      <c r="LSV38" s="51"/>
      <c r="LSW38" s="51"/>
      <c r="LSX38" s="51"/>
      <c r="LSY38" s="51"/>
      <c r="LSZ38" s="51"/>
      <c r="LTA38" s="51"/>
      <c r="LTB38" s="51"/>
      <c r="LTC38" s="51"/>
      <c r="LTD38" s="51"/>
      <c r="LTE38" s="51"/>
      <c r="LTF38" s="51"/>
      <c r="LTG38" s="51"/>
      <c r="LTH38" s="51"/>
      <c r="LTI38" s="51"/>
      <c r="LTJ38" s="51"/>
      <c r="LTK38" s="51"/>
      <c r="LTL38" s="51"/>
      <c r="LTM38" s="51"/>
      <c r="LTN38" s="51"/>
      <c r="LTO38" s="51"/>
      <c r="LTP38" s="51"/>
      <c r="LTQ38" s="51"/>
      <c r="LTR38" s="51"/>
      <c r="LTS38" s="51"/>
      <c r="LTT38" s="51"/>
      <c r="LTU38" s="51"/>
      <c r="LTV38" s="51"/>
      <c r="LTW38" s="51"/>
      <c r="LTX38" s="51"/>
      <c r="LTY38" s="51"/>
      <c r="LTZ38" s="51"/>
      <c r="LUA38" s="51"/>
      <c r="LUB38" s="51"/>
      <c r="LUC38" s="51"/>
      <c r="LUD38" s="51"/>
      <c r="LUE38" s="51"/>
      <c r="LUF38" s="51"/>
      <c r="LUG38" s="51"/>
      <c r="LUH38" s="51"/>
      <c r="LUI38" s="51"/>
      <c r="LUJ38" s="51"/>
      <c r="LUK38" s="51"/>
      <c r="LUL38" s="51"/>
      <c r="LUM38" s="51"/>
      <c r="LUN38" s="51"/>
      <c r="LUO38" s="51"/>
      <c r="LUP38" s="51"/>
      <c r="LUQ38" s="51"/>
      <c r="LUR38" s="51"/>
      <c r="LUS38" s="51"/>
      <c r="LUT38" s="51"/>
      <c r="LUU38" s="51"/>
      <c r="LUV38" s="51"/>
      <c r="LUW38" s="51"/>
      <c r="LUX38" s="51"/>
      <c r="LUY38" s="51"/>
      <c r="LUZ38" s="51"/>
      <c r="LVA38" s="51"/>
      <c r="LVB38" s="51"/>
      <c r="LVC38" s="51"/>
      <c r="LVD38" s="51"/>
      <c r="LVE38" s="51"/>
      <c r="LVF38" s="51"/>
      <c r="LVG38" s="51"/>
      <c r="LVH38" s="51"/>
      <c r="LVI38" s="51"/>
      <c r="LVJ38" s="51"/>
      <c r="LVK38" s="51"/>
      <c r="LVL38" s="51"/>
      <c r="LVM38" s="51"/>
      <c r="LVN38" s="51"/>
      <c r="LVO38" s="51"/>
      <c r="LVP38" s="51"/>
      <c r="LVQ38" s="51"/>
      <c r="LVR38" s="51"/>
      <c r="LVS38" s="51"/>
      <c r="LVT38" s="51"/>
      <c r="LVU38" s="51"/>
      <c r="LVV38" s="51"/>
      <c r="LVW38" s="51"/>
      <c r="LVX38" s="51"/>
      <c r="LVY38" s="51"/>
      <c r="LVZ38" s="51"/>
      <c r="LWA38" s="51"/>
      <c r="LWB38" s="51"/>
      <c r="LWC38" s="51"/>
      <c r="LWD38" s="51"/>
      <c r="LWE38" s="51"/>
      <c r="LWF38" s="51"/>
      <c r="LWG38" s="51"/>
      <c r="LWH38" s="51"/>
      <c r="LWI38" s="51"/>
      <c r="LWJ38" s="51"/>
      <c r="LWK38" s="51"/>
      <c r="LWL38" s="51"/>
      <c r="LWM38" s="51"/>
      <c r="LWN38" s="51"/>
      <c r="LWO38" s="51"/>
      <c r="LWP38" s="51"/>
      <c r="LWQ38" s="51"/>
      <c r="LWR38" s="51"/>
      <c r="LWS38" s="51"/>
      <c r="LWT38" s="51"/>
      <c r="LWU38" s="51"/>
      <c r="LWV38" s="51"/>
      <c r="LWW38" s="51"/>
      <c r="LWX38" s="51"/>
      <c r="LWY38" s="51"/>
      <c r="LWZ38" s="51"/>
      <c r="LXA38" s="51"/>
      <c r="LXB38" s="51"/>
      <c r="LXC38" s="51"/>
      <c r="LXD38" s="51"/>
      <c r="LXE38" s="51"/>
      <c r="LXF38" s="51"/>
      <c r="LXG38" s="51"/>
      <c r="LXH38" s="51"/>
      <c r="LXI38" s="51"/>
      <c r="LXJ38" s="51"/>
      <c r="LXK38" s="51"/>
      <c r="LXL38" s="51"/>
      <c r="LXM38" s="51"/>
      <c r="LXN38" s="51"/>
      <c r="LXO38" s="51"/>
      <c r="LXP38" s="51"/>
      <c r="LXQ38" s="51"/>
      <c r="LXR38" s="51"/>
      <c r="LXS38" s="51"/>
      <c r="LXT38" s="51"/>
      <c r="LXU38" s="51"/>
      <c r="LXV38" s="51"/>
      <c r="LXW38" s="51"/>
      <c r="LXX38" s="51"/>
      <c r="LXY38" s="51"/>
      <c r="LXZ38" s="51"/>
      <c r="LYA38" s="51"/>
      <c r="LYB38" s="51"/>
      <c r="LYC38" s="51"/>
      <c r="LYD38" s="51"/>
      <c r="LYE38" s="51"/>
      <c r="LYF38" s="51"/>
      <c r="LYG38" s="51"/>
      <c r="LYH38" s="51"/>
      <c r="LYI38" s="51"/>
      <c r="LYJ38" s="51"/>
      <c r="LYK38" s="51"/>
      <c r="LYL38" s="51"/>
      <c r="LYM38" s="51"/>
      <c r="LYN38" s="51"/>
      <c r="LYO38" s="51"/>
      <c r="LYP38" s="51"/>
      <c r="LYQ38" s="51"/>
      <c r="LYR38" s="51"/>
      <c r="LYS38" s="51"/>
      <c r="LYT38" s="51"/>
      <c r="LYU38" s="51"/>
      <c r="LYV38" s="51"/>
      <c r="LYW38" s="51"/>
      <c r="LYX38" s="51"/>
      <c r="LYY38" s="51"/>
      <c r="LYZ38" s="51"/>
      <c r="LZA38" s="51"/>
      <c r="LZB38" s="51"/>
      <c r="LZC38" s="51"/>
      <c r="LZD38" s="51"/>
      <c r="LZE38" s="51"/>
      <c r="LZF38" s="51"/>
      <c r="LZG38" s="51"/>
      <c r="LZH38" s="51"/>
      <c r="LZI38" s="51"/>
      <c r="LZJ38" s="51"/>
      <c r="LZK38" s="51"/>
      <c r="LZL38" s="51"/>
      <c r="LZM38" s="51"/>
      <c r="LZN38" s="51"/>
      <c r="LZO38" s="51"/>
      <c r="LZP38" s="51"/>
      <c r="LZQ38" s="51"/>
      <c r="LZR38" s="51"/>
      <c r="LZS38" s="51"/>
      <c r="LZT38" s="51"/>
      <c r="LZU38" s="51"/>
      <c r="LZV38" s="51"/>
      <c r="LZW38" s="51"/>
      <c r="LZX38" s="51"/>
      <c r="LZY38" s="51"/>
      <c r="LZZ38" s="51"/>
      <c r="MAA38" s="51"/>
      <c r="MAB38" s="51"/>
      <c r="MAC38" s="51"/>
      <c r="MAD38" s="51"/>
      <c r="MAE38" s="51"/>
      <c r="MAF38" s="51"/>
      <c r="MAG38" s="51"/>
      <c r="MAH38" s="51"/>
      <c r="MAI38" s="51"/>
      <c r="MAJ38" s="51"/>
      <c r="MAK38" s="51"/>
      <c r="MAL38" s="51"/>
      <c r="MAM38" s="51"/>
      <c r="MAN38" s="51"/>
      <c r="MAO38" s="51"/>
      <c r="MAP38" s="51"/>
      <c r="MAQ38" s="51"/>
      <c r="MAR38" s="51"/>
      <c r="MAS38" s="51"/>
      <c r="MAT38" s="51"/>
      <c r="MAU38" s="51"/>
      <c r="MAV38" s="51"/>
      <c r="MAW38" s="51"/>
      <c r="MAX38" s="51"/>
      <c r="MAY38" s="51"/>
      <c r="MAZ38" s="51"/>
      <c r="MBA38" s="51"/>
      <c r="MBB38" s="51"/>
      <c r="MBC38" s="51"/>
      <c r="MBD38" s="51"/>
      <c r="MBE38" s="51"/>
      <c r="MBF38" s="51"/>
      <c r="MBG38" s="51"/>
      <c r="MBH38" s="51"/>
      <c r="MBI38" s="51"/>
      <c r="MBJ38" s="51"/>
      <c r="MBK38" s="51"/>
      <c r="MBL38" s="51"/>
      <c r="MBM38" s="51"/>
      <c r="MBN38" s="51"/>
      <c r="MBO38" s="51"/>
      <c r="MBP38" s="51"/>
      <c r="MBQ38" s="51"/>
      <c r="MBR38" s="51"/>
      <c r="MBS38" s="51"/>
      <c r="MBT38" s="51"/>
      <c r="MBU38" s="51"/>
      <c r="MBV38" s="51"/>
      <c r="MBW38" s="51"/>
      <c r="MBX38" s="51"/>
      <c r="MBY38" s="51"/>
      <c r="MBZ38" s="51"/>
      <c r="MCA38" s="51"/>
      <c r="MCB38" s="51"/>
      <c r="MCC38" s="51"/>
      <c r="MCD38" s="51"/>
      <c r="MCE38" s="51"/>
      <c r="MCF38" s="51"/>
      <c r="MCG38" s="51"/>
      <c r="MCH38" s="51"/>
      <c r="MCI38" s="51"/>
      <c r="MCJ38" s="51"/>
      <c r="MCK38" s="51"/>
      <c r="MCL38" s="51"/>
      <c r="MCM38" s="51"/>
      <c r="MCN38" s="51"/>
      <c r="MCO38" s="51"/>
      <c r="MCP38" s="51"/>
      <c r="MCQ38" s="51"/>
      <c r="MCR38" s="51"/>
      <c r="MCS38" s="51"/>
      <c r="MCT38" s="51"/>
      <c r="MCU38" s="51"/>
      <c r="MCV38" s="51"/>
      <c r="MCW38" s="51"/>
      <c r="MCX38" s="51"/>
      <c r="MCY38" s="51"/>
      <c r="MCZ38" s="51"/>
      <c r="MDA38" s="51"/>
      <c r="MDB38" s="51"/>
      <c r="MDC38" s="51"/>
      <c r="MDD38" s="51"/>
      <c r="MDE38" s="51"/>
      <c r="MDF38" s="51"/>
      <c r="MDG38" s="51"/>
      <c r="MDH38" s="51"/>
      <c r="MDI38" s="51"/>
      <c r="MDJ38" s="51"/>
      <c r="MDK38" s="51"/>
      <c r="MDL38" s="51"/>
      <c r="MDM38" s="51"/>
      <c r="MDN38" s="51"/>
      <c r="MDO38" s="51"/>
      <c r="MDP38" s="51"/>
      <c r="MDQ38" s="51"/>
      <c r="MDR38" s="51"/>
      <c r="MDS38" s="51"/>
      <c r="MDT38" s="51"/>
      <c r="MDU38" s="51"/>
      <c r="MDV38" s="51"/>
      <c r="MDW38" s="51"/>
      <c r="MDX38" s="51"/>
      <c r="MDY38" s="51"/>
      <c r="MDZ38" s="51"/>
      <c r="MEA38" s="51"/>
      <c r="MEB38" s="51"/>
      <c r="MEC38" s="51"/>
      <c r="MED38" s="51"/>
      <c r="MEE38" s="51"/>
      <c r="MEF38" s="51"/>
      <c r="MEG38" s="51"/>
      <c r="MEH38" s="51"/>
      <c r="MEI38" s="51"/>
      <c r="MEJ38" s="51"/>
      <c r="MEK38" s="51"/>
      <c r="MEL38" s="51"/>
      <c r="MEM38" s="51"/>
      <c r="MEN38" s="51"/>
      <c r="MEO38" s="51"/>
      <c r="MEP38" s="51"/>
      <c r="MEQ38" s="51"/>
      <c r="MER38" s="51"/>
      <c r="MES38" s="51"/>
      <c r="MET38" s="51"/>
      <c r="MEU38" s="51"/>
      <c r="MEV38" s="51"/>
      <c r="MEW38" s="51"/>
      <c r="MEX38" s="51"/>
      <c r="MEY38" s="51"/>
      <c r="MEZ38" s="51"/>
      <c r="MFA38" s="51"/>
      <c r="MFB38" s="51"/>
      <c r="MFC38" s="51"/>
      <c r="MFD38" s="51"/>
      <c r="MFE38" s="51"/>
      <c r="MFF38" s="51"/>
      <c r="MFG38" s="51"/>
      <c r="MFH38" s="51"/>
      <c r="MFI38" s="51"/>
      <c r="MFJ38" s="51"/>
      <c r="MFK38" s="51"/>
      <c r="MFL38" s="51"/>
      <c r="MFM38" s="51"/>
      <c r="MFN38" s="51"/>
      <c r="MFO38" s="51"/>
      <c r="MFP38" s="51"/>
      <c r="MFQ38" s="51"/>
      <c r="MFR38" s="51"/>
      <c r="MFS38" s="51"/>
      <c r="MFT38" s="51"/>
      <c r="MFU38" s="51"/>
      <c r="MFV38" s="51"/>
      <c r="MFW38" s="51"/>
      <c r="MFX38" s="51"/>
      <c r="MFY38" s="51"/>
      <c r="MFZ38" s="51"/>
      <c r="MGA38" s="51"/>
      <c r="MGB38" s="51"/>
      <c r="MGC38" s="51"/>
      <c r="MGD38" s="51"/>
      <c r="MGE38" s="51"/>
      <c r="MGF38" s="51"/>
      <c r="MGG38" s="51"/>
      <c r="MGH38" s="51"/>
      <c r="MGI38" s="51"/>
      <c r="MGJ38" s="51"/>
      <c r="MGK38" s="51"/>
      <c r="MGL38" s="51"/>
      <c r="MGM38" s="51"/>
      <c r="MGN38" s="51"/>
      <c r="MGO38" s="51"/>
      <c r="MGP38" s="51"/>
      <c r="MGQ38" s="51"/>
      <c r="MGR38" s="51"/>
      <c r="MGS38" s="51"/>
      <c r="MGT38" s="51"/>
      <c r="MGU38" s="51"/>
      <c r="MGV38" s="51"/>
      <c r="MGW38" s="51"/>
      <c r="MGX38" s="51"/>
      <c r="MGY38" s="51"/>
      <c r="MGZ38" s="51"/>
      <c r="MHA38" s="51"/>
      <c r="MHB38" s="51"/>
      <c r="MHC38" s="51"/>
      <c r="MHD38" s="51"/>
      <c r="MHE38" s="51"/>
      <c r="MHF38" s="51"/>
      <c r="MHG38" s="51"/>
      <c r="MHH38" s="51"/>
      <c r="MHI38" s="51"/>
      <c r="MHJ38" s="51"/>
      <c r="MHK38" s="51"/>
      <c r="MHL38" s="51"/>
      <c r="MHM38" s="51"/>
      <c r="MHN38" s="51"/>
      <c r="MHO38" s="51"/>
      <c r="MHP38" s="51"/>
      <c r="MHQ38" s="51"/>
      <c r="MHR38" s="51"/>
      <c r="MHS38" s="51"/>
      <c r="MHT38" s="51"/>
      <c r="MHU38" s="51"/>
      <c r="MHV38" s="51"/>
      <c r="MHW38" s="51"/>
      <c r="MHX38" s="51"/>
      <c r="MHY38" s="51"/>
      <c r="MHZ38" s="51"/>
      <c r="MIA38" s="51"/>
      <c r="MIB38" s="51"/>
      <c r="MIC38" s="51"/>
      <c r="MID38" s="51"/>
      <c r="MIE38" s="51"/>
      <c r="MIF38" s="51"/>
      <c r="MIG38" s="51"/>
      <c r="MIH38" s="51"/>
      <c r="MII38" s="51"/>
      <c r="MIJ38" s="51"/>
      <c r="MIK38" s="51"/>
      <c r="MIL38" s="51"/>
      <c r="MIM38" s="51"/>
      <c r="MIN38" s="51"/>
      <c r="MIO38" s="51"/>
      <c r="MIP38" s="51"/>
      <c r="MIQ38" s="51"/>
      <c r="MIR38" s="51"/>
      <c r="MIS38" s="51"/>
      <c r="MIT38" s="51"/>
      <c r="MIU38" s="51"/>
      <c r="MIV38" s="51"/>
      <c r="MIW38" s="51"/>
      <c r="MIX38" s="51"/>
      <c r="MIY38" s="51"/>
      <c r="MIZ38" s="51"/>
      <c r="MJA38" s="51"/>
      <c r="MJB38" s="51"/>
      <c r="MJC38" s="51"/>
      <c r="MJD38" s="51"/>
      <c r="MJE38" s="51"/>
      <c r="MJF38" s="51"/>
      <c r="MJG38" s="51"/>
      <c r="MJH38" s="51"/>
      <c r="MJI38" s="51"/>
      <c r="MJJ38" s="51"/>
      <c r="MJK38" s="51"/>
      <c r="MJL38" s="51"/>
      <c r="MJM38" s="51"/>
      <c r="MJN38" s="51"/>
      <c r="MJO38" s="51"/>
      <c r="MJP38" s="51"/>
      <c r="MJQ38" s="51"/>
      <c r="MJR38" s="51"/>
      <c r="MJS38" s="51"/>
      <c r="MJT38" s="51"/>
      <c r="MJU38" s="51"/>
      <c r="MJV38" s="51"/>
      <c r="MJW38" s="51"/>
      <c r="MJX38" s="51"/>
      <c r="MJY38" s="51"/>
      <c r="MJZ38" s="51"/>
      <c r="MKA38" s="51"/>
      <c r="MKB38" s="51"/>
      <c r="MKC38" s="51"/>
      <c r="MKD38" s="51"/>
      <c r="MKE38" s="51"/>
      <c r="MKF38" s="51"/>
      <c r="MKG38" s="51"/>
      <c r="MKH38" s="51"/>
      <c r="MKI38" s="51"/>
      <c r="MKJ38" s="51"/>
      <c r="MKK38" s="51"/>
      <c r="MKL38" s="51"/>
      <c r="MKM38" s="51"/>
      <c r="MKN38" s="51"/>
      <c r="MKO38" s="51"/>
      <c r="MKP38" s="51"/>
      <c r="MKQ38" s="51"/>
      <c r="MKR38" s="51"/>
      <c r="MKS38" s="51"/>
      <c r="MKT38" s="51"/>
      <c r="MKU38" s="51"/>
      <c r="MKV38" s="51"/>
      <c r="MKW38" s="51"/>
      <c r="MKX38" s="51"/>
      <c r="MKY38" s="51"/>
      <c r="MKZ38" s="51"/>
      <c r="MLA38" s="51"/>
      <c r="MLB38" s="51"/>
      <c r="MLC38" s="51"/>
      <c r="MLD38" s="51"/>
      <c r="MLE38" s="51"/>
      <c r="MLF38" s="51"/>
      <c r="MLG38" s="51"/>
      <c r="MLH38" s="51"/>
      <c r="MLI38" s="51"/>
      <c r="MLJ38" s="51"/>
      <c r="MLK38" s="51"/>
      <c r="MLL38" s="51"/>
      <c r="MLM38" s="51"/>
      <c r="MLN38" s="51"/>
      <c r="MLO38" s="51"/>
      <c r="MLP38" s="51"/>
      <c r="MLQ38" s="51"/>
      <c r="MLR38" s="51"/>
      <c r="MLS38" s="51"/>
      <c r="MLT38" s="51"/>
      <c r="MLU38" s="51"/>
      <c r="MLV38" s="51"/>
      <c r="MLW38" s="51"/>
      <c r="MLX38" s="51"/>
      <c r="MLY38" s="51"/>
      <c r="MLZ38" s="51"/>
      <c r="MMA38" s="51"/>
      <c r="MMB38" s="51"/>
      <c r="MMC38" s="51"/>
      <c r="MMD38" s="51"/>
      <c r="MME38" s="51"/>
      <c r="MMF38" s="51"/>
      <c r="MMG38" s="51"/>
      <c r="MMH38" s="51"/>
      <c r="MMI38" s="51"/>
      <c r="MMJ38" s="51"/>
      <c r="MMK38" s="51"/>
      <c r="MML38" s="51"/>
      <c r="MMM38" s="51"/>
      <c r="MMN38" s="51"/>
      <c r="MMO38" s="51"/>
      <c r="MMP38" s="51"/>
      <c r="MMQ38" s="51"/>
      <c r="MMR38" s="51"/>
      <c r="MMS38" s="51"/>
      <c r="MMT38" s="51"/>
      <c r="MMU38" s="51"/>
      <c r="MMV38" s="51"/>
      <c r="MMW38" s="51"/>
      <c r="MMX38" s="51"/>
      <c r="MMY38" s="51"/>
      <c r="MMZ38" s="51"/>
      <c r="MNA38" s="51"/>
      <c r="MNB38" s="51"/>
      <c r="MNC38" s="51"/>
      <c r="MND38" s="51"/>
      <c r="MNE38" s="51"/>
      <c r="MNF38" s="51"/>
      <c r="MNG38" s="51"/>
      <c r="MNH38" s="51"/>
      <c r="MNI38" s="51"/>
      <c r="MNJ38" s="51"/>
      <c r="MNK38" s="51"/>
      <c r="MNL38" s="51"/>
      <c r="MNM38" s="51"/>
      <c r="MNN38" s="51"/>
      <c r="MNO38" s="51"/>
      <c r="MNP38" s="51"/>
      <c r="MNQ38" s="51"/>
      <c r="MNR38" s="51"/>
      <c r="MNS38" s="51"/>
      <c r="MNT38" s="51"/>
      <c r="MNU38" s="51"/>
      <c r="MNV38" s="51"/>
      <c r="MNW38" s="51"/>
      <c r="MNX38" s="51"/>
      <c r="MNY38" s="51"/>
      <c r="MNZ38" s="51"/>
      <c r="MOA38" s="51"/>
      <c r="MOB38" s="51"/>
      <c r="MOC38" s="51"/>
      <c r="MOD38" s="51"/>
      <c r="MOE38" s="51"/>
      <c r="MOF38" s="51"/>
      <c r="MOG38" s="51"/>
      <c r="MOH38" s="51"/>
      <c r="MOI38" s="51"/>
      <c r="MOJ38" s="51"/>
      <c r="MOK38" s="51"/>
      <c r="MOL38" s="51"/>
      <c r="MOM38" s="51"/>
      <c r="MON38" s="51"/>
      <c r="MOO38" s="51"/>
      <c r="MOP38" s="51"/>
      <c r="MOQ38" s="51"/>
      <c r="MOR38" s="51"/>
      <c r="MOS38" s="51"/>
      <c r="MOT38" s="51"/>
      <c r="MOU38" s="51"/>
      <c r="MOV38" s="51"/>
      <c r="MOW38" s="51"/>
      <c r="MOX38" s="51"/>
      <c r="MOY38" s="51"/>
      <c r="MOZ38" s="51"/>
      <c r="MPA38" s="51"/>
      <c r="MPB38" s="51"/>
      <c r="MPC38" s="51"/>
      <c r="MPD38" s="51"/>
      <c r="MPE38" s="51"/>
      <c r="MPF38" s="51"/>
      <c r="MPG38" s="51"/>
      <c r="MPH38" s="51"/>
      <c r="MPI38" s="51"/>
      <c r="MPJ38" s="51"/>
      <c r="MPK38" s="51"/>
      <c r="MPL38" s="51"/>
      <c r="MPM38" s="51"/>
      <c r="MPN38" s="51"/>
      <c r="MPO38" s="51"/>
      <c r="MPP38" s="51"/>
      <c r="MPQ38" s="51"/>
      <c r="MPR38" s="51"/>
      <c r="MPS38" s="51"/>
      <c r="MPT38" s="51"/>
      <c r="MPU38" s="51"/>
      <c r="MPV38" s="51"/>
      <c r="MPW38" s="51"/>
      <c r="MPX38" s="51"/>
      <c r="MPY38" s="51"/>
      <c r="MPZ38" s="51"/>
      <c r="MQA38" s="51"/>
      <c r="MQB38" s="51"/>
      <c r="MQC38" s="51"/>
      <c r="MQD38" s="51"/>
      <c r="MQE38" s="51"/>
      <c r="MQF38" s="51"/>
      <c r="MQG38" s="51"/>
      <c r="MQH38" s="51"/>
      <c r="MQI38" s="51"/>
      <c r="MQJ38" s="51"/>
      <c r="MQK38" s="51"/>
      <c r="MQL38" s="51"/>
      <c r="MQM38" s="51"/>
      <c r="MQN38" s="51"/>
      <c r="MQO38" s="51"/>
      <c r="MQP38" s="51"/>
      <c r="MQQ38" s="51"/>
      <c r="MQR38" s="51"/>
      <c r="MQS38" s="51"/>
      <c r="MQT38" s="51"/>
      <c r="MQU38" s="51"/>
      <c r="MQV38" s="51"/>
      <c r="MQW38" s="51"/>
      <c r="MQX38" s="51"/>
      <c r="MQY38" s="51"/>
      <c r="MQZ38" s="51"/>
      <c r="MRA38" s="51"/>
      <c r="MRB38" s="51"/>
      <c r="MRC38" s="51"/>
      <c r="MRD38" s="51"/>
      <c r="MRE38" s="51"/>
      <c r="MRF38" s="51"/>
      <c r="MRG38" s="51"/>
      <c r="MRH38" s="51"/>
      <c r="MRI38" s="51"/>
      <c r="MRJ38" s="51"/>
      <c r="MRK38" s="51"/>
      <c r="MRL38" s="51"/>
      <c r="MRM38" s="51"/>
      <c r="MRN38" s="51"/>
      <c r="MRO38" s="51"/>
      <c r="MRP38" s="51"/>
      <c r="MRQ38" s="51"/>
      <c r="MRR38" s="51"/>
      <c r="MRS38" s="51"/>
      <c r="MRT38" s="51"/>
      <c r="MRU38" s="51"/>
      <c r="MRV38" s="51"/>
      <c r="MRW38" s="51"/>
      <c r="MRX38" s="51"/>
      <c r="MRY38" s="51"/>
      <c r="MRZ38" s="51"/>
      <c r="MSA38" s="51"/>
      <c r="MSB38" s="51"/>
      <c r="MSC38" s="51"/>
      <c r="MSD38" s="51"/>
      <c r="MSE38" s="51"/>
      <c r="MSF38" s="51"/>
      <c r="MSG38" s="51"/>
      <c r="MSH38" s="51"/>
      <c r="MSI38" s="51"/>
      <c r="MSJ38" s="51"/>
      <c r="MSK38" s="51"/>
      <c r="MSL38" s="51"/>
      <c r="MSM38" s="51"/>
      <c r="MSN38" s="51"/>
      <c r="MSO38" s="51"/>
      <c r="MSP38" s="51"/>
      <c r="MSQ38" s="51"/>
      <c r="MSR38" s="51"/>
      <c r="MSS38" s="51"/>
      <c r="MST38" s="51"/>
      <c r="MSU38" s="51"/>
      <c r="MSV38" s="51"/>
      <c r="MSW38" s="51"/>
      <c r="MSX38" s="51"/>
      <c r="MSY38" s="51"/>
      <c r="MSZ38" s="51"/>
      <c r="MTA38" s="51"/>
      <c r="MTB38" s="51"/>
      <c r="MTC38" s="51"/>
      <c r="MTD38" s="51"/>
      <c r="MTE38" s="51"/>
      <c r="MTF38" s="51"/>
      <c r="MTG38" s="51"/>
      <c r="MTH38" s="51"/>
      <c r="MTI38" s="51"/>
      <c r="MTJ38" s="51"/>
      <c r="MTK38" s="51"/>
      <c r="MTL38" s="51"/>
      <c r="MTM38" s="51"/>
      <c r="MTN38" s="51"/>
      <c r="MTO38" s="51"/>
      <c r="MTP38" s="51"/>
      <c r="MTQ38" s="51"/>
      <c r="MTR38" s="51"/>
      <c r="MTS38" s="51"/>
      <c r="MTT38" s="51"/>
      <c r="MTU38" s="51"/>
      <c r="MTV38" s="51"/>
      <c r="MTW38" s="51"/>
      <c r="MTX38" s="51"/>
      <c r="MTY38" s="51"/>
      <c r="MTZ38" s="51"/>
      <c r="MUA38" s="51"/>
      <c r="MUB38" s="51"/>
      <c r="MUC38" s="51"/>
      <c r="MUD38" s="51"/>
      <c r="MUE38" s="51"/>
      <c r="MUF38" s="51"/>
      <c r="MUG38" s="51"/>
      <c r="MUH38" s="51"/>
      <c r="MUI38" s="51"/>
      <c r="MUJ38" s="51"/>
      <c r="MUK38" s="51"/>
      <c r="MUL38" s="51"/>
      <c r="MUM38" s="51"/>
      <c r="MUN38" s="51"/>
      <c r="MUO38" s="51"/>
      <c r="MUP38" s="51"/>
      <c r="MUQ38" s="51"/>
      <c r="MUR38" s="51"/>
      <c r="MUS38" s="51"/>
      <c r="MUT38" s="51"/>
      <c r="MUU38" s="51"/>
      <c r="MUV38" s="51"/>
      <c r="MUW38" s="51"/>
      <c r="MUX38" s="51"/>
      <c r="MUY38" s="51"/>
      <c r="MUZ38" s="51"/>
      <c r="MVA38" s="51"/>
      <c r="MVB38" s="51"/>
      <c r="MVC38" s="51"/>
      <c r="MVD38" s="51"/>
      <c r="MVE38" s="51"/>
      <c r="MVF38" s="51"/>
      <c r="MVG38" s="51"/>
      <c r="MVH38" s="51"/>
      <c r="MVI38" s="51"/>
      <c r="MVJ38" s="51"/>
      <c r="MVK38" s="51"/>
      <c r="MVL38" s="51"/>
      <c r="MVM38" s="51"/>
      <c r="MVN38" s="51"/>
      <c r="MVO38" s="51"/>
      <c r="MVP38" s="51"/>
      <c r="MVQ38" s="51"/>
      <c r="MVR38" s="51"/>
      <c r="MVS38" s="51"/>
      <c r="MVT38" s="51"/>
      <c r="MVU38" s="51"/>
      <c r="MVV38" s="51"/>
      <c r="MVW38" s="51"/>
      <c r="MVX38" s="51"/>
      <c r="MVY38" s="51"/>
      <c r="MVZ38" s="51"/>
      <c r="MWA38" s="51"/>
      <c r="MWB38" s="51"/>
      <c r="MWC38" s="51"/>
      <c r="MWD38" s="51"/>
      <c r="MWE38" s="51"/>
      <c r="MWF38" s="51"/>
      <c r="MWG38" s="51"/>
      <c r="MWH38" s="51"/>
      <c r="MWI38" s="51"/>
      <c r="MWJ38" s="51"/>
      <c r="MWK38" s="51"/>
      <c r="MWL38" s="51"/>
      <c r="MWM38" s="51"/>
      <c r="MWN38" s="51"/>
      <c r="MWO38" s="51"/>
      <c r="MWP38" s="51"/>
      <c r="MWQ38" s="51"/>
      <c r="MWR38" s="51"/>
      <c r="MWS38" s="51"/>
      <c r="MWT38" s="51"/>
      <c r="MWU38" s="51"/>
      <c r="MWV38" s="51"/>
      <c r="MWW38" s="51"/>
      <c r="MWX38" s="51"/>
      <c r="MWY38" s="51"/>
      <c r="MWZ38" s="51"/>
      <c r="MXA38" s="51"/>
      <c r="MXB38" s="51"/>
      <c r="MXC38" s="51"/>
      <c r="MXD38" s="51"/>
      <c r="MXE38" s="51"/>
      <c r="MXF38" s="51"/>
      <c r="MXG38" s="51"/>
      <c r="MXH38" s="51"/>
      <c r="MXI38" s="51"/>
      <c r="MXJ38" s="51"/>
      <c r="MXK38" s="51"/>
      <c r="MXL38" s="51"/>
      <c r="MXM38" s="51"/>
      <c r="MXN38" s="51"/>
      <c r="MXO38" s="51"/>
      <c r="MXP38" s="51"/>
      <c r="MXQ38" s="51"/>
      <c r="MXR38" s="51"/>
      <c r="MXS38" s="51"/>
      <c r="MXT38" s="51"/>
      <c r="MXU38" s="51"/>
      <c r="MXV38" s="51"/>
      <c r="MXW38" s="51"/>
      <c r="MXX38" s="51"/>
      <c r="MXY38" s="51"/>
      <c r="MXZ38" s="51"/>
      <c r="MYA38" s="51"/>
      <c r="MYB38" s="51"/>
      <c r="MYC38" s="51"/>
      <c r="MYD38" s="51"/>
      <c r="MYE38" s="51"/>
      <c r="MYF38" s="51"/>
      <c r="MYG38" s="51"/>
      <c r="MYH38" s="51"/>
      <c r="MYI38" s="51"/>
      <c r="MYJ38" s="51"/>
      <c r="MYK38" s="51"/>
      <c r="MYL38" s="51"/>
      <c r="MYM38" s="51"/>
      <c r="MYN38" s="51"/>
      <c r="MYO38" s="51"/>
      <c r="MYP38" s="51"/>
      <c r="MYQ38" s="51"/>
      <c r="MYR38" s="51"/>
      <c r="MYS38" s="51"/>
      <c r="MYT38" s="51"/>
      <c r="MYU38" s="51"/>
      <c r="MYV38" s="51"/>
      <c r="MYW38" s="51"/>
      <c r="MYX38" s="51"/>
      <c r="MYY38" s="51"/>
      <c r="MYZ38" s="51"/>
      <c r="MZA38" s="51"/>
      <c r="MZB38" s="51"/>
      <c r="MZC38" s="51"/>
      <c r="MZD38" s="51"/>
      <c r="MZE38" s="51"/>
      <c r="MZF38" s="51"/>
      <c r="MZG38" s="51"/>
      <c r="MZH38" s="51"/>
      <c r="MZI38" s="51"/>
      <c r="MZJ38" s="51"/>
      <c r="MZK38" s="51"/>
      <c r="MZL38" s="51"/>
      <c r="MZM38" s="51"/>
      <c r="MZN38" s="51"/>
      <c r="MZO38" s="51"/>
      <c r="MZP38" s="51"/>
      <c r="MZQ38" s="51"/>
      <c r="MZR38" s="51"/>
      <c r="MZS38" s="51"/>
      <c r="MZT38" s="51"/>
      <c r="MZU38" s="51"/>
      <c r="MZV38" s="51"/>
      <c r="MZW38" s="51"/>
      <c r="MZX38" s="51"/>
      <c r="MZY38" s="51"/>
      <c r="MZZ38" s="51"/>
      <c r="NAA38" s="51"/>
      <c r="NAB38" s="51"/>
      <c r="NAC38" s="51"/>
      <c r="NAD38" s="51"/>
      <c r="NAE38" s="51"/>
      <c r="NAF38" s="51"/>
      <c r="NAG38" s="51"/>
      <c r="NAH38" s="51"/>
      <c r="NAI38" s="51"/>
      <c r="NAJ38" s="51"/>
      <c r="NAK38" s="51"/>
      <c r="NAL38" s="51"/>
      <c r="NAM38" s="51"/>
      <c r="NAN38" s="51"/>
      <c r="NAO38" s="51"/>
      <c r="NAP38" s="51"/>
      <c r="NAQ38" s="51"/>
      <c r="NAR38" s="51"/>
      <c r="NAS38" s="51"/>
      <c r="NAT38" s="51"/>
      <c r="NAU38" s="51"/>
      <c r="NAV38" s="51"/>
      <c r="NAW38" s="51"/>
      <c r="NAX38" s="51"/>
      <c r="NAY38" s="51"/>
      <c r="NAZ38" s="51"/>
      <c r="NBA38" s="51"/>
      <c r="NBB38" s="51"/>
      <c r="NBC38" s="51"/>
      <c r="NBD38" s="51"/>
      <c r="NBE38" s="51"/>
      <c r="NBF38" s="51"/>
      <c r="NBG38" s="51"/>
      <c r="NBH38" s="51"/>
      <c r="NBI38" s="51"/>
      <c r="NBJ38" s="51"/>
      <c r="NBK38" s="51"/>
      <c r="NBL38" s="51"/>
      <c r="NBM38" s="51"/>
      <c r="NBN38" s="51"/>
      <c r="NBO38" s="51"/>
      <c r="NBP38" s="51"/>
      <c r="NBQ38" s="51"/>
      <c r="NBR38" s="51"/>
      <c r="NBS38" s="51"/>
      <c r="NBT38" s="51"/>
      <c r="NBU38" s="51"/>
      <c r="NBV38" s="51"/>
      <c r="NBW38" s="51"/>
      <c r="NBX38" s="51"/>
      <c r="NBY38" s="51"/>
      <c r="NBZ38" s="51"/>
      <c r="NCA38" s="51"/>
      <c r="NCB38" s="51"/>
      <c r="NCC38" s="51"/>
      <c r="NCD38" s="51"/>
      <c r="NCE38" s="51"/>
      <c r="NCF38" s="51"/>
      <c r="NCG38" s="51"/>
      <c r="NCH38" s="51"/>
      <c r="NCI38" s="51"/>
      <c r="NCJ38" s="51"/>
      <c r="NCK38" s="51"/>
      <c r="NCL38" s="51"/>
      <c r="NCM38" s="51"/>
      <c r="NCN38" s="51"/>
      <c r="NCO38" s="51"/>
      <c r="NCP38" s="51"/>
      <c r="NCQ38" s="51"/>
      <c r="NCR38" s="51"/>
      <c r="NCS38" s="51"/>
      <c r="NCT38" s="51"/>
      <c r="NCU38" s="51"/>
      <c r="NCV38" s="51"/>
      <c r="NCW38" s="51"/>
      <c r="NCX38" s="51"/>
      <c r="NCY38" s="51"/>
      <c r="NCZ38" s="51"/>
      <c r="NDA38" s="51"/>
      <c r="NDB38" s="51"/>
      <c r="NDC38" s="51"/>
      <c r="NDD38" s="51"/>
      <c r="NDE38" s="51"/>
      <c r="NDF38" s="51"/>
      <c r="NDG38" s="51"/>
      <c r="NDH38" s="51"/>
      <c r="NDI38" s="51"/>
      <c r="NDJ38" s="51"/>
      <c r="NDK38" s="51"/>
      <c r="NDL38" s="51"/>
      <c r="NDM38" s="51"/>
      <c r="NDN38" s="51"/>
      <c r="NDO38" s="51"/>
      <c r="NDP38" s="51"/>
      <c r="NDQ38" s="51"/>
      <c r="NDR38" s="51"/>
      <c r="NDS38" s="51"/>
      <c r="NDT38" s="51"/>
      <c r="NDU38" s="51"/>
      <c r="NDV38" s="51"/>
      <c r="NDW38" s="51"/>
      <c r="NDX38" s="51"/>
      <c r="NDY38" s="51"/>
      <c r="NDZ38" s="51"/>
      <c r="NEA38" s="51"/>
      <c r="NEB38" s="51"/>
      <c r="NEC38" s="51"/>
      <c r="NED38" s="51"/>
      <c r="NEE38" s="51"/>
      <c r="NEF38" s="51"/>
      <c r="NEG38" s="51"/>
      <c r="NEH38" s="51"/>
      <c r="NEI38" s="51"/>
      <c r="NEJ38" s="51"/>
      <c r="NEK38" s="51"/>
      <c r="NEL38" s="51"/>
      <c r="NEM38" s="51"/>
      <c r="NEN38" s="51"/>
      <c r="NEO38" s="51"/>
      <c r="NEP38" s="51"/>
      <c r="NEQ38" s="51"/>
      <c r="NER38" s="51"/>
      <c r="NES38" s="51"/>
      <c r="NET38" s="51"/>
      <c r="NEU38" s="51"/>
      <c r="NEV38" s="51"/>
      <c r="NEW38" s="51"/>
      <c r="NEX38" s="51"/>
      <c r="NEY38" s="51"/>
      <c r="NEZ38" s="51"/>
      <c r="NFA38" s="51"/>
      <c r="NFB38" s="51"/>
      <c r="NFC38" s="51"/>
      <c r="NFD38" s="51"/>
      <c r="NFE38" s="51"/>
      <c r="NFF38" s="51"/>
      <c r="NFG38" s="51"/>
      <c r="NFH38" s="51"/>
      <c r="NFI38" s="51"/>
      <c r="NFJ38" s="51"/>
      <c r="NFK38" s="51"/>
      <c r="NFL38" s="51"/>
      <c r="NFM38" s="51"/>
      <c r="NFN38" s="51"/>
      <c r="NFO38" s="51"/>
      <c r="NFP38" s="51"/>
      <c r="NFQ38" s="51"/>
      <c r="NFR38" s="51"/>
      <c r="NFS38" s="51"/>
      <c r="NFT38" s="51"/>
      <c r="NFU38" s="51"/>
      <c r="NFV38" s="51"/>
      <c r="NFW38" s="51"/>
      <c r="NFX38" s="51"/>
      <c r="NFY38" s="51"/>
      <c r="NFZ38" s="51"/>
      <c r="NGA38" s="51"/>
      <c r="NGB38" s="51"/>
      <c r="NGC38" s="51"/>
      <c r="NGD38" s="51"/>
      <c r="NGE38" s="51"/>
      <c r="NGF38" s="51"/>
      <c r="NGG38" s="51"/>
      <c r="NGH38" s="51"/>
      <c r="NGI38" s="51"/>
      <c r="NGJ38" s="51"/>
      <c r="NGK38" s="51"/>
      <c r="NGL38" s="51"/>
      <c r="NGM38" s="51"/>
      <c r="NGN38" s="51"/>
      <c r="NGO38" s="51"/>
      <c r="NGP38" s="51"/>
      <c r="NGQ38" s="51"/>
      <c r="NGR38" s="51"/>
      <c r="NGS38" s="51"/>
      <c r="NGT38" s="51"/>
      <c r="NGU38" s="51"/>
      <c r="NGV38" s="51"/>
      <c r="NGW38" s="51"/>
      <c r="NGX38" s="51"/>
      <c r="NGY38" s="51"/>
      <c r="NGZ38" s="51"/>
      <c r="NHA38" s="51"/>
      <c r="NHB38" s="51"/>
      <c r="NHC38" s="51"/>
      <c r="NHD38" s="51"/>
      <c r="NHE38" s="51"/>
      <c r="NHF38" s="51"/>
      <c r="NHG38" s="51"/>
      <c r="NHH38" s="51"/>
      <c r="NHI38" s="51"/>
      <c r="NHJ38" s="51"/>
      <c r="NHK38" s="51"/>
      <c r="NHL38" s="51"/>
      <c r="NHM38" s="51"/>
      <c r="NHN38" s="51"/>
      <c r="NHO38" s="51"/>
      <c r="NHP38" s="51"/>
      <c r="NHQ38" s="51"/>
      <c r="NHR38" s="51"/>
      <c r="NHS38" s="51"/>
      <c r="NHT38" s="51"/>
      <c r="NHU38" s="51"/>
      <c r="NHV38" s="51"/>
      <c r="NHW38" s="51"/>
      <c r="NHX38" s="51"/>
      <c r="NHY38" s="51"/>
      <c r="NHZ38" s="51"/>
      <c r="NIA38" s="51"/>
      <c r="NIB38" s="51"/>
      <c r="NIC38" s="51"/>
      <c r="NID38" s="51"/>
      <c r="NIE38" s="51"/>
      <c r="NIF38" s="51"/>
      <c r="NIG38" s="51"/>
      <c r="NIH38" s="51"/>
      <c r="NII38" s="51"/>
      <c r="NIJ38" s="51"/>
      <c r="NIK38" s="51"/>
      <c r="NIL38" s="51"/>
      <c r="NIM38" s="51"/>
      <c r="NIN38" s="51"/>
      <c r="NIO38" s="51"/>
      <c r="NIP38" s="51"/>
      <c r="NIQ38" s="51"/>
      <c r="NIR38" s="51"/>
      <c r="NIS38" s="51"/>
      <c r="NIT38" s="51"/>
      <c r="NIU38" s="51"/>
      <c r="NIV38" s="51"/>
      <c r="NIW38" s="51"/>
      <c r="NIX38" s="51"/>
      <c r="NIY38" s="51"/>
      <c r="NIZ38" s="51"/>
      <c r="NJA38" s="51"/>
      <c r="NJB38" s="51"/>
      <c r="NJC38" s="51"/>
      <c r="NJD38" s="51"/>
      <c r="NJE38" s="51"/>
      <c r="NJF38" s="51"/>
      <c r="NJG38" s="51"/>
      <c r="NJH38" s="51"/>
      <c r="NJI38" s="51"/>
      <c r="NJJ38" s="51"/>
      <c r="NJK38" s="51"/>
      <c r="NJL38" s="51"/>
      <c r="NJM38" s="51"/>
      <c r="NJN38" s="51"/>
      <c r="NJO38" s="51"/>
      <c r="NJP38" s="51"/>
      <c r="NJQ38" s="51"/>
      <c r="NJR38" s="51"/>
      <c r="NJS38" s="51"/>
      <c r="NJT38" s="51"/>
      <c r="NJU38" s="51"/>
      <c r="NJV38" s="51"/>
      <c r="NJW38" s="51"/>
      <c r="NJX38" s="51"/>
      <c r="NJY38" s="51"/>
      <c r="NJZ38" s="51"/>
      <c r="NKA38" s="51"/>
      <c r="NKB38" s="51"/>
      <c r="NKC38" s="51"/>
      <c r="NKD38" s="51"/>
      <c r="NKE38" s="51"/>
      <c r="NKF38" s="51"/>
      <c r="NKG38" s="51"/>
      <c r="NKH38" s="51"/>
      <c r="NKI38" s="51"/>
      <c r="NKJ38" s="51"/>
      <c r="NKK38" s="51"/>
      <c r="NKL38" s="51"/>
      <c r="NKM38" s="51"/>
      <c r="NKN38" s="51"/>
      <c r="NKO38" s="51"/>
      <c r="NKP38" s="51"/>
      <c r="NKQ38" s="51"/>
      <c r="NKR38" s="51"/>
      <c r="NKS38" s="51"/>
      <c r="NKT38" s="51"/>
      <c r="NKU38" s="51"/>
      <c r="NKV38" s="51"/>
      <c r="NKW38" s="51"/>
      <c r="NKX38" s="51"/>
      <c r="NKY38" s="51"/>
      <c r="NKZ38" s="51"/>
      <c r="NLA38" s="51"/>
      <c r="NLB38" s="51"/>
      <c r="NLC38" s="51"/>
      <c r="NLD38" s="51"/>
      <c r="NLE38" s="51"/>
      <c r="NLF38" s="51"/>
      <c r="NLG38" s="51"/>
      <c r="NLH38" s="51"/>
      <c r="NLI38" s="51"/>
      <c r="NLJ38" s="51"/>
      <c r="NLK38" s="51"/>
      <c r="NLL38" s="51"/>
      <c r="NLM38" s="51"/>
      <c r="NLN38" s="51"/>
      <c r="NLO38" s="51"/>
      <c r="NLP38" s="51"/>
      <c r="NLQ38" s="51"/>
      <c r="NLR38" s="51"/>
      <c r="NLS38" s="51"/>
      <c r="NLT38" s="51"/>
      <c r="NLU38" s="51"/>
      <c r="NLV38" s="51"/>
      <c r="NLW38" s="51"/>
      <c r="NLX38" s="51"/>
      <c r="NLY38" s="51"/>
      <c r="NLZ38" s="51"/>
      <c r="NMA38" s="51"/>
      <c r="NMB38" s="51"/>
      <c r="NMC38" s="51"/>
      <c r="NMD38" s="51"/>
      <c r="NME38" s="51"/>
      <c r="NMF38" s="51"/>
      <c r="NMG38" s="51"/>
      <c r="NMH38" s="51"/>
      <c r="NMI38" s="51"/>
      <c r="NMJ38" s="51"/>
      <c r="NMK38" s="51"/>
      <c r="NML38" s="51"/>
      <c r="NMM38" s="51"/>
      <c r="NMN38" s="51"/>
      <c r="NMO38" s="51"/>
      <c r="NMP38" s="51"/>
      <c r="NMQ38" s="51"/>
      <c r="NMR38" s="51"/>
      <c r="NMS38" s="51"/>
      <c r="NMT38" s="51"/>
      <c r="NMU38" s="51"/>
      <c r="NMV38" s="51"/>
      <c r="NMW38" s="51"/>
      <c r="NMX38" s="51"/>
      <c r="NMY38" s="51"/>
      <c r="NMZ38" s="51"/>
      <c r="NNA38" s="51"/>
      <c r="NNB38" s="51"/>
      <c r="NNC38" s="51"/>
      <c r="NND38" s="51"/>
      <c r="NNE38" s="51"/>
      <c r="NNF38" s="51"/>
      <c r="NNG38" s="51"/>
      <c r="NNH38" s="51"/>
      <c r="NNI38" s="51"/>
      <c r="NNJ38" s="51"/>
      <c r="NNK38" s="51"/>
      <c r="NNL38" s="51"/>
      <c r="NNM38" s="51"/>
      <c r="NNN38" s="51"/>
      <c r="NNO38" s="51"/>
      <c r="NNP38" s="51"/>
      <c r="NNQ38" s="51"/>
      <c r="NNR38" s="51"/>
      <c r="NNS38" s="51"/>
      <c r="NNT38" s="51"/>
      <c r="NNU38" s="51"/>
      <c r="NNV38" s="51"/>
      <c r="NNW38" s="51"/>
      <c r="NNX38" s="51"/>
      <c r="NNY38" s="51"/>
      <c r="NNZ38" s="51"/>
      <c r="NOA38" s="51"/>
      <c r="NOB38" s="51"/>
      <c r="NOC38" s="51"/>
      <c r="NOD38" s="51"/>
      <c r="NOE38" s="51"/>
      <c r="NOF38" s="51"/>
      <c r="NOG38" s="51"/>
      <c r="NOH38" s="51"/>
      <c r="NOI38" s="51"/>
      <c r="NOJ38" s="51"/>
      <c r="NOK38" s="51"/>
      <c r="NOL38" s="51"/>
      <c r="NOM38" s="51"/>
      <c r="NON38" s="51"/>
      <c r="NOO38" s="51"/>
      <c r="NOP38" s="51"/>
      <c r="NOQ38" s="51"/>
      <c r="NOR38" s="51"/>
      <c r="NOS38" s="51"/>
      <c r="NOT38" s="51"/>
      <c r="NOU38" s="51"/>
      <c r="NOV38" s="51"/>
      <c r="NOW38" s="51"/>
      <c r="NOX38" s="51"/>
      <c r="NOY38" s="51"/>
      <c r="NOZ38" s="51"/>
      <c r="NPA38" s="51"/>
      <c r="NPB38" s="51"/>
      <c r="NPC38" s="51"/>
      <c r="NPD38" s="51"/>
      <c r="NPE38" s="51"/>
      <c r="NPF38" s="51"/>
      <c r="NPG38" s="51"/>
      <c r="NPH38" s="51"/>
      <c r="NPI38" s="51"/>
      <c r="NPJ38" s="51"/>
      <c r="NPK38" s="51"/>
      <c r="NPL38" s="51"/>
      <c r="NPM38" s="51"/>
      <c r="NPN38" s="51"/>
      <c r="NPO38" s="51"/>
      <c r="NPP38" s="51"/>
      <c r="NPQ38" s="51"/>
      <c r="NPR38" s="51"/>
      <c r="NPS38" s="51"/>
      <c r="NPT38" s="51"/>
      <c r="NPU38" s="51"/>
      <c r="NPV38" s="51"/>
      <c r="NPW38" s="51"/>
      <c r="NPX38" s="51"/>
      <c r="NPY38" s="51"/>
      <c r="NPZ38" s="51"/>
      <c r="NQA38" s="51"/>
      <c r="NQB38" s="51"/>
      <c r="NQC38" s="51"/>
      <c r="NQD38" s="51"/>
      <c r="NQE38" s="51"/>
      <c r="NQF38" s="51"/>
      <c r="NQG38" s="51"/>
      <c r="NQH38" s="51"/>
      <c r="NQI38" s="51"/>
      <c r="NQJ38" s="51"/>
      <c r="NQK38" s="51"/>
      <c r="NQL38" s="51"/>
      <c r="NQM38" s="51"/>
      <c r="NQN38" s="51"/>
      <c r="NQO38" s="51"/>
      <c r="NQP38" s="51"/>
      <c r="NQQ38" s="51"/>
      <c r="NQR38" s="51"/>
      <c r="NQS38" s="51"/>
      <c r="NQT38" s="51"/>
      <c r="NQU38" s="51"/>
      <c r="NQV38" s="51"/>
      <c r="NQW38" s="51"/>
      <c r="NQX38" s="51"/>
      <c r="NQY38" s="51"/>
      <c r="NQZ38" s="51"/>
      <c r="NRA38" s="51"/>
      <c r="NRB38" s="51"/>
      <c r="NRC38" s="51"/>
      <c r="NRD38" s="51"/>
      <c r="NRE38" s="51"/>
      <c r="NRF38" s="51"/>
      <c r="NRG38" s="51"/>
      <c r="NRH38" s="51"/>
      <c r="NRI38" s="51"/>
      <c r="NRJ38" s="51"/>
      <c r="NRK38" s="51"/>
      <c r="NRL38" s="51"/>
      <c r="NRM38" s="51"/>
      <c r="NRN38" s="51"/>
      <c r="NRO38" s="51"/>
      <c r="NRP38" s="51"/>
      <c r="NRQ38" s="51"/>
      <c r="NRR38" s="51"/>
      <c r="NRS38" s="51"/>
      <c r="NRT38" s="51"/>
      <c r="NRU38" s="51"/>
      <c r="NRV38" s="51"/>
      <c r="NRW38" s="51"/>
      <c r="NRX38" s="51"/>
      <c r="NRY38" s="51"/>
      <c r="NRZ38" s="51"/>
      <c r="NSA38" s="51"/>
      <c r="NSB38" s="51"/>
      <c r="NSC38" s="51"/>
      <c r="NSD38" s="51"/>
      <c r="NSE38" s="51"/>
      <c r="NSF38" s="51"/>
      <c r="NSG38" s="51"/>
      <c r="NSH38" s="51"/>
      <c r="NSI38" s="51"/>
      <c r="NSJ38" s="51"/>
      <c r="NSK38" s="51"/>
      <c r="NSL38" s="51"/>
      <c r="NSM38" s="51"/>
      <c r="NSN38" s="51"/>
      <c r="NSO38" s="51"/>
      <c r="NSP38" s="51"/>
      <c r="NSQ38" s="51"/>
      <c r="NSR38" s="51"/>
      <c r="NSS38" s="51"/>
      <c r="NST38" s="51"/>
      <c r="NSU38" s="51"/>
      <c r="NSV38" s="51"/>
      <c r="NSW38" s="51"/>
      <c r="NSX38" s="51"/>
      <c r="NSY38" s="51"/>
      <c r="NSZ38" s="51"/>
      <c r="NTA38" s="51"/>
      <c r="NTB38" s="51"/>
      <c r="NTC38" s="51"/>
      <c r="NTD38" s="51"/>
      <c r="NTE38" s="51"/>
      <c r="NTF38" s="51"/>
      <c r="NTG38" s="51"/>
      <c r="NTH38" s="51"/>
      <c r="NTI38" s="51"/>
      <c r="NTJ38" s="51"/>
      <c r="NTK38" s="51"/>
      <c r="NTL38" s="51"/>
      <c r="NTM38" s="51"/>
      <c r="NTN38" s="51"/>
      <c r="NTO38" s="51"/>
      <c r="NTP38" s="51"/>
      <c r="NTQ38" s="51"/>
      <c r="NTR38" s="51"/>
      <c r="NTS38" s="51"/>
      <c r="NTT38" s="51"/>
      <c r="NTU38" s="51"/>
      <c r="NTV38" s="51"/>
      <c r="NTW38" s="51"/>
      <c r="NTX38" s="51"/>
      <c r="NTY38" s="51"/>
      <c r="NTZ38" s="51"/>
      <c r="NUA38" s="51"/>
      <c r="NUB38" s="51"/>
      <c r="NUC38" s="51"/>
      <c r="NUD38" s="51"/>
      <c r="NUE38" s="51"/>
      <c r="NUF38" s="51"/>
      <c r="NUG38" s="51"/>
      <c r="NUH38" s="51"/>
      <c r="NUI38" s="51"/>
      <c r="NUJ38" s="51"/>
      <c r="NUK38" s="51"/>
      <c r="NUL38" s="51"/>
      <c r="NUM38" s="51"/>
      <c r="NUN38" s="51"/>
      <c r="NUO38" s="51"/>
      <c r="NUP38" s="51"/>
      <c r="NUQ38" s="51"/>
      <c r="NUR38" s="51"/>
      <c r="NUS38" s="51"/>
      <c r="NUT38" s="51"/>
      <c r="NUU38" s="51"/>
      <c r="NUV38" s="51"/>
      <c r="NUW38" s="51"/>
      <c r="NUX38" s="51"/>
      <c r="NUY38" s="51"/>
      <c r="NUZ38" s="51"/>
      <c r="NVA38" s="51"/>
      <c r="NVB38" s="51"/>
      <c r="NVC38" s="51"/>
      <c r="NVD38" s="51"/>
      <c r="NVE38" s="51"/>
      <c r="NVF38" s="51"/>
      <c r="NVG38" s="51"/>
      <c r="NVH38" s="51"/>
      <c r="NVI38" s="51"/>
      <c r="NVJ38" s="51"/>
      <c r="NVK38" s="51"/>
      <c r="NVL38" s="51"/>
      <c r="NVM38" s="51"/>
      <c r="NVN38" s="51"/>
      <c r="NVO38" s="51"/>
      <c r="NVP38" s="51"/>
      <c r="NVQ38" s="51"/>
      <c r="NVR38" s="51"/>
      <c r="NVS38" s="51"/>
      <c r="NVT38" s="51"/>
      <c r="NVU38" s="51"/>
      <c r="NVV38" s="51"/>
      <c r="NVW38" s="51"/>
      <c r="NVX38" s="51"/>
      <c r="NVY38" s="51"/>
      <c r="NVZ38" s="51"/>
      <c r="NWA38" s="51"/>
      <c r="NWB38" s="51"/>
      <c r="NWC38" s="51"/>
      <c r="NWD38" s="51"/>
      <c r="NWE38" s="51"/>
      <c r="NWF38" s="51"/>
      <c r="NWG38" s="51"/>
      <c r="NWH38" s="51"/>
      <c r="NWI38" s="51"/>
      <c r="NWJ38" s="51"/>
      <c r="NWK38" s="51"/>
      <c r="NWL38" s="51"/>
      <c r="NWM38" s="51"/>
      <c r="NWN38" s="51"/>
      <c r="NWO38" s="51"/>
      <c r="NWP38" s="51"/>
      <c r="NWQ38" s="51"/>
      <c r="NWR38" s="51"/>
      <c r="NWS38" s="51"/>
      <c r="NWT38" s="51"/>
      <c r="NWU38" s="51"/>
      <c r="NWV38" s="51"/>
      <c r="NWW38" s="51"/>
      <c r="NWX38" s="51"/>
      <c r="NWY38" s="51"/>
      <c r="NWZ38" s="51"/>
      <c r="NXA38" s="51"/>
      <c r="NXB38" s="51"/>
      <c r="NXC38" s="51"/>
      <c r="NXD38" s="51"/>
      <c r="NXE38" s="51"/>
      <c r="NXF38" s="51"/>
      <c r="NXG38" s="51"/>
      <c r="NXH38" s="51"/>
      <c r="NXI38" s="51"/>
      <c r="NXJ38" s="51"/>
      <c r="NXK38" s="51"/>
      <c r="NXL38" s="51"/>
      <c r="NXM38" s="51"/>
      <c r="NXN38" s="51"/>
      <c r="NXO38" s="51"/>
      <c r="NXP38" s="51"/>
      <c r="NXQ38" s="51"/>
      <c r="NXR38" s="51"/>
      <c r="NXS38" s="51"/>
      <c r="NXT38" s="51"/>
      <c r="NXU38" s="51"/>
      <c r="NXV38" s="51"/>
      <c r="NXW38" s="51"/>
      <c r="NXX38" s="51"/>
      <c r="NXY38" s="51"/>
      <c r="NXZ38" s="51"/>
      <c r="NYA38" s="51"/>
      <c r="NYB38" s="51"/>
      <c r="NYC38" s="51"/>
      <c r="NYD38" s="51"/>
      <c r="NYE38" s="51"/>
      <c r="NYF38" s="51"/>
      <c r="NYG38" s="51"/>
      <c r="NYH38" s="51"/>
      <c r="NYI38" s="51"/>
      <c r="NYJ38" s="51"/>
      <c r="NYK38" s="51"/>
      <c r="NYL38" s="51"/>
      <c r="NYM38" s="51"/>
      <c r="NYN38" s="51"/>
      <c r="NYO38" s="51"/>
      <c r="NYP38" s="51"/>
      <c r="NYQ38" s="51"/>
      <c r="NYR38" s="51"/>
      <c r="NYS38" s="51"/>
      <c r="NYT38" s="51"/>
      <c r="NYU38" s="51"/>
      <c r="NYV38" s="51"/>
      <c r="NYW38" s="51"/>
      <c r="NYX38" s="51"/>
      <c r="NYY38" s="51"/>
      <c r="NYZ38" s="51"/>
      <c r="NZA38" s="51"/>
      <c r="NZB38" s="51"/>
      <c r="NZC38" s="51"/>
      <c r="NZD38" s="51"/>
      <c r="NZE38" s="51"/>
      <c r="NZF38" s="51"/>
      <c r="NZG38" s="51"/>
      <c r="NZH38" s="51"/>
      <c r="NZI38" s="51"/>
      <c r="NZJ38" s="51"/>
      <c r="NZK38" s="51"/>
      <c r="NZL38" s="51"/>
      <c r="NZM38" s="51"/>
      <c r="NZN38" s="51"/>
      <c r="NZO38" s="51"/>
      <c r="NZP38" s="51"/>
      <c r="NZQ38" s="51"/>
      <c r="NZR38" s="51"/>
      <c r="NZS38" s="51"/>
      <c r="NZT38" s="51"/>
      <c r="NZU38" s="51"/>
      <c r="NZV38" s="51"/>
      <c r="NZW38" s="51"/>
      <c r="NZX38" s="51"/>
      <c r="NZY38" s="51"/>
      <c r="NZZ38" s="51"/>
      <c r="OAA38" s="51"/>
      <c r="OAB38" s="51"/>
      <c r="OAC38" s="51"/>
      <c r="OAD38" s="51"/>
      <c r="OAE38" s="51"/>
      <c r="OAF38" s="51"/>
      <c r="OAG38" s="51"/>
      <c r="OAH38" s="51"/>
      <c r="OAI38" s="51"/>
      <c r="OAJ38" s="51"/>
      <c r="OAK38" s="51"/>
      <c r="OAL38" s="51"/>
      <c r="OAM38" s="51"/>
      <c r="OAN38" s="51"/>
      <c r="OAO38" s="51"/>
      <c r="OAP38" s="51"/>
      <c r="OAQ38" s="51"/>
      <c r="OAR38" s="51"/>
      <c r="OAS38" s="51"/>
      <c r="OAT38" s="51"/>
      <c r="OAU38" s="51"/>
      <c r="OAV38" s="51"/>
      <c r="OAW38" s="51"/>
      <c r="OAX38" s="51"/>
      <c r="OAY38" s="51"/>
      <c r="OAZ38" s="51"/>
      <c r="OBA38" s="51"/>
      <c r="OBB38" s="51"/>
      <c r="OBC38" s="51"/>
      <c r="OBD38" s="51"/>
      <c r="OBE38" s="51"/>
      <c r="OBF38" s="51"/>
      <c r="OBG38" s="51"/>
      <c r="OBH38" s="51"/>
      <c r="OBI38" s="51"/>
      <c r="OBJ38" s="51"/>
      <c r="OBK38" s="51"/>
      <c r="OBL38" s="51"/>
      <c r="OBM38" s="51"/>
      <c r="OBN38" s="51"/>
      <c r="OBO38" s="51"/>
      <c r="OBP38" s="51"/>
      <c r="OBQ38" s="51"/>
      <c r="OBR38" s="51"/>
      <c r="OBS38" s="51"/>
      <c r="OBT38" s="51"/>
      <c r="OBU38" s="51"/>
      <c r="OBV38" s="51"/>
      <c r="OBW38" s="51"/>
      <c r="OBX38" s="51"/>
      <c r="OBY38" s="51"/>
      <c r="OBZ38" s="51"/>
      <c r="OCA38" s="51"/>
      <c r="OCB38" s="51"/>
      <c r="OCC38" s="51"/>
      <c r="OCD38" s="51"/>
      <c r="OCE38" s="51"/>
      <c r="OCF38" s="51"/>
      <c r="OCG38" s="51"/>
      <c r="OCH38" s="51"/>
      <c r="OCI38" s="51"/>
      <c r="OCJ38" s="51"/>
      <c r="OCK38" s="51"/>
      <c r="OCL38" s="51"/>
      <c r="OCM38" s="51"/>
      <c r="OCN38" s="51"/>
      <c r="OCO38" s="51"/>
      <c r="OCP38" s="51"/>
      <c r="OCQ38" s="51"/>
      <c r="OCR38" s="51"/>
      <c r="OCS38" s="51"/>
      <c r="OCT38" s="51"/>
      <c r="OCU38" s="51"/>
      <c r="OCV38" s="51"/>
      <c r="OCW38" s="51"/>
      <c r="OCX38" s="51"/>
      <c r="OCY38" s="51"/>
      <c r="OCZ38" s="51"/>
      <c r="ODA38" s="51"/>
      <c r="ODB38" s="51"/>
      <c r="ODC38" s="51"/>
      <c r="ODD38" s="51"/>
      <c r="ODE38" s="51"/>
      <c r="ODF38" s="51"/>
      <c r="ODG38" s="51"/>
      <c r="ODH38" s="51"/>
      <c r="ODI38" s="51"/>
      <c r="ODJ38" s="51"/>
      <c r="ODK38" s="51"/>
      <c r="ODL38" s="51"/>
      <c r="ODM38" s="51"/>
      <c r="ODN38" s="51"/>
      <c r="ODO38" s="51"/>
      <c r="ODP38" s="51"/>
      <c r="ODQ38" s="51"/>
      <c r="ODR38" s="51"/>
      <c r="ODS38" s="51"/>
      <c r="ODT38" s="51"/>
      <c r="ODU38" s="51"/>
      <c r="ODV38" s="51"/>
      <c r="ODW38" s="51"/>
      <c r="ODX38" s="51"/>
      <c r="ODY38" s="51"/>
      <c r="ODZ38" s="51"/>
      <c r="OEA38" s="51"/>
      <c r="OEB38" s="51"/>
      <c r="OEC38" s="51"/>
      <c r="OED38" s="51"/>
      <c r="OEE38" s="51"/>
      <c r="OEF38" s="51"/>
      <c r="OEG38" s="51"/>
      <c r="OEH38" s="51"/>
      <c r="OEI38" s="51"/>
      <c r="OEJ38" s="51"/>
      <c r="OEK38" s="51"/>
      <c r="OEL38" s="51"/>
      <c r="OEM38" s="51"/>
      <c r="OEN38" s="51"/>
      <c r="OEO38" s="51"/>
      <c r="OEP38" s="51"/>
      <c r="OEQ38" s="51"/>
      <c r="OER38" s="51"/>
      <c r="OES38" s="51"/>
      <c r="OET38" s="51"/>
      <c r="OEU38" s="51"/>
      <c r="OEV38" s="51"/>
      <c r="OEW38" s="51"/>
      <c r="OEX38" s="51"/>
      <c r="OEY38" s="51"/>
      <c r="OEZ38" s="51"/>
      <c r="OFA38" s="51"/>
      <c r="OFB38" s="51"/>
      <c r="OFC38" s="51"/>
      <c r="OFD38" s="51"/>
      <c r="OFE38" s="51"/>
      <c r="OFF38" s="51"/>
      <c r="OFG38" s="51"/>
      <c r="OFH38" s="51"/>
      <c r="OFI38" s="51"/>
      <c r="OFJ38" s="51"/>
      <c r="OFK38" s="51"/>
      <c r="OFL38" s="51"/>
      <c r="OFM38" s="51"/>
      <c r="OFN38" s="51"/>
      <c r="OFO38" s="51"/>
      <c r="OFP38" s="51"/>
      <c r="OFQ38" s="51"/>
      <c r="OFR38" s="51"/>
      <c r="OFS38" s="51"/>
      <c r="OFT38" s="51"/>
      <c r="OFU38" s="51"/>
      <c r="OFV38" s="51"/>
      <c r="OFW38" s="51"/>
      <c r="OFX38" s="51"/>
      <c r="OFY38" s="51"/>
      <c r="OFZ38" s="51"/>
      <c r="OGA38" s="51"/>
      <c r="OGB38" s="51"/>
      <c r="OGC38" s="51"/>
      <c r="OGD38" s="51"/>
      <c r="OGE38" s="51"/>
      <c r="OGF38" s="51"/>
      <c r="OGG38" s="51"/>
      <c r="OGH38" s="51"/>
      <c r="OGI38" s="51"/>
      <c r="OGJ38" s="51"/>
      <c r="OGK38" s="51"/>
      <c r="OGL38" s="51"/>
      <c r="OGM38" s="51"/>
      <c r="OGN38" s="51"/>
      <c r="OGO38" s="51"/>
      <c r="OGP38" s="51"/>
      <c r="OGQ38" s="51"/>
      <c r="OGR38" s="51"/>
      <c r="OGS38" s="51"/>
      <c r="OGT38" s="51"/>
      <c r="OGU38" s="51"/>
      <c r="OGV38" s="51"/>
      <c r="OGW38" s="51"/>
      <c r="OGX38" s="51"/>
      <c r="OGY38" s="51"/>
      <c r="OGZ38" s="51"/>
      <c r="OHA38" s="51"/>
      <c r="OHB38" s="51"/>
      <c r="OHC38" s="51"/>
      <c r="OHD38" s="51"/>
      <c r="OHE38" s="51"/>
      <c r="OHF38" s="51"/>
      <c r="OHG38" s="51"/>
      <c r="OHH38" s="51"/>
      <c r="OHI38" s="51"/>
      <c r="OHJ38" s="51"/>
      <c r="OHK38" s="51"/>
      <c r="OHL38" s="51"/>
      <c r="OHM38" s="51"/>
      <c r="OHN38" s="51"/>
      <c r="OHO38" s="51"/>
      <c r="OHP38" s="51"/>
      <c r="OHQ38" s="51"/>
      <c r="OHR38" s="51"/>
      <c r="OHS38" s="51"/>
      <c r="OHT38" s="51"/>
      <c r="OHU38" s="51"/>
      <c r="OHV38" s="51"/>
      <c r="OHW38" s="51"/>
      <c r="OHX38" s="51"/>
      <c r="OHY38" s="51"/>
      <c r="OHZ38" s="51"/>
      <c r="OIA38" s="51"/>
      <c r="OIB38" s="51"/>
      <c r="OIC38" s="51"/>
      <c r="OID38" s="51"/>
      <c r="OIE38" s="51"/>
      <c r="OIF38" s="51"/>
      <c r="OIG38" s="51"/>
      <c r="OIH38" s="51"/>
      <c r="OII38" s="51"/>
      <c r="OIJ38" s="51"/>
      <c r="OIK38" s="51"/>
      <c r="OIL38" s="51"/>
      <c r="OIM38" s="51"/>
      <c r="OIN38" s="51"/>
      <c r="OIO38" s="51"/>
      <c r="OIP38" s="51"/>
      <c r="OIQ38" s="51"/>
      <c r="OIR38" s="51"/>
      <c r="OIS38" s="51"/>
      <c r="OIT38" s="51"/>
      <c r="OIU38" s="51"/>
      <c r="OIV38" s="51"/>
      <c r="OIW38" s="51"/>
      <c r="OIX38" s="51"/>
      <c r="OIY38" s="51"/>
      <c r="OIZ38" s="51"/>
      <c r="OJA38" s="51"/>
      <c r="OJB38" s="51"/>
      <c r="OJC38" s="51"/>
      <c r="OJD38" s="51"/>
      <c r="OJE38" s="51"/>
      <c r="OJF38" s="51"/>
      <c r="OJG38" s="51"/>
      <c r="OJH38" s="51"/>
      <c r="OJI38" s="51"/>
      <c r="OJJ38" s="51"/>
      <c r="OJK38" s="51"/>
      <c r="OJL38" s="51"/>
      <c r="OJM38" s="51"/>
      <c r="OJN38" s="51"/>
      <c r="OJO38" s="51"/>
      <c r="OJP38" s="51"/>
      <c r="OJQ38" s="51"/>
      <c r="OJR38" s="51"/>
      <c r="OJS38" s="51"/>
      <c r="OJT38" s="51"/>
      <c r="OJU38" s="51"/>
      <c r="OJV38" s="51"/>
      <c r="OJW38" s="51"/>
      <c r="OJX38" s="51"/>
      <c r="OJY38" s="51"/>
      <c r="OJZ38" s="51"/>
      <c r="OKA38" s="51"/>
      <c r="OKB38" s="51"/>
      <c r="OKC38" s="51"/>
      <c r="OKD38" s="51"/>
      <c r="OKE38" s="51"/>
      <c r="OKF38" s="51"/>
      <c r="OKG38" s="51"/>
      <c r="OKH38" s="51"/>
      <c r="OKI38" s="51"/>
      <c r="OKJ38" s="51"/>
      <c r="OKK38" s="51"/>
      <c r="OKL38" s="51"/>
      <c r="OKM38" s="51"/>
      <c r="OKN38" s="51"/>
      <c r="OKO38" s="51"/>
      <c r="OKP38" s="51"/>
      <c r="OKQ38" s="51"/>
      <c r="OKR38" s="51"/>
      <c r="OKS38" s="51"/>
      <c r="OKT38" s="51"/>
      <c r="OKU38" s="51"/>
      <c r="OKV38" s="51"/>
      <c r="OKW38" s="51"/>
      <c r="OKX38" s="51"/>
      <c r="OKY38" s="51"/>
      <c r="OKZ38" s="51"/>
      <c r="OLA38" s="51"/>
      <c r="OLB38" s="51"/>
      <c r="OLC38" s="51"/>
      <c r="OLD38" s="51"/>
      <c r="OLE38" s="51"/>
      <c r="OLF38" s="51"/>
      <c r="OLG38" s="51"/>
      <c r="OLH38" s="51"/>
      <c r="OLI38" s="51"/>
      <c r="OLJ38" s="51"/>
      <c r="OLK38" s="51"/>
      <c r="OLL38" s="51"/>
      <c r="OLM38" s="51"/>
      <c r="OLN38" s="51"/>
      <c r="OLO38" s="51"/>
      <c r="OLP38" s="51"/>
      <c r="OLQ38" s="51"/>
      <c r="OLR38" s="51"/>
      <c r="OLS38" s="51"/>
      <c r="OLT38" s="51"/>
      <c r="OLU38" s="51"/>
      <c r="OLV38" s="51"/>
      <c r="OLW38" s="51"/>
      <c r="OLX38" s="51"/>
      <c r="OLY38" s="51"/>
      <c r="OLZ38" s="51"/>
      <c r="OMA38" s="51"/>
      <c r="OMB38" s="51"/>
      <c r="OMC38" s="51"/>
      <c r="OMD38" s="51"/>
      <c r="OME38" s="51"/>
      <c r="OMF38" s="51"/>
      <c r="OMG38" s="51"/>
      <c r="OMH38" s="51"/>
      <c r="OMI38" s="51"/>
      <c r="OMJ38" s="51"/>
      <c r="OMK38" s="51"/>
      <c r="OML38" s="51"/>
      <c r="OMM38" s="51"/>
      <c r="OMN38" s="51"/>
      <c r="OMO38" s="51"/>
      <c r="OMP38" s="51"/>
      <c r="OMQ38" s="51"/>
      <c r="OMR38" s="51"/>
      <c r="OMS38" s="51"/>
      <c r="OMT38" s="51"/>
      <c r="OMU38" s="51"/>
      <c r="OMV38" s="51"/>
      <c r="OMW38" s="51"/>
      <c r="OMX38" s="51"/>
      <c r="OMY38" s="51"/>
      <c r="OMZ38" s="51"/>
      <c r="ONA38" s="51"/>
      <c r="ONB38" s="51"/>
      <c r="ONC38" s="51"/>
      <c r="OND38" s="51"/>
      <c r="ONE38" s="51"/>
      <c r="ONF38" s="51"/>
      <c r="ONG38" s="51"/>
      <c r="ONH38" s="51"/>
      <c r="ONI38" s="51"/>
      <c r="ONJ38" s="51"/>
      <c r="ONK38" s="51"/>
      <c r="ONL38" s="51"/>
      <c r="ONM38" s="51"/>
      <c r="ONN38" s="51"/>
      <c r="ONO38" s="51"/>
      <c r="ONP38" s="51"/>
      <c r="ONQ38" s="51"/>
      <c r="ONR38" s="51"/>
      <c r="ONS38" s="51"/>
      <c r="ONT38" s="51"/>
      <c r="ONU38" s="51"/>
      <c r="ONV38" s="51"/>
      <c r="ONW38" s="51"/>
      <c r="ONX38" s="51"/>
      <c r="ONY38" s="51"/>
      <c r="ONZ38" s="51"/>
      <c r="OOA38" s="51"/>
      <c r="OOB38" s="51"/>
      <c r="OOC38" s="51"/>
      <c r="OOD38" s="51"/>
      <c r="OOE38" s="51"/>
      <c r="OOF38" s="51"/>
      <c r="OOG38" s="51"/>
      <c r="OOH38" s="51"/>
      <c r="OOI38" s="51"/>
      <c r="OOJ38" s="51"/>
      <c r="OOK38" s="51"/>
      <c r="OOL38" s="51"/>
      <c r="OOM38" s="51"/>
      <c r="OON38" s="51"/>
      <c r="OOO38" s="51"/>
      <c r="OOP38" s="51"/>
      <c r="OOQ38" s="51"/>
      <c r="OOR38" s="51"/>
      <c r="OOS38" s="51"/>
      <c r="OOT38" s="51"/>
      <c r="OOU38" s="51"/>
      <c r="OOV38" s="51"/>
      <c r="OOW38" s="51"/>
      <c r="OOX38" s="51"/>
      <c r="OOY38" s="51"/>
      <c r="OOZ38" s="51"/>
      <c r="OPA38" s="51"/>
      <c r="OPB38" s="51"/>
      <c r="OPC38" s="51"/>
      <c r="OPD38" s="51"/>
      <c r="OPE38" s="51"/>
      <c r="OPF38" s="51"/>
      <c r="OPG38" s="51"/>
      <c r="OPH38" s="51"/>
      <c r="OPI38" s="51"/>
      <c r="OPJ38" s="51"/>
      <c r="OPK38" s="51"/>
      <c r="OPL38" s="51"/>
      <c r="OPM38" s="51"/>
      <c r="OPN38" s="51"/>
      <c r="OPO38" s="51"/>
      <c r="OPP38" s="51"/>
      <c r="OPQ38" s="51"/>
      <c r="OPR38" s="51"/>
      <c r="OPS38" s="51"/>
      <c r="OPT38" s="51"/>
      <c r="OPU38" s="51"/>
      <c r="OPV38" s="51"/>
      <c r="OPW38" s="51"/>
      <c r="OPX38" s="51"/>
      <c r="OPY38" s="51"/>
      <c r="OPZ38" s="51"/>
      <c r="OQA38" s="51"/>
      <c r="OQB38" s="51"/>
      <c r="OQC38" s="51"/>
      <c r="OQD38" s="51"/>
      <c r="OQE38" s="51"/>
      <c r="OQF38" s="51"/>
      <c r="OQG38" s="51"/>
      <c r="OQH38" s="51"/>
      <c r="OQI38" s="51"/>
      <c r="OQJ38" s="51"/>
      <c r="OQK38" s="51"/>
      <c r="OQL38" s="51"/>
      <c r="OQM38" s="51"/>
      <c r="OQN38" s="51"/>
      <c r="OQO38" s="51"/>
      <c r="OQP38" s="51"/>
      <c r="OQQ38" s="51"/>
      <c r="OQR38" s="51"/>
      <c r="OQS38" s="51"/>
      <c r="OQT38" s="51"/>
      <c r="OQU38" s="51"/>
      <c r="OQV38" s="51"/>
      <c r="OQW38" s="51"/>
      <c r="OQX38" s="51"/>
      <c r="OQY38" s="51"/>
      <c r="OQZ38" s="51"/>
      <c r="ORA38" s="51"/>
      <c r="ORB38" s="51"/>
      <c r="ORC38" s="51"/>
      <c r="ORD38" s="51"/>
      <c r="ORE38" s="51"/>
      <c r="ORF38" s="51"/>
      <c r="ORG38" s="51"/>
      <c r="ORH38" s="51"/>
      <c r="ORI38" s="51"/>
      <c r="ORJ38" s="51"/>
      <c r="ORK38" s="51"/>
      <c r="ORL38" s="51"/>
      <c r="ORM38" s="51"/>
      <c r="ORN38" s="51"/>
      <c r="ORO38" s="51"/>
      <c r="ORP38" s="51"/>
      <c r="ORQ38" s="51"/>
      <c r="ORR38" s="51"/>
      <c r="ORS38" s="51"/>
      <c r="ORT38" s="51"/>
      <c r="ORU38" s="51"/>
      <c r="ORV38" s="51"/>
      <c r="ORW38" s="51"/>
      <c r="ORX38" s="51"/>
      <c r="ORY38" s="51"/>
      <c r="ORZ38" s="51"/>
      <c r="OSA38" s="51"/>
      <c r="OSB38" s="51"/>
      <c r="OSC38" s="51"/>
      <c r="OSD38" s="51"/>
      <c r="OSE38" s="51"/>
      <c r="OSF38" s="51"/>
      <c r="OSG38" s="51"/>
      <c r="OSH38" s="51"/>
      <c r="OSI38" s="51"/>
      <c r="OSJ38" s="51"/>
      <c r="OSK38" s="51"/>
      <c r="OSL38" s="51"/>
      <c r="OSM38" s="51"/>
      <c r="OSN38" s="51"/>
      <c r="OSO38" s="51"/>
      <c r="OSP38" s="51"/>
      <c r="OSQ38" s="51"/>
      <c r="OSR38" s="51"/>
      <c r="OSS38" s="51"/>
      <c r="OST38" s="51"/>
      <c r="OSU38" s="51"/>
      <c r="OSV38" s="51"/>
      <c r="OSW38" s="51"/>
      <c r="OSX38" s="51"/>
      <c r="OSY38" s="51"/>
      <c r="OSZ38" s="51"/>
      <c r="OTA38" s="51"/>
      <c r="OTB38" s="51"/>
      <c r="OTC38" s="51"/>
      <c r="OTD38" s="51"/>
      <c r="OTE38" s="51"/>
      <c r="OTF38" s="51"/>
      <c r="OTG38" s="51"/>
      <c r="OTH38" s="51"/>
      <c r="OTI38" s="51"/>
      <c r="OTJ38" s="51"/>
      <c r="OTK38" s="51"/>
      <c r="OTL38" s="51"/>
      <c r="OTM38" s="51"/>
      <c r="OTN38" s="51"/>
      <c r="OTO38" s="51"/>
      <c r="OTP38" s="51"/>
      <c r="OTQ38" s="51"/>
      <c r="OTR38" s="51"/>
      <c r="OTS38" s="51"/>
      <c r="OTT38" s="51"/>
      <c r="OTU38" s="51"/>
      <c r="OTV38" s="51"/>
      <c r="OTW38" s="51"/>
      <c r="OTX38" s="51"/>
      <c r="OTY38" s="51"/>
      <c r="OTZ38" s="51"/>
      <c r="OUA38" s="51"/>
      <c r="OUB38" s="51"/>
      <c r="OUC38" s="51"/>
      <c r="OUD38" s="51"/>
      <c r="OUE38" s="51"/>
      <c r="OUF38" s="51"/>
      <c r="OUG38" s="51"/>
      <c r="OUH38" s="51"/>
      <c r="OUI38" s="51"/>
      <c r="OUJ38" s="51"/>
      <c r="OUK38" s="51"/>
      <c r="OUL38" s="51"/>
      <c r="OUM38" s="51"/>
      <c r="OUN38" s="51"/>
      <c r="OUO38" s="51"/>
      <c r="OUP38" s="51"/>
      <c r="OUQ38" s="51"/>
      <c r="OUR38" s="51"/>
      <c r="OUS38" s="51"/>
      <c r="OUT38" s="51"/>
      <c r="OUU38" s="51"/>
      <c r="OUV38" s="51"/>
      <c r="OUW38" s="51"/>
      <c r="OUX38" s="51"/>
      <c r="OUY38" s="51"/>
      <c r="OUZ38" s="51"/>
      <c r="OVA38" s="51"/>
      <c r="OVB38" s="51"/>
      <c r="OVC38" s="51"/>
      <c r="OVD38" s="51"/>
      <c r="OVE38" s="51"/>
      <c r="OVF38" s="51"/>
      <c r="OVG38" s="51"/>
      <c r="OVH38" s="51"/>
      <c r="OVI38" s="51"/>
      <c r="OVJ38" s="51"/>
      <c r="OVK38" s="51"/>
      <c r="OVL38" s="51"/>
      <c r="OVM38" s="51"/>
      <c r="OVN38" s="51"/>
      <c r="OVO38" s="51"/>
      <c r="OVP38" s="51"/>
      <c r="OVQ38" s="51"/>
      <c r="OVR38" s="51"/>
      <c r="OVS38" s="51"/>
      <c r="OVT38" s="51"/>
      <c r="OVU38" s="51"/>
      <c r="OVV38" s="51"/>
      <c r="OVW38" s="51"/>
      <c r="OVX38" s="51"/>
      <c r="OVY38" s="51"/>
      <c r="OVZ38" s="51"/>
      <c r="OWA38" s="51"/>
      <c r="OWB38" s="51"/>
      <c r="OWC38" s="51"/>
      <c r="OWD38" s="51"/>
      <c r="OWE38" s="51"/>
      <c r="OWF38" s="51"/>
      <c r="OWG38" s="51"/>
      <c r="OWH38" s="51"/>
      <c r="OWI38" s="51"/>
      <c r="OWJ38" s="51"/>
      <c r="OWK38" s="51"/>
      <c r="OWL38" s="51"/>
      <c r="OWM38" s="51"/>
      <c r="OWN38" s="51"/>
      <c r="OWO38" s="51"/>
      <c r="OWP38" s="51"/>
      <c r="OWQ38" s="51"/>
      <c r="OWR38" s="51"/>
      <c r="OWS38" s="51"/>
      <c r="OWT38" s="51"/>
      <c r="OWU38" s="51"/>
      <c r="OWV38" s="51"/>
      <c r="OWW38" s="51"/>
      <c r="OWX38" s="51"/>
      <c r="OWY38" s="51"/>
      <c r="OWZ38" s="51"/>
      <c r="OXA38" s="51"/>
      <c r="OXB38" s="51"/>
      <c r="OXC38" s="51"/>
      <c r="OXD38" s="51"/>
      <c r="OXE38" s="51"/>
      <c r="OXF38" s="51"/>
      <c r="OXG38" s="51"/>
      <c r="OXH38" s="51"/>
      <c r="OXI38" s="51"/>
      <c r="OXJ38" s="51"/>
      <c r="OXK38" s="51"/>
      <c r="OXL38" s="51"/>
      <c r="OXM38" s="51"/>
      <c r="OXN38" s="51"/>
      <c r="OXO38" s="51"/>
      <c r="OXP38" s="51"/>
      <c r="OXQ38" s="51"/>
      <c r="OXR38" s="51"/>
      <c r="OXS38" s="51"/>
      <c r="OXT38" s="51"/>
      <c r="OXU38" s="51"/>
      <c r="OXV38" s="51"/>
      <c r="OXW38" s="51"/>
      <c r="OXX38" s="51"/>
      <c r="OXY38" s="51"/>
      <c r="OXZ38" s="51"/>
      <c r="OYA38" s="51"/>
      <c r="OYB38" s="51"/>
      <c r="OYC38" s="51"/>
      <c r="OYD38" s="51"/>
      <c r="OYE38" s="51"/>
      <c r="OYF38" s="51"/>
      <c r="OYG38" s="51"/>
      <c r="OYH38" s="51"/>
      <c r="OYI38" s="51"/>
      <c r="OYJ38" s="51"/>
      <c r="OYK38" s="51"/>
      <c r="OYL38" s="51"/>
      <c r="OYM38" s="51"/>
      <c r="OYN38" s="51"/>
      <c r="OYO38" s="51"/>
      <c r="OYP38" s="51"/>
      <c r="OYQ38" s="51"/>
      <c r="OYR38" s="51"/>
      <c r="OYS38" s="51"/>
      <c r="OYT38" s="51"/>
      <c r="OYU38" s="51"/>
      <c r="OYV38" s="51"/>
      <c r="OYW38" s="51"/>
      <c r="OYX38" s="51"/>
      <c r="OYY38" s="51"/>
      <c r="OYZ38" s="51"/>
      <c r="OZA38" s="51"/>
      <c r="OZB38" s="51"/>
      <c r="OZC38" s="51"/>
      <c r="OZD38" s="51"/>
      <c r="OZE38" s="51"/>
      <c r="OZF38" s="51"/>
      <c r="OZG38" s="51"/>
      <c r="OZH38" s="51"/>
      <c r="OZI38" s="51"/>
      <c r="OZJ38" s="51"/>
      <c r="OZK38" s="51"/>
      <c r="OZL38" s="51"/>
      <c r="OZM38" s="51"/>
      <c r="OZN38" s="51"/>
      <c r="OZO38" s="51"/>
      <c r="OZP38" s="51"/>
      <c r="OZQ38" s="51"/>
      <c r="OZR38" s="51"/>
      <c r="OZS38" s="51"/>
      <c r="OZT38" s="51"/>
      <c r="OZU38" s="51"/>
      <c r="OZV38" s="51"/>
      <c r="OZW38" s="51"/>
      <c r="OZX38" s="51"/>
      <c r="OZY38" s="51"/>
      <c r="OZZ38" s="51"/>
      <c r="PAA38" s="51"/>
      <c r="PAB38" s="51"/>
      <c r="PAC38" s="51"/>
      <c r="PAD38" s="51"/>
      <c r="PAE38" s="51"/>
      <c r="PAF38" s="51"/>
      <c r="PAG38" s="51"/>
      <c r="PAH38" s="51"/>
      <c r="PAI38" s="51"/>
      <c r="PAJ38" s="51"/>
      <c r="PAK38" s="51"/>
      <c r="PAL38" s="51"/>
      <c r="PAM38" s="51"/>
      <c r="PAN38" s="51"/>
      <c r="PAO38" s="51"/>
      <c r="PAP38" s="51"/>
      <c r="PAQ38" s="51"/>
      <c r="PAR38" s="51"/>
      <c r="PAS38" s="51"/>
      <c r="PAT38" s="51"/>
      <c r="PAU38" s="51"/>
      <c r="PAV38" s="51"/>
      <c r="PAW38" s="51"/>
      <c r="PAX38" s="51"/>
      <c r="PAY38" s="51"/>
      <c r="PAZ38" s="51"/>
      <c r="PBA38" s="51"/>
      <c r="PBB38" s="51"/>
      <c r="PBC38" s="51"/>
      <c r="PBD38" s="51"/>
      <c r="PBE38" s="51"/>
      <c r="PBF38" s="51"/>
      <c r="PBG38" s="51"/>
      <c r="PBH38" s="51"/>
      <c r="PBI38" s="51"/>
      <c r="PBJ38" s="51"/>
      <c r="PBK38" s="51"/>
      <c r="PBL38" s="51"/>
      <c r="PBM38" s="51"/>
      <c r="PBN38" s="51"/>
      <c r="PBO38" s="51"/>
      <c r="PBP38" s="51"/>
      <c r="PBQ38" s="51"/>
      <c r="PBR38" s="51"/>
      <c r="PBS38" s="51"/>
      <c r="PBT38" s="51"/>
      <c r="PBU38" s="51"/>
      <c r="PBV38" s="51"/>
      <c r="PBW38" s="51"/>
      <c r="PBX38" s="51"/>
      <c r="PBY38" s="51"/>
      <c r="PBZ38" s="51"/>
      <c r="PCA38" s="51"/>
      <c r="PCB38" s="51"/>
      <c r="PCC38" s="51"/>
      <c r="PCD38" s="51"/>
      <c r="PCE38" s="51"/>
      <c r="PCF38" s="51"/>
      <c r="PCG38" s="51"/>
      <c r="PCH38" s="51"/>
      <c r="PCI38" s="51"/>
      <c r="PCJ38" s="51"/>
      <c r="PCK38" s="51"/>
      <c r="PCL38" s="51"/>
      <c r="PCM38" s="51"/>
      <c r="PCN38" s="51"/>
      <c r="PCO38" s="51"/>
      <c r="PCP38" s="51"/>
      <c r="PCQ38" s="51"/>
      <c r="PCR38" s="51"/>
      <c r="PCS38" s="51"/>
      <c r="PCT38" s="51"/>
      <c r="PCU38" s="51"/>
      <c r="PCV38" s="51"/>
      <c r="PCW38" s="51"/>
      <c r="PCX38" s="51"/>
      <c r="PCY38" s="51"/>
      <c r="PCZ38" s="51"/>
      <c r="PDA38" s="51"/>
      <c r="PDB38" s="51"/>
      <c r="PDC38" s="51"/>
      <c r="PDD38" s="51"/>
      <c r="PDE38" s="51"/>
      <c r="PDF38" s="51"/>
      <c r="PDG38" s="51"/>
      <c r="PDH38" s="51"/>
      <c r="PDI38" s="51"/>
      <c r="PDJ38" s="51"/>
      <c r="PDK38" s="51"/>
      <c r="PDL38" s="51"/>
      <c r="PDM38" s="51"/>
      <c r="PDN38" s="51"/>
      <c r="PDO38" s="51"/>
      <c r="PDP38" s="51"/>
      <c r="PDQ38" s="51"/>
      <c r="PDR38" s="51"/>
      <c r="PDS38" s="51"/>
      <c r="PDT38" s="51"/>
      <c r="PDU38" s="51"/>
      <c r="PDV38" s="51"/>
      <c r="PDW38" s="51"/>
      <c r="PDX38" s="51"/>
      <c r="PDY38" s="51"/>
      <c r="PDZ38" s="51"/>
      <c r="PEA38" s="51"/>
      <c r="PEB38" s="51"/>
      <c r="PEC38" s="51"/>
      <c r="PED38" s="51"/>
      <c r="PEE38" s="51"/>
      <c r="PEF38" s="51"/>
      <c r="PEG38" s="51"/>
      <c r="PEH38" s="51"/>
      <c r="PEI38" s="51"/>
      <c r="PEJ38" s="51"/>
      <c r="PEK38" s="51"/>
      <c r="PEL38" s="51"/>
      <c r="PEM38" s="51"/>
      <c r="PEN38" s="51"/>
      <c r="PEO38" s="51"/>
      <c r="PEP38" s="51"/>
      <c r="PEQ38" s="51"/>
      <c r="PER38" s="51"/>
      <c r="PES38" s="51"/>
      <c r="PET38" s="51"/>
      <c r="PEU38" s="51"/>
      <c r="PEV38" s="51"/>
      <c r="PEW38" s="51"/>
      <c r="PEX38" s="51"/>
      <c r="PEY38" s="51"/>
      <c r="PEZ38" s="51"/>
      <c r="PFA38" s="51"/>
      <c r="PFB38" s="51"/>
      <c r="PFC38" s="51"/>
      <c r="PFD38" s="51"/>
      <c r="PFE38" s="51"/>
      <c r="PFF38" s="51"/>
      <c r="PFG38" s="51"/>
      <c r="PFH38" s="51"/>
      <c r="PFI38" s="51"/>
      <c r="PFJ38" s="51"/>
      <c r="PFK38" s="51"/>
      <c r="PFL38" s="51"/>
      <c r="PFM38" s="51"/>
      <c r="PFN38" s="51"/>
      <c r="PFO38" s="51"/>
      <c r="PFP38" s="51"/>
      <c r="PFQ38" s="51"/>
      <c r="PFR38" s="51"/>
      <c r="PFS38" s="51"/>
      <c r="PFT38" s="51"/>
      <c r="PFU38" s="51"/>
      <c r="PFV38" s="51"/>
      <c r="PFW38" s="51"/>
      <c r="PFX38" s="51"/>
      <c r="PFY38" s="51"/>
      <c r="PFZ38" s="51"/>
      <c r="PGA38" s="51"/>
      <c r="PGB38" s="51"/>
      <c r="PGC38" s="51"/>
      <c r="PGD38" s="51"/>
      <c r="PGE38" s="51"/>
      <c r="PGF38" s="51"/>
      <c r="PGG38" s="51"/>
      <c r="PGH38" s="51"/>
      <c r="PGI38" s="51"/>
      <c r="PGJ38" s="51"/>
      <c r="PGK38" s="51"/>
      <c r="PGL38" s="51"/>
      <c r="PGM38" s="51"/>
      <c r="PGN38" s="51"/>
      <c r="PGO38" s="51"/>
      <c r="PGP38" s="51"/>
      <c r="PGQ38" s="51"/>
      <c r="PGR38" s="51"/>
      <c r="PGS38" s="51"/>
      <c r="PGT38" s="51"/>
      <c r="PGU38" s="51"/>
      <c r="PGV38" s="51"/>
      <c r="PGW38" s="51"/>
      <c r="PGX38" s="51"/>
      <c r="PGY38" s="51"/>
      <c r="PGZ38" s="51"/>
      <c r="PHA38" s="51"/>
      <c r="PHB38" s="51"/>
      <c r="PHC38" s="51"/>
      <c r="PHD38" s="51"/>
      <c r="PHE38" s="51"/>
      <c r="PHF38" s="51"/>
      <c r="PHG38" s="51"/>
      <c r="PHH38" s="51"/>
      <c r="PHI38" s="51"/>
      <c r="PHJ38" s="51"/>
      <c r="PHK38" s="51"/>
      <c r="PHL38" s="51"/>
      <c r="PHM38" s="51"/>
      <c r="PHN38" s="51"/>
      <c r="PHO38" s="51"/>
      <c r="PHP38" s="51"/>
      <c r="PHQ38" s="51"/>
      <c r="PHR38" s="51"/>
      <c r="PHS38" s="51"/>
      <c r="PHT38" s="51"/>
      <c r="PHU38" s="51"/>
      <c r="PHV38" s="51"/>
      <c r="PHW38" s="51"/>
      <c r="PHX38" s="51"/>
      <c r="PHY38" s="51"/>
      <c r="PHZ38" s="51"/>
      <c r="PIA38" s="51"/>
      <c r="PIB38" s="51"/>
      <c r="PIC38" s="51"/>
      <c r="PID38" s="51"/>
      <c r="PIE38" s="51"/>
      <c r="PIF38" s="51"/>
      <c r="PIG38" s="51"/>
      <c r="PIH38" s="51"/>
      <c r="PII38" s="51"/>
      <c r="PIJ38" s="51"/>
      <c r="PIK38" s="51"/>
      <c r="PIL38" s="51"/>
      <c r="PIM38" s="51"/>
      <c r="PIN38" s="51"/>
      <c r="PIO38" s="51"/>
      <c r="PIP38" s="51"/>
      <c r="PIQ38" s="51"/>
      <c r="PIR38" s="51"/>
      <c r="PIS38" s="51"/>
      <c r="PIT38" s="51"/>
      <c r="PIU38" s="51"/>
      <c r="PIV38" s="51"/>
      <c r="PIW38" s="51"/>
      <c r="PIX38" s="51"/>
      <c r="PIY38" s="51"/>
      <c r="PIZ38" s="51"/>
      <c r="PJA38" s="51"/>
      <c r="PJB38" s="51"/>
      <c r="PJC38" s="51"/>
      <c r="PJD38" s="51"/>
      <c r="PJE38" s="51"/>
      <c r="PJF38" s="51"/>
      <c r="PJG38" s="51"/>
      <c r="PJH38" s="51"/>
      <c r="PJI38" s="51"/>
      <c r="PJJ38" s="51"/>
      <c r="PJK38" s="51"/>
      <c r="PJL38" s="51"/>
      <c r="PJM38" s="51"/>
      <c r="PJN38" s="51"/>
      <c r="PJO38" s="51"/>
      <c r="PJP38" s="51"/>
      <c r="PJQ38" s="51"/>
      <c r="PJR38" s="51"/>
      <c r="PJS38" s="51"/>
      <c r="PJT38" s="51"/>
      <c r="PJU38" s="51"/>
      <c r="PJV38" s="51"/>
      <c r="PJW38" s="51"/>
      <c r="PJX38" s="51"/>
      <c r="PJY38" s="51"/>
      <c r="PJZ38" s="51"/>
      <c r="PKA38" s="51"/>
      <c r="PKB38" s="51"/>
      <c r="PKC38" s="51"/>
      <c r="PKD38" s="51"/>
      <c r="PKE38" s="51"/>
      <c r="PKF38" s="51"/>
      <c r="PKG38" s="51"/>
      <c r="PKH38" s="51"/>
      <c r="PKI38" s="51"/>
      <c r="PKJ38" s="51"/>
      <c r="PKK38" s="51"/>
      <c r="PKL38" s="51"/>
      <c r="PKM38" s="51"/>
      <c r="PKN38" s="51"/>
      <c r="PKO38" s="51"/>
      <c r="PKP38" s="51"/>
      <c r="PKQ38" s="51"/>
      <c r="PKR38" s="51"/>
      <c r="PKS38" s="51"/>
      <c r="PKT38" s="51"/>
      <c r="PKU38" s="51"/>
      <c r="PKV38" s="51"/>
      <c r="PKW38" s="51"/>
      <c r="PKX38" s="51"/>
      <c r="PKY38" s="51"/>
      <c r="PKZ38" s="51"/>
      <c r="PLA38" s="51"/>
      <c r="PLB38" s="51"/>
      <c r="PLC38" s="51"/>
      <c r="PLD38" s="51"/>
      <c r="PLE38" s="51"/>
      <c r="PLF38" s="51"/>
      <c r="PLG38" s="51"/>
      <c r="PLH38" s="51"/>
      <c r="PLI38" s="51"/>
      <c r="PLJ38" s="51"/>
      <c r="PLK38" s="51"/>
      <c r="PLL38" s="51"/>
      <c r="PLM38" s="51"/>
      <c r="PLN38" s="51"/>
      <c r="PLO38" s="51"/>
      <c r="PLP38" s="51"/>
      <c r="PLQ38" s="51"/>
      <c r="PLR38" s="51"/>
      <c r="PLS38" s="51"/>
      <c r="PLT38" s="51"/>
      <c r="PLU38" s="51"/>
      <c r="PLV38" s="51"/>
      <c r="PLW38" s="51"/>
      <c r="PLX38" s="51"/>
      <c r="PLY38" s="51"/>
      <c r="PLZ38" s="51"/>
      <c r="PMA38" s="51"/>
      <c r="PMB38" s="51"/>
      <c r="PMC38" s="51"/>
      <c r="PMD38" s="51"/>
      <c r="PME38" s="51"/>
      <c r="PMF38" s="51"/>
      <c r="PMG38" s="51"/>
      <c r="PMH38" s="51"/>
      <c r="PMI38" s="51"/>
      <c r="PMJ38" s="51"/>
      <c r="PMK38" s="51"/>
      <c r="PML38" s="51"/>
      <c r="PMM38" s="51"/>
      <c r="PMN38" s="51"/>
      <c r="PMO38" s="51"/>
      <c r="PMP38" s="51"/>
      <c r="PMQ38" s="51"/>
      <c r="PMR38" s="51"/>
      <c r="PMS38" s="51"/>
      <c r="PMT38" s="51"/>
      <c r="PMU38" s="51"/>
      <c r="PMV38" s="51"/>
      <c r="PMW38" s="51"/>
      <c r="PMX38" s="51"/>
      <c r="PMY38" s="51"/>
      <c r="PMZ38" s="51"/>
      <c r="PNA38" s="51"/>
      <c r="PNB38" s="51"/>
      <c r="PNC38" s="51"/>
      <c r="PND38" s="51"/>
      <c r="PNE38" s="51"/>
      <c r="PNF38" s="51"/>
      <c r="PNG38" s="51"/>
      <c r="PNH38" s="51"/>
      <c r="PNI38" s="51"/>
      <c r="PNJ38" s="51"/>
      <c r="PNK38" s="51"/>
      <c r="PNL38" s="51"/>
      <c r="PNM38" s="51"/>
      <c r="PNN38" s="51"/>
      <c r="PNO38" s="51"/>
      <c r="PNP38" s="51"/>
      <c r="PNQ38" s="51"/>
      <c r="PNR38" s="51"/>
      <c r="PNS38" s="51"/>
      <c r="PNT38" s="51"/>
      <c r="PNU38" s="51"/>
      <c r="PNV38" s="51"/>
      <c r="PNW38" s="51"/>
      <c r="PNX38" s="51"/>
      <c r="PNY38" s="51"/>
      <c r="PNZ38" s="51"/>
      <c r="POA38" s="51"/>
      <c r="POB38" s="51"/>
      <c r="POC38" s="51"/>
      <c r="POD38" s="51"/>
      <c r="POE38" s="51"/>
      <c r="POF38" s="51"/>
      <c r="POG38" s="51"/>
      <c r="POH38" s="51"/>
      <c r="POI38" s="51"/>
      <c r="POJ38" s="51"/>
      <c r="POK38" s="51"/>
      <c r="POL38" s="51"/>
      <c r="POM38" s="51"/>
      <c r="PON38" s="51"/>
      <c r="POO38" s="51"/>
      <c r="POP38" s="51"/>
      <c r="POQ38" s="51"/>
      <c r="POR38" s="51"/>
      <c r="POS38" s="51"/>
      <c r="POT38" s="51"/>
      <c r="POU38" s="51"/>
      <c r="POV38" s="51"/>
      <c r="POW38" s="51"/>
      <c r="POX38" s="51"/>
      <c r="POY38" s="51"/>
      <c r="POZ38" s="51"/>
      <c r="PPA38" s="51"/>
      <c r="PPB38" s="51"/>
      <c r="PPC38" s="51"/>
      <c r="PPD38" s="51"/>
      <c r="PPE38" s="51"/>
      <c r="PPF38" s="51"/>
      <c r="PPG38" s="51"/>
      <c r="PPH38" s="51"/>
      <c r="PPI38" s="51"/>
      <c r="PPJ38" s="51"/>
      <c r="PPK38" s="51"/>
      <c r="PPL38" s="51"/>
      <c r="PPM38" s="51"/>
      <c r="PPN38" s="51"/>
      <c r="PPO38" s="51"/>
      <c r="PPP38" s="51"/>
      <c r="PPQ38" s="51"/>
      <c r="PPR38" s="51"/>
      <c r="PPS38" s="51"/>
      <c r="PPT38" s="51"/>
      <c r="PPU38" s="51"/>
      <c r="PPV38" s="51"/>
      <c r="PPW38" s="51"/>
      <c r="PPX38" s="51"/>
      <c r="PPY38" s="51"/>
      <c r="PPZ38" s="51"/>
      <c r="PQA38" s="51"/>
      <c r="PQB38" s="51"/>
      <c r="PQC38" s="51"/>
      <c r="PQD38" s="51"/>
      <c r="PQE38" s="51"/>
      <c r="PQF38" s="51"/>
      <c r="PQG38" s="51"/>
      <c r="PQH38" s="51"/>
      <c r="PQI38" s="51"/>
      <c r="PQJ38" s="51"/>
      <c r="PQK38" s="51"/>
      <c r="PQL38" s="51"/>
      <c r="PQM38" s="51"/>
      <c r="PQN38" s="51"/>
      <c r="PQO38" s="51"/>
      <c r="PQP38" s="51"/>
      <c r="PQQ38" s="51"/>
      <c r="PQR38" s="51"/>
      <c r="PQS38" s="51"/>
      <c r="PQT38" s="51"/>
      <c r="PQU38" s="51"/>
      <c r="PQV38" s="51"/>
      <c r="PQW38" s="51"/>
      <c r="PQX38" s="51"/>
      <c r="PQY38" s="51"/>
      <c r="PQZ38" s="51"/>
      <c r="PRA38" s="51"/>
      <c r="PRB38" s="51"/>
      <c r="PRC38" s="51"/>
      <c r="PRD38" s="51"/>
      <c r="PRE38" s="51"/>
      <c r="PRF38" s="51"/>
      <c r="PRG38" s="51"/>
      <c r="PRH38" s="51"/>
      <c r="PRI38" s="51"/>
      <c r="PRJ38" s="51"/>
      <c r="PRK38" s="51"/>
      <c r="PRL38" s="51"/>
      <c r="PRM38" s="51"/>
      <c r="PRN38" s="51"/>
      <c r="PRO38" s="51"/>
      <c r="PRP38" s="51"/>
      <c r="PRQ38" s="51"/>
      <c r="PRR38" s="51"/>
      <c r="PRS38" s="51"/>
      <c r="PRT38" s="51"/>
      <c r="PRU38" s="51"/>
      <c r="PRV38" s="51"/>
      <c r="PRW38" s="51"/>
      <c r="PRX38" s="51"/>
      <c r="PRY38" s="51"/>
      <c r="PRZ38" s="51"/>
      <c r="PSA38" s="51"/>
      <c r="PSB38" s="51"/>
      <c r="PSC38" s="51"/>
      <c r="PSD38" s="51"/>
      <c r="PSE38" s="51"/>
      <c r="PSF38" s="51"/>
      <c r="PSG38" s="51"/>
      <c r="PSH38" s="51"/>
      <c r="PSI38" s="51"/>
      <c r="PSJ38" s="51"/>
      <c r="PSK38" s="51"/>
      <c r="PSL38" s="51"/>
      <c r="PSM38" s="51"/>
      <c r="PSN38" s="51"/>
      <c r="PSO38" s="51"/>
      <c r="PSP38" s="51"/>
      <c r="PSQ38" s="51"/>
      <c r="PSR38" s="51"/>
      <c r="PSS38" s="51"/>
      <c r="PST38" s="51"/>
      <c r="PSU38" s="51"/>
      <c r="PSV38" s="51"/>
      <c r="PSW38" s="51"/>
      <c r="PSX38" s="51"/>
      <c r="PSY38" s="51"/>
      <c r="PSZ38" s="51"/>
      <c r="PTA38" s="51"/>
      <c r="PTB38" s="51"/>
      <c r="PTC38" s="51"/>
      <c r="PTD38" s="51"/>
      <c r="PTE38" s="51"/>
      <c r="PTF38" s="51"/>
      <c r="PTG38" s="51"/>
      <c r="PTH38" s="51"/>
      <c r="PTI38" s="51"/>
      <c r="PTJ38" s="51"/>
      <c r="PTK38" s="51"/>
      <c r="PTL38" s="51"/>
      <c r="PTM38" s="51"/>
      <c r="PTN38" s="51"/>
      <c r="PTO38" s="51"/>
      <c r="PTP38" s="51"/>
      <c r="PTQ38" s="51"/>
      <c r="PTR38" s="51"/>
      <c r="PTS38" s="51"/>
      <c r="PTT38" s="51"/>
      <c r="PTU38" s="51"/>
      <c r="PTV38" s="51"/>
      <c r="PTW38" s="51"/>
      <c r="PTX38" s="51"/>
      <c r="PTY38" s="51"/>
      <c r="PTZ38" s="51"/>
      <c r="PUA38" s="51"/>
      <c r="PUB38" s="51"/>
      <c r="PUC38" s="51"/>
      <c r="PUD38" s="51"/>
      <c r="PUE38" s="51"/>
      <c r="PUF38" s="51"/>
      <c r="PUG38" s="51"/>
      <c r="PUH38" s="51"/>
      <c r="PUI38" s="51"/>
      <c r="PUJ38" s="51"/>
      <c r="PUK38" s="51"/>
      <c r="PUL38" s="51"/>
      <c r="PUM38" s="51"/>
      <c r="PUN38" s="51"/>
      <c r="PUO38" s="51"/>
      <c r="PUP38" s="51"/>
      <c r="PUQ38" s="51"/>
      <c r="PUR38" s="51"/>
      <c r="PUS38" s="51"/>
      <c r="PUT38" s="51"/>
      <c r="PUU38" s="51"/>
      <c r="PUV38" s="51"/>
      <c r="PUW38" s="51"/>
      <c r="PUX38" s="51"/>
      <c r="PUY38" s="51"/>
      <c r="PUZ38" s="51"/>
      <c r="PVA38" s="51"/>
      <c r="PVB38" s="51"/>
      <c r="PVC38" s="51"/>
      <c r="PVD38" s="51"/>
      <c r="PVE38" s="51"/>
      <c r="PVF38" s="51"/>
      <c r="PVG38" s="51"/>
      <c r="PVH38" s="51"/>
      <c r="PVI38" s="51"/>
      <c r="PVJ38" s="51"/>
      <c r="PVK38" s="51"/>
      <c r="PVL38" s="51"/>
      <c r="PVM38" s="51"/>
      <c r="PVN38" s="51"/>
      <c r="PVO38" s="51"/>
      <c r="PVP38" s="51"/>
      <c r="PVQ38" s="51"/>
      <c r="PVR38" s="51"/>
      <c r="PVS38" s="51"/>
      <c r="PVT38" s="51"/>
      <c r="PVU38" s="51"/>
      <c r="PVV38" s="51"/>
      <c r="PVW38" s="51"/>
      <c r="PVX38" s="51"/>
      <c r="PVY38" s="51"/>
      <c r="PVZ38" s="51"/>
      <c r="PWA38" s="51"/>
      <c r="PWB38" s="51"/>
      <c r="PWC38" s="51"/>
      <c r="PWD38" s="51"/>
      <c r="PWE38" s="51"/>
      <c r="PWF38" s="51"/>
      <c r="PWG38" s="51"/>
      <c r="PWH38" s="51"/>
      <c r="PWI38" s="51"/>
      <c r="PWJ38" s="51"/>
      <c r="PWK38" s="51"/>
      <c r="PWL38" s="51"/>
      <c r="PWM38" s="51"/>
      <c r="PWN38" s="51"/>
      <c r="PWO38" s="51"/>
      <c r="PWP38" s="51"/>
      <c r="PWQ38" s="51"/>
      <c r="PWR38" s="51"/>
      <c r="PWS38" s="51"/>
      <c r="PWT38" s="51"/>
      <c r="PWU38" s="51"/>
      <c r="PWV38" s="51"/>
      <c r="PWW38" s="51"/>
      <c r="PWX38" s="51"/>
      <c r="PWY38" s="51"/>
      <c r="PWZ38" s="51"/>
      <c r="PXA38" s="51"/>
      <c r="PXB38" s="51"/>
      <c r="PXC38" s="51"/>
      <c r="PXD38" s="51"/>
      <c r="PXE38" s="51"/>
      <c r="PXF38" s="51"/>
      <c r="PXG38" s="51"/>
      <c r="PXH38" s="51"/>
      <c r="PXI38" s="51"/>
      <c r="PXJ38" s="51"/>
      <c r="PXK38" s="51"/>
      <c r="PXL38" s="51"/>
      <c r="PXM38" s="51"/>
      <c r="PXN38" s="51"/>
      <c r="PXO38" s="51"/>
      <c r="PXP38" s="51"/>
      <c r="PXQ38" s="51"/>
      <c r="PXR38" s="51"/>
      <c r="PXS38" s="51"/>
      <c r="PXT38" s="51"/>
      <c r="PXU38" s="51"/>
      <c r="PXV38" s="51"/>
      <c r="PXW38" s="51"/>
      <c r="PXX38" s="51"/>
      <c r="PXY38" s="51"/>
      <c r="PXZ38" s="51"/>
      <c r="PYA38" s="51"/>
      <c r="PYB38" s="51"/>
      <c r="PYC38" s="51"/>
      <c r="PYD38" s="51"/>
      <c r="PYE38" s="51"/>
      <c r="PYF38" s="51"/>
      <c r="PYG38" s="51"/>
      <c r="PYH38" s="51"/>
      <c r="PYI38" s="51"/>
      <c r="PYJ38" s="51"/>
      <c r="PYK38" s="51"/>
      <c r="PYL38" s="51"/>
      <c r="PYM38" s="51"/>
      <c r="PYN38" s="51"/>
      <c r="PYO38" s="51"/>
      <c r="PYP38" s="51"/>
      <c r="PYQ38" s="51"/>
      <c r="PYR38" s="51"/>
      <c r="PYS38" s="51"/>
      <c r="PYT38" s="51"/>
      <c r="PYU38" s="51"/>
      <c r="PYV38" s="51"/>
      <c r="PYW38" s="51"/>
      <c r="PYX38" s="51"/>
      <c r="PYY38" s="51"/>
      <c r="PYZ38" s="51"/>
      <c r="PZA38" s="51"/>
      <c r="PZB38" s="51"/>
      <c r="PZC38" s="51"/>
      <c r="PZD38" s="51"/>
      <c r="PZE38" s="51"/>
      <c r="PZF38" s="51"/>
      <c r="PZG38" s="51"/>
      <c r="PZH38" s="51"/>
      <c r="PZI38" s="51"/>
      <c r="PZJ38" s="51"/>
      <c r="PZK38" s="51"/>
      <c r="PZL38" s="51"/>
      <c r="PZM38" s="51"/>
      <c r="PZN38" s="51"/>
      <c r="PZO38" s="51"/>
      <c r="PZP38" s="51"/>
      <c r="PZQ38" s="51"/>
      <c r="PZR38" s="51"/>
      <c r="PZS38" s="51"/>
      <c r="PZT38" s="51"/>
      <c r="PZU38" s="51"/>
      <c r="PZV38" s="51"/>
      <c r="PZW38" s="51"/>
      <c r="PZX38" s="51"/>
      <c r="PZY38" s="51"/>
      <c r="PZZ38" s="51"/>
      <c r="QAA38" s="51"/>
      <c r="QAB38" s="51"/>
      <c r="QAC38" s="51"/>
      <c r="QAD38" s="51"/>
      <c r="QAE38" s="51"/>
      <c r="QAF38" s="51"/>
      <c r="QAG38" s="51"/>
      <c r="QAH38" s="51"/>
      <c r="QAI38" s="51"/>
      <c r="QAJ38" s="51"/>
      <c r="QAK38" s="51"/>
      <c r="QAL38" s="51"/>
      <c r="QAM38" s="51"/>
      <c r="QAN38" s="51"/>
      <c r="QAO38" s="51"/>
      <c r="QAP38" s="51"/>
      <c r="QAQ38" s="51"/>
      <c r="QAR38" s="51"/>
      <c r="QAS38" s="51"/>
      <c r="QAT38" s="51"/>
      <c r="QAU38" s="51"/>
      <c r="QAV38" s="51"/>
      <c r="QAW38" s="51"/>
      <c r="QAX38" s="51"/>
      <c r="QAY38" s="51"/>
      <c r="QAZ38" s="51"/>
      <c r="QBA38" s="51"/>
      <c r="QBB38" s="51"/>
      <c r="QBC38" s="51"/>
      <c r="QBD38" s="51"/>
      <c r="QBE38" s="51"/>
      <c r="QBF38" s="51"/>
      <c r="QBG38" s="51"/>
      <c r="QBH38" s="51"/>
      <c r="QBI38" s="51"/>
      <c r="QBJ38" s="51"/>
      <c r="QBK38" s="51"/>
      <c r="QBL38" s="51"/>
      <c r="QBM38" s="51"/>
      <c r="QBN38" s="51"/>
      <c r="QBO38" s="51"/>
      <c r="QBP38" s="51"/>
      <c r="QBQ38" s="51"/>
      <c r="QBR38" s="51"/>
      <c r="QBS38" s="51"/>
      <c r="QBT38" s="51"/>
      <c r="QBU38" s="51"/>
      <c r="QBV38" s="51"/>
      <c r="QBW38" s="51"/>
      <c r="QBX38" s="51"/>
      <c r="QBY38" s="51"/>
      <c r="QBZ38" s="51"/>
      <c r="QCA38" s="51"/>
      <c r="QCB38" s="51"/>
      <c r="QCC38" s="51"/>
      <c r="QCD38" s="51"/>
      <c r="QCE38" s="51"/>
      <c r="QCF38" s="51"/>
      <c r="QCG38" s="51"/>
      <c r="QCH38" s="51"/>
      <c r="QCI38" s="51"/>
      <c r="QCJ38" s="51"/>
      <c r="QCK38" s="51"/>
      <c r="QCL38" s="51"/>
      <c r="QCM38" s="51"/>
      <c r="QCN38" s="51"/>
      <c r="QCO38" s="51"/>
      <c r="QCP38" s="51"/>
      <c r="QCQ38" s="51"/>
      <c r="QCR38" s="51"/>
      <c r="QCS38" s="51"/>
      <c r="QCT38" s="51"/>
      <c r="QCU38" s="51"/>
      <c r="QCV38" s="51"/>
      <c r="QCW38" s="51"/>
      <c r="QCX38" s="51"/>
      <c r="QCY38" s="51"/>
      <c r="QCZ38" s="51"/>
      <c r="QDA38" s="51"/>
      <c r="QDB38" s="51"/>
      <c r="QDC38" s="51"/>
      <c r="QDD38" s="51"/>
      <c r="QDE38" s="51"/>
      <c r="QDF38" s="51"/>
      <c r="QDG38" s="51"/>
      <c r="QDH38" s="51"/>
      <c r="QDI38" s="51"/>
      <c r="QDJ38" s="51"/>
      <c r="QDK38" s="51"/>
      <c r="QDL38" s="51"/>
      <c r="QDM38" s="51"/>
      <c r="QDN38" s="51"/>
      <c r="QDO38" s="51"/>
      <c r="QDP38" s="51"/>
      <c r="QDQ38" s="51"/>
      <c r="QDR38" s="51"/>
      <c r="QDS38" s="51"/>
      <c r="QDT38" s="51"/>
      <c r="QDU38" s="51"/>
      <c r="QDV38" s="51"/>
      <c r="QDW38" s="51"/>
      <c r="QDX38" s="51"/>
      <c r="QDY38" s="51"/>
      <c r="QDZ38" s="51"/>
      <c r="QEA38" s="51"/>
      <c r="QEB38" s="51"/>
      <c r="QEC38" s="51"/>
      <c r="QED38" s="51"/>
      <c r="QEE38" s="51"/>
      <c r="QEF38" s="51"/>
      <c r="QEG38" s="51"/>
      <c r="QEH38" s="51"/>
      <c r="QEI38" s="51"/>
      <c r="QEJ38" s="51"/>
      <c r="QEK38" s="51"/>
      <c r="QEL38" s="51"/>
      <c r="QEM38" s="51"/>
      <c r="QEN38" s="51"/>
      <c r="QEO38" s="51"/>
      <c r="QEP38" s="51"/>
      <c r="QEQ38" s="51"/>
      <c r="QER38" s="51"/>
      <c r="QES38" s="51"/>
      <c r="QET38" s="51"/>
      <c r="QEU38" s="51"/>
      <c r="QEV38" s="51"/>
      <c r="QEW38" s="51"/>
      <c r="QEX38" s="51"/>
      <c r="QEY38" s="51"/>
      <c r="QEZ38" s="51"/>
      <c r="QFA38" s="51"/>
      <c r="QFB38" s="51"/>
      <c r="QFC38" s="51"/>
      <c r="QFD38" s="51"/>
      <c r="QFE38" s="51"/>
      <c r="QFF38" s="51"/>
      <c r="QFG38" s="51"/>
      <c r="QFH38" s="51"/>
      <c r="QFI38" s="51"/>
      <c r="QFJ38" s="51"/>
      <c r="QFK38" s="51"/>
      <c r="QFL38" s="51"/>
      <c r="QFM38" s="51"/>
      <c r="QFN38" s="51"/>
      <c r="QFO38" s="51"/>
      <c r="QFP38" s="51"/>
      <c r="QFQ38" s="51"/>
      <c r="QFR38" s="51"/>
      <c r="QFS38" s="51"/>
      <c r="QFT38" s="51"/>
      <c r="QFU38" s="51"/>
      <c r="QFV38" s="51"/>
      <c r="QFW38" s="51"/>
      <c r="QFX38" s="51"/>
      <c r="QFY38" s="51"/>
      <c r="QFZ38" s="51"/>
      <c r="QGA38" s="51"/>
      <c r="QGB38" s="51"/>
      <c r="QGC38" s="51"/>
      <c r="QGD38" s="51"/>
      <c r="QGE38" s="51"/>
      <c r="QGF38" s="51"/>
      <c r="QGG38" s="51"/>
      <c r="QGH38" s="51"/>
      <c r="QGI38" s="51"/>
      <c r="QGJ38" s="51"/>
      <c r="QGK38" s="51"/>
      <c r="QGL38" s="51"/>
      <c r="QGM38" s="51"/>
      <c r="QGN38" s="51"/>
      <c r="QGO38" s="51"/>
      <c r="QGP38" s="51"/>
      <c r="QGQ38" s="51"/>
      <c r="QGR38" s="51"/>
      <c r="QGS38" s="51"/>
      <c r="QGT38" s="51"/>
      <c r="QGU38" s="51"/>
      <c r="QGV38" s="51"/>
      <c r="QGW38" s="51"/>
      <c r="QGX38" s="51"/>
      <c r="QGY38" s="51"/>
      <c r="QGZ38" s="51"/>
      <c r="QHA38" s="51"/>
      <c r="QHB38" s="51"/>
      <c r="QHC38" s="51"/>
      <c r="QHD38" s="51"/>
      <c r="QHE38" s="51"/>
      <c r="QHF38" s="51"/>
      <c r="QHG38" s="51"/>
      <c r="QHH38" s="51"/>
      <c r="QHI38" s="51"/>
      <c r="QHJ38" s="51"/>
      <c r="QHK38" s="51"/>
      <c r="QHL38" s="51"/>
      <c r="QHM38" s="51"/>
      <c r="QHN38" s="51"/>
      <c r="QHO38" s="51"/>
      <c r="QHP38" s="51"/>
      <c r="QHQ38" s="51"/>
      <c r="QHR38" s="51"/>
      <c r="QHS38" s="51"/>
      <c r="QHT38" s="51"/>
      <c r="QHU38" s="51"/>
      <c r="QHV38" s="51"/>
      <c r="QHW38" s="51"/>
      <c r="QHX38" s="51"/>
      <c r="QHY38" s="51"/>
      <c r="QHZ38" s="51"/>
      <c r="QIA38" s="51"/>
      <c r="QIB38" s="51"/>
      <c r="QIC38" s="51"/>
      <c r="QID38" s="51"/>
      <c r="QIE38" s="51"/>
      <c r="QIF38" s="51"/>
      <c r="QIG38" s="51"/>
      <c r="QIH38" s="51"/>
      <c r="QII38" s="51"/>
      <c r="QIJ38" s="51"/>
      <c r="QIK38" s="51"/>
      <c r="QIL38" s="51"/>
      <c r="QIM38" s="51"/>
      <c r="QIN38" s="51"/>
      <c r="QIO38" s="51"/>
      <c r="QIP38" s="51"/>
      <c r="QIQ38" s="51"/>
      <c r="QIR38" s="51"/>
      <c r="QIS38" s="51"/>
      <c r="QIT38" s="51"/>
      <c r="QIU38" s="51"/>
      <c r="QIV38" s="51"/>
      <c r="QIW38" s="51"/>
      <c r="QIX38" s="51"/>
      <c r="QIY38" s="51"/>
      <c r="QIZ38" s="51"/>
      <c r="QJA38" s="51"/>
      <c r="QJB38" s="51"/>
      <c r="QJC38" s="51"/>
      <c r="QJD38" s="51"/>
      <c r="QJE38" s="51"/>
      <c r="QJF38" s="51"/>
      <c r="QJG38" s="51"/>
      <c r="QJH38" s="51"/>
      <c r="QJI38" s="51"/>
      <c r="QJJ38" s="51"/>
      <c r="QJK38" s="51"/>
      <c r="QJL38" s="51"/>
      <c r="QJM38" s="51"/>
      <c r="QJN38" s="51"/>
      <c r="QJO38" s="51"/>
      <c r="QJP38" s="51"/>
      <c r="QJQ38" s="51"/>
      <c r="QJR38" s="51"/>
      <c r="QJS38" s="51"/>
      <c r="QJT38" s="51"/>
      <c r="QJU38" s="51"/>
      <c r="QJV38" s="51"/>
      <c r="QJW38" s="51"/>
      <c r="QJX38" s="51"/>
      <c r="QJY38" s="51"/>
      <c r="QJZ38" s="51"/>
      <c r="QKA38" s="51"/>
      <c r="QKB38" s="51"/>
      <c r="QKC38" s="51"/>
      <c r="QKD38" s="51"/>
      <c r="QKE38" s="51"/>
      <c r="QKF38" s="51"/>
      <c r="QKG38" s="51"/>
      <c r="QKH38" s="51"/>
      <c r="QKI38" s="51"/>
      <c r="QKJ38" s="51"/>
      <c r="QKK38" s="51"/>
      <c r="QKL38" s="51"/>
      <c r="QKM38" s="51"/>
      <c r="QKN38" s="51"/>
      <c r="QKO38" s="51"/>
      <c r="QKP38" s="51"/>
      <c r="QKQ38" s="51"/>
      <c r="QKR38" s="51"/>
      <c r="QKS38" s="51"/>
      <c r="QKT38" s="51"/>
      <c r="QKU38" s="51"/>
      <c r="QKV38" s="51"/>
      <c r="QKW38" s="51"/>
      <c r="QKX38" s="51"/>
      <c r="QKY38" s="51"/>
      <c r="QKZ38" s="51"/>
      <c r="QLA38" s="51"/>
      <c r="QLB38" s="51"/>
      <c r="QLC38" s="51"/>
      <c r="QLD38" s="51"/>
      <c r="QLE38" s="51"/>
      <c r="QLF38" s="51"/>
      <c r="QLG38" s="51"/>
      <c r="QLH38" s="51"/>
      <c r="QLI38" s="51"/>
      <c r="QLJ38" s="51"/>
      <c r="QLK38" s="51"/>
      <c r="QLL38" s="51"/>
      <c r="QLM38" s="51"/>
      <c r="QLN38" s="51"/>
      <c r="QLO38" s="51"/>
      <c r="QLP38" s="51"/>
      <c r="QLQ38" s="51"/>
      <c r="QLR38" s="51"/>
      <c r="QLS38" s="51"/>
      <c r="QLT38" s="51"/>
      <c r="QLU38" s="51"/>
      <c r="QLV38" s="51"/>
      <c r="QLW38" s="51"/>
      <c r="QLX38" s="51"/>
      <c r="QLY38" s="51"/>
      <c r="QLZ38" s="51"/>
      <c r="QMA38" s="51"/>
      <c r="QMB38" s="51"/>
      <c r="QMC38" s="51"/>
      <c r="QMD38" s="51"/>
      <c r="QME38" s="51"/>
      <c r="QMF38" s="51"/>
      <c r="QMG38" s="51"/>
      <c r="QMH38" s="51"/>
      <c r="QMI38" s="51"/>
      <c r="QMJ38" s="51"/>
      <c r="QMK38" s="51"/>
      <c r="QML38" s="51"/>
      <c r="QMM38" s="51"/>
      <c r="QMN38" s="51"/>
      <c r="QMO38" s="51"/>
      <c r="QMP38" s="51"/>
      <c r="QMQ38" s="51"/>
      <c r="QMR38" s="51"/>
      <c r="QMS38" s="51"/>
      <c r="QMT38" s="51"/>
      <c r="QMU38" s="51"/>
      <c r="QMV38" s="51"/>
      <c r="QMW38" s="51"/>
      <c r="QMX38" s="51"/>
      <c r="QMY38" s="51"/>
      <c r="QMZ38" s="51"/>
      <c r="QNA38" s="51"/>
      <c r="QNB38" s="51"/>
      <c r="QNC38" s="51"/>
      <c r="QND38" s="51"/>
      <c r="QNE38" s="51"/>
      <c r="QNF38" s="51"/>
      <c r="QNG38" s="51"/>
      <c r="QNH38" s="51"/>
      <c r="QNI38" s="51"/>
      <c r="QNJ38" s="51"/>
      <c r="QNK38" s="51"/>
      <c r="QNL38" s="51"/>
      <c r="QNM38" s="51"/>
      <c r="QNN38" s="51"/>
      <c r="QNO38" s="51"/>
      <c r="QNP38" s="51"/>
      <c r="QNQ38" s="51"/>
      <c r="QNR38" s="51"/>
      <c r="QNS38" s="51"/>
      <c r="QNT38" s="51"/>
      <c r="QNU38" s="51"/>
      <c r="QNV38" s="51"/>
      <c r="QNW38" s="51"/>
      <c r="QNX38" s="51"/>
      <c r="QNY38" s="51"/>
      <c r="QNZ38" s="51"/>
      <c r="QOA38" s="51"/>
      <c r="QOB38" s="51"/>
      <c r="QOC38" s="51"/>
      <c r="QOD38" s="51"/>
      <c r="QOE38" s="51"/>
      <c r="QOF38" s="51"/>
      <c r="QOG38" s="51"/>
      <c r="QOH38" s="51"/>
      <c r="QOI38" s="51"/>
      <c r="QOJ38" s="51"/>
      <c r="QOK38" s="51"/>
      <c r="QOL38" s="51"/>
      <c r="QOM38" s="51"/>
      <c r="QON38" s="51"/>
      <c r="QOO38" s="51"/>
      <c r="QOP38" s="51"/>
      <c r="QOQ38" s="51"/>
      <c r="QOR38" s="51"/>
      <c r="QOS38" s="51"/>
      <c r="QOT38" s="51"/>
      <c r="QOU38" s="51"/>
      <c r="QOV38" s="51"/>
      <c r="QOW38" s="51"/>
      <c r="QOX38" s="51"/>
      <c r="QOY38" s="51"/>
      <c r="QOZ38" s="51"/>
      <c r="QPA38" s="51"/>
      <c r="QPB38" s="51"/>
      <c r="QPC38" s="51"/>
      <c r="QPD38" s="51"/>
      <c r="QPE38" s="51"/>
      <c r="QPF38" s="51"/>
      <c r="QPG38" s="51"/>
      <c r="QPH38" s="51"/>
      <c r="QPI38" s="51"/>
      <c r="QPJ38" s="51"/>
      <c r="QPK38" s="51"/>
      <c r="QPL38" s="51"/>
      <c r="QPM38" s="51"/>
      <c r="QPN38" s="51"/>
      <c r="QPO38" s="51"/>
      <c r="QPP38" s="51"/>
      <c r="QPQ38" s="51"/>
      <c r="QPR38" s="51"/>
      <c r="QPS38" s="51"/>
      <c r="QPT38" s="51"/>
      <c r="QPU38" s="51"/>
      <c r="QPV38" s="51"/>
      <c r="QPW38" s="51"/>
      <c r="QPX38" s="51"/>
      <c r="QPY38" s="51"/>
      <c r="QPZ38" s="51"/>
      <c r="QQA38" s="51"/>
      <c r="QQB38" s="51"/>
      <c r="QQC38" s="51"/>
      <c r="QQD38" s="51"/>
      <c r="QQE38" s="51"/>
      <c r="QQF38" s="51"/>
      <c r="QQG38" s="51"/>
      <c r="QQH38" s="51"/>
      <c r="QQI38" s="51"/>
      <c r="QQJ38" s="51"/>
      <c r="QQK38" s="51"/>
      <c r="QQL38" s="51"/>
      <c r="QQM38" s="51"/>
      <c r="QQN38" s="51"/>
      <c r="QQO38" s="51"/>
      <c r="QQP38" s="51"/>
      <c r="QQQ38" s="51"/>
      <c r="QQR38" s="51"/>
      <c r="QQS38" s="51"/>
      <c r="QQT38" s="51"/>
      <c r="QQU38" s="51"/>
      <c r="QQV38" s="51"/>
      <c r="QQW38" s="51"/>
      <c r="QQX38" s="51"/>
      <c r="QQY38" s="51"/>
      <c r="QQZ38" s="51"/>
      <c r="QRA38" s="51"/>
      <c r="QRB38" s="51"/>
      <c r="QRC38" s="51"/>
      <c r="QRD38" s="51"/>
      <c r="QRE38" s="51"/>
      <c r="QRF38" s="51"/>
      <c r="QRG38" s="51"/>
      <c r="QRH38" s="51"/>
      <c r="QRI38" s="51"/>
      <c r="QRJ38" s="51"/>
      <c r="QRK38" s="51"/>
      <c r="QRL38" s="51"/>
      <c r="QRM38" s="51"/>
      <c r="QRN38" s="51"/>
      <c r="QRO38" s="51"/>
      <c r="QRP38" s="51"/>
      <c r="QRQ38" s="51"/>
      <c r="QRR38" s="51"/>
      <c r="QRS38" s="51"/>
      <c r="QRT38" s="51"/>
      <c r="QRU38" s="51"/>
      <c r="QRV38" s="51"/>
      <c r="QRW38" s="51"/>
      <c r="QRX38" s="51"/>
      <c r="QRY38" s="51"/>
      <c r="QRZ38" s="51"/>
      <c r="QSA38" s="51"/>
      <c r="QSB38" s="51"/>
      <c r="QSC38" s="51"/>
      <c r="QSD38" s="51"/>
      <c r="QSE38" s="51"/>
      <c r="QSF38" s="51"/>
      <c r="QSG38" s="51"/>
      <c r="QSH38" s="51"/>
      <c r="QSI38" s="51"/>
      <c r="QSJ38" s="51"/>
      <c r="QSK38" s="51"/>
      <c r="QSL38" s="51"/>
      <c r="QSM38" s="51"/>
      <c r="QSN38" s="51"/>
      <c r="QSO38" s="51"/>
      <c r="QSP38" s="51"/>
      <c r="QSQ38" s="51"/>
      <c r="QSR38" s="51"/>
      <c r="QSS38" s="51"/>
      <c r="QST38" s="51"/>
      <c r="QSU38" s="51"/>
      <c r="QSV38" s="51"/>
      <c r="QSW38" s="51"/>
      <c r="QSX38" s="51"/>
      <c r="QSY38" s="51"/>
      <c r="QSZ38" s="51"/>
      <c r="QTA38" s="51"/>
      <c r="QTB38" s="51"/>
      <c r="QTC38" s="51"/>
      <c r="QTD38" s="51"/>
      <c r="QTE38" s="51"/>
      <c r="QTF38" s="51"/>
      <c r="QTG38" s="51"/>
      <c r="QTH38" s="51"/>
      <c r="QTI38" s="51"/>
      <c r="QTJ38" s="51"/>
      <c r="QTK38" s="51"/>
      <c r="QTL38" s="51"/>
      <c r="QTM38" s="51"/>
      <c r="QTN38" s="51"/>
      <c r="QTO38" s="51"/>
      <c r="QTP38" s="51"/>
      <c r="QTQ38" s="51"/>
      <c r="QTR38" s="51"/>
      <c r="QTS38" s="51"/>
      <c r="QTT38" s="51"/>
      <c r="QTU38" s="51"/>
      <c r="QTV38" s="51"/>
      <c r="QTW38" s="51"/>
      <c r="QTX38" s="51"/>
      <c r="QTY38" s="51"/>
      <c r="QTZ38" s="51"/>
      <c r="QUA38" s="51"/>
      <c r="QUB38" s="51"/>
      <c r="QUC38" s="51"/>
      <c r="QUD38" s="51"/>
      <c r="QUE38" s="51"/>
      <c r="QUF38" s="51"/>
      <c r="QUG38" s="51"/>
      <c r="QUH38" s="51"/>
      <c r="QUI38" s="51"/>
      <c r="QUJ38" s="51"/>
      <c r="QUK38" s="51"/>
      <c r="QUL38" s="51"/>
      <c r="QUM38" s="51"/>
      <c r="QUN38" s="51"/>
      <c r="QUO38" s="51"/>
      <c r="QUP38" s="51"/>
      <c r="QUQ38" s="51"/>
      <c r="QUR38" s="51"/>
      <c r="QUS38" s="51"/>
      <c r="QUT38" s="51"/>
      <c r="QUU38" s="51"/>
      <c r="QUV38" s="51"/>
      <c r="QUW38" s="51"/>
      <c r="QUX38" s="51"/>
      <c r="QUY38" s="51"/>
      <c r="QUZ38" s="51"/>
      <c r="QVA38" s="51"/>
      <c r="QVB38" s="51"/>
      <c r="QVC38" s="51"/>
      <c r="QVD38" s="51"/>
      <c r="QVE38" s="51"/>
      <c r="QVF38" s="51"/>
      <c r="QVG38" s="51"/>
      <c r="QVH38" s="51"/>
      <c r="QVI38" s="51"/>
      <c r="QVJ38" s="51"/>
      <c r="QVK38" s="51"/>
      <c r="QVL38" s="51"/>
      <c r="QVM38" s="51"/>
      <c r="QVN38" s="51"/>
      <c r="QVO38" s="51"/>
      <c r="QVP38" s="51"/>
      <c r="QVQ38" s="51"/>
      <c r="QVR38" s="51"/>
      <c r="QVS38" s="51"/>
      <c r="QVT38" s="51"/>
      <c r="QVU38" s="51"/>
      <c r="QVV38" s="51"/>
      <c r="QVW38" s="51"/>
      <c r="QVX38" s="51"/>
      <c r="QVY38" s="51"/>
      <c r="QVZ38" s="51"/>
      <c r="QWA38" s="51"/>
      <c r="QWB38" s="51"/>
      <c r="QWC38" s="51"/>
      <c r="QWD38" s="51"/>
      <c r="QWE38" s="51"/>
      <c r="QWF38" s="51"/>
      <c r="QWG38" s="51"/>
      <c r="QWH38" s="51"/>
      <c r="QWI38" s="51"/>
      <c r="QWJ38" s="51"/>
      <c r="QWK38" s="51"/>
      <c r="QWL38" s="51"/>
      <c r="QWM38" s="51"/>
      <c r="QWN38" s="51"/>
      <c r="QWO38" s="51"/>
      <c r="QWP38" s="51"/>
      <c r="QWQ38" s="51"/>
      <c r="QWR38" s="51"/>
      <c r="QWS38" s="51"/>
      <c r="QWT38" s="51"/>
      <c r="QWU38" s="51"/>
      <c r="QWV38" s="51"/>
      <c r="QWW38" s="51"/>
      <c r="QWX38" s="51"/>
      <c r="QWY38" s="51"/>
      <c r="QWZ38" s="51"/>
      <c r="QXA38" s="51"/>
      <c r="QXB38" s="51"/>
      <c r="QXC38" s="51"/>
      <c r="QXD38" s="51"/>
      <c r="QXE38" s="51"/>
      <c r="QXF38" s="51"/>
      <c r="QXG38" s="51"/>
      <c r="QXH38" s="51"/>
      <c r="QXI38" s="51"/>
      <c r="QXJ38" s="51"/>
      <c r="QXK38" s="51"/>
      <c r="QXL38" s="51"/>
      <c r="QXM38" s="51"/>
      <c r="QXN38" s="51"/>
      <c r="QXO38" s="51"/>
      <c r="QXP38" s="51"/>
      <c r="QXQ38" s="51"/>
      <c r="QXR38" s="51"/>
      <c r="QXS38" s="51"/>
      <c r="QXT38" s="51"/>
      <c r="QXU38" s="51"/>
      <c r="QXV38" s="51"/>
      <c r="QXW38" s="51"/>
      <c r="QXX38" s="51"/>
      <c r="QXY38" s="51"/>
      <c r="QXZ38" s="51"/>
      <c r="QYA38" s="51"/>
      <c r="QYB38" s="51"/>
      <c r="QYC38" s="51"/>
      <c r="QYD38" s="51"/>
      <c r="QYE38" s="51"/>
      <c r="QYF38" s="51"/>
      <c r="QYG38" s="51"/>
      <c r="QYH38" s="51"/>
      <c r="QYI38" s="51"/>
      <c r="QYJ38" s="51"/>
      <c r="QYK38" s="51"/>
      <c r="QYL38" s="51"/>
      <c r="QYM38" s="51"/>
      <c r="QYN38" s="51"/>
      <c r="QYO38" s="51"/>
      <c r="QYP38" s="51"/>
      <c r="QYQ38" s="51"/>
      <c r="QYR38" s="51"/>
      <c r="QYS38" s="51"/>
      <c r="QYT38" s="51"/>
      <c r="QYU38" s="51"/>
      <c r="QYV38" s="51"/>
      <c r="QYW38" s="51"/>
      <c r="QYX38" s="51"/>
      <c r="QYY38" s="51"/>
      <c r="QYZ38" s="51"/>
      <c r="QZA38" s="51"/>
      <c r="QZB38" s="51"/>
      <c r="QZC38" s="51"/>
      <c r="QZD38" s="51"/>
      <c r="QZE38" s="51"/>
      <c r="QZF38" s="51"/>
      <c r="QZG38" s="51"/>
      <c r="QZH38" s="51"/>
      <c r="QZI38" s="51"/>
      <c r="QZJ38" s="51"/>
      <c r="QZK38" s="51"/>
      <c r="QZL38" s="51"/>
      <c r="QZM38" s="51"/>
      <c r="QZN38" s="51"/>
      <c r="QZO38" s="51"/>
      <c r="QZP38" s="51"/>
      <c r="QZQ38" s="51"/>
      <c r="QZR38" s="51"/>
      <c r="QZS38" s="51"/>
      <c r="QZT38" s="51"/>
      <c r="QZU38" s="51"/>
      <c r="QZV38" s="51"/>
      <c r="QZW38" s="51"/>
      <c r="QZX38" s="51"/>
      <c r="QZY38" s="51"/>
      <c r="QZZ38" s="51"/>
      <c r="RAA38" s="51"/>
      <c r="RAB38" s="51"/>
      <c r="RAC38" s="51"/>
      <c r="RAD38" s="51"/>
      <c r="RAE38" s="51"/>
      <c r="RAF38" s="51"/>
      <c r="RAG38" s="51"/>
      <c r="RAH38" s="51"/>
      <c r="RAI38" s="51"/>
      <c r="RAJ38" s="51"/>
      <c r="RAK38" s="51"/>
      <c r="RAL38" s="51"/>
      <c r="RAM38" s="51"/>
      <c r="RAN38" s="51"/>
      <c r="RAO38" s="51"/>
      <c r="RAP38" s="51"/>
      <c r="RAQ38" s="51"/>
      <c r="RAR38" s="51"/>
      <c r="RAS38" s="51"/>
      <c r="RAT38" s="51"/>
      <c r="RAU38" s="51"/>
      <c r="RAV38" s="51"/>
      <c r="RAW38" s="51"/>
      <c r="RAX38" s="51"/>
      <c r="RAY38" s="51"/>
      <c r="RAZ38" s="51"/>
      <c r="RBA38" s="51"/>
      <c r="RBB38" s="51"/>
      <c r="RBC38" s="51"/>
      <c r="RBD38" s="51"/>
      <c r="RBE38" s="51"/>
      <c r="RBF38" s="51"/>
      <c r="RBG38" s="51"/>
      <c r="RBH38" s="51"/>
      <c r="RBI38" s="51"/>
      <c r="RBJ38" s="51"/>
      <c r="RBK38" s="51"/>
      <c r="RBL38" s="51"/>
      <c r="RBM38" s="51"/>
      <c r="RBN38" s="51"/>
      <c r="RBO38" s="51"/>
      <c r="RBP38" s="51"/>
      <c r="RBQ38" s="51"/>
      <c r="RBR38" s="51"/>
      <c r="RBS38" s="51"/>
      <c r="RBT38" s="51"/>
      <c r="RBU38" s="51"/>
      <c r="RBV38" s="51"/>
      <c r="RBW38" s="51"/>
      <c r="RBX38" s="51"/>
      <c r="RBY38" s="51"/>
      <c r="RBZ38" s="51"/>
      <c r="RCA38" s="51"/>
      <c r="RCB38" s="51"/>
      <c r="RCC38" s="51"/>
      <c r="RCD38" s="51"/>
      <c r="RCE38" s="51"/>
      <c r="RCF38" s="51"/>
      <c r="RCG38" s="51"/>
      <c r="RCH38" s="51"/>
      <c r="RCI38" s="51"/>
      <c r="RCJ38" s="51"/>
      <c r="RCK38" s="51"/>
      <c r="RCL38" s="51"/>
      <c r="RCM38" s="51"/>
      <c r="RCN38" s="51"/>
      <c r="RCO38" s="51"/>
      <c r="RCP38" s="51"/>
      <c r="RCQ38" s="51"/>
      <c r="RCR38" s="51"/>
      <c r="RCS38" s="51"/>
      <c r="RCT38" s="51"/>
      <c r="RCU38" s="51"/>
      <c r="RCV38" s="51"/>
      <c r="RCW38" s="51"/>
      <c r="RCX38" s="51"/>
      <c r="RCY38" s="51"/>
      <c r="RCZ38" s="51"/>
      <c r="RDA38" s="51"/>
      <c r="RDB38" s="51"/>
      <c r="RDC38" s="51"/>
      <c r="RDD38" s="51"/>
      <c r="RDE38" s="51"/>
      <c r="RDF38" s="51"/>
      <c r="RDG38" s="51"/>
      <c r="RDH38" s="51"/>
      <c r="RDI38" s="51"/>
      <c r="RDJ38" s="51"/>
      <c r="RDK38" s="51"/>
      <c r="RDL38" s="51"/>
      <c r="RDM38" s="51"/>
      <c r="RDN38" s="51"/>
      <c r="RDO38" s="51"/>
      <c r="RDP38" s="51"/>
      <c r="RDQ38" s="51"/>
      <c r="RDR38" s="51"/>
      <c r="RDS38" s="51"/>
      <c r="RDT38" s="51"/>
      <c r="RDU38" s="51"/>
      <c r="RDV38" s="51"/>
      <c r="RDW38" s="51"/>
      <c r="RDX38" s="51"/>
      <c r="RDY38" s="51"/>
      <c r="RDZ38" s="51"/>
      <c r="REA38" s="51"/>
      <c r="REB38" s="51"/>
      <c r="REC38" s="51"/>
      <c r="RED38" s="51"/>
      <c r="REE38" s="51"/>
      <c r="REF38" s="51"/>
      <c r="REG38" s="51"/>
      <c r="REH38" s="51"/>
      <c r="REI38" s="51"/>
      <c r="REJ38" s="51"/>
      <c r="REK38" s="51"/>
      <c r="REL38" s="51"/>
      <c r="REM38" s="51"/>
      <c r="REN38" s="51"/>
      <c r="REO38" s="51"/>
      <c r="REP38" s="51"/>
      <c r="REQ38" s="51"/>
      <c r="RER38" s="51"/>
      <c r="RES38" s="51"/>
      <c r="RET38" s="51"/>
      <c r="REU38" s="51"/>
      <c r="REV38" s="51"/>
      <c r="REW38" s="51"/>
      <c r="REX38" s="51"/>
      <c r="REY38" s="51"/>
      <c r="REZ38" s="51"/>
      <c r="RFA38" s="51"/>
      <c r="RFB38" s="51"/>
      <c r="RFC38" s="51"/>
      <c r="RFD38" s="51"/>
      <c r="RFE38" s="51"/>
      <c r="RFF38" s="51"/>
      <c r="RFG38" s="51"/>
      <c r="RFH38" s="51"/>
      <c r="RFI38" s="51"/>
      <c r="RFJ38" s="51"/>
      <c r="RFK38" s="51"/>
      <c r="RFL38" s="51"/>
      <c r="RFM38" s="51"/>
      <c r="RFN38" s="51"/>
      <c r="RFO38" s="51"/>
      <c r="RFP38" s="51"/>
      <c r="RFQ38" s="51"/>
      <c r="RFR38" s="51"/>
      <c r="RFS38" s="51"/>
      <c r="RFT38" s="51"/>
      <c r="RFU38" s="51"/>
      <c r="RFV38" s="51"/>
      <c r="RFW38" s="51"/>
      <c r="RFX38" s="51"/>
      <c r="RFY38" s="51"/>
      <c r="RFZ38" s="51"/>
      <c r="RGA38" s="51"/>
      <c r="RGB38" s="51"/>
      <c r="RGC38" s="51"/>
      <c r="RGD38" s="51"/>
      <c r="RGE38" s="51"/>
      <c r="RGF38" s="51"/>
      <c r="RGG38" s="51"/>
      <c r="RGH38" s="51"/>
      <c r="RGI38" s="51"/>
      <c r="RGJ38" s="51"/>
      <c r="RGK38" s="51"/>
      <c r="RGL38" s="51"/>
      <c r="RGM38" s="51"/>
      <c r="RGN38" s="51"/>
      <c r="RGO38" s="51"/>
      <c r="RGP38" s="51"/>
      <c r="RGQ38" s="51"/>
      <c r="RGR38" s="51"/>
      <c r="RGS38" s="51"/>
      <c r="RGT38" s="51"/>
      <c r="RGU38" s="51"/>
      <c r="RGV38" s="51"/>
      <c r="RGW38" s="51"/>
      <c r="RGX38" s="51"/>
      <c r="RGY38" s="51"/>
      <c r="RGZ38" s="51"/>
      <c r="RHA38" s="51"/>
      <c r="RHB38" s="51"/>
      <c r="RHC38" s="51"/>
      <c r="RHD38" s="51"/>
      <c r="RHE38" s="51"/>
      <c r="RHF38" s="51"/>
      <c r="RHG38" s="51"/>
      <c r="RHH38" s="51"/>
      <c r="RHI38" s="51"/>
      <c r="RHJ38" s="51"/>
      <c r="RHK38" s="51"/>
      <c r="RHL38" s="51"/>
      <c r="RHM38" s="51"/>
      <c r="RHN38" s="51"/>
      <c r="RHO38" s="51"/>
      <c r="RHP38" s="51"/>
      <c r="RHQ38" s="51"/>
      <c r="RHR38" s="51"/>
      <c r="RHS38" s="51"/>
      <c r="RHT38" s="51"/>
      <c r="RHU38" s="51"/>
      <c r="RHV38" s="51"/>
      <c r="RHW38" s="51"/>
      <c r="RHX38" s="51"/>
      <c r="RHY38" s="51"/>
      <c r="RHZ38" s="51"/>
      <c r="RIA38" s="51"/>
      <c r="RIB38" s="51"/>
      <c r="RIC38" s="51"/>
      <c r="RID38" s="51"/>
      <c r="RIE38" s="51"/>
      <c r="RIF38" s="51"/>
      <c r="RIG38" s="51"/>
      <c r="RIH38" s="51"/>
      <c r="RII38" s="51"/>
      <c r="RIJ38" s="51"/>
      <c r="RIK38" s="51"/>
      <c r="RIL38" s="51"/>
      <c r="RIM38" s="51"/>
      <c r="RIN38" s="51"/>
      <c r="RIO38" s="51"/>
      <c r="RIP38" s="51"/>
      <c r="RIQ38" s="51"/>
      <c r="RIR38" s="51"/>
      <c r="RIS38" s="51"/>
      <c r="RIT38" s="51"/>
      <c r="RIU38" s="51"/>
      <c r="RIV38" s="51"/>
      <c r="RIW38" s="51"/>
      <c r="RIX38" s="51"/>
      <c r="RIY38" s="51"/>
      <c r="RIZ38" s="51"/>
      <c r="RJA38" s="51"/>
      <c r="RJB38" s="51"/>
      <c r="RJC38" s="51"/>
      <c r="RJD38" s="51"/>
      <c r="RJE38" s="51"/>
      <c r="RJF38" s="51"/>
      <c r="RJG38" s="51"/>
      <c r="RJH38" s="51"/>
      <c r="RJI38" s="51"/>
      <c r="RJJ38" s="51"/>
      <c r="RJK38" s="51"/>
      <c r="RJL38" s="51"/>
      <c r="RJM38" s="51"/>
      <c r="RJN38" s="51"/>
      <c r="RJO38" s="51"/>
      <c r="RJP38" s="51"/>
      <c r="RJQ38" s="51"/>
      <c r="RJR38" s="51"/>
      <c r="RJS38" s="51"/>
      <c r="RJT38" s="51"/>
      <c r="RJU38" s="51"/>
      <c r="RJV38" s="51"/>
      <c r="RJW38" s="51"/>
      <c r="RJX38" s="51"/>
      <c r="RJY38" s="51"/>
      <c r="RJZ38" s="51"/>
      <c r="RKA38" s="51"/>
      <c r="RKB38" s="51"/>
      <c r="RKC38" s="51"/>
      <c r="RKD38" s="51"/>
      <c r="RKE38" s="51"/>
      <c r="RKF38" s="51"/>
      <c r="RKG38" s="51"/>
      <c r="RKH38" s="51"/>
      <c r="RKI38" s="51"/>
      <c r="RKJ38" s="51"/>
      <c r="RKK38" s="51"/>
      <c r="RKL38" s="51"/>
      <c r="RKM38" s="51"/>
      <c r="RKN38" s="51"/>
      <c r="RKO38" s="51"/>
      <c r="RKP38" s="51"/>
      <c r="RKQ38" s="51"/>
      <c r="RKR38" s="51"/>
      <c r="RKS38" s="51"/>
      <c r="RKT38" s="51"/>
      <c r="RKU38" s="51"/>
      <c r="RKV38" s="51"/>
      <c r="RKW38" s="51"/>
      <c r="RKX38" s="51"/>
      <c r="RKY38" s="51"/>
      <c r="RKZ38" s="51"/>
      <c r="RLA38" s="51"/>
      <c r="RLB38" s="51"/>
      <c r="RLC38" s="51"/>
      <c r="RLD38" s="51"/>
      <c r="RLE38" s="51"/>
      <c r="RLF38" s="51"/>
      <c r="RLG38" s="51"/>
      <c r="RLH38" s="51"/>
      <c r="RLI38" s="51"/>
      <c r="RLJ38" s="51"/>
      <c r="RLK38" s="51"/>
      <c r="RLL38" s="51"/>
      <c r="RLM38" s="51"/>
      <c r="RLN38" s="51"/>
      <c r="RLO38" s="51"/>
      <c r="RLP38" s="51"/>
      <c r="RLQ38" s="51"/>
      <c r="RLR38" s="51"/>
      <c r="RLS38" s="51"/>
      <c r="RLT38" s="51"/>
      <c r="RLU38" s="51"/>
      <c r="RLV38" s="51"/>
      <c r="RLW38" s="51"/>
      <c r="RLX38" s="51"/>
      <c r="RLY38" s="51"/>
      <c r="RLZ38" s="51"/>
      <c r="RMA38" s="51"/>
      <c r="RMB38" s="51"/>
      <c r="RMC38" s="51"/>
      <c r="RMD38" s="51"/>
      <c r="RME38" s="51"/>
      <c r="RMF38" s="51"/>
      <c r="RMG38" s="51"/>
      <c r="RMH38" s="51"/>
      <c r="RMI38" s="51"/>
      <c r="RMJ38" s="51"/>
      <c r="RMK38" s="51"/>
      <c r="RML38" s="51"/>
      <c r="RMM38" s="51"/>
      <c r="RMN38" s="51"/>
      <c r="RMO38" s="51"/>
      <c r="RMP38" s="51"/>
      <c r="RMQ38" s="51"/>
      <c r="RMR38" s="51"/>
      <c r="RMS38" s="51"/>
      <c r="RMT38" s="51"/>
      <c r="RMU38" s="51"/>
      <c r="RMV38" s="51"/>
      <c r="RMW38" s="51"/>
      <c r="RMX38" s="51"/>
      <c r="RMY38" s="51"/>
      <c r="RMZ38" s="51"/>
      <c r="RNA38" s="51"/>
      <c r="RNB38" s="51"/>
      <c r="RNC38" s="51"/>
      <c r="RND38" s="51"/>
      <c r="RNE38" s="51"/>
      <c r="RNF38" s="51"/>
      <c r="RNG38" s="51"/>
      <c r="RNH38" s="51"/>
      <c r="RNI38" s="51"/>
      <c r="RNJ38" s="51"/>
      <c r="RNK38" s="51"/>
      <c r="RNL38" s="51"/>
      <c r="RNM38" s="51"/>
      <c r="RNN38" s="51"/>
      <c r="RNO38" s="51"/>
      <c r="RNP38" s="51"/>
      <c r="RNQ38" s="51"/>
      <c r="RNR38" s="51"/>
      <c r="RNS38" s="51"/>
      <c r="RNT38" s="51"/>
      <c r="RNU38" s="51"/>
      <c r="RNV38" s="51"/>
      <c r="RNW38" s="51"/>
      <c r="RNX38" s="51"/>
      <c r="RNY38" s="51"/>
      <c r="RNZ38" s="51"/>
      <c r="ROA38" s="51"/>
      <c r="ROB38" s="51"/>
      <c r="ROC38" s="51"/>
      <c r="ROD38" s="51"/>
      <c r="ROE38" s="51"/>
      <c r="ROF38" s="51"/>
      <c r="ROG38" s="51"/>
      <c r="ROH38" s="51"/>
      <c r="ROI38" s="51"/>
      <c r="ROJ38" s="51"/>
      <c r="ROK38" s="51"/>
      <c r="ROL38" s="51"/>
      <c r="ROM38" s="51"/>
      <c r="RON38" s="51"/>
      <c r="ROO38" s="51"/>
      <c r="ROP38" s="51"/>
      <c r="ROQ38" s="51"/>
      <c r="ROR38" s="51"/>
      <c r="ROS38" s="51"/>
      <c r="ROT38" s="51"/>
      <c r="ROU38" s="51"/>
      <c r="ROV38" s="51"/>
      <c r="ROW38" s="51"/>
      <c r="ROX38" s="51"/>
      <c r="ROY38" s="51"/>
      <c r="ROZ38" s="51"/>
      <c r="RPA38" s="51"/>
      <c r="RPB38" s="51"/>
      <c r="RPC38" s="51"/>
      <c r="RPD38" s="51"/>
      <c r="RPE38" s="51"/>
      <c r="RPF38" s="51"/>
      <c r="RPG38" s="51"/>
      <c r="RPH38" s="51"/>
      <c r="RPI38" s="51"/>
      <c r="RPJ38" s="51"/>
      <c r="RPK38" s="51"/>
      <c r="RPL38" s="51"/>
      <c r="RPM38" s="51"/>
      <c r="RPN38" s="51"/>
      <c r="RPO38" s="51"/>
      <c r="RPP38" s="51"/>
      <c r="RPQ38" s="51"/>
      <c r="RPR38" s="51"/>
      <c r="RPS38" s="51"/>
      <c r="RPT38" s="51"/>
      <c r="RPU38" s="51"/>
      <c r="RPV38" s="51"/>
      <c r="RPW38" s="51"/>
      <c r="RPX38" s="51"/>
      <c r="RPY38" s="51"/>
      <c r="RPZ38" s="51"/>
      <c r="RQA38" s="51"/>
      <c r="RQB38" s="51"/>
      <c r="RQC38" s="51"/>
      <c r="RQD38" s="51"/>
      <c r="RQE38" s="51"/>
      <c r="RQF38" s="51"/>
      <c r="RQG38" s="51"/>
      <c r="RQH38" s="51"/>
      <c r="RQI38" s="51"/>
      <c r="RQJ38" s="51"/>
      <c r="RQK38" s="51"/>
      <c r="RQL38" s="51"/>
      <c r="RQM38" s="51"/>
      <c r="RQN38" s="51"/>
      <c r="RQO38" s="51"/>
      <c r="RQP38" s="51"/>
      <c r="RQQ38" s="51"/>
      <c r="RQR38" s="51"/>
      <c r="RQS38" s="51"/>
      <c r="RQT38" s="51"/>
      <c r="RQU38" s="51"/>
      <c r="RQV38" s="51"/>
      <c r="RQW38" s="51"/>
      <c r="RQX38" s="51"/>
      <c r="RQY38" s="51"/>
      <c r="RQZ38" s="51"/>
      <c r="RRA38" s="51"/>
      <c r="RRB38" s="51"/>
      <c r="RRC38" s="51"/>
      <c r="RRD38" s="51"/>
      <c r="RRE38" s="51"/>
      <c r="RRF38" s="51"/>
      <c r="RRG38" s="51"/>
      <c r="RRH38" s="51"/>
      <c r="RRI38" s="51"/>
      <c r="RRJ38" s="51"/>
      <c r="RRK38" s="51"/>
      <c r="RRL38" s="51"/>
      <c r="RRM38" s="51"/>
      <c r="RRN38" s="51"/>
      <c r="RRO38" s="51"/>
      <c r="RRP38" s="51"/>
      <c r="RRQ38" s="51"/>
      <c r="RRR38" s="51"/>
      <c r="RRS38" s="51"/>
      <c r="RRT38" s="51"/>
      <c r="RRU38" s="51"/>
      <c r="RRV38" s="51"/>
      <c r="RRW38" s="51"/>
      <c r="RRX38" s="51"/>
      <c r="RRY38" s="51"/>
      <c r="RRZ38" s="51"/>
      <c r="RSA38" s="51"/>
      <c r="RSB38" s="51"/>
      <c r="RSC38" s="51"/>
      <c r="RSD38" s="51"/>
      <c r="RSE38" s="51"/>
      <c r="RSF38" s="51"/>
      <c r="RSG38" s="51"/>
      <c r="RSH38" s="51"/>
      <c r="RSI38" s="51"/>
      <c r="RSJ38" s="51"/>
      <c r="RSK38" s="51"/>
      <c r="RSL38" s="51"/>
      <c r="RSM38" s="51"/>
      <c r="RSN38" s="51"/>
      <c r="RSO38" s="51"/>
      <c r="RSP38" s="51"/>
      <c r="RSQ38" s="51"/>
      <c r="RSR38" s="51"/>
      <c r="RSS38" s="51"/>
      <c r="RST38" s="51"/>
      <c r="RSU38" s="51"/>
      <c r="RSV38" s="51"/>
      <c r="RSW38" s="51"/>
      <c r="RSX38" s="51"/>
      <c r="RSY38" s="51"/>
      <c r="RSZ38" s="51"/>
      <c r="RTA38" s="51"/>
      <c r="RTB38" s="51"/>
      <c r="RTC38" s="51"/>
      <c r="RTD38" s="51"/>
      <c r="RTE38" s="51"/>
      <c r="RTF38" s="51"/>
      <c r="RTG38" s="51"/>
      <c r="RTH38" s="51"/>
      <c r="RTI38" s="51"/>
      <c r="RTJ38" s="51"/>
      <c r="RTK38" s="51"/>
      <c r="RTL38" s="51"/>
      <c r="RTM38" s="51"/>
      <c r="RTN38" s="51"/>
      <c r="RTO38" s="51"/>
      <c r="RTP38" s="51"/>
      <c r="RTQ38" s="51"/>
      <c r="RTR38" s="51"/>
      <c r="RTS38" s="51"/>
      <c r="RTT38" s="51"/>
      <c r="RTU38" s="51"/>
      <c r="RTV38" s="51"/>
      <c r="RTW38" s="51"/>
      <c r="RTX38" s="51"/>
      <c r="RTY38" s="51"/>
      <c r="RTZ38" s="51"/>
      <c r="RUA38" s="51"/>
      <c r="RUB38" s="51"/>
      <c r="RUC38" s="51"/>
      <c r="RUD38" s="51"/>
      <c r="RUE38" s="51"/>
      <c r="RUF38" s="51"/>
      <c r="RUG38" s="51"/>
      <c r="RUH38" s="51"/>
      <c r="RUI38" s="51"/>
      <c r="RUJ38" s="51"/>
      <c r="RUK38" s="51"/>
      <c r="RUL38" s="51"/>
      <c r="RUM38" s="51"/>
      <c r="RUN38" s="51"/>
      <c r="RUO38" s="51"/>
      <c r="RUP38" s="51"/>
      <c r="RUQ38" s="51"/>
      <c r="RUR38" s="51"/>
      <c r="RUS38" s="51"/>
      <c r="RUT38" s="51"/>
      <c r="RUU38" s="51"/>
      <c r="RUV38" s="51"/>
      <c r="RUW38" s="51"/>
      <c r="RUX38" s="51"/>
      <c r="RUY38" s="51"/>
      <c r="RUZ38" s="51"/>
      <c r="RVA38" s="51"/>
      <c r="RVB38" s="51"/>
      <c r="RVC38" s="51"/>
      <c r="RVD38" s="51"/>
      <c r="RVE38" s="51"/>
      <c r="RVF38" s="51"/>
      <c r="RVG38" s="51"/>
      <c r="RVH38" s="51"/>
      <c r="RVI38" s="51"/>
      <c r="RVJ38" s="51"/>
      <c r="RVK38" s="51"/>
      <c r="RVL38" s="51"/>
      <c r="RVM38" s="51"/>
      <c r="RVN38" s="51"/>
      <c r="RVO38" s="51"/>
      <c r="RVP38" s="51"/>
      <c r="RVQ38" s="51"/>
      <c r="RVR38" s="51"/>
      <c r="RVS38" s="51"/>
      <c r="RVT38" s="51"/>
      <c r="RVU38" s="51"/>
      <c r="RVV38" s="51"/>
      <c r="RVW38" s="51"/>
      <c r="RVX38" s="51"/>
      <c r="RVY38" s="51"/>
      <c r="RVZ38" s="51"/>
      <c r="RWA38" s="51"/>
      <c r="RWB38" s="51"/>
      <c r="RWC38" s="51"/>
      <c r="RWD38" s="51"/>
      <c r="RWE38" s="51"/>
      <c r="RWF38" s="51"/>
      <c r="RWG38" s="51"/>
      <c r="RWH38" s="51"/>
      <c r="RWI38" s="51"/>
      <c r="RWJ38" s="51"/>
      <c r="RWK38" s="51"/>
      <c r="RWL38" s="51"/>
      <c r="RWM38" s="51"/>
      <c r="RWN38" s="51"/>
      <c r="RWO38" s="51"/>
      <c r="RWP38" s="51"/>
      <c r="RWQ38" s="51"/>
      <c r="RWR38" s="51"/>
      <c r="RWS38" s="51"/>
      <c r="RWT38" s="51"/>
      <c r="RWU38" s="51"/>
      <c r="RWV38" s="51"/>
      <c r="RWW38" s="51"/>
      <c r="RWX38" s="51"/>
      <c r="RWY38" s="51"/>
      <c r="RWZ38" s="51"/>
      <c r="RXA38" s="51"/>
      <c r="RXB38" s="51"/>
      <c r="RXC38" s="51"/>
      <c r="RXD38" s="51"/>
      <c r="RXE38" s="51"/>
      <c r="RXF38" s="51"/>
      <c r="RXG38" s="51"/>
      <c r="RXH38" s="51"/>
      <c r="RXI38" s="51"/>
      <c r="RXJ38" s="51"/>
      <c r="RXK38" s="51"/>
      <c r="RXL38" s="51"/>
      <c r="RXM38" s="51"/>
      <c r="RXN38" s="51"/>
      <c r="RXO38" s="51"/>
      <c r="RXP38" s="51"/>
      <c r="RXQ38" s="51"/>
      <c r="RXR38" s="51"/>
      <c r="RXS38" s="51"/>
      <c r="RXT38" s="51"/>
      <c r="RXU38" s="51"/>
      <c r="RXV38" s="51"/>
      <c r="RXW38" s="51"/>
      <c r="RXX38" s="51"/>
      <c r="RXY38" s="51"/>
      <c r="RXZ38" s="51"/>
      <c r="RYA38" s="51"/>
      <c r="RYB38" s="51"/>
      <c r="RYC38" s="51"/>
      <c r="RYD38" s="51"/>
      <c r="RYE38" s="51"/>
      <c r="RYF38" s="51"/>
      <c r="RYG38" s="51"/>
      <c r="RYH38" s="51"/>
      <c r="RYI38" s="51"/>
      <c r="RYJ38" s="51"/>
      <c r="RYK38" s="51"/>
      <c r="RYL38" s="51"/>
      <c r="RYM38" s="51"/>
      <c r="RYN38" s="51"/>
      <c r="RYO38" s="51"/>
      <c r="RYP38" s="51"/>
      <c r="RYQ38" s="51"/>
      <c r="RYR38" s="51"/>
      <c r="RYS38" s="51"/>
      <c r="RYT38" s="51"/>
      <c r="RYU38" s="51"/>
      <c r="RYV38" s="51"/>
      <c r="RYW38" s="51"/>
      <c r="RYX38" s="51"/>
      <c r="RYY38" s="51"/>
      <c r="RYZ38" s="51"/>
      <c r="RZA38" s="51"/>
      <c r="RZB38" s="51"/>
      <c r="RZC38" s="51"/>
      <c r="RZD38" s="51"/>
      <c r="RZE38" s="51"/>
      <c r="RZF38" s="51"/>
      <c r="RZG38" s="51"/>
      <c r="RZH38" s="51"/>
      <c r="RZI38" s="51"/>
      <c r="RZJ38" s="51"/>
      <c r="RZK38" s="51"/>
      <c r="RZL38" s="51"/>
      <c r="RZM38" s="51"/>
      <c r="RZN38" s="51"/>
      <c r="RZO38" s="51"/>
      <c r="RZP38" s="51"/>
      <c r="RZQ38" s="51"/>
      <c r="RZR38" s="51"/>
      <c r="RZS38" s="51"/>
      <c r="RZT38" s="51"/>
      <c r="RZU38" s="51"/>
      <c r="RZV38" s="51"/>
      <c r="RZW38" s="51"/>
      <c r="RZX38" s="51"/>
      <c r="RZY38" s="51"/>
      <c r="RZZ38" s="51"/>
      <c r="SAA38" s="51"/>
      <c r="SAB38" s="51"/>
      <c r="SAC38" s="51"/>
      <c r="SAD38" s="51"/>
      <c r="SAE38" s="51"/>
      <c r="SAF38" s="51"/>
      <c r="SAG38" s="51"/>
      <c r="SAH38" s="51"/>
      <c r="SAI38" s="51"/>
      <c r="SAJ38" s="51"/>
      <c r="SAK38" s="51"/>
      <c r="SAL38" s="51"/>
      <c r="SAM38" s="51"/>
      <c r="SAN38" s="51"/>
      <c r="SAO38" s="51"/>
      <c r="SAP38" s="51"/>
      <c r="SAQ38" s="51"/>
      <c r="SAR38" s="51"/>
      <c r="SAS38" s="51"/>
      <c r="SAT38" s="51"/>
      <c r="SAU38" s="51"/>
      <c r="SAV38" s="51"/>
      <c r="SAW38" s="51"/>
      <c r="SAX38" s="51"/>
      <c r="SAY38" s="51"/>
      <c r="SAZ38" s="51"/>
      <c r="SBA38" s="51"/>
      <c r="SBB38" s="51"/>
      <c r="SBC38" s="51"/>
      <c r="SBD38" s="51"/>
      <c r="SBE38" s="51"/>
      <c r="SBF38" s="51"/>
      <c r="SBG38" s="51"/>
      <c r="SBH38" s="51"/>
      <c r="SBI38" s="51"/>
      <c r="SBJ38" s="51"/>
      <c r="SBK38" s="51"/>
      <c r="SBL38" s="51"/>
      <c r="SBM38" s="51"/>
      <c r="SBN38" s="51"/>
      <c r="SBO38" s="51"/>
      <c r="SBP38" s="51"/>
      <c r="SBQ38" s="51"/>
      <c r="SBR38" s="51"/>
      <c r="SBS38" s="51"/>
      <c r="SBT38" s="51"/>
      <c r="SBU38" s="51"/>
      <c r="SBV38" s="51"/>
      <c r="SBW38" s="51"/>
      <c r="SBX38" s="51"/>
      <c r="SBY38" s="51"/>
      <c r="SBZ38" s="51"/>
      <c r="SCA38" s="51"/>
      <c r="SCB38" s="51"/>
      <c r="SCC38" s="51"/>
      <c r="SCD38" s="51"/>
      <c r="SCE38" s="51"/>
      <c r="SCF38" s="51"/>
      <c r="SCG38" s="51"/>
      <c r="SCH38" s="51"/>
      <c r="SCI38" s="51"/>
      <c r="SCJ38" s="51"/>
      <c r="SCK38" s="51"/>
      <c r="SCL38" s="51"/>
      <c r="SCM38" s="51"/>
      <c r="SCN38" s="51"/>
      <c r="SCO38" s="51"/>
      <c r="SCP38" s="51"/>
      <c r="SCQ38" s="51"/>
      <c r="SCR38" s="51"/>
      <c r="SCS38" s="51"/>
      <c r="SCT38" s="51"/>
      <c r="SCU38" s="51"/>
      <c r="SCV38" s="51"/>
      <c r="SCW38" s="51"/>
      <c r="SCX38" s="51"/>
      <c r="SCY38" s="51"/>
      <c r="SCZ38" s="51"/>
      <c r="SDA38" s="51"/>
      <c r="SDB38" s="51"/>
      <c r="SDC38" s="51"/>
      <c r="SDD38" s="51"/>
      <c r="SDE38" s="51"/>
      <c r="SDF38" s="51"/>
      <c r="SDG38" s="51"/>
      <c r="SDH38" s="51"/>
      <c r="SDI38" s="51"/>
      <c r="SDJ38" s="51"/>
      <c r="SDK38" s="51"/>
      <c r="SDL38" s="51"/>
      <c r="SDM38" s="51"/>
      <c r="SDN38" s="51"/>
      <c r="SDO38" s="51"/>
      <c r="SDP38" s="51"/>
      <c r="SDQ38" s="51"/>
      <c r="SDR38" s="51"/>
      <c r="SDS38" s="51"/>
      <c r="SDT38" s="51"/>
      <c r="SDU38" s="51"/>
      <c r="SDV38" s="51"/>
      <c r="SDW38" s="51"/>
      <c r="SDX38" s="51"/>
      <c r="SDY38" s="51"/>
      <c r="SDZ38" s="51"/>
      <c r="SEA38" s="51"/>
      <c r="SEB38" s="51"/>
      <c r="SEC38" s="51"/>
      <c r="SED38" s="51"/>
      <c r="SEE38" s="51"/>
      <c r="SEF38" s="51"/>
      <c r="SEG38" s="51"/>
      <c r="SEH38" s="51"/>
      <c r="SEI38" s="51"/>
      <c r="SEJ38" s="51"/>
      <c r="SEK38" s="51"/>
      <c r="SEL38" s="51"/>
      <c r="SEM38" s="51"/>
      <c r="SEN38" s="51"/>
      <c r="SEO38" s="51"/>
      <c r="SEP38" s="51"/>
      <c r="SEQ38" s="51"/>
      <c r="SER38" s="51"/>
      <c r="SES38" s="51"/>
      <c r="SET38" s="51"/>
      <c r="SEU38" s="51"/>
      <c r="SEV38" s="51"/>
      <c r="SEW38" s="51"/>
      <c r="SEX38" s="51"/>
      <c r="SEY38" s="51"/>
      <c r="SEZ38" s="51"/>
      <c r="SFA38" s="51"/>
      <c r="SFB38" s="51"/>
      <c r="SFC38" s="51"/>
      <c r="SFD38" s="51"/>
      <c r="SFE38" s="51"/>
      <c r="SFF38" s="51"/>
      <c r="SFG38" s="51"/>
      <c r="SFH38" s="51"/>
      <c r="SFI38" s="51"/>
      <c r="SFJ38" s="51"/>
      <c r="SFK38" s="51"/>
      <c r="SFL38" s="51"/>
      <c r="SFM38" s="51"/>
      <c r="SFN38" s="51"/>
      <c r="SFO38" s="51"/>
      <c r="SFP38" s="51"/>
      <c r="SFQ38" s="51"/>
      <c r="SFR38" s="51"/>
      <c r="SFS38" s="51"/>
      <c r="SFT38" s="51"/>
      <c r="SFU38" s="51"/>
      <c r="SFV38" s="51"/>
      <c r="SFW38" s="51"/>
      <c r="SFX38" s="51"/>
      <c r="SFY38" s="51"/>
      <c r="SFZ38" s="51"/>
      <c r="SGA38" s="51"/>
      <c r="SGB38" s="51"/>
      <c r="SGC38" s="51"/>
      <c r="SGD38" s="51"/>
      <c r="SGE38" s="51"/>
      <c r="SGF38" s="51"/>
      <c r="SGG38" s="51"/>
      <c r="SGH38" s="51"/>
      <c r="SGI38" s="51"/>
      <c r="SGJ38" s="51"/>
      <c r="SGK38" s="51"/>
      <c r="SGL38" s="51"/>
      <c r="SGM38" s="51"/>
      <c r="SGN38" s="51"/>
      <c r="SGO38" s="51"/>
      <c r="SGP38" s="51"/>
      <c r="SGQ38" s="51"/>
      <c r="SGR38" s="51"/>
      <c r="SGS38" s="51"/>
      <c r="SGT38" s="51"/>
      <c r="SGU38" s="51"/>
      <c r="SGV38" s="51"/>
      <c r="SGW38" s="51"/>
      <c r="SGX38" s="51"/>
      <c r="SGY38" s="51"/>
      <c r="SGZ38" s="51"/>
      <c r="SHA38" s="51"/>
      <c r="SHB38" s="51"/>
      <c r="SHC38" s="51"/>
      <c r="SHD38" s="51"/>
      <c r="SHE38" s="51"/>
      <c r="SHF38" s="51"/>
      <c r="SHG38" s="51"/>
      <c r="SHH38" s="51"/>
      <c r="SHI38" s="51"/>
      <c r="SHJ38" s="51"/>
      <c r="SHK38" s="51"/>
      <c r="SHL38" s="51"/>
      <c r="SHM38" s="51"/>
      <c r="SHN38" s="51"/>
      <c r="SHO38" s="51"/>
      <c r="SHP38" s="51"/>
      <c r="SHQ38" s="51"/>
      <c r="SHR38" s="51"/>
      <c r="SHS38" s="51"/>
      <c r="SHT38" s="51"/>
      <c r="SHU38" s="51"/>
      <c r="SHV38" s="51"/>
      <c r="SHW38" s="51"/>
      <c r="SHX38" s="51"/>
      <c r="SHY38" s="51"/>
      <c r="SHZ38" s="51"/>
      <c r="SIA38" s="51"/>
      <c r="SIB38" s="51"/>
      <c r="SIC38" s="51"/>
      <c r="SID38" s="51"/>
      <c r="SIE38" s="51"/>
      <c r="SIF38" s="51"/>
      <c r="SIG38" s="51"/>
      <c r="SIH38" s="51"/>
      <c r="SII38" s="51"/>
      <c r="SIJ38" s="51"/>
      <c r="SIK38" s="51"/>
      <c r="SIL38" s="51"/>
      <c r="SIM38" s="51"/>
      <c r="SIN38" s="51"/>
      <c r="SIO38" s="51"/>
      <c r="SIP38" s="51"/>
      <c r="SIQ38" s="51"/>
      <c r="SIR38" s="51"/>
      <c r="SIS38" s="51"/>
      <c r="SIT38" s="51"/>
      <c r="SIU38" s="51"/>
      <c r="SIV38" s="51"/>
      <c r="SIW38" s="51"/>
      <c r="SIX38" s="51"/>
      <c r="SIY38" s="51"/>
      <c r="SIZ38" s="51"/>
      <c r="SJA38" s="51"/>
      <c r="SJB38" s="51"/>
      <c r="SJC38" s="51"/>
      <c r="SJD38" s="51"/>
      <c r="SJE38" s="51"/>
      <c r="SJF38" s="51"/>
      <c r="SJG38" s="51"/>
      <c r="SJH38" s="51"/>
      <c r="SJI38" s="51"/>
      <c r="SJJ38" s="51"/>
      <c r="SJK38" s="51"/>
      <c r="SJL38" s="51"/>
      <c r="SJM38" s="51"/>
      <c r="SJN38" s="51"/>
      <c r="SJO38" s="51"/>
      <c r="SJP38" s="51"/>
      <c r="SJQ38" s="51"/>
      <c r="SJR38" s="51"/>
      <c r="SJS38" s="51"/>
      <c r="SJT38" s="51"/>
      <c r="SJU38" s="51"/>
      <c r="SJV38" s="51"/>
      <c r="SJW38" s="51"/>
      <c r="SJX38" s="51"/>
      <c r="SJY38" s="51"/>
      <c r="SJZ38" s="51"/>
      <c r="SKA38" s="51"/>
      <c r="SKB38" s="51"/>
      <c r="SKC38" s="51"/>
      <c r="SKD38" s="51"/>
      <c r="SKE38" s="51"/>
      <c r="SKF38" s="51"/>
      <c r="SKG38" s="51"/>
      <c r="SKH38" s="51"/>
      <c r="SKI38" s="51"/>
      <c r="SKJ38" s="51"/>
      <c r="SKK38" s="51"/>
      <c r="SKL38" s="51"/>
      <c r="SKM38" s="51"/>
      <c r="SKN38" s="51"/>
      <c r="SKO38" s="51"/>
      <c r="SKP38" s="51"/>
      <c r="SKQ38" s="51"/>
      <c r="SKR38" s="51"/>
      <c r="SKS38" s="51"/>
      <c r="SKT38" s="51"/>
      <c r="SKU38" s="51"/>
      <c r="SKV38" s="51"/>
      <c r="SKW38" s="51"/>
      <c r="SKX38" s="51"/>
      <c r="SKY38" s="51"/>
      <c r="SKZ38" s="51"/>
      <c r="SLA38" s="51"/>
      <c r="SLB38" s="51"/>
      <c r="SLC38" s="51"/>
      <c r="SLD38" s="51"/>
      <c r="SLE38" s="51"/>
      <c r="SLF38" s="51"/>
      <c r="SLG38" s="51"/>
      <c r="SLH38" s="51"/>
      <c r="SLI38" s="51"/>
      <c r="SLJ38" s="51"/>
      <c r="SLK38" s="51"/>
      <c r="SLL38" s="51"/>
      <c r="SLM38" s="51"/>
      <c r="SLN38" s="51"/>
      <c r="SLO38" s="51"/>
      <c r="SLP38" s="51"/>
      <c r="SLQ38" s="51"/>
      <c r="SLR38" s="51"/>
      <c r="SLS38" s="51"/>
      <c r="SLT38" s="51"/>
      <c r="SLU38" s="51"/>
      <c r="SLV38" s="51"/>
      <c r="SLW38" s="51"/>
      <c r="SLX38" s="51"/>
      <c r="SLY38" s="51"/>
      <c r="SLZ38" s="51"/>
      <c r="SMA38" s="51"/>
      <c r="SMB38" s="51"/>
      <c r="SMC38" s="51"/>
      <c r="SMD38" s="51"/>
      <c r="SME38" s="51"/>
      <c r="SMF38" s="51"/>
      <c r="SMG38" s="51"/>
      <c r="SMH38" s="51"/>
      <c r="SMI38" s="51"/>
      <c r="SMJ38" s="51"/>
      <c r="SMK38" s="51"/>
      <c r="SML38" s="51"/>
      <c r="SMM38" s="51"/>
      <c r="SMN38" s="51"/>
      <c r="SMO38" s="51"/>
      <c r="SMP38" s="51"/>
      <c r="SMQ38" s="51"/>
      <c r="SMR38" s="51"/>
      <c r="SMS38" s="51"/>
      <c r="SMT38" s="51"/>
      <c r="SMU38" s="51"/>
      <c r="SMV38" s="51"/>
      <c r="SMW38" s="51"/>
      <c r="SMX38" s="51"/>
      <c r="SMY38" s="51"/>
      <c r="SMZ38" s="51"/>
      <c r="SNA38" s="51"/>
      <c r="SNB38" s="51"/>
      <c r="SNC38" s="51"/>
      <c r="SND38" s="51"/>
      <c r="SNE38" s="51"/>
      <c r="SNF38" s="51"/>
      <c r="SNG38" s="51"/>
      <c r="SNH38" s="51"/>
      <c r="SNI38" s="51"/>
      <c r="SNJ38" s="51"/>
      <c r="SNK38" s="51"/>
      <c r="SNL38" s="51"/>
      <c r="SNM38" s="51"/>
      <c r="SNN38" s="51"/>
      <c r="SNO38" s="51"/>
      <c r="SNP38" s="51"/>
      <c r="SNQ38" s="51"/>
      <c r="SNR38" s="51"/>
      <c r="SNS38" s="51"/>
      <c r="SNT38" s="51"/>
      <c r="SNU38" s="51"/>
      <c r="SNV38" s="51"/>
      <c r="SNW38" s="51"/>
      <c r="SNX38" s="51"/>
      <c r="SNY38" s="51"/>
      <c r="SNZ38" s="51"/>
      <c r="SOA38" s="51"/>
      <c r="SOB38" s="51"/>
      <c r="SOC38" s="51"/>
      <c r="SOD38" s="51"/>
      <c r="SOE38" s="51"/>
      <c r="SOF38" s="51"/>
      <c r="SOG38" s="51"/>
      <c r="SOH38" s="51"/>
      <c r="SOI38" s="51"/>
      <c r="SOJ38" s="51"/>
      <c r="SOK38" s="51"/>
      <c r="SOL38" s="51"/>
      <c r="SOM38" s="51"/>
      <c r="SON38" s="51"/>
      <c r="SOO38" s="51"/>
      <c r="SOP38" s="51"/>
      <c r="SOQ38" s="51"/>
      <c r="SOR38" s="51"/>
      <c r="SOS38" s="51"/>
      <c r="SOT38" s="51"/>
      <c r="SOU38" s="51"/>
      <c r="SOV38" s="51"/>
      <c r="SOW38" s="51"/>
      <c r="SOX38" s="51"/>
      <c r="SOY38" s="51"/>
      <c r="SOZ38" s="51"/>
      <c r="SPA38" s="51"/>
      <c r="SPB38" s="51"/>
      <c r="SPC38" s="51"/>
      <c r="SPD38" s="51"/>
      <c r="SPE38" s="51"/>
      <c r="SPF38" s="51"/>
      <c r="SPG38" s="51"/>
      <c r="SPH38" s="51"/>
      <c r="SPI38" s="51"/>
      <c r="SPJ38" s="51"/>
      <c r="SPK38" s="51"/>
      <c r="SPL38" s="51"/>
      <c r="SPM38" s="51"/>
      <c r="SPN38" s="51"/>
      <c r="SPO38" s="51"/>
      <c r="SPP38" s="51"/>
      <c r="SPQ38" s="51"/>
      <c r="SPR38" s="51"/>
      <c r="SPS38" s="51"/>
      <c r="SPT38" s="51"/>
      <c r="SPU38" s="51"/>
      <c r="SPV38" s="51"/>
      <c r="SPW38" s="51"/>
      <c r="SPX38" s="51"/>
      <c r="SPY38" s="51"/>
      <c r="SPZ38" s="51"/>
      <c r="SQA38" s="51"/>
      <c r="SQB38" s="51"/>
      <c r="SQC38" s="51"/>
      <c r="SQD38" s="51"/>
      <c r="SQE38" s="51"/>
      <c r="SQF38" s="51"/>
      <c r="SQG38" s="51"/>
      <c r="SQH38" s="51"/>
      <c r="SQI38" s="51"/>
      <c r="SQJ38" s="51"/>
      <c r="SQK38" s="51"/>
      <c r="SQL38" s="51"/>
      <c r="SQM38" s="51"/>
      <c r="SQN38" s="51"/>
      <c r="SQO38" s="51"/>
      <c r="SQP38" s="51"/>
      <c r="SQQ38" s="51"/>
      <c r="SQR38" s="51"/>
      <c r="SQS38" s="51"/>
      <c r="SQT38" s="51"/>
      <c r="SQU38" s="51"/>
      <c r="SQV38" s="51"/>
      <c r="SQW38" s="51"/>
      <c r="SQX38" s="51"/>
      <c r="SQY38" s="51"/>
      <c r="SQZ38" s="51"/>
      <c r="SRA38" s="51"/>
      <c r="SRB38" s="51"/>
      <c r="SRC38" s="51"/>
      <c r="SRD38" s="51"/>
      <c r="SRE38" s="51"/>
      <c r="SRF38" s="51"/>
      <c r="SRG38" s="51"/>
      <c r="SRH38" s="51"/>
      <c r="SRI38" s="51"/>
      <c r="SRJ38" s="51"/>
      <c r="SRK38" s="51"/>
      <c r="SRL38" s="51"/>
      <c r="SRM38" s="51"/>
      <c r="SRN38" s="51"/>
      <c r="SRO38" s="51"/>
      <c r="SRP38" s="51"/>
      <c r="SRQ38" s="51"/>
      <c r="SRR38" s="51"/>
      <c r="SRS38" s="51"/>
      <c r="SRT38" s="51"/>
      <c r="SRU38" s="51"/>
      <c r="SRV38" s="51"/>
      <c r="SRW38" s="51"/>
      <c r="SRX38" s="51"/>
      <c r="SRY38" s="51"/>
      <c r="SRZ38" s="51"/>
      <c r="SSA38" s="51"/>
      <c r="SSB38" s="51"/>
      <c r="SSC38" s="51"/>
      <c r="SSD38" s="51"/>
      <c r="SSE38" s="51"/>
      <c r="SSF38" s="51"/>
      <c r="SSG38" s="51"/>
      <c r="SSH38" s="51"/>
      <c r="SSI38" s="51"/>
      <c r="SSJ38" s="51"/>
      <c r="SSK38" s="51"/>
      <c r="SSL38" s="51"/>
      <c r="SSM38" s="51"/>
      <c r="SSN38" s="51"/>
      <c r="SSO38" s="51"/>
      <c r="SSP38" s="51"/>
      <c r="SSQ38" s="51"/>
      <c r="SSR38" s="51"/>
      <c r="SSS38" s="51"/>
      <c r="SST38" s="51"/>
      <c r="SSU38" s="51"/>
      <c r="SSV38" s="51"/>
      <c r="SSW38" s="51"/>
      <c r="SSX38" s="51"/>
      <c r="SSY38" s="51"/>
      <c r="SSZ38" s="51"/>
      <c r="STA38" s="51"/>
      <c r="STB38" s="51"/>
      <c r="STC38" s="51"/>
      <c r="STD38" s="51"/>
      <c r="STE38" s="51"/>
      <c r="STF38" s="51"/>
      <c r="STG38" s="51"/>
      <c r="STH38" s="51"/>
      <c r="STI38" s="51"/>
      <c r="STJ38" s="51"/>
      <c r="STK38" s="51"/>
      <c r="STL38" s="51"/>
      <c r="STM38" s="51"/>
      <c r="STN38" s="51"/>
      <c r="STO38" s="51"/>
      <c r="STP38" s="51"/>
      <c r="STQ38" s="51"/>
      <c r="STR38" s="51"/>
      <c r="STS38" s="51"/>
      <c r="STT38" s="51"/>
      <c r="STU38" s="51"/>
      <c r="STV38" s="51"/>
      <c r="STW38" s="51"/>
      <c r="STX38" s="51"/>
      <c r="STY38" s="51"/>
      <c r="STZ38" s="51"/>
      <c r="SUA38" s="51"/>
      <c r="SUB38" s="51"/>
      <c r="SUC38" s="51"/>
      <c r="SUD38" s="51"/>
      <c r="SUE38" s="51"/>
      <c r="SUF38" s="51"/>
      <c r="SUG38" s="51"/>
      <c r="SUH38" s="51"/>
      <c r="SUI38" s="51"/>
      <c r="SUJ38" s="51"/>
      <c r="SUK38" s="51"/>
      <c r="SUL38" s="51"/>
      <c r="SUM38" s="51"/>
      <c r="SUN38" s="51"/>
      <c r="SUO38" s="51"/>
      <c r="SUP38" s="51"/>
      <c r="SUQ38" s="51"/>
      <c r="SUR38" s="51"/>
      <c r="SUS38" s="51"/>
      <c r="SUT38" s="51"/>
      <c r="SUU38" s="51"/>
      <c r="SUV38" s="51"/>
      <c r="SUW38" s="51"/>
      <c r="SUX38" s="51"/>
      <c r="SUY38" s="51"/>
      <c r="SUZ38" s="51"/>
      <c r="SVA38" s="51"/>
      <c r="SVB38" s="51"/>
      <c r="SVC38" s="51"/>
      <c r="SVD38" s="51"/>
      <c r="SVE38" s="51"/>
      <c r="SVF38" s="51"/>
      <c r="SVG38" s="51"/>
      <c r="SVH38" s="51"/>
      <c r="SVI38" s="51"/>
      <c r="SVJ38" s="51"/>
      <c r="SVK38" s="51"/>
      <c r="SVL38" s="51"/>
      <c r="SVM38" s="51"/>
      <c r="SVN38" s="51"/>
      <c r="SVO38" s="51"/>
      <c r="SVP38" s="51"/>
      <c r="SVQ38" s="51"/>
      <c r="SVR38" s="51"/>
      <c r="SVS38" s="51"/>
      <c r="SVT38" s="51"/>
      <c r="SVU38" s="51"/>
      <c r="SVV38" s="51"/>
      <c r="SVW38" s="51"/>
      <c r="SVX38" s="51"/>
      <c r="SVY38" s="51"/>
      <c r="SVZ38" s="51"/>
      <c r="SWA38" s="51"/>
      <c r="SWB38" s="51"/>
      <c r="SWC38" s="51"/>
      <c r="SWD38" s="51"/>
      <c r="SWE38" s="51"/>
      <c r="SWF38" s="51"/>
      <c r="SWG38" s="51"/>
      <c r="SWH38" s="51"/>
      <c r="SWI38" s="51"/>
      <c r="SWJ38" s="51"/>
      <c r="SWK38" s="51"/>
      <c r="SWL38" s="51"/>
      <c r="SWM38" s="51"/>
      <c r="SWN38" s="51"/>
      <c r="SWO38" s="51"/>
      <c r="SWP38" s="51"/>
      <c r="SWQ38" s="51"/>
      <c r="SWR38" s="51"/>
      <c r="SWS38" s="51"/>
      <c r="SWT38" s="51"/>
      <c r="SWU38" s="51"/>
      <c r="SWV38" s="51"/>
      <c r="SWW38" s="51"/>
      <c r="SWX38" s="51"/>
      <c r="SWY38" s="51"/>
      <c r="SWZ38" s="51"/>
      <c r="SXA38" s="51"/>
      <c r="SXB38" s="51"/>
      <c r="SXC38" s="51"/>
      <c r="SXD38" s="51"/>
      <c r="SXE38" s="51"/>
      <c r="SXF38" s="51"/>
      <c r="SXG38" s="51"/>
      <c r="SXH38" s="51"/>
      <c r="SXI38" s="51"/>
      <c r="SXJ38" s="51"/>
      <c r="SXK38" s="51"/>
      <c r="SXL38" s="51"/>
      <c r="SXM38" s="51"/>
      <c r="SXN38" s="51"/>
      <c r="SXO38" s="51"/>
      <c r="SXP38" s="51"/>
      <c r="SXQ38" s="51"/>
      <c r="SXR38" s="51"/>
      <c r="SXS38" s="51"/>
      <c r="SXT38" s="51"/>
      <c r="SXU38" s="51"/>
      <c r="SXV38" s="51"/>
      <c r="SXW38" s="51"/>
      <c r="SXX38" s="51"/>
      <c r="SXY38" s="51"/>
      <c r="SXZ38" s="51"/>
      <c r="SYA38" s="51"/>
      <c r="SYB38" s="51"/>
      <c r="SYC38" s="51"/>
      <c r="SYD38" s="51"/>
      <c r="SYE38" s="51"/>
      <c r="SYF38" s="51"/>
      <c r="SYG38" s="51"/>
      <c r="SYH38" s="51"/>
      <c r="SYI38" s="51"/>
      <c r="SYJ38" s="51"/>
      <c r="SYK38" s="51"/>
      <c r="SYL38" s="51"/>
      <c r="SYM38" s="51"/>
      <c r="SYN38" s="51"/>
      <c r="SYO38" s="51"/>
      <c r="SYP38" s="51"/>
      <c r="SYQ38" s="51"/>
      <c r="SYR38" s="51"/>
      <c r="SYS38" s="51"/>
      <c r="SYT38" s="51"/>
      <c r="SYU38" s="51"/>
      <c r="SYV38" s="51"/>
      <c r="SYW38" s="51"/>
      <c r="SYX38" s="51"/>
      <c r="SYY38" s="51"/>
      <c r="SYZ38" s="51"/>
      <c r="SZA38" s="51"/>
      <c r="SZB38" s="51"/>
      <c r="SZC38" s="51"/>
      <c r="SZD38" s="51"/>
      <c r="SZE38" s="51"/>
      <c r="SZF38" s="51"/>
      <c r="SZG38" s="51"/>
      <c r="SZH38" s="51"/>
      <c r="SZI38" s="51"/>
      <c r="SZJ38" s="51"/>
      <c r="SZK38" s="51"/>
      <c r="SZL38" s="51"/>
      <c r="SZM38" s="51"/>
      <c r="SZN38" s="51"/>
      <c r="SZO38" s="51"/>
      <c r="SZP38" s="51"/>
      <c r="SZQ38" s="51"/>
      <c r="SZR38" s="51"/>
      <c r="SZS38" s="51"/>
      <c r="SZT38" s="51"/>
      <c r="SZU38" s="51"/>
      <c r="SZV38" s="51"/>
      <c r="SZW38" s="51"/>
      <c r="SZX38" s="51"/>
      <c r="SZY38" s="51"/>
      <c r="SZZ38" s="51"/>
      <c r="TAA38" s="51"/>
      <c r="TAB38" s="51"/>
      <c r="TAC38" s="51"/>
      <c r="TAD38" s="51"/>
      <c r="TAE38" s="51"/>
      <c r="TAF38" s="51"/>
      <c r="TAG38" s="51"/>
      <c r="TAH38" s="51"/>
      <c r="TAI38" s="51"/>
      <c r="TAJ38" s="51"/>
      <c r="TAK38" s="51"/>
      <c r="TAL38" s="51"/>
      <c r="TAM38" s="51"/>
      <c r="TAN38" s="51"/>
      <c r="TAO38" s="51"/>
      <c r="TAP38" s="51"/>
      <c r="TAQ38" s="51"/>
      <c r="TAR38" s="51"/>
      <c r="TAS38" s="51"/>
      <c r="TAT38" s="51"/>
      <c r="TAU38" s="51"/>
      <c r="TAV38" s="51"/>
      <c r="TAW38" s="51"/>
      <c r="TAX38" s="51"/>
      <c r="TAY38" s="51"/>
      <c r="TAZ38" s="51"/>
      <c r="TBA38" s="51"/>
      <c r="TBB38" s="51"/>
      <c r="TBC38" s="51"/>
      <c r="TBD38" s="51"/>
      <c r="TBE38" s="51"/>
      <c r="TBF38" s="51"/>
      <c r="TBG38" s="51"/>
      <c r="TBH38" s="51"/>
      <c r="TBI38" s="51"/>
      <c r="TBJ38" s="51"/>
      <c r="TBK38" s="51"/>
      <c r="TBL38" s="51"/>
      <c r="TBM38" s="51"/>
      <c r="TBN38" s="51"/>
      <c r="TBO38" s="51"/>
      <c r="TBP38" s="51"/>
      <c r="TBQ38" s="51"/>
      <c r="TBR38" s="51"/>
      <c r="TBS38" s="51"/>
      <c r="TBT38" s="51"/>
      <c r="TBU38" s="51"/>
      <c r="TBV38" s="51"/>
      <c r="TBW38" s="51"/>
      <c r="TBX38" s="51"/>
      <c r="TBY38" s="51"/>
      <c r="TBZ38" s="51"/>
      <c r="TCA38" s="51"/>
      <c r="TCB38" s="51"/>
      <c r="TCC38" s="51"/>
      <c r="TCD38" s="51"/>
      <c r="TCE38" s="51"/>
      <c r="TCF38" s="51"/>
      <c r="TCG38" s="51"/>
      <c r="TCH38" s="51"/>
      <c r="TCI38" s="51"/>
      <c r="TCJ38" s="51"/>
      <c r="TCK38" s="51"/>
      <c r="TCL38" s="51"/>
      <c r="TCM38" s="51"/>
      <c r="TCN38" s="51"/>
      <c r="TCO38" s="51"/>
      <c r="TCP38" s="51"/>
      <c r="TCQ38" s="51"/>
      <c r="TCR38" s="51"/>
      <c r="TCS38" s="51"/>
      <c r="TCT38" s="51"/>
      <c r="TCU38" s="51"/>
      <c r="TCV38" s="51"/>
      <c r="TCW38" s="51"/>
      <c r="TCX38" s="51"/>
      <c r="TCY38" s="51"/>
      <c r="TCZ38" s="51"/>
      <c r="TDA38" s="51"/>
      <c r="TDB38" s="51"/>
      <c r="TDC38" s="51"/>
      <c r="TDD38" s="51"/>
      <c r="TDE38" s="51"/>
      <c r="TDF38" s="51"/>
      <c r="TDG38" s="51"/>
      <c r="TDH38" s="51"/>
      <c r="TDI38" s="51"/>
      <c r="TDJ38" s="51"/>
      <c r="TDK38" s="51"/>
      <c r="TDL38" s="51"/>
      <c r="TDM38" s="51"/>
      <c r="TDN38" s="51"/>
      <c r="TDO38" s="51"/>
      <c r="TDP38" s="51"/>
      <c r="TDQ38" s="51"/>
      <c r="TDR38" s="51"/>
      <c r="TDS38" s="51"/>
      <c r="TDT38" s="51"/>
      <c r="TDU38" s="51"/>
      <c r="TDV38" s="51"/>
      <c r="TDW38" s="51"/>
      <c r="TDX38" s="51"/>
      <c r="TDY38" s="51"/>
      <c r="TDZ38" s="51"/>
      <c r="TEA38" s="51"/>
      <c r="TEB38" s="51"/>
      <c r="TEC38" s="51"/>
      <c r="TED38" s="51"/>
      <c r="TEE38" s="51"/>
      <c r="TEF38" s="51"/>
      <c r="TEG38" s="51"/>
      <c r="TEH38" s="51"/>
      <c r="TEI38" s="51"/>
      <c r="TEJ38" s="51"/>
      <c r="TEK38" s="51"/>
      <c r="TEL38" s="51"/>
      <c r="TEM38" s="51"/>
      <c r="TEN38" s="51"/>
      <c r="TEO38" s="51"/>
      <c r="TEP38" s="51"/>
      <c r="TEQ38" s="51"/>
      <c r="TER38" s="51"/>
      <c r="TES38" s="51"/>
      <c r="TET38" s="51"/>
      <c r="TEU38" s="51"/>
      <c r="TEV38" s="51"/>
      <c r="TEW38" s="51"/>
      <c r="TEX38" s="51"/>
      <c r="TEY38" s="51"/>
      <c r="TEZ38" s="51"/>
      <c r="TFA38" s="51"/>
      <c r="TFB38" s="51"/>
      <c r="TFC38" s="51"/>
      <c r="TFD38" s="51"/>
      <c r="TFE38" s="51"/>
      <c r="TFF38" s="51"/>
      <c r="TFG38" s="51"/>
      <c r="TFH38" s="51"/>
      <c r="TFI38" s="51"/>
      <c r="TFJ38" s="51"/>
      <c r="TFK38" s="51"/>
      <c r="TFL38" s="51"/>
      <c r="TFM38" s="51"/>
      <c r="TFN38" s="51"/>
      <c r="TFO38" s="51"/>
      <c r="TFP38" s="51"/>
      <c r="TFQ38" s="51"/>
      <c r="TFR38" s="51"/>
      <c r="TFS38" s="51"/>
      <c r="TFT38" s="51"/>
      <c r="TFU38" s="51"/>
      <c r="TFV38" s="51"/>
      <c r="TFW38" s="51"/>
      <c r="TFX38" s="51"/>
      <c r="TFY38" s="51"/>
      <c r="TFZ38" s="51"/>
      <c r="TGA38" s="51"/>
      <c r="TGB38" s="51"/>
      <c r="TGC38" s="51"/>
      <c r="TGD38" s="51"/>
      <c r="TGE38" s="51"/>
      <c r="TGF38" s="51"/>
      <c r="TGG38" s="51"/>
      <c r="TGH38" s="51"/>
      <c r="TGI38" s="51"/>
      <c r="TGJ38" s="51"/>
      <c r="TGK38" s="51"/>
      <c r="TGL38" s="51"/>
      <c r="TGM38" s="51"/>
      <c r="TGN38" s="51"/>
      <c r="TGO38" s="51"/>
      <c r="TGP38" s="51"/>
      <c r="TGQ38" s="51"/>
      <c r="TGR38" s="51"/>
      <c r="TGS38" s="51"/>
      <c r="TGT38" s="51"/>
      <c r="TGU38" s="51"/>
      <c r="TGV38" s="51"/>
      <c r="TGW38" s="51"/>
      <c r="TGX38" s="51"/>
      <c r="TGY38" s="51"/>
      <c r="TGZ38" s="51"/>
      <c r="THA38" s="51"/>
      <c r="THB38" s="51"/>
      <c r="THC38" s="51"/>
      <c r="THD38" s="51"/>
      <c r="THE38" s="51"/>
      <c r="THF38" s="51"/>
      <c r="THG38" s="51"/>
      <c r="THH38" s="51"/>
      <c r="THI38" s="51"/>
      <c r="THJ38" s="51"/>
      <c r="THK38" s="51"/>
      <c r="THL38" s="51"/>
      <c r="THM38" s="51"/>
      <c r="THN38" s="51"/>
      <c r="THO38" s="51"/>
      <c r="THP38" s="51"/>
      <c r="THQ38" s="51"/>
      <c r="THR38" s="51"/>
      <c r="THS38" s="51"/>
      <c r="THT38" s="51"/>
      <c r="THU38" s="51"/>
      <c r="THV38" s="51"/>
      <c r="THW38" s="51"/>
      <c r="THX38" s="51"/>
      <c r="THY38" s="51"/>
      <c r="THZ38" s="51"/>
      <c r="TIA38" s="51"/>
      <c r="TIB38" s="51"/>
      <c r="TIC38" s="51"/>
      <c r="TID38" s="51"/>
      <c r="TIE38" s="51"/>
      <c r="TIF38" s="51"/>
      <c r="TIG38" s="51"/>
      <c r="TIH38" s="51"/>
      <c r="TII38" s="51"/>
      <c r="TIJ38" s="51"/>
      <c r="TIK38" s="51"/>
      <c r="TIL38" s="51"/>
      <c r="TIM38" s="51"/>
      <c r="TIN38" s="51"/>
      <c r="TIO38" s="51"/>
      <c r="TIP38" s="51"/>
      <c r="TIQ38" s="51"/>
      <c r="TIR38" s="51"/>
      <c r="TIS38" s="51"/>
      <c r="TIT38" s="51"/>
      <c r="TIU38" s="51"/>
      <c r="TIV38" s="51"/>
      <c r="TIW38" s="51"/>
      <c r="TIX38" s="51"/>
      <c r="TIY38" s="51"/>
      <c r="TIZ38" s="51"/>
      <c r="TJA38" s="51"/>
      <c r="TJB38" s="51"/>
      <c r="TJC38" s="51"/>
      <c r="TJD38" s="51"/>
      <c r="TJE38" s="51"/>
      <c r="TJF38" s="51"/>
      <c r="TJG38" s="51"/>
      <c r="TJH38" s="51"/>
      <c r="TJI38" s="51"/>
      <c r="TJJ38" s="51"/>
      <c r="TJK38" s="51"/>
      <c r="TJL38" s="51"/>
      <c r="TJM38" s="51"/>
      <c r="TJN38" s="51"/>
      <c r="TJO38" s="51"/>
      <c r="TJP38" s="51"/>
      <c r="TJQ38" s="51"/>
      <c r="TJR38" s="51"/>
      <c r="TJS38" s="51"/>
      <c r="TJT38" s="51"/>
      <c r="TJU38" s="51"/>
      <c r="TJV38" s="51"/>
      <c r="TJW38" s="51"/>
      <c r="TJX38" s="51"/>
      <c r="TJY38" s="51"/>
      <c r="TJZ38" s="51"/>
      <c r="TKA38" s="51"/>
      <c r="TKB38" s="51"/>
      <c r="TKC38" s="51"/>
      <c r="TKD38" s="51"/>
      <c r="TKE38" s="51"/>
      <c r="TKF38" s="51"/>
      <c r="TKG38" s="51"/>
      <c r="TKH38" s="51"/>
      <c r="TKI38" s="51"/>
      <c r="TKJ38" s="51"/>
      <c r="TKK38" s="51"/>
      <c r="TKL38" s="51"/>
      <c r="TKM38" s="51"/>
      <c r="TKN38" s="51"/>
      <c r="TKO38" s="51"/>
      <c r="TKP38" s="51"/>
      <c r="TKQ38" s="51"/>
      <c r="TKR38" s="51"/>
      <c r="TKS38" s="51"/>
      <c r="TKT38" s="51"/>
      <c r="TKU38" s="51"/>
      <c r="TKV38" s="51"/>
      <c r="TKW38" s="51"/>
      <c r="TKX38" s="51"/>
      <c r="TKY38" s="51"/>
      <c r="TKZ38" s="51"/>
      <c r="TLA38" s="51"/>
      <c r="TLB38" s="51"/>
      <c r="TLC38" s="51"/>
      <c r="TLD38" s="51"/>
      <c r="TLE38" s="51"/>
      <c r="TLF38" s="51"/>
      <c r="TLG38" s="51"/>
      <c r="TLH38" s="51"/>
      <c r="TLI38" s="51"/>
      <c r="TLJ38" s="51"/>
      <c r="TLK38" s="51"/>
      <c r="TLL38" s="51"/>
      <c r="TLM38" s="51"/>
      <c r="TLN38" s="51"/>
      <c r="TLO38" s="51"/>
      <c r="TLP38" s="51"/>
      <c r="TLQ38" s="51"/>
      <c r="TLR38" s="51"/>
      <c r="TLS38" s="51"/>
      <c r="TLT38" s="51"/>
      <c r="TLU38" s="51"/>
      <c r="TLV38" s="51"/>
      <c r="TLW38" s="51"/>
      <c r="TLX38" s="51"/>
      <c r="TLY38" s="51"/>
      <c r="TLZ38" s="51"/>
      <c r="TMA38" s="51"/>
      <c r="TMB38" s="51"/>
      <c r="TMC38" s="51"/>
      <c r="TMD38" s="51"/>
      <c r="TME38" s="51"/>
      <c r="TMF38" s="51"/>
      <c r="TMG38" s="51"/>
      <c r="TMH38" s="51"/>
      <c r="TMI38" s="51"/>
      <c r="TMJ38" s="51"/>
      <c r="TMK38" s="51"/>
      <c r="TML38" s="51"/>
      <c r="TMM38" s="51"/>
      <c r="TMN38" s="51"/>
      <c r="TMO38" s="51"/>
      <c r="TMP38" s="51"/>
      <c r="TMQ38" s="51"/>
      <c r="TMR38" s="51"/>
      <c r="TMS38" s="51"/>
      <c r="TMT38" s="51"/>
      <c r="TMU38" s="51"/>
      <c r="TMV38" s="51"/>
      <c r="TMW38" s="51"/>
      <c r="TMX38" s="51"/>
      <c r="TMY38" s="51"/>
      <c r="TMZ38" s="51"/>
      <c r="TNA38" s="51"/>
      <c r="TNB38" s="51"/>
      <c r="TNC38" s="51"/>
      <c r="TND38" s="51"/>
      <c r="TNE38" s="51"/>
      <c r="TNF38" s="51"/>
      <c r="TNG38" s="51"/>
      <c r="TNH38" s="51"/>
      <c r="TNI38" s="51"/>
      <c r="TNJ38" s="51"/>
      <c r="TNK38" s="51"/>
      <c r="TNL38" s="51"/>
      <c r="TNM38" s="51"/>
      <c r="TNN38" s="51"/>
      <c r="TNO38" s="51"/>
      <c r="TNP38" s="51"/>
      <c r="TNQ38" s="51"/>
      <c r="TNR38" s="51"/>
      <c r="TNS38" s="51"/>
      <c r="TNT38" s="51"/>
      <c r="TNU38" s="51"/>
      <c r="TNV38" s="51"/>
      <c r="TNW38" s="51"/>
      <c r="TNX38" s="51"/>
      <c r="TNY38" s="51"/>
      <c r="TNZ38" s="51"/>
      <c r="TOA38" s="51"/>
      <c r="TOB38" s="51"/>
      <c r="TOC38" s="51"/>
      <c r="TOD38" s="51"/>
      <c r="TOE38" s="51"/>
      <c r="TOF38" s="51"/>
      <c r="TOG38" s="51"/>
      <c r="TOH38" s="51"/>
      <c r="TOI38" s="51"/>
      <c r="TOJ38" s="51"/>
      <c r="TOK38" s="51"/>
      <c r="TOL38" s="51"/>
      <c r="TOM38" s="51"/>
      <c r="TON38" s="51"/>
      <c r="TOO38" s="51"/>
      <c r="TOP38" s="51"/>
      <c r="TOQ38" s="51"/>
      <c r="TOR38" s="51"/>
      <c r="TOS38" s="51"/>
      <c r="TOT38" s="51"/>
      <c r="TOU38" s="51"/>
      <c r="TOV38" s="51"/>
      <c r="TOW38" s="51"/>
      <c r="TOX38" s="51"/>
      <c r="TOY38" s="51"/>
      <c r="TOZ38" s="51"/>
      <c r="TPA38" s="51"/>
      <c r="TPB38" s="51"/>
      <c r="TPC38" s="51"/>
      <c r="TPD38" s="51"/>
      <c r="TPE38" s="51"/>
      <c r="TPF38" s="51"/>
      <c r="TPG38" s="51"/>
      <c r="TPH38" s="51"/>
      <c r="TPI38" s="51"/>
      <c r="TPJ38" s="51"/>
      <c r="TPK38" s="51"/>
      <c r="TPL38" s="51"/>
      <c r="TPM38" s="51"/>
      <c r="TPN38" s="51"/>
      <c r="TPO38" s="51"/>
      <c r="TPP38" s="51"/>
      <c r="TPQ38" s="51"/>
      <c r="TPR38" s="51"/>
      <c r="TPS38" s="51"/>
      <c r="TPT38" s="51"/>
      <c r="TPU38" s="51"/>
      <c r="TPV38" s="51"/>
      <c r="TPW38" s="51"/>
      <c r="TPX38" s="51"/>
      <c r="TPY38" s="51"/>
      <c r="TPZ38" s="51"/>
      <c r="TQA38" s="51"/>
      <c r="TQB38" s="51"/>
      <c r="TQC38" s="51"/>
      <c r="TQD38" s="51"/>
      <c r="TQE38" s="51"/>
      <c r="TQF38" s="51"/>
      <c r="TQG38" s="51"/>
      <c r="TQH38" s="51"/>
      <c r="TQI38" s="51"/>
      <c r="TQJ38" s="51"/>
      <c r="TQK38" s="51"/>
      <c r="TQL38" s="51"/>
      <c r="TQM38" s="51"/>
      <c r="TQN38" s="51"/>
      <c r="TQO38" s="51"/>
      <c r="TQP38" s="51"/>
      <c r="TQQ38" s="51"/>
      <c r="TQR38" s="51"/>
      <c r="TQS38" s="51"/>
      <c r="TQT38" s="51"/>
      <c r="TQU38" s="51"/>
      <c r="TQV38" s="51"/>
      <c r="TQW38" s="51"/>
      <c r="TQX38" s="51"/>
      <c r="TQY38" s="51"/>
      <c r="TQZ38" s="51"/>
      <c r="TRA38" s="51"/>
      <c r="TRB38" s="51"/>
      <c r="TRC38" s="51"/>
      <c r="TRD38" s="51"/>
      <c r="TRE38" s="51"/>
      <c r="TRF38" s="51"/>
      <c r="TRG38" s="51"/>
      <c r="TRH38" s="51"/>
      <c r="TRI38" s="51"/>
      <c r="TRJ38" s="51"/>
      <c r="TRK38" s="51"/>
      <c r="TRL38" s="51"/>
      <c r="TRM38" s="51"/>
      <c r="TRN38" s="51"/>
      <c r="TRO38" s="51"/>
      <c r="TRP38" s="51"/>
      <c r="TRQ38" s="51"/>
      <c r="TRR38" s="51"/>
      <c r="TRS38" s="51"/>
      <c r="TRT38" s="51"/>
      <c r="TRU38" s="51"/>
      <c r="TRV38" s="51"/>
      <c r="TRW38" s="51"/>
      <c r="TRX38" s="51"/>
      <c r="TRY38" s="51"/>
      <c r="TRZ38" s="51"/>
      <c r="TSA38" s="51"/>
      <c r="TSB38" s="51"/>
      <c r="TSC38" s="51"/>
      <c r="TSD38" s="51"/>
      <c r="TSE38" s="51"/>
      <c r="TSF38" s="51"/>
      <c r="TSG38" s="51"/>
      <c r="TSH38" s="51"/>
      <c r="TSI38" s="51"/>
      <c r="TSJ38" s="51"/>
      <c r="TSK38" s="51"/>
      <c r="TSL38" s="51"/>
      <c r="TSM38" s="51"/>
      <c r="TSN38" s="51"/>
      <c r="TSO38" s="51"/>
      <c r="TSP38" s="51"/>
      <c r="TSQ38" s="51"/>
      <c r="TSR38" s="51"/>
      <c r="TSS38" s="51"/>
      <c r="TST38" s="51"/>
      <c r="TSU38" s="51"/>
      <c r="TSV38" s="51"/>
      <c r="TSW38" s="51"/>
      <c r="TSX38" s="51"/>
      <c r="TSY38" s="51"/>
      <c r="TSZ38" s="51"/>
      <c r="TTA38" s="51"/>
      <c r="TTB38" s="51"/>
      <c r="TTC38" s="51"/>
      <c r="TTD38" s="51"/>
      <c r="TTE38" s="51"/>
      <c r="TTF38" s="51"/>
      <c r="TTG38" s="51"/>
      <c r="TTH38" s="51"/>
      <c r="TTI38" s="51"/>
      <c r="TTJ38" s="51"/>
      <c r="TTK38" s="51"/>
      <c r="TTL38" s="51"/>
      <c r="TTM38" s="51"/>
      <c r="TTN38" s="51"/>
      <c r="TTO38" s="51"/>
      <c r="TTP38" s="51"/>
      <c r="TTQ38" s="51"/>
      <c r="TTR38" s="51"/>
      <c r="TTS38" s="51"/>
      <c r="TTT38" s="51"/>
      <c r="TTU38" s="51"/>
      <c r="TTV38" s="51"/>
      <c r="TTW38" s="51"/>
      <c r="TTX38" s="51"/>
      <c r="TTY38" s="51"/>
      <c r="TTZ38" s="51"/>
      <c r="TUA38" s="51"/>
      <c r="TUB38" s="51"/>
      <c r="TUC38" s="51"/>
      <c r="TUD38" s="51"/>
      <c r="TUE38" s="51"/>
      <c r="TUF38" s="51"/>
      <c r="TUG38" s="51"/>
      <c r="TUH38" s="51"/>
      <c r="TUI38" s="51"/>
      <c r="TUJ38" s="51"/>
      <c r="TUK38" s="51"/>
      <c r="TUL38" s="51"/>
      <c r="TUM38" s="51"/>
      <c r="TUN38" s="51"/>
      <c r="TUO38" s="51"/>
      <c r="TUP38" s="51"/>
      <c r="TUQ38" s="51"/>
      <c r="TUR38" s="51"/>
      <c r="TUS38" s="51"/>
      <c r="TUT38" s="51"/>
      <c r="TUU38" s="51"/>
      <c r="TUV38" s="51"/>
      <c r="TUW38" s="51"/>
      <c r="TUX38" s="51"/>
      <c r="TUY38" s="51"/>
      <c r="TUZ38" s="51"/>
      <c r="TVA38" s="51"/>
      <c r="TVB38" s="51"/>
      <c r="TVC38" s="51"/>
      <c r="TVD38" s="51"/>
      <c r="TVE38" s="51"/>
      <c r="TVF38" s="51"/>
      <c r="TVG38" s="51"/>
      <c r="TVH38" s="51"/>
      <c r="TVI38" s="51"/>
      <c r="TVJ38" s="51"/>
      <c r="TVK38" s="51"/>
      <c r="TVL38" s="51"/>
      <c r="TVM38" s="51"/>
      <c r="TVN38" s="51"/>
      <c r="TVO38" s="51"/>
      <c r="TVP38" s="51"/>
      <c r="TVQ38" s="51"/>
      <c r="TVR38" s="51"/>
      <c r="TVS38" s="51"/>
      <c r="TVT38" s="51"/>
      <c r="TVU38" s="51"/>
      <c r="TVV38" s="51"/>
      <c r="TVW38" s="51"/>
      <c r="TVX38" s="51"/>
      <c r="TVY38" s="51"/>
      <c r="TVZ38" s="51"/>
      <c r="TWA38" s="51"/>
      <c r="TWB38" s="51"/>
      <c r="TWC38" s="51"/>
      <c r="TWD38" s="51"/>
      <c r="TWE38" s="51"/>
      <c r="TWF38" s="51"/>
      <c r="TWG38" s="51"/>
      <c r="TWH38" s="51"/>
      <c r="TWI38" s="51"/>
      <c r="TWJ38" s="51"/>
      <c r="TWK38" s="51"/>
      <c r="TWL38" s="51"/>
      <c r="TWM38" s="51"/>
      <c r="TWN38" s="51"/>
      <c r="TWO38" s="51"/>
      <c r="TWP38" s="51"/>
      <c r="TWQ38" s="51"/>
      <c r="TWR38" s="51"/>
      <c r="TWS38" s="51"/>
      <c r="TWT38" s="51"/>
      <c r="TWU38" s="51"/>
      <c r="TWV38" s="51"/>
      <c r="TWW38" s="51"/>
      <c r="TWX38" s="51"/>
      <c r="TWY38" s="51"/>
      <c r="TWZ38" s="51"/>
      <c r="TXA38" s="51"/>
      <c r="TXB38" s="51"/>
      <c r="TXC38" s="51"/>
      <c r="TXD38" s="51"/>
      <c r="TXE38" s="51"/>
      <c r="TXF38" s="51"/>
      <c r="TXG38" s="51"/>
      <c r="TXH38" s="51"/>
      <c r="TXI38" s="51"/>
      <c r="TXJ38" s="51"/>
      <c r="TXK38" s="51"/>
      <c r="TXL38" s="51"/>
      <c r="TXM38" s="51"/>
      <c r="TXN38" s="51"/>
      <c r="TXO38" s="51"/>
      <c r="TXP38" s="51"/>
      <c r="TXQ38" s="51"/>
      <c r="TXR38" s="51"/>
      <c r="TXS38" s="51"/>
      <c r="TXT38" s="51"/>
      <c r="TXU38" s="51"/>
      <c r="TXV38" s="51"/>
      <c r="TXW38" s="51"/>
      <c r="TXX38" s="51"/>
      <c r="TXY38" s="51"/>
      <c r="TXZ38" s="51"/>
      <c r="TYA38" s="51"/>
      <c r="TYB38" s="51"/>
      <c r="TYC38" s="51"/>
      <c r="TYD38" s="51"/>
      <c r="TYE38" s="51"/>
      <c r="TYF38" s="51"/>
      <c r="TYG38" s="51"/>
      <c r="TYH38" s="51"/>
      <c r="TYI38" s="51"/>
      <c r="TYJ38" s="51"/>
      <c r="TYK38" s="51"/>
      <c r="TYL38" s="51"/>
      <c r="TYM38" s="51"/>
      <c r="TYN38" s="51"/>
      <c r="TYO38" s="51"/>
      <c r="TYP38" s="51"/>
      <c r="TYQ38" s="51"/>
      <c r="TYR38" s="51"/>
      <c r="TYS38" s="51"/>
      <c r="TYT38" s="51"/>
      <c r="TYU38" s="51"/>
      <c r="TYV38" s="51"/>
      <c r="TYW38" s="51"/>
      <c r="TYX38" s="51"/>
      <c r="TYY38" s="51"/>
      <c r="TYZ38" s="51"/>
      <c r="TZA38" s="51"/>
      <c r="TZB38" s="51"/>
      <c r="TZC38" s="51"/>
      <c r="TZD38" s="51"/>
      <c r="TZE38" s="51"/>
      <c r="TZF38" s="51"/>
      <c r="TZG38" s="51"/>
      <c r="TZH38" s="51"/>
      <c r="TZI38" s="51"/>
      <c r="TZJ38" s="51"/>
      <c r="TZK38" s="51"/>
      <c r="TZL38" s="51"/>
      <c r="TZM38" s="51"/>
      <c r="TZN38" s="51"/>
      <c r="TZO38" s="51"/>
      <c r="TZP38" s="51"/>
      <c r="TZQ38" s="51"/>
      <c r="TZR38" s="51"/>
      <c r="TZS38" s="51"/>
      <c r="TZT38" s="51"/>
      <c r="TZU38" s="51"/>
      <c r="TZV38" s="51"/>
      <c r="TZW38" s="51"/>
      <c r="TZX38" s="51"/>
      <c r="TZY38" s="51"/>
      <c r="TZZ38" s="51"/>
      <c r="UAA38" s="51"/>
      <c r="UAB38" s="51"/>
      <c r="UAC38" s="51"/>
      <c r="UAD38" s="51"/>
      <c r="UAE38" s="51"/>
      <c r="UAF38" s="51"/>
      <c r="UAG38" s="51"/>
      <c r="UAH38" s="51"/>
      <c r="UAI38" s="51"/>
      <c r="UAJ38" s="51"/>
      <c r="UAK38" s="51"/>
      <c r="UAL38" s="51"/>
      <c r="UAM38" s="51"/>
      <c r="UAN38" s="51"/>
      <c r="UAO38" s="51"/>
      <c r="UAP38" s="51"/>
      <c r="UAQ38" s="51"/>
      <c r="UAR38" s="51"/>
      <c r="UAS38" s="51"/>
      <c r="UAT38" s="51"/>
      <c r="UAU38" s="51"/>
      <c r="UAV38" s="51"/>
      <c r="UAW38" s="51"/>
      <c r="UAX38" s="51"/>
      <c r="UAY38" s="51"/>
      <c r="UAZ38" s="51"/>
      <c r="UBA38" s="51"/>
      <c r="UBB38" s="51"/>
      <c r="UBC38" s="51"/>
      <c r="UBD38" s="51"/>
      <c r="UBE38" s="51"/>
      <c r="UBF38" s="51"/>
      <c r="UBG38" s="51"/>
      <c r="UBH38" s="51"/>
      <c r="UBI38" s="51"/>
      <c r="UBJ38" s="51"/>
      <c r="UBK38" s="51"/>
      <c r="UBL38" s="51"/>
      <c r="UBM38" s="51"/>
      <c r="UBN38" s="51"/>
      <c r="UBO38" s="51"/>
      <c r="UBP38" s="51"/>
      <c r="UBQ38" s="51"/>
      <c r="UBR38" s="51"/>
      <c r="UBS38" s="51"/>
      <c r="UBT38" s="51"/>
      <c r="UBU38" s="51"/>
      <c r="UBV38" s="51"/>
      <c r="UBW38" s="51"/>
      <c r="UBX38" s="51"/>
      <c r="UBY38" s="51"/>
      <c r="UBZ38" s="51"/>
      <c r="UCA38" s="51"/>
      <c r="UCB38" s="51"/>
      <c r="UCC38" s="51"/>
      <c r="UCD38" s="51"/>
      <c r="UCE38" s="51"/>
      <c r="UCF38" s="51"/>
      <c r="UCG38" s="51"/>
      <c r="UCH38" s="51"/>
      <c r="UCI38" s="51"/>
      <c r="UCJ38" s="51"/>
      <c r="UCK38" s="51"/>
      <c r="UCL38" s="51"/>
      <c r="UCM38" s="51"/>
      <c r="UCN38" s="51"/>
      <c r="UCO38" s="51"/>
      <c r="UCP38" s="51"/>
      <c r="UCQ38" s="51"/>
      <c r="UCR38" s="51"/>
      <c r="UCS38" s="51"/>
      <c r="UCT38" s="51"/>
      <c r="UCU38" s="51"/>
      <c r="UCV38" s="51"/>
      <c r="UCW38" s="51"/>
      <c r="UCX38" s="51"/>
      <c r="UCY38" s="51"/>
      <c r="UCZ38" s="51"/>
      <c r="UDA38" s="51"/>
      <c r="UDB38" s="51"/>
      <c r="UDC38" s="51"/>
      <c r="UDD38" s="51"/>
      <c r="UDE38" s="51"/>
      <c r="UDF38" s="51"/>
      <c r="UDG38" s="51"/>
      <c r="UDH38" s="51"/>
      <c r="UDI38" s="51"/>
      <c r="UDJ38" s="51"/>
      <c r="UDK38" s="51"/>
      <c r="UDL38" s="51"/>
      <c r="UDM38" s="51"/>
      <c r="UDN38" s="51"/>
      <c r="UDO38" s="51"/>
      <c r="UDP38" s="51"/>
      <c r="UDQ38" s="51"/>
      <c r="UDR38" s="51"/>
      <c r="UDS38" s="51"/>
      <c r="UDT38" s="51"/>
      <c r="UDU38" s="51"/>
      <c r="UDV38" s="51"/>
      <c r="UDW38" s="51"/>
      <c r="UDX38" s="51"/>
      <c r="UDY38" s="51"/>
      <c r="UDZ38" s="51"/>
      <c r="UEA38" s="51"/>
      <c r="UEB38" s="51"/>
      <c r="UEC38" s="51"/>
      <c r="UED38" s="51"/>
      <c r="UEE38" s="51"/>
      <c r="UEF38" s="51"/>
      <c r="UEG38" s="51"/>
      <c r="UEH38" s="51"/>
      <c r="UEI38" s="51"/>
      <c r="UEJ38" s="51"/>
      <c r="UEK38" s="51"/>
      <c r="UEL38" s="51"/>
      <c r="UEM38" s="51"/>
      <c r="UEN38" s="51"/>
      <c r="UEO38" s="51"/>
      <c r="UEP38" s="51"/>
      <c r="UEQ38" s="51"/>
      <c r="UER38" s="51"/>
      <c r="UES38" s="51"/>
      <c r="UET38" s="51"/>
      <c r="UEU38" s="51"/>
      <c r="UEV38" s="51"/>
      <c r="UEW38" s="51"/>
      <c r="UEX38" s="51"/>
      <c r="UEY38" s="51"/>
      <c r="UEZ38" s="51"/>
      <c r="UFA38" s="51"/>
      <c r="UFB38" s="51"/>
      <c r="UFC38" s="51"/>
      <c r="UFD38" s="51"/>
      <c r="UFE38" s="51"/>
      <c r="UFF38" s="51"/>
      <c r="UFG38" s="51"/>
      <c r="UFH38" s="51"/>
      <c r="UFI38" s="51"/>
      <c r="UFJ38" s="51"/>
      <c r="UFK38" s="51"/>
      <c r="UFL38" s="51"/>
      <c r="UFM38" s="51"/>
      <c r="UFN38" s="51"/>
      <c r="UFO38" s="51"/>
      <c r="UFP38" s="51"/>
      <c r="UFQ38" s="51"/>
      <c r="UFR38" s="51"/>
      <c r="UFS38" s="51"/>
      <c r="UFT38" s="51"/>
      <c r="UFU38" s="51"/>
      <c r="UFV38" s="51"/>
      <c r="UFW38" s="51"/>
      <c r="UFX38" s="51"/>
      <c r="UFY38" s="51"/>
      <c r="UFZ38" s="51"/>
      <c r="UGA38" s="51"/>
      <c r="UGB38" s="51"/>
      <c r="UGC38" s="51"/>
      <c r="UGD38" s="51"/>
      <c r="UGE38" s="51"/>
      <c r="UGF38" s="51"/>
      <c r="UGG38" s="51"/>
      <c r="UGH38" s="51"/>
      <c r="UGI38" s="51"/>
      <c r="UGJ38" s="51"/>
      <c r="UGK38" s="51"/>
      <c r="UGL38" s="51"/>
      <c r="UGM38" s="51"/>
      <c r="UGN38" s="51"/>
      <c r="UGO38" s="51"/>
      <c r="UGP38" s="51"/>
      <c r="UGQ38" s="51"/>
      <c r="UGR38" s="51"/>
      <c r="UGS38" s="51"/>
      <c r="UGT38" s="51"/>
      <c r="UGU38" s="51"/>
      <c r="UGV38" s="51"/>
      <c r="UGW38" s="51"/>
      <c r="UGX38" s="51"/>
      <c r="UGY38" s="51"/>
      <c r="UGZ38" s="51"/>
      <c r="UHA38" s="51"/>
      <c r="UHB38" s="51"/>
      <c r="UHC38" s="51"/>
      <c r="UHD38" s="51"/>
      <c r="UHE38" s="51"/>
      <c r="UHF38" s="51"/>
      <c r="UHG38" s="51"/>
      <c r="UHH38" s="51"/>
      <c r="UHI38" s="51"/>
      <c r="UHJ38" s="51"/>
      <c r="UHK38" s="51"/>
      <c r="UHL38" s="51"/>
      <c r="UHM38" s="51"/>
      <c r="UHN38" s="51"/>
      <c r="UHO38" s="51"/>
      <c r="UHP38" s="51"/>
      <c r="UHQ38" s="51"/>
      <c r="UHR38" s="51"/>
      <c r="UHS38" s="51"/>
      <c r="UHT38" s="51"/>
      <c r="UHU38" s="51"/>
      <c r="UHV38" s="51"/>
      <c r="UHW38" s="51"/>
      <c r="UHX38" s="51"/>
      <c r="UHY38" s="51"/>
      <c r="UHZ38" s="51"/>
      <c r="UIA38" s="51"/>
      <c r="UIB38" s="51"/>
      <c r="UIC38" s="51"/>
      <c r="UID38" s="51"/>
      <c r="UIE38" s="51"/>
      <c r="UIF38" s="51"/>
      <c r="UIG38" s="51"/>
      <c r="UIH38" s="51"/>
      <c r="UII38" s="51"/>
      <c r="UIJ38" s="51"/>
      <c r="UIK38" s="51"/>
      <c r="UIL38" s="51"/>
      <c r="UIM38" s="51"/>
      <c r="UIN38" s="51"/>
      <c r="UIO38" s="51"/>
      <c r="UIP38" s="51"/>
      <c r="UIQ38" s="51"/>
      <c r="UIR38" s="51"/>
      <c r="UIS38" s="51"/>
      <c r="UIT38" s="51"/>
      <c r="UIU38" s="51"/>
      <c r="UIV38" s="51"/>
      <c r="UIW38" s="51"/>
      <c r="UIX38" s="51"/>
      <c r="UIY38" s="51"/>
      <c r="UIZ38" s="51"/>
      <c r="UJA38" s="51"/>
      <c r="UJB38" s="51"/>
      <c r="UJC38" s="51"/>
      <c r="UJD38" s="51"/>
      <c r="UJE38" s="51"/>
      <c r="UJF38" s="51"/>
      <c r="UJG38" s="51"/>
      <c r="UJH38" s="51"/>
      <c r="UJI38" s="51"/>
      <c r="UJJ38" s="51"/>
      <c r="UJK38" s="51"/>
      <c r="UJL38" s="51"/>
      <c r="UJM38" s="51"/>
      <c r="UJN38" s="51"/>
      <c r="UJO38" s="51"/>
      <c r="UJP38" s="51"/>
      <c r="UJQ38" s="51"/>
      <c r="UJR38" s="51"/>
      <c r="UJS38" s="51"/>
      <c r="UJT38" s="51"/>
      <c r="UJU38" s="51"/>
      <c r="UJV38" s="51"/>
      <c r="UJW38" s="51"/>
      <c r="UJX38" s="51"/>
      <c r="UJY38" s="51"/>
      <c r="UJZ38" s="51"/>
      <c r="UKA38" s="51"/>
      <c r="UKB38" s="51"/>
      <c r="UKC38" s="51"/>
      <c r="UKD38" s="51"/>
      <c r="UKE38" s="51"/>
      <c r="UKF38" s="51"/>
      <c r="UKG38" s="51"/>
      <c r="UKH38" s="51"/>
      <c r="UKI38" s="51"/>
      <c r="UKJ38" s="51"/>
      <c r="UKK38" s="51"/>
      <c r="UKL38" s="51"/>
      <c r="UKM38" s="51"/>
      <c r="UKN38" s="51"/>
      <c r="UKO38" s="51"/>
      <c r="UKP38" s="51"/>
      <c r="UKQ38" s="51"/>
      <c r="UKR38" s="51"/>
      <c r="UKS38" s="51"/>
      <c r="UKT38" s="51"/>
      <c r="UKU38" s="51"/>
      <c r="UKV38" s="51"/>
      <c r="UKW38" s="51"/>
      <c r="UKX38" s="51"/>
      <c r="UKY38" s="51"/>
      <c r="UKZ38" s="51"/>
      <c r="ULA38" s="51"/>
      <c r="ULB38" s="51"/>
      <c r="ULC38" s="51"/>
      <c r="ULD38" s="51"/>
      <c r="ULE38" s="51"/>
      <c r="ULF38" s="51"/>
      <c r="ULG38" s="51"/>
      <c r="ULH38" s="51"/>
      <c r="ULI38" s="51"/>
      <c r="ULJ38" s="51"/>
      <c r="ULK38" s="51"/>
      <c r="ULL38" s="51"/>
      <c r="ULM38" s="51"/>
      <c r="ULN38" s="51"/>
      <c r="ULO38" s="51"/>
      <c r="ULP38" s="51"/>
      <c r="ULQ38" s="51"/>
      <c r="ULR38" s="51"/>
      <c r="ULS38" s="51"/>
      <c r="ULT38" s="51"/>
      <c r="ULU38" s="51"/>
      <c r="ULV38" s="51"/>
      <c r="ULW38" s="51"/>
      <c r="ULX38" s="51"/>
      <c r="ULY38" s="51"/>
      <c r="ULZ38" s="51"/>
      <c r="UMA38" s="51"/>
      <c r="UMB38" s="51"/>
      <c r="UMC38" s="51"/>
      <c r="UMD38" s="51"/>
      <c r="UME38" s="51"/>
      <c r="UMF38" s="51"/>
      <c r="UMG38" s="51"/>
      <c r="UMH38" s="51"/>
      <c r="UMI38" s="51"/>
      <c r="UMJ38" s="51"/>
      <c r="UMK38" s="51"/>
      <c r="UML38" s="51"/>
      <c r="UMM38" s="51"/>
      <c r="UMN38" s="51"/>
      <c r="UMO38" s="51"/>
      <c r="UMP38" s="51"/>
      <c r="UMQ38" s="51"/>
      <c r="UMR38" s="51"/>
      <c r="UMS38" s="51"/>
      <c r="UMT38" s="51"/>
      <c r="UMU38" s="51"/>
      <c r="UMV38" s="51"/>
      <c r="UMW38" s="51"/>
      <c r="UMX38" s="51"/>
      <c r="UMY38" s="51"/>
      <c r="UMZ38" s="51"/>
      <c r="UNA38" s="51"/>
      <c r="UNB38" s="51"/>
      <c r="UNC38" s="51"/>
      <c r="UND38" s="51"/>
      <c r="UNE38" s="51"/>
      <c r="UNF38" s="51"/>
      <c r="UNG38" s="51"/>
      <c r="UNH38" s="51"/>
      <c r="UNI38" s="51"/>
      <c r="UNJ38" s="51"/>
      <c r="UNK38" s="51"/>
      <c r="UNL38" s="51"/>
      <c r="UNM38" s="51"/>
      <c r="UNN38" s="51"/>
      <c r="UNO38" s="51"/>
      <c r="UNP38" s="51"/>
      <c r="UNQ38" s="51"/>
      <c r="UNR38" s="51"/>
      <c r="UNS38" s="51"/>
      <c r="UNT38" s="51"/>
      <c r="UNU38" s="51"/>
      <c r="UNV38" s="51"/>
      <c r="UNW38" s="51"/>
      <c r="UNX38" s="51"/>
      <c r="UNY38" s="51"/>
      <c r="UNZ38" s="51"/>
      <c r="UOA38" s="51"/>
      <c r="UOB38" s="51"/>
      <c r="UOC38" s="51"/>
      <c r="UOD38" s="51"/>
      <c r="UOE38" s="51"/>
      <c r="UOF38" s="51"/>
      <c r="UOG38" s="51"/>
      <c r="UOH38" s="51"/>
      <c r="UOI38" s="51"/>
      <c r="UOJ38" s="51"/>
      <c r="UOK38" s="51"/>
      <c r="UOL38" s="51"/>
      <c r="UOM38" s="51"/>
      <c r="UON38" s="51"/>
      <c r="UOO38" s="51"/>
      <c r="UOP38" s="51"/>
      <c r="UOQ38" s="51"/>
      <c r="UOR38" s="51"/>
      <c r="UOS38" s="51"/>
      <c r="UOT38" s="51"/>
      <c r="UOU38" s="51"/>
      <c r="UOV38" s="51"/>
      <c r="UOW38" s="51"/>
      <c r="UOX38" s="51"/>
      <c r="UOY38" s="51"/>
      <c r="UOZ38" s="51"/>
      <c r="UPA38" s="51"/>
      <c r="UPB38" s="51"/>
      <c r="UPC38" s="51"/>
      <c r="UPD38" s="51"/>
      <c r="UPE38" s="51"/>
      <c r="UPF38" s="51"/>
      <c r="UPG38" s="51"/>
      <c r="UPH38" s="51"/>
      <c r="UPI38" s="51"/>
      <c r="UPJ38" s="51"/>
      <c r="UPK38" s="51"/>
      <c r="UPL38" s="51"/>
      <c r="UPM38" s="51"/>
      <c r="UPN38" s="51"/>
      <c r="UPO38" s="51"/>
      <c r="UPP38" s="51"/>
      <c r="UPQ38" s="51"/>
      <c r="UPR38" s="51"/>
      <c r="UPS38" s="51"/>
      <c r="UPT38" s="51"/>
      <c r="UPU38" s="51"/>
      <c r="UPV38" s="51"/>
      <c r="UPW38" s="51"/>
      <c r="UPX38" s="51"/>
      <c r="UPY38" s="51"/>
      <c r="UPZ38" s="51"/>
      <c r="UQA38" s="51"/>
      <c r="UQB38" s="51"/>
      <c r="UQC38" s="51"/>
      <c r="UQD38" s="51"/>
      <c r="UQE38" s="51"/>
      <c r="UQF38" s="51"/>
      <c r="UQG38" s="51"/>
      <c r="UQH38" s="51"/>
      <c r="UQI38" s="51"/>
      <c r="UQJ38" s="51"/>
      <c r="UQK38" s="51"/>
      <c r="UQL38" s="51"/>
      <c r="UQM38" s="51"/>
      <c r="UQN38" s="51"/>
      <c r="UQO38" s="51"/>
      <c r="UQP38" s="51"/>
      <c r="UQQ38" s="51"/>
      <c r="UQR38" s="51"/>
      <c r="UQS38" s="51"/>
      <c r="UQT38" s="51"/>
      <c r="UQU38" s="51"/>
      <c r="UQV38" s="51"/>
      <c r="UQW38" s="51"/>
      <c r="UQX38" s="51"/>
      <c r="UQY38" s="51"/>
      <c r="UQZ38" s="51"/>
      <c r="URA38" s="51"/>
      <c r="URB38" s="51"/>
      <c r="URC38" s="51"/>
      <c r="URD38" s="51"/>
      <c r="URE38" s="51"/>
      <c r="URF38" s="51"/>
      <c r="URG38" s="51"/>
      <c r="URH38" s="51"/>
      <c r="URI38" s="51"/>
      <c r="URJ38" s="51"/>
      <c r="URK38" s="51"/>
      <c r="URL38" s="51"/>
      <c r="URM38" s="51"/>
      <c r="URN38" s="51"/>
      <c r="URO38" s="51"/>
      <c r="URP38" s="51"/>
      <c r="URQ38" s="51"/>
      <c r="URR38" s="51"/>
      <c r="URS38" s="51"/>
      <c r="URT38" s="51"/>
      <c r="URU38" s="51"/>
      <c r="URV38" s="51"/>
      <c r="URW38" s="51"/>
      <c r="URX38" s="51"/>
      <c r="URY38" s="51"/>
      <c r="URZ38" s="51"/>
      <c r="USA38" s="51"/>
      <c r="USB38" s="51"/>
      <c r="USC38" s="51"/>
      <c r="USD38" s="51"/>
      <c r="USE38" s="51"/>
      <c r="USF38" s="51"/>
      <c r="USG38" s="51"/>
      <c r="USH38" s="51"/>
      <c r="USI38" s="51"/>
      <c r="USJ38" s="51"/>
      <c r="USK38" s="51"/>
      <c r="USL38" s="51"/>
      <c r="USM38" s="51"/>
      <c r="USN38" s="51"/>
      <c r="USO38" s="51"/>
      <c r="USP38" s="51"/>
      <c r="USQ38" s="51"/>
      <c r="USR38" s="51"/>
      <c r="USS38" s="51"/>
      <c r="UST38" s="51"/>
      <c r="USU38" s="51"/>
      <c r="USV38" s="51"/>
      <c r="USW38" s="51"/>
      <c r="USX38" s="51"/>
      <c r="USY38" s="51"/>
      <c r="USZ38" s="51"/>
      <c r="UTA38" s="51"/>
      <c r="UTB38" s="51"/>
      <c r="UTC38" s="51"/>
      <c r="UTD38" s="51"/>
      <c r="UTE38" s="51"/>
      <c r="UTF38" s="51"/>
      <c r="UTG38" s="51"/>
      <c r="UTH38" s="51"/>
      <c r="UTI38" s="51"/>
      <c r="UTJ38" s="51"/>
      <c r="UTK38" s="51"/>
      <c r="UTL38" s="51"/>
      <c r="UTM38" s="51"/>
      <c r="UTN38" s="51"/>
      <c r="UTO38" s="51"/>
      <c r="UTP38" s="51"/>
      <c r="UTQ38" s="51"/>
      <c r="UTR38" s="51"/>
      <c r="UTS38" s="51"/>
      <c r="UTT38" s="51"/>
      <c r="UTU38" s="51"/>
      <c r="UTV38" s="51"/>
      <c r="UTW38" s="51"/>
      <c r="UTX38" s="51"/>
      <c r="UTY38" s="51"/>
      <c r="UTZ38" s="51"/>
      <c r="UUA38" s="51"/>
      <c r="UUB38" s="51"/>
      <c r="UUC38" s="51"/>
      <c r="UUD38" s="51"/>
      <c r="UUE38" s="51"/>
      <c r="UUF38" s="51"/>
      <c r="UUG38" s="51"/>
      <c r="UUH38" s="51"/>
      <c r="UUI38" s="51"/>
      <c r="UUJ38" s="51"/>
      <c r="UUK38" s="51"/>
      <c r="UUL38" s="51"/>
      <c r="UUM38" s="51"/>
      <c r="UUN38" s="51"/>
      <c r="UUO38" s="51"/>
      <c r="UUP38" s="51"/>
      <c r="UUQ38" s="51"/>
      <c r="UUR38" s="51"/>
      <c r="UUS38" s="51"/>
      <c r="UUT38" s="51"/>
      <c r="UUU38" s="51"/>
      <c r="UUV38" s="51"/>
      <c r="UUW38" s="51"/>
      <c r="UUX38" s="51"/>
      <c r="UUY38" s="51"/>
      <c r="UUZ38" s="51"/>
      <c r="UVA38" s="51"/>
      <c r="UVB38" s="51"/>
      <c r="UVC38" s="51"/>
      <c r="UVD38" s="51"/>
      <c r="UVE38" s="51"/>
      <c r="UVF38" s="51"/>
      <c r="UVG38" s="51"/>
      <c r="UVH38" s="51"/>
      <c r="UVI38" s="51"/>
      <c r="UVJ38" s="51"/>
      <c r="UVK38" s="51"/>
      <c r="UVL38" s="51"/>
      <c r="UVM38" s="51"/>
      <c r="UVN38" s="51"/>
      <c r="UVO38" s="51"/>
      <c r="UVP38" s="51"/>
      <c r="UVQ38" s="51"/>
      <c r="UVR38" s="51"/>
      <c r="UVS38" s="51"/>
      <c r="UVT38" s="51"/>
      <c r="UVU38" s="51"/>
      <c r="UVV38" s="51"/>
      <c r="UVW38" s="51"/>
      <c r="UVX38" s="51"/>
      <c r="UVY38" s="51"/>
      <c r="UVZ38" s="51"/>
      <c r="UWA38" s="51"/>
      <c r="UWB38" s="51"/>
      <c r="UWC38" s="51"/>
      <c r="UWD38" s="51"/>
      <c r="UWE38" s="51"/>
      <c r="UWF38" s="51"/>
      <c r="UWG38" s="51"/>
      <c r="UWH38" s="51"/>
      <c r="UWI38" s="51"/>
      <c r="UWJ38" s="51"/>
      <c r="UWK38" s="51"/>
      <c r="UWL38" s="51"/>
      <c r="UWM38" s="51"/>
      <c r="UWN38" s="51"/>
      <c r="UWO38" s="51"/>
      <c r="UWP38" s="51"/>
      <c r="UWQ38" s="51"/>
      <c r="UWR38" s="51"/>
      <c r="UWS38" s="51"/>
      <c r="UWT38" s="51"/>
      <c r="UWU38" s="51"/>
      <c r="UWV38" s="51"/>
      <c r="UWW38" s="51"/>
      <c r="UWX38" s="51"/>
      <c r="UWY38" s="51"/>
      <c r="UWZ38" s="51"/>
      <c r="UXA38" s="51"/>
      <c r="UXB38" s="51"/>
      <c r="UXC38" s="51"/>
      <c r="UXD38" s="51"/>
      <c r="UXE38" s="51"/>
      <c r="UXF38" s="51"/>
      <c r="UXG38" s="51"/>
      <c r="UXH38" s="51"/>
      <c r="UXI38" s="51"/>
      <c r="UXJ38" s="51"/>
      <c r="UXK38" s="51"/>
      <c r="UXL38" s="51"/>
      <c r="UXM38" s="51"/>
      <c r="UXN38" s="51"/>
      <c r="UXO38" s="51"/>
      <c r="UXP38" s="51"/>
      <c r="UXQ38" s="51"/>
      <c r="UXR38" s="51"/>
      <c r="UXS38" s="51"/>
      <c r="UXT38" s="51"/>
      <c r="UXU38" s="51"/>
      <c r="UXV38" s="51"/>
      <c r="UXW38" s="51"/>
      <c r="UXX38" s="51"/>
      <c r="UXY38" s="51"/>
      <c r="UXZ38" s="51"/>
      <c r="UYA38" s="51"/>
      <c r="UYB38" s="51"/>
      <c r="UYC38" s="51"/>
      <c r="UYD38" s="51"/>
      <c r="UYE38" s="51"/>
      <c r="UYF38" s="51"/>
      <c r="UYG38" s="51"/>
      <c r="UYH38" s="51"/>
      <c r="UYI38" s="51"/>
      <c r="UYJ38" s="51"/>
      <c r="UYK38" s="51"/>
      <c r="UYL38" s="51"/>
      <c r="UYM38" s="51"/>
      <c r="UYN38" s="51"/>
      <c r="UYO38" s="51"/>
      <c r="UYP38" s="51"/>
      <c r="UYQ38" s="51"/>
      <c r="UYR38" s="51"/>
      <c r="UYS38" s="51"/>
      <c r="UYT38" s="51"/>
      <c r="UYU38" s="51"/>
      <c r="UYV38" s="51"/>
      <c r="UYW38" s="51"/>
      <c r="UYX38" s="51"/>
      <c r="UYY38" s="51"/>
      <c r="UYZ38" s="51"/>
      <c r="UZA38" s="51"/>
      <c r="UZB38" s="51"/>
      <c r="UZC38" s="51"/>
      <c r="UZD38" s="51"/>
      <c r="UZE38" s="51"/>
      <c r="UZF38" s="51"/>
      <c r="UZG38" s="51"/>
      <c r="UZH38" s="51"/>
      <c r="UZI38" s="51"/>
      <c r="UZJ38" s="51"/>
      <c r="UZK38" s="51"/>
      <c r="UZL38" s="51"/>
      <c r="UZM38" s="51"/>
      <c r="UZN38" s="51"/>
      <c r="UZO38" s="51"/>
      <c r="UZP38" s="51"/>
      <c r="UZQ38" s="51"/>
      <c r="UZR38" s="51"/>
      <c r="UZS38" s="51"/>
      <c r="UZT38" s="51"/>
      <c r="UZU38" s="51"/>
      <c r="UZV38" s="51"/>
      <c r="UZW38" s="51"/>
      <c r="UZX38" s="51"/>
      <c r="UZY38" s="51"/>
      <c r="UZZ38" s="51"/>
      <c r="VAA38" s="51"/>
      <c r="VAB38" s="51"/>
      <c r="VAC38" s="51"/>
      <c r="VAD38" s="51"/>
      <c r="VAE38" s="51"/>
      <c r="VAF38" s="51"/>
      <c r="VAG38" s="51"/>
      <c r="VAH38" s="51"/>
      <c r="VAI38" s="51"/>
      <c r="VAJ38" s="51"/>
      <c r="VAK38" s="51"/>
      <c r="VAL38" s="51"/>
      <c r="VAM38" s="51"/>
      <c r="VAN38" s="51"/>
      <c r="VAO38" s="51"/>
      <c r="VAP38" s="51"/>
      <c r="VAQ38" s="51"/>
      <c r="VAR38" s="51"/>
      <c r="VAS38" s="51"/>
      <c r="VAT38" s="51"/>
      <c r="VAU38" s="51"/>
      <c r="VAV38" s="51"/>
      <c r="VAW38" s="51"/>
      <c r="VAX38" s="51"/>
      <c r="VAY38" s="51"/>
      <c r="VAZ38" s="51"/>
      <c r="VBA38" s="51"/>
      <c r="VBB38" s="51"/>
      <c r="VBC38" s="51"/>
      <c r="VBD38" s="51"/>
      <c r="VBE38" s="51"/>
      <c r="VBF38" s="51"/>
      <c r="VBG38" s="51"/>
      <c r="VBH38" s="51"/>
      <c r="VBI38" s="51"/>
      <c r="VBJ38" s="51"/>
      <c r="VBK38" s="51"/>
      <c r="VBL38" s="51"/>
      <c r="VBM38" s="51"/>
      <c r="VBN38" s="51"/>
      <c r="VBO38" s="51"/>
      <c r="VBP38" s="51"/>
      <c r="VBQ38" s="51"/>
      <c r="VBR38" s="51"/>
      <c r="VBS38" s="51"/>
      <c r="VBT38" s="51"/>
      <c r="VBU38" s="51"/>
      <c r="VBV38" s="51"/>
      <c r="VBW38" s="51"/>
      <c r="VBX38" s="51"/>
      <c r="VBY38" s="51"/>
      <c r="VBZ38" s="51"/>
      <c r="VCA38" s="51"/>
      <c r="VCB38" s="51"/>
      <c r="VCC38" s="51"/>
      <c r="VCD38" s="51"/>
      <c r="VCE38" s="51"/>
      <c r="VCF38" s="51"/>
      <c r="VCG38" s="51"/>
      <c r="VCH38" s="51"/>
      <c r="VCI38" s="51"/>
      <c r="VCJ38" s="51"/>
      <c r="VCK38" s="51"/>
      <c r="VCL38" s="51"/>
      <c r="VCM38" s="51"/>
      <c r="VCN38" s="51"/>
      <c r="VCO38" s="51"/>
      <c r="VCP38" s="51"/>
      <c r="VCQ38" s="51"/>
      <c r="VCR38" s="51"/>
      <c r="VCS38" s="51"/>
      <c r="VCT38" s="51"/>
      <c r="VCU38" s="51"/>
      <c r="VCV38" s="51"/>
      <c r="VCW38" s="51"/>
      <c r="VCX38" s="51"/>
      <c r="VCY38" s="51"/>
      <c r="VCZ38" s="51"/>
      <c r="VDA38" s="51"/>
      <c r="VDB38" s="51"/>
      <c r="VDC38" s="51"/>
      <c r="VDD38" s="51"/>
      <c r="VDE38" s="51"/>
      <c r="VDF38" s="51"/>
      <c r="VDG38" s="51"/>
      <c r="VDH38" s="51"/>
      <c r="VDI38" s="51"/>
      <c r="VDJ38" s="51"/>
      <c r="VDK38" s="51"/>
      <c r="VDL38" s="51"/>
      <c r="VDM38" s="51"/>
      <c r="VDN38" s="51"/>
      <c r="VDO38" s="51"/>
      <c r="VDP38" s="51"/>
      <c r="VDQ38" s="51"/>
      <c r="VDR38" s="51"/>
      <c r="VDS38" s="51"/>
      <c r="VDT38" s="51"/>
      <c r="VDU38" s="51"/>
      <c r="VDV38" s="51"/>
      <c r="VDW38" s="51"/>
      <c r="VDX38" s="51"/>
      <c r="VDY38" s="51"/>
      <c r="VDZ38" s="51"/>
      <c r="VEA38" s="51"/>
      <c r="VEB38" s="51"/>
      <c r="VEC38" s="51"/>
      <c r="VED38" s="51"/>
      <c r="VEE38" s="51"/>
      <c r="VEF38" s="51"/>
      <c r="VEG38" s="51"/>
      <c r="VEH38" s="51"/>
      <c r="VEI38" s="51"/>
      <c r="VEJ38" s="51"/>
      <c r="VEK38" s="51"/>
      <c r="VEL38" s="51"/>
      <c r="VEM38" s="51"/>
      <c r="VEN38" s="51"/>
      <c r="VEO38" s="51"/>
      <c r="VEP38" s="51"/>
      <c r="VEQ38" s="51"/>
      <c r="VER38" s="51"/>
      <c r="VES38" s="51"/>
      <c r="VET38" s="51"/>
      <c r="VEU38" s="51"/>
      <c r="VEV38" s="51"/>
      <c r="VEW38" s="51"/>
      <c r="VEX38" s="51"/>
      <c r="VEY38" s="51"/>
      <c r="VEZ38" s="51"/>
      <c r="VFA38" s="51"/>
      <c r="VFB38" s="51"/>
      <c r="VFC38" s="51"/>
      <c r="VFD38" s="51"/>
      <c r="VFE38" s="51"/>
      <c r="VFF38" s="51"/>
      <c r="VFG38" s="51"/>
      <c r="VFH38" s="51"/>
      <c r="VFI38" s="51"/>
      <c r="VFJ38" s="51"/>
      <c r="VFK38" s="51"/>
      <c r="VFL38" s="51"/>
      <c r="VFM38" s="51"/>
      <c r="VFN38" s="51"/>
      <c r="VFO38" s="51"/>
      <c r="VFP38" s="51"/>
      <c r="VFQ38" s="51"/>
      <c r="VFR38" s="51"/>
      <c r="VFS38" s="51"/>
      <c r="VFT38" s="51"/>
      <c r="VFU38" s="51"/>
      <c r="VFV38" s="51"/>
      <c r="VFW38" s="51"/>
      <c r="VFX38" s="51"/>
      <c r="VFY38" s="51"/>
      <c r="VFZ38" s="51"/>
      <c r="VGA38" s="51"/>
      <c r="VGB38" s="51"/>
      <c r="VGC38" s="51"/>
      <c r="VGD38" s="51"/>
      <c r="VGE38" s="51"/>
      <c r="VGF38" s="51"/>
      <c r="VGG38" s="51"/>
      <c r="VGH38" s="51"/>
      <c r="VGI38" s="51"/>
      <c r="VGJ38" s="51"/>
      <c r="VGK38" s="51"/>
      <c r="VGL38" s="51"/>
      <c r="VGM38" s="51"/>
      <c r="VGN38" s="51"/>
      <c r="VGO38" s="51"/>
      <c r="VGP38" s="51"/>
      <c r="VGQ38" s="51"/>
      <c r="VGR38" s="51"/>
      <c r="VGS38" s="51"/>
      <c r="VGT38" s="51"/>
      <c r="VGU38" s="51"/>
      <c r="VGV38" s="51"/>
      <c r="VGW38" s="51"/>
      <c r="VGX38" s="51"/>
      <c r="VGY38" s="51"/>
      <c r="VGZ38" s="51"/>
      <c r="VHA38" s="51"/>
      <c r="VHB38" s="51"/>
      <c r="VHC38" s="51"/>
      <c r="VHD38" s="51"/>
      <c r="VHE38" s="51"/>
      <c r="VHF38" s="51"/>
      <c r="VHG38" s="51"/>
      <c r="VHH38" s="51"/>
      <c r="VHI38" s="51"/>
      <c r="VHJ38" s="51"/>
      <c r="VHK38" s="51"/>
      <c r="VHL38" s="51"/>
      <c r="VHM38" s="51"/>
      <c r="VHN38" s="51"/>
      <c r="VHO38" s="51"/>
      <c r="VHP38" s="51"/>
      <c r="VHQ38" s="51"/>
      <c r="VHR38" s="51"/>
      <c r="VHS38" s="51"/>
      <c r="VHT38" s="51"/>
      <c r="VHU38" s="51"/>
      <c r="VHV38" s="51"/>
      <c r="VHW38" s="51"/>
      <c r="VHX38" s="51"/>
      <c r="VHY38" s="51"/>
      <c r="VHZ38" s="51"/>
      <c r="VIA38" s="51"/>
      <c r="VIB38" s="51"/>
      <c r="VIC38" s="51"/>
      <c r="VID38" s="51"/>
      <c r="VIE38" s="51"/>
      <c r="VIF38" s="51"/>
      <c r="VIG38" s="51"/>
      <c r="VIH38" s="51"/>
      <c r="VII38" s="51"/>
      <c r="VIJ38" s="51"/>
      <c r="VIK38" s="51"/>
      <c r="VIL38" s="51"/>
      <c r="VIM38" s="51"/>
      <c r="VIN38" s="51"/>
      <c r="VIO38" s="51"/>
      <c r="VIP38" s="51"/>
      <c r="VIQ38" s="51"/>
      <c r="VIR38" s="51"/>
      <c r="VIS38" s="51"/>
      <c r="VIT38" s="51"/>
      <c r="VIU38" s="51"/>
      <c r="VIV38" s="51"/>
      <c r="VIW38" s="51"/>
      <c r="VIX38" s="51"/>
      <c r="VIY38" s="51"/>
      <c r="VIZ38" s="51"/>
      <c r="VJA38" s="51"/>
      <c r="VJB38" s="51"/>
      <c r="VJC38" s="51"/>
      <c r="VJD38" s="51"/>
      <c r="VJE38" s="51"/>
      <c r="VJF38" s="51"/>
      <c r="VJG38" s="51"/>
      <c r="VJH38" s="51"/>
      <c r="VJI38" s="51"/>
      <c r="VJJ38" s="51"/>
      <c r="VJK38" s="51"/>
      <c r="VJL38" s="51"/>
      <c r="VJM38" s="51"/>
      <c r="VJN38" s="51"/>
      <c r="VJO38" s="51"/>
      <c r="VJP38" s="51"/>
      <c r="VJQ38" s="51"/>
      <c r="VJR38" s="51"/>
      <c r="VJS38" s="51"/>
      <c r="VJT38" s="51"/>
      <c r="VJU38" s="51"/>
      <c r="VJV38" s="51"/>
      <c r="VJW38" s="51"/>
      <c r="VJX38" s="51"/>
      <c r="VJY38" s="51"/>
      <c r="VJZ38" s="51"/>
      <c r="VKA38" s="51"/>
      <c r="VKB38" s="51"/>
      <c r="VKC38" s="51"/>
      <c r="VKD38" s="51"/>
      <c r="VKE38" s="51"/>
      <c r="VKF38" s="51"/>
      <c r="VKG38" s="51"/>
      <c r="VKH38" s="51"/>
      <c r="VKI38" s="51"/>
      <c r="VKJ38" s="51"/>
      <c r="VKK38" s="51"/>
      <c r="VKL38" s="51"/>
      <c r="VKM38" s="51"/>
      <c r="VKN38" s="51"/>
      <c r="VKO38" s="51"/>
      <c r="VKP38" s="51"/>
      <c r="VKQ38" s="51"/>
      <c r="VKR38" s="51"/>
      <c r="VKS38" s="51"/>
      <c r="VKT38" s="51"/>
      <c r="VKU38" s="51"/>
      <c r="VKV38" s="51"/>
      <c r="VKW38" s="51"/>
      <c r="VKX38" s="51"/>
      <c r="VKY38" s="51"/>
      <c r="VKZ38" s="51"/>
      <c r="VLA38" s="51"/>
      <c r="VLB38" s="51"/>
      <c r="VLC38" s="51"/>
      <c r="VLD38" s="51"/>
      <c r="VLE38" s="51"/>
      <c r="VLF38" s="51"/>
      <c r="VLG38" s="51"/>
      <c r="VLH38" s="51"/>
      <c r="VLI38" s="51"/>
      <c r="VLJ38" s="51"/>
      <c r="VLK38" s="51"/>
      <c r="VLL38" s="51"/>
      <c r="VLM38" s="51"/>
      <c r="VLN38" s="51"/>
      <c r="VLO38" s="51"/>
      <c r="VLP38" s="51"/>
      <c r="VLQ38" s="51"/>
      <c r="VLR38" s="51"/>
      <c r="VLS38" s="51"/>
      <c r="VLT38" s="51"/>
      <c r="VLU38" s="51"/>
      <c r="VLV38" s="51"/>
      <c r="VLW38" s="51"/>
      <c r="VLX38" s="51"/>
      <c r="VLY38" s="51"/>
      <c r="VLZ38" s="51"/>
      <c r="VMA38" s="51"/>
      <c r="VMB38" s="51"/>
      <c r="VMC38" s="51"/>
      <c r="VMD38" s="51"/>
      <c r="VME38" s="51"/>
      <c r="VMF38" s="51"/>
      <c r="VMG38" s="51"/>
      <c r="VMH38" s="51"/>
      <c r="VMI38" s="51"/>
      <c r="VMJ38" s="51"/>
      <c r="VMK38" s="51"/>
      <c r="VML38" s="51"/>
      <c r="VMM38" s="51"/>
      <c r="VMN38" s="51"/>
      <c r="VMO38" s="51"/>
      <c r="VMP38" s="51"/>
      <c r="VMQ38" s="51"/>
      <c r="VMR38" s="51"/>
      <c r="VMS38" s="51"/>
      <c r="VMT38" s="51"/>
      <c r="VMU38" s="51"/>
      <c r="VMV38" s="51"/>
      <c r="VMW38" s="51"/>
      <c r="VMX38" s="51"/>
      <c r="VMY38" s="51"/>
      <c r="VMZ38" s="51"/>
      <c r="VNA38" s="51"/>
      <c r="VNB38" s="51"/>
      <c r="VNC38" s="51"/>
      <c r="VND38" s="51"/>
      <c r="VNE38" s="51"/>
      <c r="VNF38" s="51"/>
      <c r="VNG38" s="51"/>
      <c r="VNH38" s="51"/>
      <c r="VNI38" s="51"/>
      <c r="VNJ38" s="51"/>
      <c r="VNK38" s="51"/>
      <c r="VNL38" s="51"/>
      <c r="VNM38" s="51"/>
      <c r="VNN38" s="51"/>
      <c r="VNO38" s="51"/>
      <c r="VNP38" s="51"/>
      <c r="VNQ38" s="51"/>
      <c r="VNR38" s="51"/>
      <c r="VNS38" s="51"/>
      <c r="VNT38" s="51"/>
      <c r="VNU38" s="51"/>
      <c r="VNV38" s="51"/>
      <c r="VNW38" s="51"/>
      <c r="VNX38" s="51"/>
      <c r="VNY38" s="51"/>
      <c r="VNZ38" s="51"/>
      <c r="VOA38" s="51"/>
      <c r="VOB38" s="51"/>
      <c r="VOC38" s="51"/>
      <c r="VOD38" s="51"/>
      <c r="VOE38" s="51"/>
      <c r="VOF38" s="51"/>
      <c r="VOG38" s="51"/>
      <c r="VOH38" s="51"/>
      <c r="VOI38" s="51"/>
      <c r="VOJ38" s="51"/>
      <c r="VOK38" s="51"/>
      <c r="VOL38" s="51"/>
      <c r="VOM38" s="51"/>
      <c r="VON38" s="51"/>
      <c r="VOO38" s="51"/>
      <c r="VOP38" s="51"/>
      <c r="VOQ38" s="51"/>
      <c r="VOR38" s="51"/>
      <c r="VOS38" s="51"/>
      <c r="VOT38" s="51"/>
      <c r="VOU38" s="51"/>
      <c r="VOV38" s="51"/>
      <c r="VOW38" s="51"/>
      <c r="VOX38" s="51"/>
      <c r="VOY38" s="51"/>
      <c r="VOZ38" s="51"/>
      <c r="VPA38" s="51"/>
      <c r="VPB38" s="51"/>
      <c r="VPC38" s="51"/>
      <c r="VPD38" s="51"/>
      <c r="VPE38" s="51"/>
      <c r="VPF38" s="51"/>
      <c r="VPG38" s="51"/>
      <c r="VPH38" s="51"/>
      <c r="VPI38" s="51"/>
      <c r="VPJ38" s="51"/>
      <c r="VPK38" s="51"/>
      <c r="VPL38" s="51"/>
      <c r="VPM38" s="51"/>
      <c r="VPN38" s="51"/>
      <c r="VPO38" s="51"/>
      <c r="VPP38" s="51"/>
      <c r="VPQ38" s="51"/>
      <c r="VPR38" s="51"/>
      <c r="VPS38" s="51"/>
      <c r="VPT38" s="51"/>
      <c r="VPU38" s="51"/>
      <c r="VPV38" s="51"/>
      <c r="VPW38" s="51"/>
      <c r="VPX38" s="51"/>
      <c r="VPY38" s="51"/>
      <c r="VPZ38" s="51"/>
      <c r="VQA38" s="51"/>
      <c r="VQB38" s="51"/>
      <c r="VQC38" s="51"/>
      <c r="VQD38" s="51"/>
      <c r="VQE38" s="51"/>
      <c r="VQF38" s="51"/>
      <c r="VQG38" s="51"/>
      <c r="VQH38" s="51"/>
      <c r="VQI38" s="51"/>
      <c r="VQJ38" s="51"/>
      <c r="VQK38" s="51"/>
      <c r="VQL38" s="51"/>
      <c r="VQM38" s="51"/>
      <c r="VQN38" s="51"/>
      <c r="VQO38" s="51"/>
      <c r="VQP38" s="51"/>
      <c r="VQQ38" s="51"/>
      <c r="VQR38" s="51"/>
      <c r="VQS38" s="51"/>
      <c r="VQT38" s="51"/>
      <c r="VQU38" s="51"/>
      <c r="VQV38" s="51"/>
      <c r="VQW38" s="51"/>
      <c r="VQX38" s="51"/>
      <c r="VQY38" s="51"/>
      <c r="VQZ38" s="51"/>
      <c r="VRA38" s="51"/>
      <c r="VRB38" s="51"/>
      <c r="VRC38" s="51"/>
      <c r="VRD38" s="51"/>
      <c r="VRE38" s="51"/>
      <c r="VRF38" s="51"/>
      <c r="VRG38" s="51"/>
      <c r="VRH38" s="51"/>
      <c r="VRI38" s="51"/>
      <c r="VRJ38" s="51"/>
      <c r="VRK38" s="51"/>
      <c r="VRL38" s="51"/>
      <c r="VRM38" s="51"/>
      <c r="VRN38" s="51"/>
      <c r="VRO38" s="51"/>
      <c r="VRP38" s="51"/>
      <c r="VRQ38" s="51"/>
      <c r="VRR38" s="51"/>
      <c r="VRS38" s="51"/>
      <c r="VRT38" s="51"/>
      <c r="VRU38" s="51"/>
      <c r="VRV38" s="51"/>
      <c r="VRW38" s="51"/>
      <c r="VRX38" s="51"/>
      <c r="VRY38" s="51"/>
      <c r="VRZ38" s="51"/>
      <c r="VSA38" s="51"/>
      <c r="VSB38" s="51"/>
      <c r="VSC38" s="51"/>
      <c r="VSD38" s="51"/>
      <c r="VSE38" s="51"/>
      <c r="VSF38" s="51"/>
      <c r="VSG38" s="51"/>
      <c r="VSH38" s="51"/>
      <c r="VSI38" s="51"/>
      <c r="VSJ38" s="51"/>
      <c r="VSK38" s="51"/>
      <c r="VSL38" s="51"/>
      <c r="VSM38" s="51"/>
      <c r="VSN38" s="51"/>
      <c r="VSO38" s="51"/>
      <c r="VSP38" s="51"/>
      <c r="VSQ38" s="51"/>
      <c r="VSR38" s="51"/>
      <c r="VSS38" s="51"/>
      <c r="VST38" s="51"/>
      <c r="VSU38" s="51"/>
      <c r="VSV38" s="51"/>
      <c r="VSW38" s="51"/>
      <c r="VSX38" s="51"/>
      <c r="VSY38" s="51"/>
      <c r="VSZ38" s="51"/>
      <c r="VTA38" s="51"/>
      <c r="VTB38" s="51"/>
      <c r="VTC38" s="51"/>
      <c r="VTD38" s="51"/>
      <c r="VTE38" s="51"/>
      <c r="VTF38" s="51"/>
      <c r="VTG38" s="51"/>
      <c r="VTH38" s="51"/>
      <c r="VTI38" s="51"/>
      <c r="VTJ38" s="51"/>
      <c r="VTK38" s="51"/>
      <c r="VTL38" s="51"/>
      <c r="VTM38" s="51"/>
      <c r="VTN38" s="51"/>
      <c r="VTO38" s="51"/>
      <c r="VTP38" s="51"/>
      <c r="VTQ38" s="51"/>
      <c r="VTR38" s="51"/>
      <c r="VTS38" s="51"/>
      <c r="VTT38" s="51"/>
      <c r="VTU38" s="51"/>
      <c r="VTV38" s="51"/>
      <c r="VTW38" s="51"/>
      <c r="VTX38" s="51"/>
      <c r="VTY38" s="51"/>
      <c r="VTZ38" s="51"/>
      <c r="VUA38" s="51"/>
      <c r="VUB38" s="51"/>
      <c r="VUC38" s="51"/>
      <c r="VUD38" s="51"/>
      <c r="VUE38" s="51"/>
      <c r="VUF38" s="51"/>
      <c r="VUG38" s="51"/>
      <c r="VUH38" s="51"/>
      <c r="VUI38" s="51"/>
      <c r="VUJ38" s="51"/>
      <c r="VUK38" s="51"/>
      <c r="VUL38" s="51"/>
      <c r="VUM38" s="51"/>
      <c r="VUN38" s="51"/>
      <c r="VUO38" s="51"/>
      <c r="VUP38" s="51"/>
      <c r="VUQ38" s="51"/>
      <c r="VUR38" s="51"/>
      <c r="VUS38" s="51"/>
      <c r="VUT38" s="51"/>
      <c r="VUU38" s="51"/>
      <c r="VUV38" s="51"/>
      <c r="VUW38" s="51"/>
      <c r="VUX38" s="51"/>
      <c r="VUY38" s="51"/>
      <c r="VUZ38" s="51"/>
      <c r="VVA38" s="51"/>
      <c r="VVB38" s="51"/>
      <c r="VVC38" s="51"/>
      <c r="VVD38" s="51"/>
      <c r="VVE38" s="51"/>
      <c r="VVF38" s="51"/>
      <c r="VVG38" s="51"/>
      <c r="VVH38" s="51"/>
      <c r="VVI38" s="51"/>
      <c r="VVJ38" s="51"/>
      <c r="VVK38" s="51"/>
      <c r="VVL38" s="51"/>
      <c r="VVM38" s="51"/>
      <c r="VVN38" s="51"/>
      <c r="VVO38" s="51"/>
      <c r="VVP38" s="51"/>
      <c r="VVQ38" s="51"/>
      <c r="VVR38" s="51"/>
      <c r="VVS38" s="51"/>
      <c r="VVT38" s="51"/>
      <c r="VVU38" s="51"/>
      <c r="VVV38" s="51"/>
      <c r="VVW38" s="51"/>
      <c r="VVX38" s="51"/>
      <c r="VVY38" s="51"/>
      <c r="VVZ38" s="51"/>
      <c r="VWA38" s="51"/>
      <c r="VWB38" s="51"/>
      <c r="VWC38" s="51"/>
      <c r="VWD38" s="51"/>
      <c r="VWE38" s="51"/>
      <c r="VWF38" s="51"/>
      <c r="VWG38" s="51"/>
      <c r="VWH38" s="51"/>
      <c r="VWI38" s="51"/>
      <c r="VWJ38" s="51"/>
      <c r="VWK38" s="51"/>
      <c r="VWL38" s="51"/>
      <c r="VWM38" s="51"/>
      <c r="VWN38" s="51"/>
      <c r="VWO38" s="51"/>
      <c r="VWP38" s="51"/>
      <c r="VWQ38" s="51"/>
      <c r="VWR38" s="51"/>
      <c r="VWS38" s="51"/>
      <c r="VWT38" s="51"/>
      <c r="VWU38" s="51"/>
      <c r="VWV38" s="51"/>
      <c r="VWW38" s="51"/>
      <c r="VWX38" s="51"/>
      <c r="VWY38" s="51"/>
      <c r="VWZ38" s="51"/>
      <c r="VXA38" s="51"/>
      <c r="VXB38" s="51"/>
      <c r="VXC38" s="51"/>
      <c r="VXD38" s="51"/>
      <c r="VXE38" s="51"/>
      <c r="VXF38" s="51"/>
      <c r="VXG38" s="51"/>
      <c r="VXH38" s="51"/>
      <c r="VXI38" s="51"/>
      <c r="VXJ38" s="51"/>
      <c r="VXK38" s="51"/>
      <c r="VXL38" s="51"/>
      <c r="VXM38" s="51"/>
      <c r="VXN38" s="51"/>
      <c r="VXO38" s="51"/>
      <c r="VXP38" s="51"/>
      <c r="VXQ38" s="51"/>
      <c r="VXR38" s="51"/>
      <c r="VXS38" s="51"/>
      <c r="VXT38" s="51"/>
      <c r="VXU38" s="51"/>
      <c r="VXV38" s="51"/>
      <c r="VXW38" s="51"/>
      <c r="VXX38" s="51"/>
      <c r="VXY38" s="51"/>
      <c r="VXZ38" s="51"/>
      <c r="VYA38" s="51"/>
      <c r="VYB38" s="51"/>
      <c r="VYC38" s="51"/>
      <c r="VYD38" s="51"/>
      <c r="VYE38" s="51"/>
      <c r="VYF38" s="51"/>
      <c r="VYG38" s="51"/>
      <c r="VYH38" s="51"/>
      <c r="VYI38" s="51"/>
      <c r="VYJ38" s="51"/>
      <c r="VYK38" s="51"/>
      <c r="VYL38" s="51"/>
      <c r="VYM38" s="51"/>
      <c r="VYN38" s="51"/>
      <c r="VYO38" s="51"/>
      <c r="VYP38" s="51"/>
      <c r="VYQ38" s="51"/>
      <c r="VYR38" s="51"/>
      <c r="VYS38" s="51"/>
      <c r="VYT38" s="51"/>
      <c r="VYU38" s="51"/>
      <c r="VYV38" s="51"/>
      <c r="VYW38" s="51"/>
      <c r="VYX38" s="51"/>
      <c r="VYY38" s="51"/>
      <c r="VYZ38" s="51"/>
      <c r="VZA38" s="51"/>
      <c r="VZB38" s="51"/>
      <c r="VZC38" s="51"/>
      <c r="VZD38" s="51"/>
      <c r="VZE38" s="51"/>
      <c r="VZF38" s="51"/>
      <c r="VZG38" s="51"/>
      <c r="VZH38" s="51"/>
      <c r="VZI38" s="51"/>
      <c r="VZJ38" s="51"/>
      <c r="VZK38" s="51"/>
      <c r="VZL38" s="51"/>
      <c r="VZM38" s="51"/>
      <c r="VZN38" s="51"/>
      <c r="VZO38" s="51"/>
      <c r="VZP38" s="51"/>
      <c r="VZQ38" s="51"/>
      <c r="VZR38" s="51"/>
      <c r="VZS38" s="51"/>
      <c r="VZT38" s="51"/>
      <c r="VZU38" s="51"/>
      <c r="VZV38" s="51"/>
      <c r="VZW38" s="51"/>
      <c r="VZX38" s="51"/>
      <c r="VZY38" s="51"/>
      <c r="VZZ38" s="51"/>
      <c r="WAA38" s="51"/>
      <c r="WAB38" s="51"/>
      <c r="WAC38" s="51"/>
      <c r="WAD38" s="51"/>
      <c r="WAE38" s="51"/>
      <c r="WAF38" s="51"/>
      <c r="WAG38" s="51"/>
      <c r="WAH38" s="51"/>
      <c r="WAI38" s="51"/>
      <c r="WAJ38" s="51"/>
      <c r="WAK38" s="51"/>
      <c r="WAL38" s="51"/>
      <c r="WAM38" s="51"/>
      <c r="WAN38" s="51"/>
      <c r="WAO38" s="51"/>
      <c r="WAP38" s="51"/>
      <c r="WAQ38" s="51"/>
      <c r="WAR38" s="51"/>
      <c r="WAS38" s="51"/>
      <c r="WAT38" s="51"/>
      <c r="WAU38" s="51"/>
      <c r="WAV38" s="51"/>
      <c r="WAW38" s="51"/>
      <c r="WAX38" s="51"/>
      <c r="WAY38" s="51"/>
      <c r="WAZ38" s="51"/>
      <c r="WBA38" s="51"/>
      <c r="WBB38" s="51"/>
      <c r="WBC38" s="51"/>
      <c r="WBD38" s="51"/>
      <c r="WBE38" s="51"/>
      <c r="WBF38" s="51"/>
      <c r="WBG38" s="51"/>
      <c r="WBH38" s="51"/>
      <c r="WBI38" s="51"/>
      <c r="WBJ38" s="51"/>
      <c r="WBK38" s="51"/>
      <c r="WBL38" s="51"/>
      <c r="WBM38" s="51"/>
      <c r="WBN38" s="51"/>
      <c r="WBO38" s="51"/>
      <c r="WBP38" s="51"/>
      <c r="WBQ38" s="51"/>
      <c r="WBR38" s="51"/>
      <c r="WBS38" s="51"/>
      <c r="WBT38" s="51"/>
      <c r="WBU38" s="51"/>
      <c r="WBV38" s="51"/>
      <c r="WBW38" s="51"/>
      <c r="WBX38" s="51"/>
      <c r="WBY38" s="51"/>
      <c r="WBZ38" s="51"/>
      <c r="WCA38" s="51"/>
      <c r="WCB38" s="51"/>
      <c r="WCC38" s="51"/>
      <c r="WCD38" s="51"/>
      <c r="WCE38" s="51"/>
      <c r="WCF38" s="51"/>
      <c r="WCG38" s="51"/>
      <c r="WCH38" s="51"/>
      <c r="WCI38" s="51"/>
      <c r="WCJ38" s="51"/>
      <c r="WCK38" s="51"/>
      <c r="WCL38" s="51"/>
      <c r="WCM38" s="51"/>
      <c r="WCN38" s="51"/>
      <c r="WCO38" s="51"/>
      <c r="WCP38" s="51"/>
      <c r="WCQ38" s="51"/>
      <c r="WCR38" s="51"/>
      <c r="WCS38" s="51"/>
      <c r="WCT38" s="51"/>
      <c r="WCU38" s="51"/>
      <c r="WCV38" s="51"/>
      <c r="WCW38" s="51"/>
      <c r="WCX38" s="51"/>
      <c r="WCY38" s="51"/>
      <c r="WCZ38" s="51"/>
      <c r="WDA38" s="51"/>
      <c r="WDB38" s="51"/>
      <c r="WDC38" s="51"/>
      <c r="WDD38" s="51"/>
      <c r="WDE38" s="51"/>
      <c r="WDF38" s="51"/>
      <c r="WDG38" s="51"/>
      <c r="WDH38" s="51"/>
      <c r="WDI38" s="51"/>
      <c r="WDJ38" s="51"/>
      <c r="WDK38" s="51"/>
      <c r="WDL38" s="51"/>
      <c r="WDM38" s="51"/>
      <c r="WDN38" s="51"/>
      <c r="WDO38" s="51"/>
      <c r="WDP38" s="51"/>
      <c r="WDQ38" s="51"/>
      <c r="WDR38" s="51"/>
      <c r="WDS38" s="51"/>
      <c r="WDT38" s="51"/>
      <c r="WDU38" s="51"/>
      <c r="WDV38" s="51"/>
      <c r="WDW38" s="51"/>
      <c r="WDX38" s="51"/>
      <c r="WDY38" s="51"/>
      <c r="WDZ38" s="51"/>
      <c r="WEA38" s="51"/>
      <c r="WEB38" s="51"/>
      <c r="WEC38" s="51"/>
      <c r="WED38" s="51"/>
      <c r="WEE38" s="51"/>
      <c r="WEF38" s="51"/>
      <c r="WEG38" s="51"/>
      <c r="WEH38" s="51"/>
      <c r="WEI38" s="51"/>
      <c r="WEJ38" s="51"/>
      <c r="WEK38" s="51"/>
      <c r="WEL38" s="51"/>
      <c r="WEM38" s="51"/>
      <c r="WEN38" s="51"/>
      <c r="WEO38" s="51"/>
      <c r="WEP38" s="51"/>
      <c r="WEQ38" s="51"/>
      <c r="WER38" s="51"/>
      <c r="WES38" s="51"/>
      <c r="WET38" s="51"/>
      <c r="WEU38" s="51"/>
      <c r="WEV38" s="51"/>
      <c r="WEW38" s="51"/>
      <c r="WEX38" s="51"/>
      <c r="WEY38" s="51"/>
      <c r="WEZ38" s="51"/>
      <c r="WFA38" s="51"/>
      <c r="WFB38" s="51"/>
      <c r="WFC38" s="51"/>
      <c r="WFD38" s="51"/>
      <c r="WFE38" s="51"/>
      <c r="WFF38" s="51"/>
      <c r="WFG38" s="51"/>
      <c r="WFH38" s="51"/>
      <c r="WFI38" s="51"/>
      <c r="WFJ38" s="51"/>
      <c r="WFK38" s="51"/>
      <c r="WFL38" s="51"/>
      <c r="WFM38" s="51"/>
      <c r="WFN38" s="51"/>
      <c r="WFO38" s="51"/>
      <c r="WFP38" s="51"/>
      <c r="WFQ38" s="51"/>
      <c r="WFR38" s="51"/>
      <c r="WFS38" s="51"/>
      <c r="WFT38" s="51"/>
      <c r="WFU38" s="51"/>
      <c r="WFV38" s="51"/>
      <c r="WFW38" s="51"/>
      <c r="WFX38" s="51"/>
      <c r="WFY38" s="51"/>
      <c r="WFZ38" s="51"/>
      <c r="WGA38" s="51"/>
      <c r="WGB38" s="51"/>
      <c r="WGC38" s="51"/>
      <c r="WGD38" s="51"/>
      <c r="WGE38" s="51"/>
      <c r="WGF38" s="51"/>
      <c r="WGG38" s="51"/>
      <c r="WGH38" s="51"/>
      <c r="WGI38" s="51"/>
      <c r="WGJ38" s="51"/>
      <c r="WGK38" s="51"/>
      <c r="WGL38" s="51"/>
      <c r="WGM38" s="51"/>
      <c r="WGN38" s="51"/>
      <c r="WGO38" s="51"/>
      <c r="WGP38" s="51"/>
      <c r="WGQ38" s="51"/>
      <c r="WGR38" s="51"/>
      <c r="WGS38" s="51"/>
      <c r="WGT38" s="51"/>
      <c r="WGU38" s="51"/>
      <c r="WGV38" s="51"/>
      <c r="WGW38" s="51"/>
      <c r="WGX38" s="51"/>
      <c r="WGY38" s="51"/>
      <c r="WGZ38" s="51"/>
      <c r="WHA38" s="51"/>
      <c r="WHB38" s="51"/>
      <c r="WHC38" s="51"/>
      <c r="WHD38" s="51"/>
      <c r="WHE38" s="51"/>
      <c r="WHF38" s="51"/>
      <c r="WHG38" s="51"/>
      <c r="WHH38" s="51"/>
      <c r="WHI38" s="51"/>
      <c r="WHJ38" s="51"/>
      <c r="WHK38" s="51"/>
      <c r="WHL38" s="51"/>
      <c r="WHM38" s="51"/>
      <c r="WHN38" s="51"/>
      <c r="WHO38" s="51"/>
      <c r="WHP38" s="51"/>
      <c r="WHQ38" s="51"/>
      <c r="WHR38" s="51"/>
      <c r="WHS38" s="51"/>
      <c r="WHT38" s="51"/>
      <c r="WHU38" s="51"/>
      <c r="WHV38" s="51"/>
      <c r="WHW38" s="51"/>
      <c r="WHX38" s="51"/>
      <c r="WHY38" s="51"/>
      <c r="WHZ38" s="51"/>
      <c r="WIA38" s="51"/>
      <c r="WIB38" s="51"/>
      <c r="WIC38" s="51"/>
      <c r="WID38" s="51"/>
      <c r="WIE38" s="51"/>
      <c r="WIF38" s="51"/>
      <c r="WIG38" s="51"/>
      <c r="WIH38" s="51"/>
      <c r="WII38" s="51"/>
      <c r="WIJ38" s="51"/>
      <c r="WIK38" s="51"/>
      <c r="WIL38" s="51"/>
      <c r="WIM38" s="51"/>
      <c r="WIN38" s="51"/>
      <c r="WIO38" s="51"/>
      <c r="WIP38" s="51"/>
      <c r="WIQ38" s="51"/>
      <c r="WIR38" s="51"/>
      <c r="WIS38" s="51"/>
      <c r="WIT38" s="51"/>
      <c r="WIU38" s="51"/>
      <c r="WIV38" s="51"/>
      <c r="WIW38" s="51"/>
      <c r="WIX38" s="51"/>
      <c r="WIY38" s="51"/>
      <c r="WIZ38" s="51"/>
      <c r="WJA38" s="51"/>
      <c r="WJB38" s="51"/>
      <c r="WJC38" s="51"/>
      <c r="WJD38" s="51"/>
      <c r="WJE38" s="51"/>
      <c r="WJF38" s="51"/>
      <c r="WJG38" s="51"/>
      <c r="WJH38" s="51"/>
      <c r="WJI38" s="51"/>
      <c r="WJJ38" s="51"/>
      <c r="WJK38" s="51"/>
      <c r="WJL38" s="51"/>
      <c r="WJM38" s="51"/>
      <c r="WJN38" s="51"/>
      <c r="WJO38" s="51"/>
      <c r="WJP38" s="51"/>
      <c r="WJQ38" s="51"/>
      <c r="WJR38" s="51"/>
      <c r="WJS38" s="51"/>
      <c r="WJT38" s="51"/>
      <c r="WJU38" s="51"/>
      <c r="WJV38" s="51"/>
      <c r="WJW38" s="51"/>
      <c r="WJX38" s="51"/>
      <c r="WJY38" s="51"/>
      <c r="WJZ38" s="51"/>
      <c r="WKA38" s="51"/>
      <c r="WKB38" s="51"/>
      <c r="WKC38" s="51"/>
      <c r="WKD38" s="51"/>
      <c r="WKE38" s="51"/>
      <c r="WKF38" s="51"/>
      <c r="WKG38" s="51"/>
      <c r="WKH38" s="51"/>
      <c r="WKI38" s="51"/>
      <c r="WKJ38" s="51"/>
      <c r="WKK38" s="51"/>
      <c r="WKL38" s="51"/>
      <c r="WKM38" s="51"/>
      <c r="WKN38" s="51"/>
      <c r="WKO38" s="51"/>
      <c r="WKP38" s="51"/>
      <c r="WKQ38" s="51"/>
      <c r="WKR38" s="51"/>
      <c r="WKS38" s="51"/>
      <c r="WKT38" s="51"/>
      <c r="WKU38" s="51"/>
      <c r="WKV38" s="51"/>
      <c r="WKW38" s="51"/>
      <c r="WKX38" s="51"/>
      <c r="WKY38" s="51"/>
      <c r="WKZ38" s="51"/>
      <c r="WLA38" s="51"/>
      <c r="WLB38" s="51"/>
      <c r="WLC38" s="51"/>
      <c r="WLD38" s="51"/>
      <c r="WLE38" s="51"/>
      <c r="WLF38" s="51"/>
      <c r="WLG38" s="51"/>
      <c r="WLH38" s="51"/>
      <c r="WLI38" s="51"/>
      <c r="WLJ38" s="51"/>
      <c r="WLK38" s="51"/>
      <c r="WLL38" s="51"/>
      <c r="WLM38" s="51"/>
      <c r="WLN38" s="51"/>
      <c r="WLO38" s="51"/>
      <c r="WLP38" s="51"/>
      <c r="WLQ38" s="51"/>
      <c r="WLR38" s="51"/>
      <c r="WLS38" s="51"/>
      <c r="WLT38" s="51"/>
      <c r="WLU38" s="51"/>
      <c r="WLV38" s="51"/>
      <c r="WLW38" s="51"/>
      <c r="WLX38" s="51"/>
      <c r="WLY38" s="51"/>
      <c r="WLZ38" s="51"/>
      <c r="WMA38" s="51"/>
      <c r="WMB38" s="51"/>
      <c r="WMC38" s="51"/>
      <c r="WMD38" s="51"/>
      <c r="WME38" s="51"/>
      <c r="WMF38" s="51"/>
      <c r="WMG38" s="51"/>
      <c r="WMH38" s="51"/>
      <c r="WMI38" s="51"/>
      <c r="WMJ38" s="51"/>
      <c r="WMK38" s="51"/>
      <c r="WML38" s="51"/>
      <c r="WMM38" s="51"/>
      <c r="WMN38" s="51"/>
      <c r="WMO38" s="51"/>
      <c r="WMP38" s="51"/>
      <c r="WMQ38" s="51"/>
      <c r="WMR38" s="51"/>
      <c r="WMS38" s="51"/>
      <c r="WMT38" s="51"/>
      <c r="WMU38" s="51"/>
      <c r="WMV38" s="51"/>
      <c r="WMW38" s="51"/>
      <c r="WMX38" s="51"/>
      <c r="WMY38" s="51"/>
      <c r="WMZ38" s="51"/>
      <c r="WNA38" s="51"/>
      <c r="WNB38" s="51"/>
      <c r="WNC38" s="51"/>
      <c r="WND38" s="51"/>
      <c r="WNE38" s="51"/>
      <c r="WNF38" s="51"/>
      <c r="WNG38" s="51"/>
      <c r="WNH38" s="51"/>
      <c r="WNI38" s="51"/>
      <c r="WNJ38" s="51"/>
      <c r="WNK38" s="51"/>
      <c r="WNL38" s="51"/>
      <c r="WNM38" s="51"/>
      <c r="WNN38" s="51"/>
      <c r="WNO38" s="51"/>
      <c r="WNP38" s="51"/>
      <c r="WNQ38" s="51"/>
      <c r="WNR38" s="51"/>
      <c r="WNS38" s="51"/>
      <c r="WNT38" s="51"/>
      <c r="WNU38" s="51"/>
      <c r="WNV38" s="51"/>
      <c r="WNW38" s="51"/>
      <c r="WNX38" s="51"/>
      <c r="WNY38" s="51"/>
      <c r="WNZ38" s="51"/>
      <c r="WOA38" s="51"/>
      <c r="WOB38" s="51"/>
      <c r="WOC38" s="51"/>
      <c r="WOD38" s="51"/>
      <c r="WOE38" s="51"/>
      <c r="WOF38" s="51"/>
      <c r="WOG38" s="51"/>
      <c r="WOH38" s="51"/>
      <c r="WOI38" s="51"/>
      <c r="WOJ38" s="51"/>
      <c r="WOK38" s="51"/>
      <c r="WOL38" s="51"/>
      <c r="WOM38" s="51"/>
      <c r="WON38" s="51"/>
      <c r="WOO38" s="51"/>
      <c r="WOP38" s="51"/>
      <c r="WOQ38" s="51"/>
      <c r="WOR38" s="51"/>
      <c r="WOS38" s="51"/>
      <c r="WOT38" s="51"/>
      <c r="WOU38" s="51"/>
      <c r="WOV38" s="51"/>
      <c r="WOW38" s="51"/>
      <c r="WOX38" s="51"/>
      <c r="WOY38" s="51"/>
      <c r="WOZ38" s="51"/>
      <c r="WPA38" s="51"/>
      <c r="WPB38" s="51"/>
      <c r="WPC38" s="51"/>
      <c r="WPD38" s="51"/>
      <c r="WPE38" s="51"/>
      <c r="WPF38" s="51"/>
      <c r="WPG38" s="51"/>
      <c r="WPH38" s="51"/>
      <c r="WPI38" s="51"/>
      <c r="WPJ38" s="51"/>
      <c r="WPK38" s="51"/>
      <c r="WPL38" s="51"/>
      <c r="WPM38" s="51"/>
      <c r="WPN38" s="51"/>
      <c r="WPO38" s="51"/>
      <c r="WPP38" s="51"/>
      <c r="WPQ38" s="51"/>
      <c r="WPR38" s="51"/>
      <c r="WPS38" s="51"/>
      <c r="WPT38" s="51"/>
      <c r="WPU38" s="51"/>
      <c r="WPV38" s="51"/>
      <c r="WPW38" s="51"/>
      <c r="WPX38" s="51"/>
      <c r="WPY38" s="51"/>
      <c r="WPZ38" s="51"/>
      <c r="WQA38" s="51"/>
      <c r="WQB38" s="51"/>
      <c r="WQC38" s="51"/>
      <c r="WQD38" s="51"/>
      <c r="WQE38" s="51"/>
      <c r="WQF38" s="51"/>
      <c r="WQG38" s="51"/>
      <c r="WQH38" s="51"/>
      <c r="WQI38" s="51"/>
      <c r="WQJ38" s="51"/>
      <c r="WQK38" s="51"/>
      <c r="WQL38" s="51"/>
      <c r="WQM38" s="51"/>
      <c r="WQN38" s="51"/>
      <c r="WQO38" s="51"/>
      <c r="WQP38" s="51"/>
      <c r="WQQ38" s="51"/>
      <c r="WQR38" s="51"/>
      <c r="WQS38" s="51"/>
      <c r="WQT38" s="51"/>
      <c r="WQU38" s="51"/>
      <c r="WQV38" s="51"/>
      <c r="WQW38" s="51"/>
      <c r="WQX38" s="51"/>
      <c r="WQY38" s="51"/>
      <c r="WQZ38" s="51"/>
      <c r="WRA38" s="51"/>
      <c r="WRB38" s="51"/>
      <c r="WRC38" s="51"/>
      <c r="WRD38" s="51"/>
      <c r="WRE38" s="51"/>
      <c r="WRF38" s="51"/>
      <c r="WRG38" s="51"/>
      <c r="WRH38" s="51"/>
      <c r="WRI38" s="51"/>
      <c r="WRJ38" s="51"/>
      <c r="WRK38" s="51"/>
      <c r="WRL38" s="51"/>
      <c r="WRM38" s="51"/>
      <c r="WRN38" s="51"/>
      <c r="WRO38" s="51"/>
      <c r="WRP38" s="51"/>
      <c r="WRQ38" s="51"/>
      <c r="WRR38" s="51"/>
      <c r="WRS38" s="51"/>
      <c r="WRT38" s="51"/>
      <c r="WRU38" s="51"/>
      <c r="WRV38" s="51"/>
      <c r="WRW38" s="51"/>
      <c r="WRX38" s="51"/>
      <c r="WRY38" s="51"/>
      <c r="WRZ38" s="51"/>
      <c r="WSA38" s="51"/>
      <c r="WSB38" s="51"/>
      <c r="WSC38" s="51"/>
      <c r="WSD38" s="51"/>
      <c r="WSE38" s="51"/>
      <c r="WSF38" s="51"/>
      <c r="WSG38" s="51"/>
      <c r="WSH38" s="51"/>
      <c r="WSI38" s="51"/>
      <c r="WSJ38" s="51"/>
      <c r="WSK38" s="51"/>
      <c r="WSL38" s="51"/>
      <c r="WSM38" s="51"/>
      <c r="WSN38" s="51"/>
      <c r="WSO38" s="51"/>
      <c r="WSP38" s="51"/>
      <c r="WSQ38" s="51"/>
      <c r="WSR38" s="51"/>
      <c r="WSS38" s="51"/>
      <c r="WST38" s="51"/>
      <c r="WSU38" s="51"/>
      <c r="WSV38" s="51"/>
      <c r="WSW38" s="51"/>
      <c r="WSX38" s="51"/>
      <c r="WSY38" s="51"/>
      <c r="WSZ38" s="51"/>
      <c r="WTA38" s="51"/>
      <c r="WTB38" s="51"/>
      <c r="WTC38" s="51"/>
      <c r="WTD38" s="51"/>
      <c r="WTE38" s="51"/>
      <c r="WTF38" s="51"/>
      <c r="WTG38" s="51"/>
      <c r="WTH38" s="51"/>
      <c r="WTI38" s="51"/>
      <c r="WTJ38" s="51"/>
      <c r="WTK38" s="51"/>
      <c r="WTL38" s="51"/>
      <c r="WTM38" s="51"/>
      <c r="WTN38" s="51"/>
      <c r="WTO38" s="51"/>
      <c r="WTP38" s="51"/>
      <c r="WTQ38" s="51"/>
      <c r="WTR38" s="51"/>
      <c r="WTS38" s="51"/>
      <c r="WTT38" s="51"/>
      <c r="WTU38" s="51"/>
      <c r="WTV38" s="51"/>
      <c r="WTW38" s="51"/>
      <c r="WTX38" s="51"/>
      <c r="WTY38" s="51"/>
      <c r="WTZ38" s="51"/>
      <c r="WUA38" s="51"/>
      <c r="WUB38" s="51"/>
      <c r="WUC38" s="51"/>
      <c r="WUD38" s="51"/>
      <c r="WUE38" s="51"/>
      <c r="WUF38" s="51"/>
      <c r="WUG38" s="51"/>
      <c r="WUH38" s="51"/>
      <c r="WUI38" s="51"/>
      <c r="WUJ38" s="51"/>
      <c r="WUK38" s="51"/>
      <c r="WUL38" s="51"/>
      <c r="WUM38" s="51"/>
      <c r="WUN38" s="51"/>
      <c r="WUO38" s="51"/>
      <c r="WUP38" s="51"/>
      <c r="WUQ38" s="51"/>
      <c r="WUR38" s="51"/>
      <c r="WUS38" s="51"/>
      <c r="WUT38" s="51"/>
      <c r="WUU38" s="51"/>
      <c r="WUV38" s="51"/>
      <c r="WUW38" s="51"/>
      <c r="WUX38" s="51"/>
      <c r="WUY38" s="51"/>
      <c r="WUZ38" s="51"/>
      <c r="WVA38" s="51"/>
      <c r="WVB38" s="51"/>
      <c r="WVC38" s="51"/>
      <c r="WVD38" s="51"/>
      <c r="WVE38" s="51"/>
      <c r="WVF38" s="51"/>
      <c r="WVG38" s="51"/>
      <c r="WVH38" s="51"/>
      <c r="WVI38" s="51"/>
      <c r="WVJ38" s="51"/>
      <c r="WVK38" s="51"/>
      <c r="WVL38" s="51"/>
      <c r="WVM38" s="51"/>
      <c r="WVN38" s="51"/>
      <c r="WVO38" s="51"/>
      <c r="WVP38" s="51"/>
      <c r="WVQ38" s="51"/>
      <c r="WVR38" s="51"/>
      <c r="WVS38" s="51"/>
      <c r="WVT38" s="51"/>
      <c r="WVU38" s="51"/>
      <c r="WVV38" s="51"/>
      <c r="WVW38" s="51"/>
      <c r="WVX38" s="51"/>
      <c r="WVY38" s="51"/>
      <c r="WVZ38" s="51"/>
      <c r="WWA38" s="51"/>
      <c r="WWB38" s="51"/>
      <c r="WWC38" s="51"/>
      <c r="WWD38" s="51"/>
      <c r="WWE38" s="51"/>
      <c r="WWF38" s="51"/>
      <c r="WWG38" s="51"/>
      <c r="WWH38" s="51"/>
      <c r="WWI38" s="51"/>
      <c r="WWJ38" s="51"/>
      <c r="WWK38" s="51"/>
      <c r="WWL38" s="51"/>
      <c r="WWM38" s="51"/>
      <c r="WWN38" s="51"/>
      <c r="WWO38" s="51"/>
      <c r="WWP38" s="51"/>
      <c r="WWQ38" s="51"/>
      <c r="WWR38" s="51"/>
      <c r="WWS38" s="51"/>
      <c r="WWT38" s="51"/>
      <c r="WWU38" s="51"/>
      <c r="WWV38" s="51"/>
      <c r="WWW38" s="51"/>
      <c r="WWX38" s="51"/>
      <c r="WWY38" s="51"/>
      <c r="WWZ38" s="51"/>
      <c r="WXA38" s="51"/>
      <c r="WXB38" s="51"/>
      <c r="WXC38" s="51"/>
      <c r="WXD38" s="51"/>
      <c r="WXE38" s="51"/>
      <c r="WXF38" s="51"/>
      <c r="WXG38" s="51"/>
      <c r="WXH38" s="51"/>
      <c r="WXI38" s="51"/>
      <c r="WXJ38" s="51"/>
      <c r="WXK38" s="51"/>
      <c r="WXL38" s="51"/>
      <c r="WXM38" s="51"/>
      <c r="WXN38" s="51"/>
      <c r="WXO38" s="51"/>
      <c r="WXP38" s="51"/>
      <c r="WXQ38" s="51"/>
      <c r="WXR38" s="51"/>
      <c r="WXS38" s="51"/>
      <c r="WXT38" s="51"/>
      <c r="WXU38" s="51"/>
      <c r="WXV38" s="51"/>
      <c r="WXW38" s="51"/>
      <c r="WXX38" s="51"/>
      <c r="WXY38" s="51"/>
      <c r="WXZ38" s="51"/>
      <c r="WYA38" s="51"/>
      <c r="WYB38" s="51"/>
      <c r="WYC38" s="51"/>
      <c r="WYD38" s="51"/>
      <c r="WYE38" s="51"/>
      <c r="WYF38" s="51"/>
      <c r="WYG38" s="51"/>
      <c r="WYH38" s="51"/>
      <c r="WYI38" s="51"/>
      <c r="WYJ38" s="51"/>
      <c r="WYK38" s="51"/>
      <c r="WYL38" s="51"/>
      <c r="WYM38" s="51"/>
      <c r="WYN38" s="51"/>
      <c r="WYO38" s="51"/>
      <c r="WYP38" s="51"/>
      <c r="WYQ38" s="51"/>
      <c r="WYR38" s="51"/>
      <c r="WYS38" s="51"/>
      <c r="WYT38" s="51"/>
      <c r="WYU38" s="51"/>
      <c r="WYV38" s="51"/>
      <c r="WYW38" s="51"/>
      <c r="WYX38" s="51"/>
      <c r="WYY38" s="51"/>
      <c r="WYZ38" s="51"/>
      <c r="WZA38" s="51"/>
      <c r="WZB38" s="51"/>
      <c r="WZC38" s="51"/>
      <c r="WZD38" s="51"/>
      <c r="WZE38" s="51"/>
      <c r="WZF38" s="51"/>
      <c r="WZG38" s="51"/>
      <c r="WZH38" s="51"/>
      <c r="WZI38" s="51"/>
      <c r="WZJ38" s="51"/>
      <c r="WZK38" s="51"/>
      <c r="WZL38" s="51"/>
      <c r="WZM38" s="51"/>
      <c r="WZN38" s="51"/>
      <c r="WZO38" s="51"/>
      <c r="WZP38" s="51"/>
      <c r="WZQ38" s="51"/>
      <c r="WZR38" s="51"/>
      <c r="WZS38" s="51"/>
      <c r="WZT38" s="51"/>
      <c r="WZU38" s="51"/>
      <c r="WZV38" s="51"/>
      <c r="WZW38" s="51"/>
      <c r="WZX38" s="51"/>
      <c r="WZY38" s="51"/>
      <c r="WZZ38" s="51"/>
      <c r="XAA38" s="51"/>
      <c r="XAB38" s="51"/>
      <c r="XAC38" s="51"/>
      <c r="XAD38" s="51"/>
      <c r="XAE38" s="51"/>
      <c r="XAF38" s="51"/>
      <c r="XAG38" s="51"/>
      <c r="XAH38" s="51"/>
      <c r="XAI38" s="51"/>
      <c r="XAJ38" s="51"/>
      <c r="XAK38" s="51"/>
      <c r="XAL38" s="51"/>
      <c r="XAM38" s="51"/>
      <c r="XAN38" s="51"/>
      <c r="XAO38" s="51"/>
      <c r="XAP38" s="51"/>
      <c r="XAQ38" s="51"/>
      <c r="XAR38" s="51"/>
      <c r="XAS38" s="51"/>
      <c r="XAT38" s="51"/>
      <c r="XAU38" s="51"/>
      <c r="XAV38" s="51"/>
      <c r="XAW38" s="51"/>
      <c r="XAX38" s="51"/>
      <c r="XAY38" s="51"/>
      <c r="XAZ38" s="51"/>
      <c r="XBA38" s="51"/>
      <c r="XBB38" s="51"/>
      <c r="XBC38" s="51"/>
      <c r="XBD38" s="51"/>
      <c r="XBE38" s="51"/>
      <c r="XBF38" s="51"/>
      <c r="XBG38" s="51"/>
      <c r="XBH38" s="51"/>
      <c r="XBI38" s="51"/>
      <c r="XBJ38" s="51"/>
      <c r="XBK38" s="51"/>
      <c r="XBL38" s="51"/>
      <c r="XBM38" s="51"/>
      <c r="XBN38" s="51"/>
      <c r="XBO38" s="51"/>
      <c r="XBP38" s="51"/>
      <c r="XBQ38" s="51"/>
      <c r="XBR38" s="51"/>
      <c r="XBS38" s="51"/>
      <c r="XBT38" s="51"/>
      <c r="XBU38" s="51"/>
      <c r="XBV38" s="51"/>
      <c r="XBW38" s="51"/>
      <c r="XBX38" s="51"/>
      <c r="XBY38" s="51"/>
      <c r="XBZ38" s="51"/>
      <c r="XCA38" s="51"/>
      <c r="XCB38" s="51"/>
      <c r="XCC38" s="51"/>
      <c r="XCD38" s="51"/>
      <c r="XCE38" s="51"/>
      <c r="XCF38" s="51"/>
      <c r="XCG38" s="51"/>
      <c r="XCH38" s="51"/>
      <c r="XCI38" s="51"/>
      <c r="XCJ38" s="51"/>
      <c r="XCK38" s="51"/>
      <c r="XCL38" s="51"/>
      <c r="XCM38" s="51"/>
      <c r="XCN38" s="51"/>
      <c r="XCO38" s="51"/>
      <c r="XCP38" s="51"/>
      <c r="XCQ38" s="51"/>
      <c r="XCR38" s="51"/>
      <c r="XCS38" s="51"/>
      <c r="XCT38" s="51"/>
      <c r="XCU38" s="51"/>
      <c r="XCV38" s="51"/>
      <c r="XCW38" s="51"/>
      <c r="XCX38" s="51"/>
      <c r="XCY38" s="51"/>
      <c r="XCZ38" s="51"/>
      <c r="XDA38" s="51"/>
      <c r="XDB38" s="51"/>
      <c r="XDC38" s="51"/>
      <c r="XDD38" s="51"/>
      <c r="XDE38" s="51"/>
      <c r="XDF38" s="51"/>
      <c r="XDG38" s="51"/>
      <c r="XDH38" s="51"/>
      <c r="XDI38" s="51"/>
      <c r="XDJ38" s="51"/>
      <c r="XDK38" s="51"/>
      <c r="XDL38" s="51"/>
      <c r="XDM38" s="51"/>
      <c r="XDN38" s="51"/>
      <c r="XDO38" s="51"/>
      <c r="XDP38" s="51"/>
      <c r="XDQ38" s="51"/>
      <c r="XDR38" s="51"/>
      <c r="XDS38" s="51"/>
      <c r="XDT38" s="51"/>
      <c r="XDU38" s="51"/>
      <c r="XDV38" s="51"/>
      <c r="XDW38" s="51"/>
      <c r="XDX38" s="51"/>
      <c r="XDY38" s="51"/>
      <c r="XDZ38" s="51"/>
      <c r="XEA38" s="51"/>
      <c r="XEB38" s="51"/>
      <c r="XEC38" s="51"/>
      <c r="XED38" s="51"/>
      <c r="XEE38" s="51"/>
      <c r="XEF38" s="51"/>
      <c r="XEG38" s="51"/>
      <c r="XEH38" s="51"/>
      <c r="XEI38" s="51"/>
      <c r="XEJ38" s="51"/>
      <c r="XEK38" s="51"/>
      <c r="XEL38" s="51"/>
      <c r="XEM38" s="51"/>
      <c r="XEN38" s="51"/>
      <c r="XEO38" s="51"/>
      <c r="XEP38" s="51"/>
      <c r="XEQ38" s="51"/>
      <c r="XER38" s="51"/>
      <c r="XES38" s="51"/>
      <c r="XET38" s="51"/>
      <c r="XEU38" s="51"/>
      <c r="XEV38" s="51"/>
      <c r="XEW38" s="51"/>
      <c r="XEX38" s="51"/>
      <c r="XEY38" s="51"/>
      <c r="XEZ38" s="51"/>
      <c r="XFA38" s="51"/>
      <c r="XFB38" s="51"/>
      <c r="XFC38" s="51"/>
      <c r="XFD38" s="51"/>
    </row>
    <row r="39" spans="1:16384" s="258" customFormat="1">
      <c r="A39" s="51"/>
      <c r="B39" s="51" t="s">
        <v>1040</v>
      </c>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c r="DH39" s="51"/>
      <c r="DI39" s="51"/>
      <c r="DJ39" s="51"/>
      <c r="DK39" s="51"/>
      <c r="DL39" s="51"/>
      <c r="DM39" s="51"/>
      <c r="DN39" s="51"/>
      <c r="DO39" s="51"/>
      <c r="DP39" s="51"/>
      <c r="DQ39" s="51"/>
      <c r="DR39" s="51"/>
      <c r="DS39" s="51"/>
      <c r="DT39" s="51"/>
      <c r="DU39" s="51"/>
      <c r="DV39" s="51"/>
      <c r="DW39" s="51"/>
      <c r="DX39" s="51"/>
      <c r="DY39" s="51"/>
      <c r="DZ39" s="51"/>
      <c r="EA39" s="51"/>
      <c r="EB39" s="51"/>
      <c r="EC39" s="51"/>
      <c r="ED39" s="51"/>
      <c r="EE39" s="51"/>
      <c r="EF39" s="51"/>
      <c r="EG39" s="51"/>
      <c r="EH39" s="51"/>
      <c r="EI39" s="51"/>
      <c r="EJ39" s="51"/>
      <c r="EK39" s="51"/>
      <c r="EL39" s="51"/>
      <c r="EM39" s="51"/>
      <c r="EN39" s="51"/>
      <c r="EO39" s="51"/>
      <c r="EP39" s="51"/>
      <c r="EQ39" s="51"/>
      <c r="ER39" s="51"/>
      <c r="ES39" s="51"/>
      <c r="ET39" s="51"/>
      <c r="EU39" s="51"/>
      <c r="EV39" s="51"/>
      <c r="EW39" s="51"/>
      <c r="EX39" s="51"/>
      <c r="EY39" s="51"/>
      <c r="EZ39" s="51"/>
      <c r="FA39" s="51"/>
      <c r="FB39" s="51"/>
      <c r="FC39" s="51"/>
      <c r="FD39" s="51"/>
      <c r="FE39" s="51"/>
      <c r="FF39" s="51"/>
      <c r="FG39" s="51"/>
      <c r="FH39" s="51"/>
      <c r="FI39" s="51"/>
      <c r="FJ39" s="51"/>
      <c r="FK39" s="51"/>
      <c r="FL39" s="51"/>
      <c r="FM39" s="51"/>
      <c r="FN39" s="51"/>
      <c r="FO39" s="51"/>
      <c r="FP39" s="51"/>
      <c r="FQ39" s="51"/>
      <c r="FR39" s="51"/>
      <c r="FS39" s="51"/>
      <c r="FT39" s="51"/>
      <c r="FU39" s="51"/>
      <c r="FV39" s="51"/>
      <c r="FW39" s="51"/>
      <c r="FX39" s="51"/>
      <c r="FY39" s="51"/>
      <c r="FZ39" s="51"/>
      <c r="GA39" s="51"/>
      <c r="GB39" s="51"/>
      <c r="GC39" s="51"/>
      <c r="GD39" s="51"/>
      <c r="GE39" s="51"/>
      <c r="GF39" s="51"/>
      <c r="GG39" s="51"/>
      <c r="GH39" s="51"/>
      <c r="GI39" s="51"/>
      <c r="GJ39" s="51"/>
      <c r="GK39" s="51"/>
      <c r="GL39" s="51"/>
      <c r="GM39" s="51"/>
      <c r="GN39" s="51"/>
      <c r="GO39" s="51"/>
      <c r="GP39" s="51"/>
      <c r="GQ39" s="51"/>
      <c r="GR39" s="51"/>
      <c r="GS39" s="51"/>
      <c r="GT39" s="51"/>
      <c r="GU39" s="51"/>
      <c r="GV39" s="51"/>
      <c r="GW39" s="51"/>
      <c r="GX39" s="51"/>
      <c r="GY39" s="51"/>
      <c r="GZ39" s="51"/>
      <c r="HA39" s="51"/>
      <c r="HB39" s="51"/>
      <c r="HC39" s="51"/>
      <c r="HD39" s="51"/>
      <c r="HE39" s="51"/>
      <c r="HF39" s="51"/>
      <c r="HG39" s="51"/>
      <c r="HH39" s="51"/>
      <c r="HI39" s="51"/>
      <c r="HJ39" s="51"/>
      <c r="HK39" s="51"/>
      <c r="HL39" s="51"/>
      <c r="HM39" s="51"/>
      <c r="HN39" s="51"/>
      <c r="HO39" s="51"/>
      <c r="HP39" s="51"/>
      <c r="HQ39" s="51"/>
      <c r="HR39" s="51"/>
      <c r="HS39" s="51"/>
      <c r="HT39" s="51"/>
      <c r="HU39" s="51"/>
      <c r="HV39" s="51"/>
      <c r="HW39" s="51"/>
      <c r="HX39" s="51"/>
      <c r="HY39" s="51"/>
      <c r="HZ39" s="51"/>
      <c r="IA39" s="51"/>
      <c r="IB39" s="51"/>
      <c r="IC39" s="51"/>
      <c r="ID39" s="51"/>
      <c r="IE39" s="51"/>
      <c r="IF39" s="51"/>
      <c r="IG39" s="51"/>
      <c r="IH39" s="51"/>
      <c r="II39" s="51"/>
      <c r="IJ39" s="51"/>
      <c r="IK39" s="51"/>
      <c r="IL39" s="51"/>
      <c r="IM39" s="51"/>
      <c r="IN39" s="51"/>
      <c r="IO39" s="51"/>
      <c r="IP39" s="51"/>
      <c r="IQ39" s="51"/>
      <c r="IR39" s="51"/>
      <c r="IS39" s="51"/>
      <c r="IT39" s="51"/>
      <c r="IU39" s="51"/>
      <c r="IV39" s="51"/>
      <c r="IW39" s="51"/>
      <c r="IX39" s="51"/>
      <c r="IY39" s="51"/>
      <c r="IZ39" s="51"/>
      <c r="JA39" s="51"/>
      <c r="JB39" s="51"/>
      <c r="JC39" s="51"/>
      <c r="JD39" s="51"/>
      <c r="JE39" s="51"/>
      <c r="JF39" s="51"/>
      <c r="JG39" s="51"/>
      <c r="JH39" s="51"/>
      <c r="JI39" s="51"/>
      <c r="JJ39" s="51"/>
      <c r="JK39" s="51"/>
      <c r="JL39" s="51"/>
      <c r="JM39" s="51"/>
      <c r="JN39" s="51"/>
      <c r="JO39" s="51"/>
      <c r="JP39" s="51"/>
      <c r="JQ39" s="51"/>
      <c r="JR39" s="51"/>
      <c r="JS39" s="51"/>
      <c r="JT39" s="51"/>
      <c r="JU39" s="51"/>
      <c r="JV39" s="51"/>
      <c r="JW39" s="51"/>
      <c r="JX39" s="51"/>
      <c r="JY39" s="51"/>
      <c r="JZ39" s="51"/>
      <c r="KA39" s="51"/>
      <c r="KB39" s="51"/>
      <c r="KC39" s="51"/>
      <c r="KD39" s="51"/>
      <c r="KE39" s="51"/>
      <c r="KF39" s="51"/>
      <c r="KG39" s="51"/>
      <c r="KH39" s="51"/>
      <c r="KI39" s="51"/>
      <c r="KJ39" s="51"/>
      <c r="KK39" s="51"/>
      <c r="KL39" s="51"/>
      <c r="KM39" s="51"/>
      <c r="KN39" s="51"/>
      <c r="KO39" s="51"/>
      <c r="KP39" s="51"/>
      <c r="KQ39" s="51"/>
      <c r="KR39" s="51"/>
      <c r="KS39" s="51"/>
      <c r="KT39" s="51"/>
      <c r="KU39" s="51"/>
      <c r="KV39" s="51"/>
      <c r="KW39" s="51"/>
      <c r="KX39" s="51"/>
      <c r="KY39" s="51"/>
      <c r="KZ39" s="51"/>
      <c r="LA39" s="51"/>
      <c r="LB39" s="51"/>
      <c r="LC39" s="51"/>
      <c r="LD39" s="51"/>
      <c r="LE39" s="51"/>
      <c r="LF39" s="51"/>
      <c r="LG39" s="51"/>
      <c r="LH39" s="51"/>
      <c r="LI39" s="51"/>
      <c r="LJ39" s="51"/>
      <c r="LK39" s="51"/>
      <c r="LL39" s="51"/>
      <c r="LM39" s="51"/>
      <c r="LN39" s="51"/>
      <c r="LO39" s="51"/>
      <c r="LP39" s="51"/>
      <c r="LQ39" s="51"/>
      <c r="LR39" s="51"/>
      <c r="LS39" s="51"/>
      <c r="LT39" s="51"/>
      <c r="LU39" s="51"/>
      <c r="LV39" s="51"/>
      <c r="LW39" s="51"/>
      <c r="LX39" s="51"/>
      <c r="LY39" s="51"/>
      <c r="LZ39" s="51"/>
      <c r="MA39" s="51"/>
      <c r="MB39" s="51"/>
      <c r="MC39" s="51"/>
      <c r="MD39" s="51"/>
      <c r="ME39" s="51"/>
      <c r="MF39" s="51"/>
      <c r="MG39" s="51"/>
      <c r="MH39" s="51"/>
      <c r="MI39" s="51"/>
      <c r="MJ39" s="51"/>
      <c r="MK39" s="51"/>
      <c r="ML39" s="51"/>
      <c r="MM39" s="51"/>
      <c r="MN39" s="51"/>
      <c r="MO39" s="51"/>
      <c r="MP39" s="51"/>
      <c r="MQ39" s="51"/>
      <c r="MR39" s="51"/>
      <c r="MS39" s="51"/>
      <c r="MT39" s="51"/>
      <c r="MU39" s="51"/>
      <c r="MV39" s="51"/>
      <c r="MW39" s="51"/>
      <c r="MX39" s="51"/>
      <c r="MY39" s="51"/>
      <c r="MZ39" s="51"/>
      <c r="NA39" s="51"/>
      <c r="NB39" s="51"/>
      <c r="NC39" s="51"/>
      <c r="ND39" s="51"/>
      <c r="NE39" s="51"/>
      <c r="NF39" s="51"/>
      <c r="NG39" s="51"/>
      <c r="NH39" s="51"/>
      <c r="NI39" s="51"/>
      <c r="NJ39" s="51"/>
      <c r="NK39" s="51"/>
      <c r="NL39" s="51"/>
      <c r="NM39" s="51"/>
      <c r="NN39" s="51"/>
      <c r="NO39" s="51"/>
      <c r="NP39" s="51"/>
      <c r="NQ39" s="51"/>
      <c r="NR39" s="51"/>
      <c r="NS39" s="51"/>
      <c r="NT39" s="51"/>
      <c r="NU39" s="51"/>
      <c r="NV39" s="51"/>
      <c r="NW39" s="51"/>
      <c r="NX39" s="51"/>
      <c r="NY39" s="51"/>
      <c r="NZ39" s="51"/>
      <c r="OA39" s="51"/>
      <c r="OB39" s="51"/>
      <c r="OC39" s="51"/>
      <c r="OD39" s="51"/>
      <c r="OE39" s="51"/>
      <c r="OF39" s="51"/>
      <c r="OG39" s="51"/>
      <c r="OH39" s="51"/>
      <c r="OI39" s="51"/>
      <c r="OJ39" s="51"/>
      <c r="OK39" s="51"/>
      <c r="OL39" s="51"/>
      <c r="OM39" s="51"/>
      <c r="ON39" s="51"/>
      <c r="OO39" s="51"/>
      <c r="OP39" s="51"/>
      <c r="OQ39" s="51"/>
      <c r="OR39" s="51"/>
      <c r="OS39" s="51"/>
      <c r="OT39" s="51"/>
      <c r="OU39" s="51"/>
      <c r="OV39" s="51"/>
      <c r="OW39" s="51"/>
      <c r="OX39" s="51"/>
      <c r="OY39" s="51"/>
      <c r="OZ39" s="51"/>
      <c r="PA39" s="51"/>
      <c r="PB39" s="51"/>
      <c r="PC39" s="51"/>
      <c r="PD39" s="51"/>
      <c r="PE39" s="51"/>
      <c r="PF39" s="51"/>
      <c r="PG39" s="51"/>
      <c r="PH39" s="51"/>
      <c r="PI39" s="51"/>
      <c r="PJ39" s="51"/>
      <c r="PK39" s="51"/>
      <c r="PL39" s="51"/>
      <c r="PM39" s="51"/>
      <c r="PN39" s="51"/>
      <c r="PO39" s="51"/>
      <c r="PP39" s="51"/>
      <c r="PQ39" s="51"/>
      <c r="PR39" s="51"/>
      <c r="PS39" s="51"/>
      <c r="PT39" s="51"/>
      <c r="PU39" s="51"/>
      <c r="PV39" s="51"/>
      <c r="PW39" s="51"/>
      <c r="PX39" s="51"/>
      <c r="PY39" s="51"/>
      <c r="PZ39" s="51"/>
      <c r="QA39" s="51"/>
      <c r="QB39" s="51"/>
      <c r="QC39" s="51"/>
      <c r="QD39" s="51"/>
      <c r="QE39" s="51"/>
      <c r="QF39" s="51"/>
      <c r="QG39" s="51"/>
      <c r="QH39" s="51"/>
      <c r="QI39" s="51"/>
      <c r="QJ39" s="51"/>
      <c r="QK39" s="51"/>
      <c r="QL39" s="51"/>
      <c r="QM39" s="51"/>
      <c r="QN39" s="51"/>
      <c r="QO39" s="51"/>
      <c r="QP39" s="51"/>
      <c r="QQ39" s="51"/>
      <c r="QR39" s="51"/>
      <c r="QS39" s="51"/>
      <c r="QT39" s="51"/>
      <c r="QU39" s="51"/>
      <c r="QV39" s="51"/>
      <c r="QW39" s="51"/>
      <c r="QX39" s="51"/>
      <c r="QY39" s="51"/>
      <c r="QZ39" s="51"/>
      <c r="RA39" s="51"/>
      <c r="RB39" s="51"/>
      <c r="RC39" s="51"/>
      <c r="RD39" s="51"/>
      <c r="RE39" s="51"/>
      <c r="RF39" s="51"/>
      <c r="RG39" s="51"/>
      <c r="RH39" s="51"/>
      <c r="RI39" s="51"/>
      <c r="RJ39" s="51"/>
      <c r="RK39" s="51"/>
      <c r="RL39" s="51"/>
      <c r="RM39" s="51"/>
      <c r="RN39" s="51"/>
      <c r="RO39" s="51"/>
      <c r="RP39" s="51"/>
      <c r="RQ39" s="51"/>
      <c r="RR39" s="51"/>
      <c r="RS39" s="51"/>
      <c r="RT39" s="51"/>
      <c r="RU39" s="51"/>
      <c r="RV39" s="51"/>
      <c r="RW39" s="51"/>
      <c r="RX39" s="51"/>
      <c r="RY39" s="51"/>
      <c r="RZ39" s="51"/>
      <c r="SA39" s="51"/>
      <c r="SB39" s="51"/>
      <c r="SC39" s="51"/>
      <c r="SD39" s="51"/>
      <c r="SE39" s="51"/>
      <c r="SF39" s="51"/>
      <c r="SG39" s="51"/>
      <c r="SH39" s="51"/>
      <c r="SI39" s="51"/>
      <c r="SJ39" s="51"/>
      <c r="SK39" s="51"/>
      <c r="SL39" s="51"/>
      <c r="SM39" s="51"/>
      <c r="SN39" s="51"/>
      <c r="SO39" s="51"/>
      <c r="SP39" s="51"/>
      <c r="SQ39" s="51"/>
      <c r="SR39" s="51"/>
      <c r="SS39" s="51"/>
      <c r="ST39" s="51"/>
      <c r="SU39" s="51"/>
      <c r="SV39" s="51"/>
      <c r="SW39" s="51"/>
      <c r="SX39" s="51"/>
      <c r="SY39" s="51"/>
      <c r="SZ39" s="51"/>
      <c r="TA39" s="51"/>
      <c r="TB39" s="51"/>
      <c r="TC39" s="51"/>
      <c r="TD39" s="51"/>
      <c r="TE39" s="51"/>
      <c r="TF39" s="51"/>
      <c r="TG39" s="51"/>
      <c r="TH39" s="51"/>
      <c r="TI39" s="51"/>
      <c r="TJ39" s="51"/>
      <c r="TK39" s="51"/>
      <c r="TL39" s="51"/>
      <c r="TM39" s="51"/>
      <c r="TN39" s="51"/>
      <c r="TO39" s="51"/>
      <c r="TP39" s="51"/>
      <c r="TQ39" s="51"/>
      <c r="TR39" s="51"/>
      <c r="TS39" s="51"/>
      <c r="TT39" s="51"/>
      <c r="TU39" s="51"/>
      <c r="TV39" s="51"/>
      <c r="TW39" s="51"/>
      <c r="TX39" s="51"/>
      <c r="TY39" s="51"/>
      <c r="TZ39" s="51"/>
      <c r="UA39" s="51"/>
      <c r="UB39" s="51"/>
      <c r="UC39" s="51"/>
      <c r="UD39" s="51"/>
      <c r="UE39" s="51"/>
      <c r="UF39" s="51"/>
      <c r="UG39" s="51"/>
      <c r="UH39" s="51"/>
      <c r="UI39" s="51"/>
      <c r="UJ39" s="51"/>
      <c r="UK39" s="51"/>
      <c r="UL39" s="51"/>
      <c r="UM39" s="51"/>
      <c r="UN39" s="51"/>
      <c r="UO39" s="51"/>
      <c r="UP39" s="51"/>
      <c r="UQ39" s="51"/>
      <c r="UR39" s="51"/>
      <c r="US39" s="51"/>
      <c r="UT39" s="51"/>
      <c r="UU39" s="51"/>
      <c r="UV39" s="51"/>
      <c r="UW39" s="51"/>
      <c r="UX39" s="51"/>
      <c r="UY39" s="51"/>
      <c r="UZ39" s="51"/>
      <c r="VA39" s="51"/>
      <c r="VB39" s="51"/>
      <c r="VC39" s="51"/>
      <c r="VD39" s="51"/>
      <c r="VE39" s="51"/>
      <c r="VF39" s="51"/>
      <c r="VG39" s="51"/>
      <c r="VH39" s="51"/>
      <c r="VI39" s="51"/>
      <c r="VJ39" s="51"/>
      <c r="VK39" s="51"/>
      <c r="VL39" s="51"/>
      <c r="VM39" s="51"/>
      <c r="VN39" s="51"/>
      <c r="VO39" s="51"/>
      <c r="VP39" s="51"/>
      <c r="VQ39" s="51"/>
      <c r="VR39" s="51"/>
      <c r="VS39" s="51"/>
      <c r="VT39" s="51"/>
      <c r="VU39" s="51"/>
      <c r="VV39" s="51"/>
      <c r="VW39" s="51"/>
      <c r="VX39" s="51"/>
      <c r="VY39" s="51"/>
      <c r="VZ39" s="51"/>
      <c r="WA39" s="51"/>
      <c r="WB39" s="51"/>
      <c r="WC39" s="51"/>
      <c r="WD39" s="51"/>
      <c r="WE39" s="51"/>
      <c r="WF39" s="51"/>
      <c r="WG39" s="51"/>
      <c r="WH39" s="51"/>
      <c r="WI39" s="51"/>
      <c r="WJ39" s="51"/>
      <c r="WK39" s="51"/>
      <c r="WL39" s="51"/>
      <c r="WM39" s="51"/>
      <c r="WN39" s="51"/>
      <c r="WO39" s="51"/>
      <c r="WP39" s="51"/>
      <c r="WQ39" s="51"/>
      <c r="WR39" s="51"/>
      <c r="WS39" s="51"/>
      <c r="WT39" s="51"/>
      <c r="WU39" s="51"/>
      <c r="WV39" s="51"/>
      <c r="WW39" s="51"/>
      <c r="WX39" s="51"/>
      <c r="WY39" s="51"/>
      <c r="WZ39" s="51"/>
      <c r="XA39" s="51"/>
      <c r="XB39" s="51"/>
      <c r="XC39" s="51"/>
      <c r="XD39" s="51"/>
      <c r="XE39" s="51"/>
      <c r="XF39" s="51"/>
      <c r="XG39" s="51"/>
      <c r="XH39" s="51"/>
      <c r="XI39" s="51"/>
      <c r="XJ39" s="51"/>
      <c r="XK39" s="51"/>
      <c r="XL39" s="51"/>
      <c r="XM39" s="51"/>
      <c r="XN39" s="51"/>
      <c r="XO39" s="51"/>
      <c r="XP39" s="51"/>
      <c r="XQ39" s="51"/>
      <c r="XR39" s="51"/>
      <c r="XS39" s="51"/>
      <c r="XT39" s="51"/>
      <c r="XU39" s="51"/>
      <c r="XV39" s="51"/>
      <c r="XW39" s="51"/>
      <c r="XX39" s="51"/>
      <c r="XY39" s="51"/>
      <c r="XZ39" s="51"/>
      <c r="YA39" s="51"/>
      <c r="YB39" s="51"/>
      <c r="YC39" s="51"/>
      <c r="YD39" s="51"/>
      <c r="YE39" s="51"/>
      <c r="YF39" s="51"/>
      <c r="YG39" s="51"/>
      <c r="YH39" s="51"/>
      <c r="YI39" s="51"/>
      <c r="YJ39" s="51"/>
      <c r="YK39" s="51"/>
      <c r="YL39" s="51"/>
      <c r="YM39" s="51"/>
      <c r="YN39" s="51"/>
      <c r="YO39" s="51"/>
      <c r="YP39" s="51"/>
      <c r="YQ39" s="51"/>
      <c r="YR39" s="51"/>
      <c r="YS39" s="51"/>
      <c r="YT39" s="51"/>
      <c r="YU39" s="51"/>
      <c r="YV39" s="51"/>
      <c r="YW39" s="51"/>
      <c r="YX39" s="51"/>
      <c r="YY39" s="51"/>
      <c r="YZ39" s="51"/>
      <c r="ZA39" s="51"/>
      <c r="ZB39" s="51"/>
      <c r="ZC39" s="51"/>
      <c r="ZD39" s="51"/>
      <c r="ZE39" s="51"/>
      <c r="ZF39" s="51"/>
      <c r="ZG39" s="51"/>
      <c r="ZH39" s="51"/>
      <c r="ZI39" s="51"/>
      <c r="ZJ39" s="51"/>
      <c r="ZK39" s="51"/>
      <c r="ZL39" s="51"/>
      <c r="ZM39" s="51"/>
      <c r="ZN39" s="51"/>
      <c r="ZO39" s="51"/>
      <c r="ZP39" s="51"/>
      <c r="ZQ39" s="51"/>
      <c r="ZR39" s="51"/>
      <c r="ZS39" s="51"/>
      <c r="ZT39" s="51"/>
      <c r="ZU39" s="51"/>
      <c r="ZV39" s="51"/>
      <c r="ZW39" s="51"/>
      <c r="ZX39" s="51"/>
      <c r="ZY39" s="51"/>
      <c r="ZZ39" s="51"/>
      <c r="AAA39" s="51"/>
      <c r="AAB39" s="51"/>
      <c r="AAC39" s="51"/>
      <c r="AAD39" s="51"/>
      <c r="AAE39" s="51"/>
      <c r="AAF39" s="51"/>
      <c r="AAG39" s="51"/>
      <c r="AAH39" s="51"/>
      <c r="AAI39" s="51"/>
      <c r="AAJ39" s="51"/>
      <c r="AAK39" s="51"/>
      <c r="AAL39" s="51"/>
      <c r="AAM39" s="51"/>
      <c r="AAN39" s="51"/>
      <c r="AAO39" s="51"/>
      <c r="AAP39" s="51"/>
      <c r="AAQ39" s="51"/>
      <c r="AAR39" s="51"/>
      <c r="AAS39" s="51"/>
      <c r="AAT39" s="51"/>
      <c r="AAU39" s="51"/>
      <c r="AAV39" s="51"/>
      <c r="AAW39" s="51"/>
      <c r="AAX39" s="51"/>
      <c r="AAY39" s="51"/>
      <c r="AAZ39" s="51"/>
      <c r="ABA39" s="51"/>
      <c r="ABB39" s="51"/>
      <c r="ABC39" s="51"/>
      <c r="ABD39" s="51"/>
      <c r="ABE39" s="51"/>
      <c r="ABF39" s="51"/>
      <c r="ABG39" s="51"/>
      <c r="ABH39" s="51"/>
      <c r="ABI39" s="51"/>
      <c r="ABJ39" s="51"/>
      <c r="ABK39" s="51"/>
      <c r="ABL39" s="51"/>
      <c r="ABM39" s="51"/>
      <c r="ABN39" s="51"/>
      <c r="ABO39" s="51"/>
      <c r="ABP39" s="51"/>
      <c r="ABQ39" s="51"/>
      <c r="ABR39" s="51"/>
      <c r="ABS39" s="51"/>
      <c r="ABT39" s="51"/>
      <c r="ABU39" s="51"/>
      <c r="ABV39" s="51"/>
      <c r="ABW39" s="51"/>
      <c r="ABX39" s="51"/>
      <c r="ABY39" s="51"/>
      <c r="ABZ39" s="51"/>
      <c r="ACA39" s="51"/>
      <c r="ACB39" s="51"/>
      <c r="ACC39" s="51"/>
      <c r="ACD39" s="51"/>
      <c r="ACE39" s="51"/>
      <c r="ACF39" s="51"/>
      <c r="ACG39" s="51"/>
      <c r="ACH39" s="51"/>
      <c r="ACI39" s="51"/>
      <c r="ACJ39" s="51"/>
      <c r="ACK39" s="51"/>
      <c r="ACL39" s="51"/>
      <c r="ACM39" s="51"/>
      <c r="ACN39" s="51"/>
      <c r="ACO39" s="51"/>
      <c r="ACP39" s="51"/>
      <c r="ACQ39" s="51"/>
      <c r="ACR39" s="51"/>
      <c r="ACS39" s="51"/>
      <c r="ACT39" s="51"/>
      <c r="ACU39" s="51"/>
      <c r="ACV39" s="51"/>
      <c r="ACW39" s="51"/>
      <c r="ACX39" s="51"/>
      <c r="ACY39" s="51"/>
      <c r="ACZ39" s="51"/>
      <c r="ADA39" s="51"/>
      <c r="ADB39" s="51"/>
      <c r="ADC39" s="51"/>
      <c r="ADD39" s="51"/>
      <c r="ADE39" s="51"/>
      <c r="ADF39" s="51"/>
      <c r="ADG39" s="51"/>
      <c r="ADH39" s="51"/>
      <c r="ADI39" s="51"/>
      <c r="ADJ39" s="51"/>
      <c r="ADK39" s="51"/>
      <c r="ADL39" s="51"/>
      <c r="ADM39" s="51"/>
      <c r="ADN39" s="51"/>
      <c r="ADO39" s="51"/>
      <c r="ADP39" s="51"/>
      <c r="ADQ39" s="51"/>
      <c r="ADR39" s="51"/>
      <c r="ADS39" s="51"/>
      <c r="ADT39" s="51"/>
      <c r="ADU39" s="51"/>
      <c r="ADV39" s="51"/>
      <c r="ADW39" s="51"/>
      <c r="ADX39" s="51"/>
      <c r="ADY39" s="51"/>
      <c r="ADZ39" s="51"/>
      <c r="AEA39" s="51"/>
      <c r="AEB39" s="51"/>
      <c r="AEC39" s="51"/>
      <c r="AED39" s="51"/>
      <c r="AEE39" s="51"/>
      <c r="AEF39" s="51"/>
      <c r="AEG39" s="51"/>
      <c r="AEH39" s="51"/>
      <c r="AEI39" s="51"/>
      <c r="AEJ39" s="51"/>
      <c r="AEK39" s="51"/>
      <c r="AEL39" s="51"/>
      <c r="AEM39" s="51"/>
      <c r="AEN39" s="51"/>
      <c r="AEO39" s="51"/>
      <c r="AEP39" s="51"/>
      <c r="AEQ39" s="51"/>
      <c r="AER39" s="51"/>
      <c r="AES39" s="51"/>
      <c r="AET39" s="51"/>
      <c r="AEU39" s="51"/>
      <c r="AEV39" s="51"/>
      <c r="AEW39" s="51"/>
      <c r="AEX39" s="51"/>
      <c r="AEY39" s="51"/>
      <c r="AEZ39" s="51"/>
      <c r="AFA39" s="51"/>
      <c r="AFB39" s="51"/>
      <c r="AFC39" s="51"/>
      <c r="AFD39" s="51"/>
      <c r="AFE39" s="51"/>
      <c r="AFF39" s="51"/>
      <c r="AFG39" s="51"/>
      <c r="AFH39" s="51"/>
      <c r="AFI39" s="51"/>
      <c r="AFJ39" s="51"/>
      <c r="AFK39" s="51"/>
      <c r="AFL39" s="51"/>
      <c r="AFM39" s="51"/>
      <c r="AFN39" s="51"/>
      <c r="AFO39" s="51"/>
      <c r="AFP39" s="51"/>
      <c r="AFQ39" s="51"/>
      <c r="AFR39" s="51"/>
      <c r="AFS39" s="51"/>
      <c r="AFT39" s="51"/>
      <c r="AFU39" s="51"/>
      <c r="AFV39" s="51"/>
      <c r="AFW39" s="51"/>
      <c r="AFX39" s="51"/>
      <c r="AFY39" s="51"/>
      <c r="AFZ39" s="51"/>
      <c r="AGA39" s="51"/>
      <c r="AGB39" s="51"/>
      <c r="AGC39" s="51"/>
      <c r="AGD39" s="51"/>
      <c r="AGE39" s="51"/>
      <c r="AGF39" s="51"/>
      <c r="AGG39" s="51"/>
      <c r="AGH39" s="51"/>
      <c r="AGI39" s="51"/>
      <c r="AGJ39" s="51"/>
      <c r="AGK39" s="51"/>
      <c r="AGL39" s="51"/>
      <c r="AGM39" s="51"/>
      <c r="AGN39" s="51"/>
      <c r="AGO39" s="51"/>
      <c r="AGP39" s="51"/>
      <c r="AGQ39" s="51"/>
      <c r="AGR39" s="51"/>
      <c r="AGS39" s="51"/>
      <c r="AGT39" s="51"/>
      <c r="AGU39" s="51"/>
      <c r="AGV39" s="51"/>
      <c r="AGW39" s="51"/>
      <c r="AGX39" s="51"/>
      <c r="AGY39" s="51"/>
      <c r="AGZ39" s="51"/>
      <c r="AHA39" s="51"/>
      <c r="AHB39" s="51"/>
      <c r="AHC39" s="51"/>
      <c r="AHD39" s="51"/>
      <c r="AHE39" s="51"/>
      <c r="AHF39" s="51"/>
      <c r="AHG39" s="51"/>
      <c r="AHH39" s="51"/>
      <c r="AHI39" s="51"/>
      <c r="AHJ39" s="51"/>
      <c r="AHK39" s="51"/>
      <c r="AHL39" s="51"/>
      <c r="AHM39" s="51"/>
      <c r="AHN39" s="51"/>
      <c r="AHO39" s="51"/>
      <c r="AHP39" s="51"/>
      <c r="AHQ39" s="51"/>
      <c r="AHR39" s="51"/>
      <c r="AHS39" s="51"/>
      <c r="AHT39" s="51"/>
      <c r="AHU39" s="51"/>
      <c r="AHV39" s="51"/>
      <c r="AHW39" s="51"/>
      <c r="AHX39" s="51"/>
      <c r="AHY39" s="51"/>
      <c r="AHZ39" s="51"/>
      <c r="AIA39" s="51"/>
      <c r="AIB39" s="51"/>
      <c r="AIC39" s="51"/>
      <c r="AID39" s="51"/>
      <c r="AIE39" s="51"/>
      <c r="AIF39" s="51"/>
      <c r="AIG39" s="51"/>
      <c r="AIH39" s="51"/>
      <c r="AII39" s="51"/>
      <c r="AIJ39" s="51"/>
      <c r="AIK39" s="51"/>
      <c r="AIL39" s="51"/>
      <c r="AIM39" s="51"/>
      <c r="AIN39" s="51"/>
      <c r="AIO39" s="51"/>
      <c r="AIP39" s="51"/>
      <c r="AIQ39" s="51"/>
      <c r="AIR39" s="51"/>
      <c r="AIS39" s="51"/>
      <c r="AIT39" s="51"/>
      <c r="AIU39" s="51"/>
      <c r="AIV39" s="51"/>
      <c r="AIW39" s="51"/>
      <c r="AIX39" s="51"/>
      <c r="AIY39" s="51"/>
      <c r="AIZ39" s="51"/>
      <c r="AJA39" s="51"/>
      <c r="AJB39" s="51"/>
      <c r="AJC39" s="51"/>
      <c r="AJD39" s="51"/>
      <c r="AJE39" s="51"/>
      <c r="AJF39" s="51"/>
      <c r="AJG39" s="51"/>
      <c r="AJH39" s="51"/>
      <c r="AJI39" s="51"/>
      <c r="AJJ39" s="51"/>
      <c r="AJK39" s="51"/>
      <c r="AJL39" s="51"/>
      <c r="AJM39" s="51"/>
      <c r="AJN39" s="51"/>
      <c r="AJO39" s="51"/>
      <c r="AJP39" s="51"/>
      <c r="AJQ39" s="51"/>
      <c r="AJR39" s="51"/>
      <c r="AJS39" s="51"/>
      <c r="AJT39" s="51"/>
      <c r="AJU39" s="51"/>
      <c r="AJV39" s="51"/>
      <c r="AJW39" s="51"/>
      <c r="AJX39" s="51"/>
      <c r="AJY39" s="51"/>
      <c r="AJZ39" s="51"/>
      <c r="AKA39" s="51"/>
      <c r="AKB39" s="51"/>
      <c r="AKC39" s="51"/>
      <c r="AKD39" s="51"/>
      <c r="AKE39" s="51"/>
      <c r="AKF39" s="51"/>
      <c r="AKG39" s="51"/>
      <c r="AKH39" s="51"/>
      <c r="AKI39" s="51"/>
      <c r="AKJ39" s="51"/>
      <c r="AKK39" s="51"/>
      <c r="AKL39" s="51"/>
      <c r="AKM39" s="51"/>
      <c r="AKN39" s="51"/>
      <c r="AKO39" s="51"/>
      <c r="AKP39" s="51"/>
      <c r="AKQ39" s="51"/>
      <c r="AKR39" s="51"/>
      <c r="AKS39" s="51"/>
      <c r="AKT39" s="51"/>
      <c r="AKU39" s="51"/>
      <c r="AKV39" s="51"/>
      <c r="AKW39" s="51"/>
      <c r="AKX39" s="51"/>
      <c r="AKY39" s="51"/>
      <c r="AKZ39" s="51"/>
      <c r="ALA39" s="51"/>
      <c r="ALB39" s="51"/>
      <c r="ALC39" s="51"/>
      <c r="ALD39" s="51"/>
      <c r="ALE39" s="51"/>
      <c r="ALF39" s="51"/>
      <c r="ALG39" s="51"/>
      <c r="ALH39" s="51"/>
      <c r="ALI39" s="51"/>
      <c r="ALJ39" s="51"/>
      <c r="ALK39" s="51"/>
      <c r="ALL39" s="51"/>
      <c r="ALM39" s="51"/>
      <c r="ALN39" s="51"/>
      <c r="ALO39" s="51"/>
      <c r="ALP39" s="51"/>
      <c r="ALQ39" s="51"/>
      <c r="ALR39" s="51"/>
      <c r="ALS39" s="51"/>
      <c r="ALT39" s="51"/>
      <c r="ALU39" s="51"/>
      <c r="ALV39" s="51"/>
      <c r="ALW39" s="51"/>
      <c r="ALX39" s="51"/>
      <c r="ALY39" s="51"/>
      <c r="ALZ39" s="51"/>
      <c r="AMA39" s="51"/>
      <c r="AMB39" s="51"/>
      <c r="AMC39" s="51"/>
      <c r="AMD39" s="51"/>
      <c r="AME39" s="51"/>
      <c r="AMF39" s="51"/>
      <c r="AMG39" s="51"/>
      <c r="AMH39" s="51"/>
      <c r="AMI39" s="51"/>
      <c r="AMJ39" s="51"/>
      <c r="AMK39" s="51"/>
      <c r="AML39" s="51"/>
      <c r="AMM39" s="51"/>
      <c r="AMN39" s="51"/>
      <c r="AMO39" s="51"/>
      <c r="AMP39" s="51"/>
      <c r="AMQ39" s="51"/>
      <c r="AMR39" s="51"/>
      <c r="AMS39" s="51"/>
      <c r="AMT39" s="51"/>
      <c r="AMU39" s="51"/>
      <c r="AMV39" s="51"/>
      <c r="AMW39" s="51"/>
      <c r="AMX39" s="51"/>
      <c r="AMY39" s="51"/>
      <c r="AMZ39" s="51"/>
      <c r="ANA39" s="51"/>
      <c r="ANB39" s="51"/>
      <c r="ANC39" s="51"/>
      <c r="AND39" s="51"/>
      <c r="ANE39" s="51"/>
      <c r="ANF39" s="51"/>
      <c r="ANG39" s="51"/>
      <c r="ANH39" s="51"/>
      <c r="ANI39" s="51"/>
      <c r="ANJ39" s="51"/>
      <c r="ANK39" s="51"/>
      <c r="ANL39" s="51"/>
      <c r="ANM39" s="51"/>
      <c r="ANN39" s="51"/>
      <c r="ANO39" s="51"/>
      <c r="ANP39" s="51"/>
      <c r="ANQ39" s="51"/>
      <c r="ANR39" s="51"/>
      <c r="ANS39" s="51"/>
      <c r="ANT39" s="51"/>
      <c r="ANU39" s="51"/>
      <c r="ANV39" s="51"/>
      <c r="ANW39" s="51"/>
      <c r="ANX39" s="51"/>
      <c r="ANY39" s="51"/>
      <c r="ANZ39" s="51"/>
      <c r="AOA39" s="51"/>
      <c r="AOB39" s="51"/>
      <c r="AOC39" s="51"/>
      <c r="AOD39" s="51"/>
      <c r="AOE39" s="51"/>
      <c r="AOF39" s="51"/>
      <c r="AOG39" s="51"/>
      <c r="AOH39" s="51"/>
      <c r="AOI39" s="51"/>
      <c r="AOJ39" s="51"/>
      <c r="AOK39" s="51"/>
      <c r="AOL39" s="51"/>
      <c r="AOM39" s="51"/>
      <c r="AON39" s="51"/>
      <c r="AOO39" s="51"/>
      <c r="AOP39" s="51"/>
      <c r="AOQ39" s="51"/>
      <c r="AOR39" s="51"/>
      <c r="AOS39" s="51"/>
      <c r="AOT39" s="51"/>
      <c r="AOU39" s="51"/>
      <c r="AOV39" s="51"/>
      <c r="AOW39" s="51"/>
      <c r="AOX39" s="51"/>
      <c r="AOY39" s="51"/>
      <c r="AOZ39" s="51"/>
      <c r="APA39" s="51"/>
      <c r="APB39" s="51"/>
      <c r="APC39" s="51"/>
      <c r="APD39" s="51"/>
      <c r="APE39" s="51"/>
      <c r="APF39" s="51"/>
      <c r="APG39" s="51"/>
      <c r="APH39" s="51"/>
      <c r="API39" s="51"/>
      <c r="APJ39" s="51"/>
      <c r="APK39" s="51"/>
      <c r="APL39" s="51"/>
      <c r="APM39" s="51"/>
      <c r="APN39" s="51"/>
      <c r="APO39" s="51"/>
      <c r="APP39" s="51"/>
      <c r="APQ39" s="51"/>
      <c r="APR39" s="51"/>
      <c r="APS39" s="51"/>
      <c r="APT39" s="51"/>
      <c r="APU39" s="51"/>
      <c r="APV39" s="51"/>
      <c r="APW39" s="51"/>
      <c r="APX39" s="51"/>
      <c r="APY39" s="51"/>
      <c r="APZ39" s="51"/>
      <c r="AQA39" s="51"/>
      <c r="AQB39" s="51"/>
      <c r="AQC39" s="51"/>
      <c r="AQD39" s="51"/>
      <c r="AQE39" s="51"/>
      <c r="AQF39" s="51"/>
      <c r="AQG39" s="51"/>
      <c r="AQH39" s="51"/>
      <c r="AQI39" s="51"/>
      <c r="AQJ39" s="51"/>
      <c r="AQK39" s="51"/>
      <c r="AQL39" s="51"/>
      <c r="AQM39" s="51"/>
      <c r="AQN39" s="51"/>
      <c r="AQO39" s="51"/>
      <c r="AQP39" s="51"/>
      <c r="AQQ39" s="51"/>
      <c r="AQR39" s="51"/>
      <c r="AQS39" s="51"/>
      <c r="AQT39" s="51"/>
      <c r="AQU39" s="51"/>
      <c r="AQV39" s="51"/>
      <c r="AQW39" s="51"/>
      <c r="AQX39" s="51"/>
      <c r="AQY39" s="51"/>
      <c r="AQZ39" s="51"/>
      <c r="ARA39" s="51"/>
      <c r="ARB39" s="51"/>
      <c r="ARC39" s="51"/>
      <c r="ARD39" s="51"/>
      <c r="ARE39" s="51"/>
      <c r="ARF39" s="51"/>
      <c r="ARG39" s="51"/>
      <c r="ARH39" s="51"/>
      <c r="ARI39" s="51"/>
      <c r="ARJ39" s="51"/>
      <c r="ARK39" s="51"/>
      <c r="ARL39" s="51"/>
      <c r="ARM39" s="51"/>
      <c r="ARN39" s="51"/>
      <c r="ARO39" s="51"/>
      <c r="ARP39" s="51"/>
      <c r="ARQ39" s="51"/>
      <c r="ARR39" s="51"/>
      <c r="ARS39" s="51"/>
      <c r="ART39" s="51"/>
      <c r="ARU39" s="51"/>
      <c r="ARV39" s="51"/>
      <c r="ARW39" s="51"/>
      <c r="ARX39" s="51"/>
      <c r="ARY39" s="51"/>
      <c r="ARZ39" s="51"/>
      <c r="ASA39" s="51"/>
      <c r="ASB39" s="51"/>
      <c r="ASC39" s="51"/>
      <c r="ASD39" s="51"/>
      <c r="ASE39" s="51"/>
      <c r="ASF39" s="51"/>
      <c r="ASG39" s="51"/>
      <c r="ASH39" s="51"/>
      <c r="ASI39" s="51"/>
      <c r="ASJ39" s="51"/>
      <c r="ASK39" s="51"/>
      <c r="ASL39" s="51"/>
      <c r="ASM39" s="51"/>
      <c r="ASN39" s="51"/>
      <c r="ASO39" s="51"/>
      <c r="ASP39" s="51"/>
      <c r="ASQ39" s="51"/>
      <c r="ASR39" s="51"/>
      <c r="ASS39" s="51"/>
      <c r="AST39" s="51"/>
      <c r="ASU39" s="51"/>
      <c r="ASV39" s="51"/>
      <c r="ASW39" s="51"/>
      <c r="ASX39" s="51"/>
      <c r="ASY39" s="51"/>
      <c r="ASZ39" s="51"/>
      <c r="ATA39" s="51"/>
      <c r="ATB39" s="51"/>
      <c r="ATC39" s="51"/>
      <c r="ATD39" s="51"/>
      <c r="ATE39" s="51"/>
      <c r="ATF39" s="51"/>
      <c r="ATG39" s="51"/>
      <c r="ATH39" s="51"/>
      <c r="ATI39" s="51"/>
      <c r="ATJ39" s="51"/>
      <c r="ATK39" s="51"/>
      <c r="ATL39" s="51"/>
      <c r="ATM39" s="51"/>
      <c r="ATN39" s="51"/>
      <c r="ATO39" s="51"/>
      <c r="ATP39" s="51"/>
      <c r="ATQ39" s="51"/>
      <c r="ATR39" s="51"/>
      <c r="ATS39" s="51"/>
      <c r="ATT39" s="51"/>
      <c r="ATU39" s="51"/>
      <c r="ATV39" s="51"/>
      <c r="ATW39" s="51"/>
      <c r="ATX39" s="51"/>
      <c r="ATY39" s="51"/>
      <c r="ATZ39" s="51"/>
      <c r="AUA39" s="51"/>
      <c r="AUB39" s="51"/>
      <c r="AUC39" s="51"/>
      <c r="AUD39" s="51"/>
      <c r="AUE39" s="51"/>
      <c r="AUF39" s="51"/>
      <c r="AUG39" s="51"/>
      <c r="AUH39" s="51"/>
      <c r="AUI39" s="51"/>
      <c r="AUJ39" s="51"/>
      <c r="AUK39" s="51"/>
      <c r="AUL39" s="51"/>
      <c r="AUM39" s="51"/>
      <c r="AUN39" s="51"/>
      <c r="AUO39" s="51"/>
      <c r="AUP39" s="51"/>
      <c r="AUQ39" s="51"/>
      <c r="AUR39" s="51"/>
      <c r="AUS39" s="51"/>
      <c r="AUT39" s="51"/>
      <c r="AUU39" s="51"/>
      <c r="AUV39" s="51"/>
      <c r="AUW39" s="51"/>
      <c r="AUX39" s="51"/>
      <c r="AUY39" s="51"/>
      <c r="AUZ39" s="51"/>
      <c r="AVA39" s="51"/>
      <c r="AVB39" s="51"/>
      <c r="AVC39" s="51"/>
      <c r="AVD39" s="51"/>
      <c r="AVE39" s="51"/>
      <c r="AVF39" s="51"/>
      <c r="AVG39" s="51"/>
      <c r="AVH39" s="51"/>
      <c r="AVI39" s="51"/>
      <c r="AVJ39" s="51"/>
      <c r="AVK39" s="51"/>
      <c r="AVL39" s="51"/>
      <c r="AVM39" s="51"/>
      <c r="AVN39" s="51"/>
      <c r="AVO39" s="51"/>
      <c r="AVP39" s="51"/>
      <c r="AVQ39" s="51"/>
      <c r="AVR39" s="51"/>
      <c r="AVS39" s="51"/>
      <c r="AVT39" s="51"/>
      <c r="AVU39" s="51"/>
      <c r="AVV39" s="51"/>
      <c r="AVW39" s="51"/>
      <c r="AVX39" s="51"/>
      <c r="AVY39" s="51"/>
      <c r="AVZ39" s="51"/>
      <c r="AWA39" s="51"/>
      <c r="AWB39" s="51"/>
      <c r="AWC39" s="51"/>
      <c r="AWD39" s="51"/>
      <c r="AWE39" s="51"/>
      <c r="AWF39" s="51"/>
      <c r="AWG39" s="51"/>
      <c r="AWH39" s="51"/>
      <c r="AWI39" s="51"/>
      <c r="AWJ39" s="51"/>
      <c r="AWK39" s="51"/>
      <c r="AWL39" s="51"/>
      <c r="AWM39" s="51"/>
      <c r="AWN39" s="51"/>
      <c r="AWO39" s="51"/>
      <c r="AWP39" s="51"/>
      <c r="AWQ39" s="51"/>
      <c r="AWR39" s="51"/>
      <c r="AWS39" s="51"/>
      <c r="AWT39" s="51"/>
      <c r="AWU39" s="51"/>
      <c r="AWV39" s="51"/>
      <c r="AWW39" s="51"/>
      <c r="AWX39" s="51"/>
      <c r="AWY39" s="51"/>
      <c r="AWZ39" s="51"/>
      <c r="AXA39" s="51"/>
      <c r="AXB39" s="51"/>
      <c r="AXC39" s="51"/>
      <c r="AXD39" s="51"/>
      <c r="AXE39" s="51"/>
      <c r="AXF39" s="51"/>
      <c r="AXG39" s="51"/>
      <c r="AXH39" s="51"/>
      <c r="AXI39" s="51"/>
      <c r="AXJ39" s="51"/>
      <c r="AXK39" s="51"/>
      <c r="AXL39" s="51"/>
      <c r="AXM39" s="51"/>
      <c r="AXN39" s="51"/>
      <c r="AXO39" s="51"/>
      <c r="AXP39" s="51"/>
      <c r="AXQ39" s="51"/>
      <c r="AXR39" s="51"/>
      <c r="AXS39" s="51"/>
      <c r="AXT39" s="51"/>
      <c r="AXU39" s="51"/>
      <c r="AXV39" s="51"/>
      <c r="AXW39" s="51"/>
      <c r="AXX39" s="51"/>
      <c r="AXY39" s="51"/>
      <c r="AXZ39" s="51"/>
      <c r="AYA39" s="51"/>
      <c r="AYB39" s="51"/>
      <c r="AYC39" s="51"/>
      <c r="AYD39" s="51"/>
      <c r="AYE39" s="51"/>
      <c r="AYF39" s="51"/>
      <c r="AYG39" s="51"/>
      <c r="AYH39" s="51"/>
      <c r="AYI39" s="51"/>
      <c r="AYJ39" s="51"/>
      <c r="AYK39" s="51"/>
      <c r="AYL39" s="51"/>
      <c r="AYM39" s="51"/>
      <c r="AYN39" s="51"/>
      <c r="AYO39" s="51"/>
      <c r="AYP39" s="51"/>
      <c r="AYQ39" s="51"/>
      <c r="AYR39" s="51"/>
      <c r="AYS39" s="51"/>
      <c r="AYT39" s="51"/>
      <c r="AYU39" s="51"/>
      <c r="AYV39" s="51"/>
      <c r="AYW39" s="51"/>
      <c r="AYX39" s="51"/>
      <c r="AYY39" s="51"/>
      <c r="AYZ39" s="51"/>
      <c r="AZA39" s="51"/>
      <c r="AZB39" s="51"/>
      <c r="AZC39" s="51"/>
      <c r="AZD39" s="51"/>
      <c r="AZE39" s="51"/>
      <c r="AZF39" s="51"/>
      <c r="AZG39" s="51"/>
      <c r="AZH39" s="51"/>
      <c r="AZI39" s="51"/>
      <c r="AZJ39" s="51"/>
      <c r="AZK39" s="51"/>
      <c r="AZL39" s="51"/>
      <c r="AZM39" s="51"/>
      <c r="AZN39" s="51"/>
      <c r="AZO39" s="51"/>
      <c r="AZP39" s="51"/>
      <c r="AZQ39" s="51"/>
      <c r="AZR39" s="51"/>
      <c r="AZS39" s="51"/>
      <c r="AZT39" s="51"/>
      <c r="AZU39" s="51"/>
      <c r="AZV39" s="51"/>
      <c r="AZW39" s="51"/>
      <c r="AZX39" s="51"/>
      <c r="AZY39" s="51"/>
      <c r="AZZ39" s="51"/>
      <c r="BAA39" s="51"/>
      <c r="BAB39" s="51"/>
      <c r="BAC39" s="51"/>
      <c r="BAD39" s="51"/>
      <c r="BAE39" s="51"/>
      <c r="BAF39" s="51"/>
      <c r="BAG39" s="51"/>
      <c r="BAH39" s="51"/>
      <c r="BAI39" s="51"/>
      <c r="BAJ39" s="51"/>
      <c r="BAK39" s="51"/>
      <c r="BAL39" s="51"/>
      <c r="BAM39" s="51"/>
      <c r="BAN39" s="51"/>
      <c r="BAO39" s="51"/>
      <c r="BAP39" s="51"/>
      <c r="BAQ39" s="51"/>
      <c r="BAR39" s="51"/>
      <c r="BAS39" s="51"/>
      <c r="BAT39" s="51"/>
      <c r="BAU39" s="51"/>
      <c r="BAV39" s="51"/>
      <c r="BAW39" s="51"/>
      <c r="BAX39" s="51"/>
      <c r="BAY39" s="51"/>
      <c r="BAZ39" s="51"/>
      <c r="BBA39" s="51"/>
      <c r="BBB39" s="51"/>
      <c r="BBC39" s="51"/>
      <c r="BBD39" s="51"/>
      <c r="BBE39" s="51"/>
      <c r="BBF39" s="51"/>
      <c r="BBG39" s="51"/>
      <c r="BBH39" s="51"/>
      <c r="BBI39" s="51"/>
      <c r="BBJ39" s="51"/>
      <c r="BBK39" s="51"/>
      <c r="BBL39" s="51"/>
      <c r="BBM39" s="51"/>
      <c r="BBN39" s="51"/>
      <c r="BBO39" s="51"/>
      <c r="BBP39" s="51"/>
      <c r="BBQ39" s="51"/>
      <c r="BBR39" s="51"/>
      <c r="BBS39" s="51"/>
      <c r="BBT39" s="51"/>
      <c r="BBU39" s="51"/>
      <c r="BBV39" s="51"/>
      <c r="BBW39" s="51"/>
      <c r="BBX39" s="51"/>
      <c r="BBY39" s="51"/>
      <c r="BBZ39" s="51"/>
      <c r="BCA39" s="51"/>
      <c r="BCB39" s="51"/>
      <c r="BCC39" s="51"/>
      <c r="BCD39" s="51"/>
      <c r="BCE39" s="51"/>
      <c r="BCF39" s="51"/>
      <c r="BCG39" s="51"/>
      <c r="BCH39" s="51"/>
      <c r="BCI39" s="51"/>
      <c r="BCJ39" s="51"/>
      <c r="BCK39" s="51"/>
      <c r="BCL39" s="51"/>
      <c r="BCM39" s="51"/>
      <c r="BCN39" s="51"/>
      <c r="BCO39" s="51"/>
      <c r="BCP39" s="51"/>
      <c r="BCQ39" s="51"/>
      <c r="BCR39" s="51"/>
      <c r="BCS39" s="51"/>
      <c r="BCT39" s="51"/>
      <c r="BCU39" s="51"/>
      <c r="BCV39" s="51"/>
      <c r="BCW39" s="51"/>
      <c r="BCX39" s="51"/>
      <c r="BCY39" s="51"/>
      <c r="BCZ39" s="51"/>
      <c r="BDA39" s="51"/>
      <c r="BDB39" s="51"/>
      <c r="BDC39" s="51"/>
      <c r="BDD39" s="51"/>
      <c r="BDE39" s="51"/>
      <c r="BDF39" s="51"/>
      <c r="BDG39" s="51"/>
      <c r="BDH39" s="51"/>
      <c r="BDI39" s="51"/>
      <c r="BDJ39" s="51"/>
      <c r="BDK39" s="51"/>
      <c r="BDL39" s="51"/>
      <c r="BDM39" s="51"/>
      <c r="BDN39" s="51"/>
      <c r="BDO39" s="51"/>
      <c r="BDP39" s="51"/>
      <c r="BDQ39" s="51"/>
      <c r="BDR39" s="51"/>
      <c r="BDS39" s="51"/>
      <c r="BDT39" s="51"/>
      <c r="BDU39" s="51"/>
      <c r="BDV39" s="51"/>
      <c r="BDW39" s="51"/>
      <c r="BDX39" s="51"/>
      <c r="BDY39" s="51"/>
      <c r="BDZ39" s="51"/>
      <c r="BEA39" s="51"/>
      <c r="BEB39" s="51"/>
      <c r="BEC39" s="51"/>
      <c r="BED39" s="51"/>
      <c r="BEE39" s="51"/>
      <c r="BEF39" s="51"/>
      <c r="BEG39" s="51"/>
      <c r="BEH39" s="51"/>
      <c r="BEI39" s="51"/>
      <c r="BEJ39" s="51"/>
      <c r="BEK39" s="51"/>
      <c r="BEL39" s="51"/>
      <c r="BEM39" s="51"/>
      <c r="BEN39" s="51"/>
      <c r="BEO39" s="51"/>
      <c r="BEP39" s="51"/>
      <c r="BEQ39" s="51"/>
      <c r="BER39" s="51"/>
      <c r="BES39" s="51"/>
      <c r="BET39" s="51"/>
      <c r="BEU39" s="51"/>
      <c r="BEV39" s="51"/>
      <c r="BEW39" s="51"/>
      <c r="BEX39" s="51"/>
      <c r="BEY39" s="51"/>
      <c r="BEZ39" s="51"/>
      <c r="BFA39" s="51"/>
      <c r="BFB39" s="51"/>
      <c r="BFC39" s="51"/>
      <c r="BFD39" s="51"/>
      <c r="BFE39" s="51"/>
      <c r="BFF39" s="51"/>
      <c r="BFG39" s="51"/>
      <c r="BFH39" s="51"/>
      <c r="BFI39" s="51"/>
      <c r="BFJ39" s="51"/>
      <c r="BFK39" s="51"/>
      <c r="BFL39" s="51"/>
      <c r="BFM39" s="51"/>
      <c r="BFN39" s="51"/>
      <c r="BFO39" s="51"/>
      <c r="BFP39" s="51"/>
      <c r="BFQ39" s="51"/>
      <c r="BFR39" s="51"/>
      <c r="BFS39" s="51"/>
      <c r="BFT39" s="51"/>
      <c r="BFU39" s="51"/>
      <c r="BFV39" s="51"/>
      <c r="BFW39" s="51"/>
      <c r="BFX39" s="51"/>
      <c r="BFY39" s="51"/>
      <c r="BFZ39" s="51"/>
      <c r="BGA39" s="51"/>
      <c r="BGB39" s="51"/>
      <c r="BGC39" s="51"/>
      <c r="BGD39" s="51"/>
      <c r="BGE39" s="51"/>
      <c r="BGF39" s="51"/>
      <c r="BGG39" s="51"/>
      <c r="BGH39" s="51"/>
      <c r="BGI39" s="51"/>
      <c r="BGJ39" s="51"/>
      <c r="BGK39" s="51"/>
      <c r="BGL39" s="51"/>
      <c r="BGM39" s="51"/>
      <c r="BGN39" s="51"/>
      <c r="BGO39" s="51"/>
      <c r="BGP39" s="51"/>
      <c r="BGQ39" s="51"/>
      <c r="BGR39" s="51"/>
      <c r="BGS39" s="51"/>
      <c r="BGT39" s="51"/>
      <c r="BGU39" s="51"/>
      <c r="BGV39" s="51"/>
      <c r="BGW39" s="51"/>
      <c r="BGX39" s="51"/>
      <c r="BGY39" s="51"/>
      <c r="BGZ39" s="51"/>
      <c r="BHA39" s="51"/>
      <c r="BHB39" s="51"/>
      <c r="BHC39" s="51"/>
      <c r="BHD39" s="51"/>
      <c r="BHE39" s="51"/>
      <c r="BHF39" s="51"/>
      <c r="BHG39" s="51"/>
      <c r="BHH39" s="51"/>
      <c r="BHI39" s="51"/>
      <c r="BHJ39" s="51"/>
      <c r="BHK39" s="51"/>
      <c r="BHL39" s="51"/>
      <c r="BHM39" s="51"/>
      <c r="BHN39" s="51"/>
      <c r="BHO39" s="51"/>
      <c r="BHP39" s="51"/>
      <c r="BHQ39" s="51"/>
      <c r="BHR39" s="51"/>
      <c r="BHS39" s="51"/>
      <c r="BHT39" s="51"/>
      <c r="BHU39" s="51"/>
      <c r="BHV39" s="51"/>
      <c r="BHW39" s="51"/>
      <c r="BHX39" s="51"/>
      <c r="BHY39" s="51"/>
      <c r="BHZ39" s="51"/>
      <c r="BIA39" s="51"/>
      <c r="BIB39" s="51"/>
      <c r="BIC39" s="51"/>
      <c r="BID39" s="51"/>
      <c r="BIE39" s="51"/>
      <c r="BIF39" s="51"/>
      <c r="BIG39" s="51"/>
      <c r="BIH39" s="51"/>
      <c r="BII39" s="51"/>
      <c r="BIJ39" s="51"/>
      <c r="BIK39" s="51"/>
      <c r="BIL39" s="51"/>
      <c r="BIM39" s="51"/>
      <c r="BIN39" s="51"/>
      <c r="BIO39" s="51"/>
      <c r="BIP39" s="51"/>
      <c r="BIQ39" s="51"/>
      <c r="BIR39" s="51"/>
      <c r="BIS39" s="51"/>
      <c r="BIT39" s="51"/>
      <c r="BIU39" s="51"/>
      <c r="BIV39" s="51"/>
      <c r="BIW39" s="51"/>
      <c r="BIX39" s="51"/>
      <c r="BIY39" s="51"/>
      <c r="BIZ39" s="51"/>
      <c r="BJA39" s="51"/>
      <c r="BJB39" s="51"/>
      <c r="BJC39" s="51"/>
      <c r="BJD39" s="51"/>
      <c r="BJE39" s="51"/>
      <c r="BJF39" s="51"/>
      <c r="BJG39" s="51"/>
      <c r="BJH39" s="51"/>
      <c r="BJI39" s="51"/>
      <c r="BJJ39" s="51"/>
      <c r="BJK39" s="51"/>
      <c r="BJL39" s="51"/>
      <c r="BJM39" s="51"/>
      <c r="BJN39" s="51"/>
      <c r="BJO39" s="51"/>
      <c r="BJP39" s="51"/>
      <c r="BJQ39" s="51"/>
      <c r="BJR39" s="51"/>
      <c r="BJS39" s="51"/>
      <c r="BJT39" s="51"/>
      <c r="BJU39" s="51"/>
      <c r="BJV39" s="51"/>
      <c r="BJW39" s="51"/>
      <c r="BJX39" s="51"/>
      <c r="BJY39" s="51"/>
      <c r="BJZ39" s="51"/>
      <c r="BKA39" s="51"/>
      <c r="BKB39" s="51"/>
      <c r="BKC39" s="51"/>
      <c r="BKD39" s="51"/>
      <c r="BKE39" s="51"/>
      <c r="BKF39" s="51"/>
      <c r="BKG39" s="51"/>
      <c r="BKH39" s="51"/>
      <c r="BKI39" s="51"/>
      <c r="BKJ39" s="51"/>
      <c r="BKK39" s="51"/>
      <c r="BKL39" s="51"/>
      <c r="BKM39" s="51"/>
      <c r="BKN39" s="51"/>
      <c r="BKO39" s="51"/>
      <c r="BKP39" s="51"/>
      <c r="BKQ39" s="51"/>
      <c r="BKR39" s="51"/>
      <c r="BKS39" s="51"/>
      <c r="BKT39" s="51"/>
      <c r="BKU39" s="51"/>
      <c r="BKV39" s="51"/>
      <c r="BKW39" s="51"/>
      <c r="BKX39" s="51"/>
      <c r="BKY39" s="51"/>
      <c r="BKZ39" s="51"/>
      <c r="BLA39" s="51"/>
      <c r="BLB39" s="51"/>
      <c r="BLC39" s="51"/>
      <c r="BLD39" s="51"/>
      <c r="BLE39" s="51"/>
      <c r="BLF39" s="51"/>
      <c r="BLG39" s="51"/>
      <c r="BLH39" s="51"/>
      <c r="BLI39" s="51"/>
      <c r="BLJ39" s="51"/>
      <c r="BLK39" s="51"/>
      <c r="BLL39" s="51"/>
      <c r="BLM39" s="51"/>
      <c r="BLN39" s="51"/>
      <c r="BLO39" s="51"/>
      <c r="BLP39" s="51"/>
      <c r="BLQ39" s="51"/>
      <c r="BLR39" s="51"/>
      <c r="BLS39" s="51"/>
      <c r="BLT39" s="51"/>
      <c r="BLU39" s="51"/>
      <c r="BLV39" s="51"/>
      <c r="BLW39" s="51"/>
      <c r="BLX39" s="51"/>
      <c r="BLY39" s="51"/>
      <c r="BLZ39" s="51"/>
      <c r="BMA39" s="51"/>
      <c r="BMB39" s="51"/>
      <c r="BMC39" s="51"/>
      <c r="BMD39" s="51"/>
      <c r="BME39" s="51"/>
      <c r="BMF39" s="51"/>
      <c r="BMG39" s="51"/>
      <c r="BMH39" s="51"/>
      <c r="BMI39" s="51"/>
      <c r="BMJ39" s="51"/>
      <c r="BMK39" s="51"/>
      <c r="BML39" s="51"/>
      <c r="BMM39" s="51"/>
      <c r="BMN39" s="51"/>
      <c r="BMO39" s="51"/>
      <c r="BMP39" s="51"/>
      <c r="BMQ39" s="51"/>
      <c r="BMR39" s="51"/>
      <c r="BMS39" s="51"/>
      <c r="BMT39" s="51"/>
      <c r="BMU39" s="51"/>
      <c r="BMV39" s="51"/>
      <c r="BMW39" s="51"/>
      <c r="BMX39" s="51"/>
      <c r="BMY39" s="51"/>
      <c r="BMZ39" s="51"/>
      <c r="BNA39" s="51"/>
      <c r="BNB39" s="51"/>
      <c r="BNC39" s="51"/>
      <c r="BND39" s="51"/>
      <c r="BNE39" s="51"/>
      <c r="BNF39" s="51"/>
      <c r="BNG39" s="51"/>
      <c r="BNH39" s="51"/>
      <c r="BNI39" s="51"/>
      <c r="BNJ39" s="51"/>
      <c r="BNK39" s="51"/>
      <c r="BNL39" s="51"/>
      <c r="BNM39" s="51"/>
      <c r="BNN39" s="51"/>
      <c r="BNO39" s="51"/>
      <c r="BNP39" s="51"/>
      <c r="BNQ39" s="51"/>
      <c r="BNR39" s="51"/>
      <c r="BNS39" s="51"/>
      <c r="BNT39" s="51"/>
      <c r="BNU39" s="51"/>
      <c r="BNV39" s="51"/>
      <c r="BNW39" s="51"/>
      <c r="BNX39" s="51"/>
      <c r="BNY39" s="51"/>
      <c r="BNZ39" s="51"/>
      <c r="BOA39" s="51"/>
      <c r="BOB39" s="51"/>
      <c r="BOC39" s="51"/>
      <c r="BOD39" s="51"/>
      <c r="BOE39" s="51"/>
      <c r="BOF39" s="51"/>
      <c r="BOG39" s="51"/>
      <c r="BOH39" s="51"/>
      <c r="BOI39" s="51"/>
      <c r="BOJ39" s="51"/>
      <c r="BOK39" s="51"/>
      <c r="BOL39" s="51"/>
      <c r="BOM39" s="51"/>
      <c r="BON39" s="51"/>
      <c r="BOO39" s="51"/>
      <c r="BOP39" s="51"/>
      <c r="BOQ39" s="51"/>
      <c r="BOR39" s="51"/>
      <c r="BOS39" s="51"/>
      <c r="BOT39" s="51"/>
      <c r="BOU39" s="51"/>
      <c r="BOV39" s="51"/>
      <c r="BOW39" s="51"/>
      <c r="BOX39" s="51"/>
      <c r="BOY39" s="51"/>
      <c r="BOZ39" s="51"/>
      <c r="BPA39" s="51"/>
      <c r="BPB39" s="51"/>
      <c r="BPC39" s="51"/>
      <c r="BPD39" s="51"/>
      <c r="BPE39" s="51"/>
      <c r="BPF39" s="51"/>
      <c r="BPG39" s="51"/>
      <c r="BPH39" s="51"/>
      <c r="BPI39" s="51"/>
      <c r="BPJ39" s="51"/>
      <c r="BPK39" s="51"/>
      <c r="BPL39" s="51"/>
      <c r="BPM39" s="51"/>
      <c r="BPN39" s="51"/>
      <c r="BPO39" s="51"/>
      <c r="BPP39" s="51"/>
      <c r="BPQ39" s="51"/>
      <c r="BPR39" s="51"/>
      <c r="BPS39" s="51"/>
      <c r="BPT39" s="51"/>
      <c r="BPU39" s="51"/>
      <c r="BPV39" s="51"/>
      <c r="BPW39" s="51"/>
      <c r="BPX39" s="51"/>
      <c r="BPY39" s="51"/>
      <c r="BPZ39" s="51"/>
      <c r="BQA39" s="51"/>
      <c r="BQB39" s="51"/>
      <c r="BQC39" s="51"/>
      <c r="BQD39" s="51"/>
      <c r="BQE39" s="51"/>
      <c r="BQF39" s="51"/>
      <c r="BQG39" s="51"/>
      <c r="BQH39" s="51"/>
      <c r="BQI39" s="51"/>
      <c r="BQJ39" s="51"/>
      <c r="BQK39" s="51"/>
      <c r="BQL39" s="51"/>
      <c r="BQM39" s="51"/>
      <c r="BQN39" s="51"/>
      <c r="BQO39" s="51"/>
      <c r="BQP39" s="51"/>
      <c r="BQQ39" s="51"/>
      <c r="BQR39" s="51"/>
      <c r="BQS39" s="51"/>
      <c r="BQT39" s="51"/>
      <c r="BQU39" s="51"/>
      <c r="BQV39" s="51"/>
      <c r="BQW39" s="51"/>
      <c r="BQX39" s="51"/>
      <c r="BQY39" s="51"/>
      <c r="BQZ39" s="51"/>
      <c r="BRA39" s="51"/>
      <c r="BRB39" s="51"/>
      <c r="BRC39" s="51"/>
      <c r="BRD39" s="51"/>
      <c r="BRE39" s="51"/>
      <c r="BRF39" s="51"/>
      <c r="BRG39" s="51"/>
      <c r="BRH39" s="51"/>
      <c r="BRI39" s="51"/>
      <c r="BRJ39" s="51"/>
      <c r="BRK39" s="51"/>
      <c r="BRL39" s="51"/>
      <c r="BRM39" s="51"/>
      <c r="BRN39" s="51"/>
      <c r="BRO39" s="51"/>
      <c r="BRP39" s="51"/>
      <c r="BRQ39" s="51"/>
      <c r="BRR39" s="51"/>
      <c r="BRS39" s="51"/>
      <c r="BRT39" s="51"/>
      <c r="BRU39" s="51"/>
      <c r="BRV39" s="51"/>
      <c r="BRW39" s="51"/>
      <c r="BRX39" s="51"/>
      <c r="BRY39" s="51"/>
      <c r="BRZ39" s="51"/>
      <c r="BSA39" s="51"/>
      <c r="BSB39" s="51"/>
      <c r="BSC39" s="51"/>
      <c r="BSD39" s="51"/>
      <c r="BSE39" s="51"/>
      <c r="BSF39" s="51"/>
      <c r="BSG39" s="51"/>
      <c r="BSH39" s="51"/>
      <c r="BSI39" s="51"/>
      <c r="BSJ39" s="51"/>
      <c r="BSK39" s="51"/>
      <c r="BSL39" s="51"/>
      <c r="BSM39" s="51"/>
      <c r="BSN39" s="51"/>
      <c r="BSO39" s="51"/>
      <c r="BSP39" s="51"/>
      <c r="BSQ39" s="51"/>
      <c r="BSR39" s="51"/>
      <c r="BSS39" s="51"/>
      <c r="BST39" s="51"/>
      <c r="BSU39" s="51"/>
      <c r="BSV39" s="51"/>
      <c r="BSW39" s="51"/>
      <c r="BSX39" s="51"/>
      <c r="BSY39" s="51"/>
      <c r="BSZ39" s="51"/>
      <c r="BTA39" s="51"/>
      <c r="BTB39" s="51"/>
      <c r="BTC39" s="51"/>
      <c r="BTD39" s="51"/>
      <c r="BTE39" s="51"/>
      <c r="BTF39" s="51"/>
      <c r="BTG39" s="51"/>
      <c r="BTH39" s="51"/>
      <c r="BTI39" s="51"/>
      <c r="BTJ39" s="51"/>
      <c r="BTK39" s="51"/>
      <c r="BTL39" s="51"/>
      <c r="BTM39" s="51"/>
      <c r="BTN39" s="51"/>
      <c r="BTO39" s="51"/>
      <c r="BTP39" s="51"/>
      <c r="BTQ39" s="51"/>
      <c r="BTR39" s="51"/>
      <c r="BTS39" s="51"/>
      <c r="BTT39" s="51"/>
      <c r="BTU39" s="51"/>
      <c r="BTV39" s="51"/>
      <c r="BTW39" s="51"/>
      <c r="BTX39" s="51"/>
      <c r="BTY39" s="51"/>
      <c r="BTZ39" s="51"/>
      <c r="BUA39" s="51"/>
      <c r="BUB39" s="51"/>
      <c r="BUC39" s="51"/>
      <c r="BUD39" s="51"/>
      <c r="BUE39" s="51"/>
      <c r="BUF39" s="51"/>
      <c r="BUG39" s="51"/>
      <c r="BUH39" s="51"/>
      <c r="BUI39" s="51"/>
      <c r="BUJ39" s="51"/>
      <c r="BUK39" s="51"/>
      <c r="BUL39" s="51"/>
      <c r="BUM39" s="51"/>
      <c r="BUN39" s="51"/>
      <c r="BUO39" s="51"/>
      <c r="BUP39" s="51"/>
      <c r="BUQ39" s="51"/>
      <c r="BUR39" s="51"/>
      <c r="BUS39" s="51"/>
      <c r="BUT39" s="51"/>
      <c r="BUU39" s="51"/>
      <c r="BUV39" s="51"/>
      <c r="BUW39" s="51"/>
      <c r="BUX39" s="51"/>
      <c r="BUY39" s="51"/>
      <c r="BUZ39" s="51"/>
      <c r="BVA39" s="51"/>
      <c r="BVB39" s="51"/>
      <c r="BVC39" s="51"/>
      <c r="BVD39" s="51"/>
      <c r="BVE39" s="51"/>
      <c r="BVF39" s="51"/>
      <c r="BVG39" s="51"/>
      <c r="BVH39" s="51"/>
      <c r="BVI39" s="51"/>
      <c r="BVJ39" s="51"/>
      <c r="BVK39" s="51"/>
      <c r="BVL39" s="51"/>
      <c r="BVM39" s="51"/>
      <c r="BVN39" s="51"/>
      <c r="BVO39" s="51"/>
      <c r="BVP39" s="51"/>
      <c r="BVQ39" s="51"/>
      <c r="BVR39" s="51"/>
      <c r="BVS39" s="51"/>
      <c r="BVT39" s="51"/>
      <c r="BVU39" s="51"/>
      <c r="BVV39" s="51"/>
      <c r="BVW39" s="51"/>
      <c r="BVX39" s="51"/>
      <c r="BVY39" s="51"/>
      <c r="BVZ39" s="51"/>
      <c r="BWA39" s="51"/>
      <c r="BWB39" s="51"/>
      <c r="BWC39" s="51"/>
      <c r="BWD39" s="51"/>
      <c r="BWE39" s="51"/>
      <c r="BWF39" s="51"/>
      <c r="BWG39" s="51"/>
      <c r="BWH39" s="51"/>
      <c r="BWI39" s="51"/>
      <c r="BWJ39" s="51"/>
      <c r="BWK39" s="51"/>
      <c r="BWL39" s="51"/>
      <c r="BWM39" s="51"/>
      <c r="BWN39" s="51"/>
      <c r="BWO39" s="51"/>
      <c r="BWP39" s="51"/>
      <c r="BWQ39" s="51"/>
      <c r="BWR39" s="51"/>
      <c r="BWS39" s="51"/>
      <c r="BWT39" s="51"/>
      <c r="BWU39" s="51"/>
      <c r="BWV39" s="51"/>
      <c r="BWW39" s="51"/>
      <c r="BWX39" s="51"/>
      <c r="BWY39" s="51"/>
      <c r="BWZ39" s="51"/>
      <c r="BXA39" s="51"/>
      <c r="BXB39" s="51"/>
      <c r="BXC39" s="51"/>
      <c r="BXD39" s="51"/>
      <c r="BXE39" s="51"/>
      <c r="BXF39" s="51"/>
      <c r="BXG39" s="51"/>
      <c r="BXH39" s="51"/>
      <c r="BXI39" s="51"/>
      <c r="BXJ39" s="51"/>
      <c r="BXK39" s="51"/>
      <c r="BXL39" s="51"/>
      <c r="BXM39" s="51"/>
      <c r="BXN39" s="51"/>
      <c r="BXO39" s="51"/>
      <c r="BXP39" s="51"/>
      <c r="BXQ39" s="51"/>
      <c r="BXR39" s="51"/>
      <c r="BXS39" s="51"/>
      <c r="BXT39" s="51"/>
      <c r="BXU39" s="51"/>
      <c r="BXV39" s="51"/>
      <c r="BXW39" s="51"/>
      <c r="BXX39" s="51"/>
      <c r="BXY39" s="51"/>
      <c r="BXZ39" s="51"/>
      <c r="BYA39" s="51"/>
      <c r="BYB39" s="51"/>
      <c r="BYC39" s="51"/>
      <c r="BYD39" s="51"/>
      <c r="BYE39" s="51"/>
      <c r="BYF39" s="51"/>
      <c r="BYG39" s="51"/>
      <c r="BYH39" s="51"/>
      <c r="BYI39" s="51"/>
      <c r="BYJ39" s="51"/>
      <c r="BYK39" s="51"/>
      <c r="BYL39" s="51"/>
      <c r="BYM39" s="51"/>
      <c r="BYN39" s="51"/>
      <c r="BYO39" s="51"/>
      <c r="BYP39" s="51"/>
      <c r="BYQ39" s="51"/>
      <c r="BYR39" s="51"/>
      <c r="BYS39" s="51"/>
      <c r="BYT39" s="51"/>
      <c r="BYU39" s="51"/>
      <c r="BYV39" s="51"/>
      <c r="BYW39" s="51"/>
      <c r="BYX39" s="51"/>
      <c r="BYY39" s="51"/>
      <c r="BYZ39" s="51"/>
      <c r="BZA39" s="51"/>
      <c r="BZB39" s="51"/>
      <c r="BZC39" s="51"/>
      <c r="BZD39" s="51"/>
      <c r="BZE39" s="51"/>
      <c r="BZF39" s="51"/>
      <c r="BZG39" s="51"/>
      <c r="BZH39" s="51"/>
      <c r="BZI39" s="51"/>
      <c r="BZJ39" s="51"/>
      <c r="BZK39" s="51"/>
      <c r="BZL39" s="51"/>
      <c r="BZM39" s="51"/>
      <c r="BZN39" s="51"/>
      <c r="BZO39" s="51"/>
      <c r="BZP39" s="51"/>
      <c r="BZQ39" s="51"/>
      <c r="BZR39" s="51"/>
      <c r="BZS39" s="51"/>
      <c r="BZT39" s="51"/>
      <c r="BZU39" s="51"/>
      <c r="BZV39" s="51"/>
      <c r="BZW39" s="51"/>
      <c r="BZX39" s="51"/>
      <c r="BZY39" s="51"/>
      <c r="BZZ39" s="51"/>
      <c r="CAA39" s="51"/>
      <c r="CAB39" s="51"/>
      <c r="CAC39" s="51"/>
      <c r="CAD39" s="51"/>
      <c r="CAE39" s="51"/>
      <c r="CAF39" s="51"/>
      <c r="CAG39" s="51"/>
      <c r="CAH39" s="51"/>
      <c r="CAI39" s="51"/>
      <c r="CAJ39" s="51"/>
      <c r="CAK39" s="51"/>
      <c r="CAL39" s="51"/>
      <c r="CAM39" s="51"/>
      <c r="CAN39" s="51"/>
      <c r="CAO39" s="51"/>
      <c r="CAP39" s="51"/>
      <c r="CAQ39" s="51"/>
      <c r="CAR39" s="51"/>
      <c r="CAS39" s="51"/>
      <c r="CAT39" s="51"/>
      <c r="CAU39" s="51"/>
      <c r="CAV39" s="51"/>
      <c r="CAW39" s="51"/>
      <c r="CAX39" s="51"/>
      <c r="CAY39" s="51"/>
      <c r="CAZ39" s="51"/>
      <c r="CBA39" s="51"/>
      <c r="CBB39" s="51"/>
      <c r="CBC39" s="51"/>
      <c r="CBD39" s="51"/>
      <c r="CBE39" s="51"/>
      <c r="CBF39" s="51"/>
      <c r="CBG39" s="51"/>
      <c r="CBH39" s="51"/>
      <c r="CBI39" s="51"/>
      <c r="CBJ39" s="51"/>
      <c r="CBK39" s="51"/>
      <c r="CBL39" s="51"/>
      <c r="CBM39" s="51"/>
      <c r="CBN39" s="51"/>
      <c r="CBO39" s="51"/>
      <c r="CBP39" s="51"/>
      <c r="CBQ39" s="51"/>
      <c r="CBR39" s="51"/>
      <c r="CBS39" s="51"/>
      <c r="CBT39" s="51"/>
      <c r="CBU39" s="51"/>
      <c r="CBV39" s="51"/>
      <c r="CBW39" s="51"/>
      <c r="CBX39" s="51"/>
      <c r="CBY39" s="51"/>
      <c r="CBZ39" s="51"/>
      <c r="CCA39" s="51"/>
      <c r="CCB39" s="51"/>
      <c r="CCC39" s="51"/>
      <c r="CCD39" s="51"/>
      <c r="CCE39" s="51"/>
      <c r="CCF39" s="51"/>
      <c r="CCG39" s="51"/>
      <c r="CCH39" s="51"/>
      <c r="CCI39" s="51"/>
      <c r="CCJ39" s="51"/>
      <c r="CCK39" s="51"/>
      <c r="CCL39" s="51"/>
      <c r="CCM39" s="51"/>
      <c r="CCN39" s="51"/>
      <c r="CCO39" s="51"/>
      <c r="CCP39" s="51"/>
      <c r="CCQ39" s="51"/>
      <c r="CCR39" s="51"/>
      <c r="CCS39" s="51"/>
      <c r="CCT39" s="51"/>
      <c r="CCU39" s="51"/>
      <c r="CCV39" s="51"/>
      <c r="CCW39" s="51"/>
      <c r="CCX39" s="51"/>
      <c r="CCY39" s="51"/>
      <c r="CCZ39" s="51"/>
      <c r="CDA39" s="51"/>
      <c r="CDB39" s="51"/>
      <c r="CDC39" s="51"/>
      <c r="CDD39" s="51"/>
      <c r="CDE39" s="51"/>
      <c r="CDF39" s="51"/>
      <c r="CDG39" s="51"/>
      <c r="CDH39" s="51"/>
      <c r="CDI39" s="51"/>
      <c r="CDJ39" s="51"/>
      <c r="CDK39" s="51"/>
      <c r="CDL39" s="51"/>
      <c r="CDM39" s="51"/>
      <c r="CDN39" s="51"/>
      <c r="CDO39" s="51"/>
      <c r="CDP39" s="51"/>
      <c r="CDQ39" s="51"/>
      <c r="CDR39" s="51"/>
      <c r="CDS39" s="51"/>
      <c r="CDT39" s="51"/>
      <c r="CDU39" s="51"/>
      <c r="CDV39" s="51"/>
      <c r="CDW39" s="51"/>
      <c r="CDX39" s="51"/>
      <c r="CDY39" s="51"/>
      <c r="CDZ39" s="51"/>
      <c r="CEA39" s="51"/>
      <c r="CEB39" s="51"/>
      <c r="CEC39" s="51"/>
      <c r="CED39" s="51"/>
      <c r="CEE39" s="51"/>
      <c r="CEF39" s="51"/>
      <c r="CEG39" s="51"/>
      <c r="CEH39" s="51"/>
      <c r="CEI39" s="51"/>
      <c r="CEJ39" s="51"/>
      <c r="CEK39" s="51"/>
      <c r="CEL39" s="51"/>
      <c r="CEM39" s="51"/>
      <c r="CEN39" s="51"/>
      <c r="CEO39" s="51"/>
      <c r="CEP39" s="51"/>
      <c r="CEQ39" s="51"/>
      <c r="CER39" s="51"/>
      <c r="CES39" s="51"/>
      <c r="CET39" s="51"/>
      <c r="CEU39" s="51"/>
      <c r="CEV39" s="51"/>
      <c r="CEW39" s="51"/>
      <c r="CEX39" s="51"/>
      <c r="CEY39" s="51"/>
      <c r="CEZ39" s="51"/>
      <c r="CFA39" s="51"/>
      <c r="CFB39" s="51"/>
      <c r="CFC39" s="51"/>
      <c r="CFD39" s="51"/>
      <c r="CFE39" s="51"/>
      <c r="CFF39" s="51"/>
      <c r="CFG39" s="51"/>
      <c r="CFH39" s="51"/>
      <c r="CFI39" s="51"/>
      <c r="CFJ39" s="51"/>
      <c r="CFK39" s="51"/>
      <c r="CFL39" s="51"/>
      <c r="CFM39" s="51"/>
      <c r="CFN39" s="51"/>
      <c r="CFO39" s="51"/>
      <c r="CFP39" s="51"/>
      <c r="CFQ39" s="51"/>
      <c r="CFR39" s="51"/>
      <c r="CFS39" s="51"/>
      <c r="CFT39" s="51"/>
      <c r="CFU39" s="51"/>
      <c r="CFV39" s="51"/>
      <c r="CFW39" s="51"/>
      <c r="CFX39" s="51"/>
      <c r="CFY39" s="51"/>
      <c r="CFZ39" s="51"/>
      <c r="CGA39" s="51"/>
      <c r="CGB39" s="51"/>
      <c r="CGC39" s="51"/>
      <c r="CGD39" s="51"/>
      <c r="CGE39" s="51"/>
      <c r="CGF39" s="51"/>
      <c r="CGG39" s="51"/>
      <c r="CGH39" s="51"/>
      <c r="CGI39" s="51"/>
      <c r="CGJ39" s="51"/>
      <c r="CGK39" s="51"/>
      <c r="CGL39" s="51"/>
      <c r="CGM39" s="51"/>
      <c r="CGN39" s="51"/>
      <c r="CGO39" s="51"/>
      <c r="CGP39" s="51"/>
      <c r="CGQ39" s="51"/>
      <c r="CGR39" s="51"/>
      <c r="CGS39" s="51"/>
      <c r="CGT39" s="51"/>
      <c r="CGU39" s="51"/>
      <c r="CGV39" s="51"/>
      <c r="CGW39" s="51"/>
      <c r="CGX39" s="51"/>
      <c r="CGY39" s="51"/>
      <c r="CGZ39" s="51"/>
      <c r="CHA39" s="51"/>
      <c r="CHB39" s="51"/>
      <c r="CHC39" s="51"/>
      <c r="CHD39" s="51"/>
      <c r="CHE39" s="51"/>
      <c r="CHF39" s="51"/>
      <c r="CHG39" s="51"/>
      <c r="CHH39" s="51"/>
      <c r="CHI39" s="51"/>
      <c r="CHJ39" s="51"/>
      <c r="CHK39" s="51"/>
      <c r="CHL39" s="51"/>
      <c r="CHM39" s="51"/>
      <c r="CHN39" s="51"/>
      <c r="CHO39" s="51"/>
      <c r="CHP39" s="51"/>
      <c r="CHQ39" s="51"/>
      <c r="CHR39" s="51"/>
      <c r="CHS39" s="51"/>
      <c r="CHT39" s="51"/>
      <c r="CHU39" s="51"/>
      <c r="CHV39" s="51"/>
      <c r="CHW39" s="51"/>
      <c r="CHX39" s="51"/>
      <c r="CHY39" s="51"/>
      <c r="CHZ39" s="51"/>
      <c r="CIA39" s="51"/>
      <c r="CIB39" s="51"/>
      <c r="CIC39" s="51"/>
      <c r="CID39" s="51"/>
      <c r="CIE39" s="51"/>
      <c r="CIF39" s="51"/>
      <c r="CIG39" s="51"/>
      <c r="CIH39" s="51"/>
      <c r="CII39" s="51"/>
      <c r="CIJ39" s="51"/>
      <c r="CIK39" s="51"/>
      <c r="CIL39" s="51"/>
      <c r="CIM39" s="51"/>
      <c r="CIN39" s="51"/>
      <c r="CIO39" s="51"/>
      <c r="CIP39" s="51"/>
      <c r="CIQ39" s="51"/>
      <c r="CIR39" s="51"/>
      <c r="CIS39" s="51"/>
      <c r="CIT39" s="51"/>
      <c r="CIU39" s="51"/>
      <c r="CIV39" s="51"/>
      <c r="CIW39" s="51"/>
      <c r="CIX39" s="51"/>
      <c r="CIY39" s="51"/>
      <c r="CIZ39" s="51"/>
      <c r="CJA39" s="51"/>
      <c r="CJB39" s="51"/>
      <c r="CJC39" s="51"/>
      <c r="CJD39" s="51"/>
      <c r="CJE39" s="51"/>
      <c r="CJF39" s="51"/>
      <c r="CJG39" s="51"/>
      <c r="CJH39" s="51"/>
      <c r="CJI39" s="51"/>
      <c r="CJJ39" s="51"/>
      <c r="CJK39" s="51"/>
      <c r="CJL39" s="51"/>
      <c r="CJM39" s="51"/>
      <c r="CJN39" s="51"/>
      <c r="CJO39" s="51"/>
      <c r="CJP39" s="51"/>
      <c r="CJQ39" s="51"/>
      <c r="CJR39" s="51"/>
      <c r="CJS39" s="51"/>
      <c r="CJT39" s="51"/>
      <c r="CJU39" s="51"/>
      <c r="CJV39" s="51"/>
      <c r="CJW39" s="51"/>
      <c r="CJX39" s="51"/>
      <c r="CJY39" s="51"/>
      <c r="CJZ39" s="51"/>
      <c r="CKA39" s="51"/>
      <c r="CKB39" s="51"/>
      <c r="CKC39" s="51"/>
      <c r="CKD39" s="51"/>
      <c r="CKE39" s="51"/>
      <c r="CKF39" s="51"/>
      <c r="CKG39" s="51"/>
      <c r="CKH39" s="51"/>
      <c r="CKI39" s="51"/>
      <c r="CKJ39" s="51"/>
      <c r="CKK39" s="51"/>
      <c r="CKL39" s="51"/>
      <c r="CKM39" s="51"/>
      <c r="CKN39" s="51"/>
      <c r="CKO39" s="51"/>
      <c r="CKP39" s="51"/>
      <c r="CKQ39" s="51"/>
      <c r="CKR39" s="51"/>
      <c r="CKS39" s="51"/>
      <c r="CKT39" s="51"/>
      <c r="CKU39" s="51"/>
      <c r="CKV39" s="51"/>
      <c r="CKW39" s="51"/>
      <c r="CKX39" s="51"/>
      <c r="CKY39" s="51"/>
      <c r="CKZ39" s="51"/>
      <c r="CLA39" s="51"/>
      <c r="CLB39" s="51"/>
      <c r="CLC39" s="51"/>
      <c r="CLD39" s="51"/>
      <c r="CLE39" s="51"/>
      <c r="CLF39" s="51"/>
      <c r="CLG39" s="51"/>
      <c r="CLH39" s="51"/>
      <c r="CLI39" s="51"/>
      <c r="CLJ39" s="51"/>
      <c r="CLK39" s="51"/>
      <c r="CLL39" s="51"/>
      <c r="CLM39" s="51"/>
      <c r="CLN39" s="51"/>
      <c r="CLO39" s="51"/>
      <c r="CLP39" s="51"/>
      <c r="CLQ39" s="51"/>
      <c r="CLR39" s="51"/>
      <c r="CLS39" s="51"/>
      <c r="CLT39" s="51"/>
      <c r="CLU39" s="51"/>
      <c r="CLV39" s="51"/>
      <c r="CLW39" s="51"/>
      <c r="CLX39" s="51"/>
      <c r="CLY39" s="51"/>
      <c r="CLZ39" s="51"/>
      <c r="CMA39" s="51"/>
      <c r="CMB39" s="51"/>
      <c r="CMC39" s="51"/>
      <c r="CMD39" s="51"/>
      <c r="CME39" s="51"/>
      <c r="CMF39" s="51"/>
      <c r="CMG39" s="51"/>
      <c r="CMH39" s="51"/>
      <c r="CMI39" s="51"/>
      <c r="CMJ39" s="51"/>
      <c r="CMK39" s="51"/>
      <c r="CML39" s="51"/>
      <c r="CMM39" s="51"/>
      <c r="CMN39" s="51"/>
      <c r="CMO39" s="51"/>
      <c r="CMP39" s="51"/>
      <c r="CMQ39" s="51"/>
      <c r="CMR39" s="51"/>
      <c r="CMS39" s="51"/>
      <c r="CMT39" s="51"/>
      <c r="CMU39" s="51"/>
      <c r="CMV39" s="51"/>
      <c r="CMW39" s="51"/>
      <c r="CMX39" s="51"/>
      <c r="CMY39" s="51"/>
      <c r="CMZ39" s="51"/>
      <c r="CNA39" s="51"/>
      <c r="CNB39" s="51"/>
      <c r="CNC39" s="51"/>
      <c r="CND39" s="51"/>
      <c r="CNE39" s="51"/>
      <c r="CNF39" s="51"/>
      <c r="CNG39" s="51"/>
      <c r="CNH39" s="51"/>
      <c r="CNI39" s="51"/>
      <c r="CNJ39" s="51"/>
      <c r="CNK39" s="51"/>
      <c r="CNL39" s="51"/>
      <c r="CNM39" s="51"/>
      <c r="CNN39" s="51"/>
      <c r="CNO39" s="51"/>
      <c r="CNP39" s="51"/>
      <c r="CNQ39" s="51"/>
      <c r="CNR39" s="51"/>
      <c r="CNS39" s="51"/>
      <c r="CNT39" s="51"/>
      <c r="CNU39" s="51"/>
      <c r="CNV39" s="51"/>
      <c r="CNW39" s="51"/>
      <c r="CNX39" s="51"/>
      <c r="CNY39" s="51"/>
      <c r="CNZ39" s="51"/>
      <c r="COA39" s="51"/>
      <c r="COB39" s="51"/>
      <c r="COC39" s="51"/>
      <c r="COD39" s="51"/>
      <c r="COE39" s="51"/>
      <c r="COF39" s="51"/>
      <c r="COG39" s="51"/>
      <c r="COH39" s="51"/>
      <c r="COI39" s="51"/>
      <c r="COJ39" s="51"/>
      <c r="COK39" s="51"/>
      <c r="COL39" s="51"/>
      <c r="COM39" s="51"/>
      <c r="CON39" s="51"/>
      <c r="COO39" s="51"/>
      <c r="COP39" s="51"/>
      <c r="COQ39" s="51"/>
      <c r="COR39" s="51"/>
      <c r="COS39" s="51"/>
      <c r="COT39" s="51"/>
      <c r="COU39" s="51"/>
      <c r="COV39" s="51"/>
      <c r="COW39" s="51"/>
      <c r="COX39" s="51"/>
      <c r="COY39" s="51"/>
      <c r="COZ39" s="51"/>
      <c r="CPA39" s="51"/>
      <c r="CPB39" s="51"/>
      <c r="CPC39" s="51"/>
      <c r="CPD39" s="51"/>
      <c r="CPE39" s="51"/>
      <c r="CPF39" s="51"/>
      <c r="CPG39" s="51"/>
      <c r="CPH39" s="51"/>
      <c r="CPI39" s="51"/>
      <c r="CPJ39" s="51"/>
      <c r="CPK39" s="51"/>
      <c r="CPL39" s="51"/>
      <c r="CPM39" s="51"/>
      <c r="CPN39" s="51"/>
      <c r="CPO39" s="51"/>
      <c r="CPP39" s="51"/>
      <c r="CPQ39" s="51"/>
      <c r="CPR39" s="51"/>
      <c r="CPS39" s="51"/>
      <c r="CPT39" s="51"/>
      <c r="CPU39" s="51"/>
      <c r="CPV39" s="51"/>
      <c r="CPW39" s="51"/>
      <c r="CPX39" s="51"/>
      <c r="CPY39" s="51"/>
      <c r="CPZ39" s="51"/>
      <c r="CQA39" s="51"/>
      <c r="CQB39" s="51"/>
      <c r="CQC39" s="51"/>
      <c r="CQD39" s="51"/>
      <c r="CQE39" s="51"/>
      <c r="CQF39" s="51"/>
      <c r="CQG39" s="51"/>
      <c r="CQH39" s="51"/>
      <c r="CQI39" s="51"/>
      <c r="CQJ39" s="51"/>
      <c r="CQK39" s="51"/>
      <c r="CQL39" s="51"/>
      <c r="CQM39" s="51"/>
      <c r="CQN39" s="51"/>
      <c r="CQO39" s="51"/>
      <c r="CQP39" s="51"/>
      <c r="CQQ39" s="51"/>
      <c r="CQR39" s="51"/>
      <c r="CQS39" s="51"/>
      <c r="CQT39" s="51"/>
      <c r="CQU39" s="51"/>
      <c r="CQV39" s="51"/>
      <c r="CQW39" s="51"/>
      <c r="CQX39" s="51"/>
      <c r="CQY39" s="51"/>
      <c r="CQZ39" s="51"/>
      <c r="CRA39" s="51"/>
      <c r="CRB39" s="51"/>
      <c r="CRC39" s="51"/>
      <c r="CRD39" s="51"/>
      <c r="CRE39" s="51"/>
      <c r="CRF39" s="51"/>
      <c r="CRG39" s="51"/>
      <c r="CRH39" s="51"/>
      <c r="CRI39" s="51"/>
      <c r="CRJ39" s="51"/>
      <c r="CRK39" s="51"/>
      <c r="CRL39" s="51"/>
      <c r="CRM39" s="51"/>
      <c r="CRN39" s="51"/>
      <c r="CRO39" s="51"/>
      <c r="CRP39" s="51"/>
      <c r="CRQ39" s="51"/>
      <c r="CRR39" s="51"/>
      <c r="CRS39" s="51"/>
      <c r="CRT39" s="51"/>
      <c r="CRU39" s="51"/>
      <c r="CRV39" s="51"/>
      <c r="CRW39" s="51"/>
      <c r="CRX39" s="51"/>
      <c r="CRY39" s="51"/>
      <c r="CRZ39" s="51"/>
      <c r="CSA39" s="51"/>
      <c r="CSB39" s="51"/>
      <c r="CSC39" s="51"/>
      <c r="CSD39" s="51"/>
      <c r="CSE39" s="51"/>
      <c r="CSF39" s="51"/>
      <c r="CSG39" s="51"/>
      <c r="CSH39" s="51"/>
      <c r="CSI39" s="51"/>
      <c r="CSJ39" s="51"/>
      <c r="CSK39" s="51"/>
      <c r="CSL39" s="51"/>
      <c r="CSM39" s="51"/>
      <c r="CSN39" s="51"/>
      <c r="CSO39" s="51"/>
      <c r="CSP39" s="51"/>
      <c r="CSQ39" s="51"/>
      <c r="CSR39" s="51"/>
      <c r="CSS39" s="51"/>
      <c r="CST39" s="51"/>
      <c r="CSU39" s="51"/>
      <c r="CSV39" s="51"/>
      <c r="CSW39" s="51"/>
      <c r="CSX39" s="51"/>
      <c r="CSY39" s="51"/>
      <c r="CSZ39" s="51"/>
      <c r="CTA39" s="51"/>
      <c r="CTB39" s="51"/>
      <c r="CTC39" s="51"/>
      <c r="CTD39" s="51"/>
      <c r="CTE39" s="51"/>
      <c r="CTF39" s="51"/>
      <c r="CTG39" s="51"/>
      <c r="CTH39" s="51"/>
      <c r="CTI39" s="51"/>
      <c r="CTJ39" s="51"/>
      <c r="CTK39" s="51"/>
      <c r="CTL39" s="51"/>
      <c r="CTM39" s="51"/>
      <c r="CTN39" s="51"/>
      <c r="CTO39" s="51"/>
      <c r="CTP39" s="51"/>
      <c r="CTQ39" s="51"/>
      <c r="CTR39" s="51"/>
      <c r="CTS39" s="51"/>
      <c r="CTT39" s="51"/>
      <c r="CTU39" s="51"/>
      <c r="CTV39" s="51"/>
      <c r="CTW39" s="51"/>
      <c r="CTX39" s="51"/>
      <c r="CTY39" s="51"/>
      <c r="CTZ39" s="51"/>
      <c r="CUA39" s="51"/>
      <c r="CUB39" s="51"/>
      <c r="CUC39" s="51"/>
      <c r="CUD39" s="51"/>
      <c r="CUE39" s="51"/>
      <c r="CUF39" s="51"/>
      <c r="CUG39" s="51"/>
      <c r="CUH39" s="51"/>
      <c r="CUI39" s="51"/>
      <c r="CUJ39" s="51"/>
      <c r="CUK39" s="51"/>
      <c r="CUL39" s="51"/>
      <c r="CUM39" s="51"/>
      <c r="CUN39" s="51"/>
      <c r="CUO39" s="51"/>
      <c r="CUP39" s="51"/>
      <c r="CUQ39" s="51"/>
      <c r="CUR39" s="51"/>
      <c r="CUS39" s="51"/>
      <c r="CUT39" s="51"/>
      <c r="CUU39" s="51"/>
      <c r="CUV39" s="51"/>
      <c r="CUW39" s="51"/>
      <c r="CUX39" s="51"/>
      <c r="CUY39" s="51"/>
      <c r="CUZ39" s="51"/>
      <c r="CVA39" s="51"/>
      <c r="CVB39" s="51"/>
      <c r="CVC39" s="51"/>
      <c r="CVD39" s="51"/>
      <c r="CVE39" s="51"/>
      <c r="CVF39" s="51"/>
      <c r="CVG39" s="51"/>
      <c r="CVH39" s="51"/>
      <c r="CVI39" s="51"/>
      <c r="CVJ39" s="51"/>
      <c r="CVK39" s="51"/>
      <c r="CVL39" s="51"/>
      <c r="CVM39" s="51"/>
      <c r="CVN39" s="51"/>
      <c r="CVO39" s="51"/>
      <c r="CVP39" s="51"/>
      <c r="CVQ39" s="51"/>
      <c r="CVR39" s="51"/>
      <c r="CVS39" s="51"/>
      <c r="CVT39" s="51"/>
      <c r="CVU39" s="51"/>
      <c r="CVV39" s="51"/>
      <c r="CVW39" s="51"/>
      <c r="CVX39" s="51"/>
      <c r="CVY39" s="51"/>
      <c r="CVZ39" s="51"/>
      <c r="CWA39" s="51"/>
      <c r="CWB39" s="51"/>
      <c r="CWC39" s="51"/>
      <c r="CWD39" s="51"/>
      <c r="CWE39" s="51"/>
      <c r="CWF39" s="51"/>
      <c r="CWG39" s="51"/>
      <c r="CWH39" s="51"/>
      <c r="CWI39" s="51"/>
      <c r="CWJ39" s="51"/>
      <c r="CWK39" s="51"/>
      <c r="CWL39" s="51"/>
      <c r="CWM39" s="51"/>
      <c r="CWN39" s="51"/>
      <c r="CWO39" s="51"/>
      <c r="CWP39" s="51"/>
      <c r="CWQ39" s="51"/>
      <c r="CWR39" s="51"/>
      <c r="CWS39" s="51"/>
      <c r="CWT39" s="51"/>
      <c r="CWU39" s="51"/>
      <c r="CWV39" s="51"/>
      <c r="CWW39" s="51"/>
      <c r="CWX39" s="51"/>
      <c r="CWY39" s="51"/>
      <c r="CWZ39" s="51"/>
      <c r="CXA39" s="51"/>
      <c r="CXB39" s="51"/>
      <c r="CXC39" s="51"/>
      <c r="CXD39" s="51"/>
      <c r="CXE39" s="51"/>
      <c r="CXF39" s="51"/>
      <c r="CXG39" s="51"/>
      <c r="CXH39" s="51"/>
      <c r="CXI39" s="51"/>
      <c r="CXJ39" s="51"/>
      <c r="CXK39" s="51"/>
      <c r="CXL39" s="51"/>
      <c r="CXM39" s="51"/>
      <c r="CXN39" s="51"/>
      <c r="CXO39" s="51"/>
      <c r="CXP39" s="51"/>
      <c r="CXQ39" s="51"/>
      <c r="CXR39" s="51"/>
      <c r="CXS39" s="51"/>
      <c r="CXT39" s="51"/>
      <c r="CXU39" s="51"/>
      <c r="CXV39" s="51"/>
      <c r="CXW39" s="51"/>
      <c r="CXX39" s="51"/>
      <c r="CXY39" s="51"/>
      <c r="CXZ39" s="51"/>
      <c r="CYA39" s="51"/>
      <c r="CYB39" s="51"/>
      <c r="CYC39" s="51"/>
      <c r="CYD39" s="51"/>
      <c r="CYE39" s="51"/>
      <c r="CYF39" s="51"/>
      <c r="CYG39" s="51"/>
      <c r="CYH39" s="51"/>
      <c r="CYI39" s="51"/>
      <c r="CYJ39" s="51"/>
      <c r="CYK39" s="51"/>
      <c r="CYL39" s="51"/>
      <c r="CYM39" s="51"/>
      <c r="CYN39" s="51"/>
      <c r="CYO39" s="51"/>
      <c r="CYP39" s="51"/>
      <c r="CYQ39" s="51"/>
      <c r="CYR39" s="51"/>
      <c r="CYS39" s="51"/>
      <c r="CYT39" s="51"/>
      <c r="CYU39" s="51"/>
      <c r="CYV39" s="51"/>
      <c r="CYW39" s="51"/>
      <c r="CYX39" s="51"/>
      <c r="CYY39" s="51"/>
      <c r="CYZ39" s="51"/>
      <c r="CZA39" s="51"/>
      <c r="CZB39" s="51"/>
      <c r="CZC39" s="51"/>
      <c r="CZD39" s="51"/>
      <c r="CZE39" s="51"/>
      <c r="CZF39" s="51"/>
      <c r="CZG39" s="51"/>
      <c r="CZH39" s="51"/>
      <c r="CZI39" s="51"/>
      <c r="CZJ39" s="51"/>
      <c r="CZK39" s="51"/>
      <c r="CZL39" s="51"/>
      <c r="CZM39" s="51"/>
      <c r="CZN39" s="51"/>
      <c r="CZO39" s="51"/>
      <c r="CZP39" s="51"/>
      <c r="CZQ39" s="51"/>
      <c r="CZR39" s="51"/>
      <c r="CZS39" s="51"/>
      <c r="CZT39" s="51"/>
      <c r="CZU39" s="51"/>
      <c r="CZV39" s="51"/>
      <c r="CZW39" s="51"/>
      <c r="CZX39" s="51"/>
      <c r="CZY39" s="51"/>
      <c r="CZZ39" s="51"/>
      <c r="DAA39" s="51"/>
      <c r="DAB39" s="51"/>
      <c r="DAC39" s="51"/>
      <c r="DAD39" s="51"/>
      <c r="DAE39" s="51"/>
      <c r="DAF39" s="51"/>
      <c r="DAG39" s="51"/>
      <c r="DAH39" s="51"/>
      <c r="DAI39" s="51"/>
      <c r="DAJ39" s="51"/>
      <c r="DAK39" s="51"/>
      <c r="DAL39" s="51"/>
      <c r="DAM39" s="51"/>
      <c r="DAN39" s="51"/>
      <c r="DAO39" s="51"/>
      <c r="DAP39" s="51"/>
      <c r="DAQ39" s="51"/>
      <c r="DAR39" s="51"/>
      <c r="DAS39" s="51"/>
      <c r="DAT39" s="51"/>
      <c r="DAU39" s="51"/>
      <c r="DAV39" s="51"/>
      <c r="DAW39" s="51"/>
      <c r="DAX39" s="51"/>
      <c r="DAY39" s="51"/>
      <c r="DAZ39" s="51"/>
      <c r="DBA39" s="51"/>
      <c r="DBB39" s="51"/>
      <c r="DBC39" s="51"/>
      <c r="DBD39" s="51"/>
      <c r="DBE39" s="51"/>
      <c r="DBF39" s="51"/>
      <c r="DBG39" s="51"/>
      <c r="DBH39" s="51"/>
      <c r="DBI39" s="51"/>
      <c r="DBJ39" s="51"/>
      <c r="DBK39" s="51"/>
      <c r="DBL39" s="51"/>
      <c r="DBM39" s="51"/>
      <c r="DBN39" s="51"/>
      <c r="DBO39" s="51"/>
      <c r="DBP39" s="51"/>
      <c r="DBQ39" s="51"/>
      <c r="DBR39" s="51"/>
      <c r="DBS39" s="51"/>
      <c r="DBT39" s="51"/>
      <c r="DBU39" s="51"/>
      <c r="DBV39" s="51"/>
      <c r="DBW39" s="51"/>
      <c r="DBX39" s="51"/>
      <c r="DBY39" s="51"/>
      <c r="DBZ39" s="51"/>
      <c r="DCA39" s="51"/>
      <c r="DCB39" s="51"/>
      <c r="DCC39" s="51"/>
      <c r="DCD39" s="51"/>
      <c r="DCE39" s="51"/>
      <c r="DCF39" s="51"/>
      <c r="DCG39" s="51"/>
      <c r="DCH39" s="51"/>
      <c r="DCI39" s="51"/>
      <c r="DCJ39" s="51"/>
      <c r="DCK39" s="51"/>
      <c r="DCL39" s="51"/>
      <c r="DCM39" s="51"/>
      <c r="DCN39" s="51"/>
      <c r="DCO39" s="51"/>
      <c r="DCP39" s="51"/>
      <c r="DCQ39" s="51"/>
      <c r="DCR39" s="51"/>
      <c r="DCS39" s="51"/>
      <c r="DCT39" s="51"/>
      <c r="DCU39" s="51"/>
      <c r="DCV39" s="51"/>
      <c r="DCW39" s="51"/>
      <c r="DCX39" s="51"/>
      <c r="DCY39" s="51"/>
      <c r="DCZ39" s="51"/>
      <c r="DDA39" s="51"/>
      <c r="DDB39" s="51"/>
      <c r="DDC39" s="51"/>
      <c r="DDD39" s="51"/>
      <c r="DDE39" s="51"/>
      <c r="DDF39" s="51"/>
      <c r="DDG39" s="51"/>
      <c r="DDH39" s="51"/>
      <c r="DDI39" s="51"/>
      <c r="DDJ39" s="51"/>
      <c r="DDK39" s="51"/>
      <c r="DDL39" s="51"/>
      <c r="DDM39" s="51"/>
      <c r="DDN39" s="51"/>
      <c r="DDO39" s="51"/>
      <c r="DDP39" s="51"/>
      <c r="DDQ39" s="51"/>
      <c r="DDR39" s="51"/>
      <c r="DDS39" s="51"/>
      <c r="DDT39" s="51"/>
      <c r="DDU39" s="51"/>
      <c r="DDV39" s="51"/>
      <c r="DDW39" s="51"/>
      <c r="DDX39" s="51"/>
      <c r="DDY39" s="51"/>
      <c r="DDZ39" s="51"/>
      <c r="DEA39" s="51"/>
      <c r="DEB39" s="51"/>
      <c r="DEC39" s="51"/>
      <c r="DED39" s="51"/>
      <c r="DEE39" s="51"/>
      <c r="DEF39" s="51"/>
      <c r="DEG39" s="51"/>
      <c r="DEH39" s="51"/>
      <c r="DEI39" s="51"/>
      <c r="DEJ39" s="51"/>
      <c r="DEK39" s="51"/>
      <c r="DEL39" s="51"/>
      <c r="DEM39" s="51"/>
      <c r="DEN39" s="51"/>
      <c r="DEO39" s="51"/>
      <c r="DEP39" s="51"/>
      <c r="DEQ39" s="51"/>
      <c r="DER39" s="51"/>
      <c r="DES39" s="51"/>
      <c r="DET39" s="51"/>
      <c r="DEU39" s="51"/>
      <c r="DEV39" s="51"/>
      <c r="DEW39" s="51"/>
      <c r="DEX39" s="51"/>
      <c r="DEY39" s="51"/>
      <c r="DEZ39" s="51"/>
      <c r="DFA39" s="51"/>
      <c r="DFB39" s="51"/>
      <c r="DFC39" s="51"/>
      <c r="DFD39" s="51"/>
      <c r="DFE39" s="51"/>
      <c r="DFF39" s="51"/>
      <c r="DFG39" s="51"/>
      <c r="DFH39" s="51"/>
      <c r="DFI39" s="51"/>
      <c r="DFJ39" s="51"/>
      <c r="DFK39" s="51"/>
      <c r="DFL39" s="51"/>
      <c r="DFM39" s="51"/>
      <c r="DFN39" s="51"/>
      <c r="DFO39" s="51"/>
      <c r="DFP39" s="51"/>
      <c r="DFQ39" s="51"/>
      <c r="DFR39" s="51"/>
      <c r="DFS39" s="51"/>
      <c r="DFT39" s="51"/>
      <c r="DFU39" s="51"/>
      <c r="DFV39" s="51"/>
      <c r="DFW39" s="51"/>
      <c r="DFX39" s="51"/>
      <c r="DFY39" s="51"/>
      <c r="DFZ39" s="51"/>
      <c r="DGA39" s="51"/>
      <c r="DGB39" s="51"/>
      <c r="DGC39" s="51"/>
      <c r="DGD39" s="51"/>
      <c r="DGE39" s="51"/>
      <c r="DGF39" s="51"/>
      <c r="DGG39" s="51"/>
      <c r="DGH39" s="51"/>
      <c r="DGI39" s="51"/>
      <c r="DGJ39" s="51"/>
      <c r="DGK39" s="51"/>
      <c r="DGL39" s="51"/>
      <c r="DGM39" s="51"/>
      <c r="DGN39" s="51"/>
      <c r="DGO39" s="51"/>
      <c r="DGP39" s="51"/>
      <c r="DGQ39" s="51"/>
      <c r="DGR39" s="51"/>
      <c r="DGS39" s="51"/>
      <c r="DGT39" s="51"/>
      <c r="DGU39" s="51"/>
      <c r="DGV39" s="51"/>
      <c r="DGW39" s="51"/>
      <c r="DGX39" s="51"/>
      <c r="DGY39" s="51"/>
      <c r="DGZ39" s="51"/>
      <c r="DHA39" s="51"/>
      <c r="DHB39" s="51"/>
      <c r="DHC39" s="51"/>
      <c r="DHD39" s="51"/>
      <c r="DHE39" s="51"/>
      <c r="DHF39" s="51"/>
      <c r="DHG39" s="51"/>
      <c r="DHH39" s="51"/>
      <c r="DHI39" s="51"/>
      <c r="DHJ39" s="51"/>
      <c r="DHK39" s="51"/>
      <c r="DHL39" s="51"/>
      <c r="DHM39" s="51"/>
      <c r="DHN39" s="51"/>
      <c r="DHO39" s="51"/>
      <c r="DHP39" s="51"/>
      <c r="DHQ39" s="51"/>
      <c r="DHR39" s="51"/>
      <c r="DHS39" s="51"/>
      <c r="DHT39" s="51"/>
      <c r="DHU39" s="51"/>
      <c r="DHV39" s="51"/>
      <c r="DHW39" s="51"/>
      <c r="DHX39" s="51"/>
      <c r="DHY39" s="51"/>
      <c r="DHZ39" s="51"/>
      <c r="DIA39" s="51"/>
      <c r="DIB39" s="51"/>
      <c r="DIC39" s="51"/>
      <c r="DID39" s="51"/>
      <c r="DIE39" s="51"/>
      <c r="DIF39" s="51"/>
      <c r="DIG39" s="51"/>
      <c r="DIH39" s="51"/>
      <c r="DII39" s="51"/>
      <c r="DIJ39" s="51"/>
      <c r="DIK39" s="51"/>
      <c r="DIL39" s="51"/>
      <c r="DIM39" s="51"/>
      <c r="DIN39" s="51"/>
      <c r="DIO39" s="51"/>
      <c r="DIP39" s="51"/>
      <c r="DIQ39" s="51"/>
      <c r="DIR39" s="51"/>
      <c r="DIS39" s="51"/>
      <c r="DIT39" s="51"/>
      <c r="DIU39" s="51"/>
      <c r="DIV39" s="51"/>
      <c r="DIW39" s="51"/>
      <c r="DIX39" s="51"/>
      <c r="DIY39" s="51"/>
      <c r="DIZ39" s="51"/>
      <c r="DJA39" s="51"/>
      <c r="DJB39" s="51"/>
      <c r="DJC39" s="51"/>
      <c r="DJD39" s="51"/>
      <c r="DJE39" s="51"/>
      <c r="DJF39" s="51"/>
      <c r="DJG39" s="51"/>
      <c r="DJH39" s="51"/>
      <c r="DJI39" s="51"/>
      <c r="DJJ39" s="51"/>
      <c r="DJK39" s="51"/>
      <c r="DJL39" s="51"/>
      <c r="DJM39" s="51"/>
      <c r="DJN39" s="51"/>
      <c r="DJO39" s="51"/>
      <c r="DJP39" s="51"/>
      <c r="DJQ39" s="51"/>
      <c r="DJR39" s="51"/>
      <c r="DJS39" s="51"/>
      <c r="DJT39" s="51"/>
      <c r="DJU39" s="51"/>
      <c r="DJV39" s="51"/>
      <c r="DJW39" s="51"/>
      <c r="DJX39" s="51"/>
      <c r="DJY39" s="51"/>
      <c r="DJZ39" s="51"/>
      <c r="DKA39" s="51"/>
      <c r="DKB39" s="51"/>
      <c r="DKC39" s="51"/>
      <c r="DKD39" s="51"/>
      <c r="DKE39" s="51"/>
      <c r="DKF39" s="51"/>
      <c r="DKG39" s="51"/>
      <c r="DKH39" s="51"/>
      <c r="DKI39" s="51"/>
      <c r="DKJ39" s="51"/>
      <c r="DKK39" s="51"/>
      <c r="DKL39" s="51"/>
      <c r="DKM39" s="51"/>
      <c r="DKN39" s="51"/>
      <c r="DKO39" s="51"/>
      <c r="DKP39" s="51"/>
      <c r="DKQ39" s="51"/>
      <c r="DKR39" s="51"/>
      <c r="DKS39" s="51"/>
      <c r="DKT39" s="51"/>
      <c r="DKU39" s="51"/>
      <c r="DKV39" s="51"/>
      <c r="DKW39" s="51"/>
      <c r="DKX39" s="51"/>
      <c r="DKY39" s="51"/>
      <c r="DKZ39" s="51"/>
      <c r="DLA39" s="51"/>
      <c r="DLB39" s="51"/>
      <c r="DLC39" s="51"/>
      <c r="DLD39" s="51"/>
      <c r="DLE39" s="51"/>
      <c r="DLF39" s="51"/>
      <c r="DLG39" s="51"/>
      <c r="DLH39" s="51"/>
      <c r="DLI39" s="51"/>
      <c r="DLJ39" s="51"/>
      <c r="DLK39" s="51"/>
      <c r="DLL39" s="51"/>
      <c r="DLM39" s="51"/>
      <c r="DLN39" s="51"/>
      <c r="DLO39" s="51"/>
      <c r="DLP39" s="51"/>
      <c r="DLQ39" s="51"/>
      <c r="DLR39" s="51"/>
      <c r="DLS39" s="51"/>
      <c r="DLT39" s="51"/>
      <c r="DLU39" s="51"/>
      <c r="DLV39" s="51"/>
      <c r="DLW39" s="51"/>
      <c r="DLX39" s="51"/>
      <c r="DLY39" s="51"/>
      <c r="DLZ39" s="51"/>
      <c r="DMA39" s="51"/>
      <c r="DMB39" s="51"/>
      <c r="DMC39" s="51"/>
      <c r="DMD39" s="51"/>
      <c r="DME39" s="51"/>
      <c r="DMF39" s="51"/>
      <c r="DMG39" s="51"/>
      <c r="DMH39" s="51"/>
      <c r="DMI39" s="51"/>
      <c r="DMJ39" s="51"/>
      <c r="DMK39" s="51"/>
      <c r="DML39" s="51"/>
      <c r="DMM39" s="51"/>
      <c r="DMN39" s="51"/>
      <c r="DMO39" s="51"/>
      <c r="DMP39" s="51"/>
      <c r="DMQ39" s="51"/>
      <c r="DMR39" s="51"/>
      <c r="DMS39" s="51"/>
      <c r="DMT39" s="51"/>
      <c r="DMU39" s="51"/>
      <c r="DMV39" s="51"/>
      <c r="DMW39" s="51"/>
      <c r="DMX39" s="51"/>
      <c r="DMY39" s="51"/>
      <c r="DMZ39" s="51"/>
      <c r="DNA39" s="51"/>
      <c r="DNB39" s="51"/>
      <c r="DNC39" s="51"/>
      <c r="DND39" s="51"/>
      <c r="DNE39" s="51"/>
      <c r="DNF39" s="51"/>
      <c r="DNG39" s="51"/>
      <c r="DNH39" s="51"/>
      <c r="DNI39" s="51"/>
      <c r="DNJ39" s="51"/>
      <c r="DNK39" s="51"/>
      <c r="DNL39" s="51"/>
      <c r="DNM39" s="51"/>
      <c r="DNN39" s="51"/>
      <c r="DNO39" s="51"/>
      <c r="DNP39" s="51"/>
      <c r="DNQ39" s="51"/>
      <c r="DNR39" s="51"/>
      <c r="DNS39" s="51"/>
      <c r="DNT39" s="51"/>
      <c r="DNU39" s="51"/>
      <c r="DNV39" s="51"/>
      <c r="DNW39" s="51"/>
      <c r="DNX39" s="51"/>
      <c r="DNY39" s="51"/>
      <c r="DNZ39" s="51"/>
      <c r="DOA39" s="51"/>
      <c r="DOB39" s="51"/>
      <c r="DOC39" s="51"/>
      <c r="DOD39" s="51"/>
      <c r="DOE39" s="51"/>
      <c r="DOF39" s="51"/>
      <c r="DOG39" s="51"/>
      <c r="DOH39" s="51"/>
      <c r="DOI39" s="51"/>
      <c r="DOJ39" s="51"/>
      <c r="DOK39" s="51"/>
      <c r="DOL39" s="51"/>
      <c r="DOM39" s="51"/>
      <c r="DON39" s="51"/>
      <c r="DOO39" s="51"/>
      <c r="DOP39" s="51"/>
      <c r="DOQ39" s="51"/>
      <c r="DOR39" s="51"/>
      <c r="DOS39" s="51"/>
      <c r="DOT39" s="51"/>
      <c r="DOU39" s="51"/>
      <c r="DOV39" s="51"/>
      <c r="DOW39" s="51"/>
      <c r="DOX39" s="51"/>
      <c r="DOY39" s="51"/>
      <c r="DOZ39" s="51"/>
      <c r="DPA39" s="51"/>
      <c r="DPB39" s="51"/>
      <c r="DPC39" s="51"/>
      <c r="DPD39" s="51"/>
      <c r="DPE39" s="51"/>
      <c r="DPF39" s="51"/>
      <c r="DPG39" s="51"/>
      <c r="DPH39" s="51"/>
      <c r="DPI39" s="51"/>
      <c r="DPJ39" s="51"/>
      <c r="DPK39" s="51"/>
      <c r="DPL39" s="51"/>
      <c r="DPM39" s="51"/>
      <c r="DPN39" s="51"/>
      <c r="DPO39" s="51"/>
      <c r="DPP39" s="51"/>
      <c r="DPQ39" s="51"/>
      <c r="DPR39" s="51"/>
      <c r="DPS39" s="51"/>
      <c r="DPT39" s="51"/>
      <c r="DPU39" s="51"/>
      <c r="DPV39" s="51"/>
      <c r="DPW39" s="51"/>
      <c r="DPX39" s="51"/>
      <c r="DPY39" s="51"/>
      <c r="DPZ39" s="51"/>
      <c r="DQA39" s="51"/>
      <c r="DQB39" s="51"/>
      <c r="DQC39" s="51"/>
      <c r="DQD39" s="51"/>
      <c r="DQE39" s="51"/>
      <c r="DQF39" s="51"/>
      <c r="DQG39" s="51"/>
      <c r="DQH39" s="51"/>
      <c r="DQI39" s="51"/>
      <c r="DQJ39" s="51"/>
      <c r="DQK39" s="51"/>
      <c r="DQL39" s="51"/>
      <c r="DQM39" s="51"/>
      <c r="DQN39" s="51"/>
      <c r="DQO39" s="51"/>
      <c r="DQP39" s="51"/>
      <c r="DQQ39" s="51"/>
      <c r="DQR39" s="51"/>
      <c r="DQS39" s="51"/>
      <c r="DQT39" s="51"/>
      <c r="DQU39" s="51"/>
      <c r="DQV39" s="51"/>
      <c r="DQW39" s="51"/>
      <c r="DQX39" s="51"/>
      <c r="DQY39" s="51"/>
      <c r="DQZ39" s="51"/>
      <c r="DRA39" s="51"/>
      <c r="DRB39" s="51"/>
      <c r="DRC39" s="51"/>
      <c r="DRD39" s="51"/>
      <c r="DRE39" s="51"/>
      <c r="DRF39" s="51"/>
      <c r="DRG39" s="51"/>
      <c r="DRH39" s="51"/>
      <c r="DRI39" s="51"/>
      <c r="DRJ39" s="51"/>
      <c r="DRK39" s="51"/>
      <c r="DRL39" s="51"/>
      <c r="DRM39" s="51"/>
      <c r="DRN39" s="51"/>
      <c r="DRO39" s="51"/>
      <c r="DRP39" s="51"/>
      <c r="DRQ39" s="51"/>
      <c r="DRR39" s="51"/>
      <c r="DRS39" s="51"/>
      <c r="DRT39" s="51"/>
      <c r="DRU39" s="51"/>
      <c r="DRV39" s="51"/>
      <c r="DRW39" s="51"/>
      <c r="DRX39" s="51"/>
      <c r="DRY39" s="51"/>
      <c r="DRZ39" s="51"/>
      <c r="DSA39" s="51"/>
      <c r="DSB39" s="51"/>
      <c r="DSC39" s="51"/>
      <c r="DSD39" s="51"/>
      <c r="DSE39" s="51"/>
      <c r="DSF39" s="51"/>
      <c r="DSG39" s="51"/>
      <c r="DSH39" s="51"/>
      <c r="DSI39" s="51"/>
      <c r="DSJ39" s="51"/>
      <c r="DSK39" s="51"/>
      <c r="DSL39" s="51"/>
      <c r="DSM39" s="51"/>
      <c r="DSN39" s="51"/>
      <c r="DSO39" s="51"/>
      <c r="DSP39" s="51"/>
      <c r="DSQ39" s="51"/>
      <c r="DSR39" s="51"/>
      <c r="DSS39" s="51"/>
      <c r="DST39" s="51"/>
      <c r="DSU39" s="51"/>
      <c r="DSV39" s="51"/>
      <c r="DSW39" s="51"/>
      <c r="DSX39" s="51"/>
      <c r="DSY39" s="51"/>
      <c r="DSZ39" s="51"/>
      <c r="DTA39" s="51"/>
      <c r="DTB39" s="51"/>
      <c r="DTC39" s="51"/>
      <c r="DTD39" s="51"/>
      <c r="DTE39" s="51"/>
      <c r="DTF39" s="51"/>
      <c r="DTG39" s="51"/>
      <c r="DTH39" s="51"/>
      <c r="DTI39" s="51"/>
      <c r="DTJ39" s="51"/>
      <c r="DTK39" s="51"/>
      <c r="DTL39" s="51"/>
      <c r="DTM39" s="51"/>
      <c r="DTN39" s="51"/>
      <c r="DTO39" s="51"/>
      <c r="DTP39" s="51"/>
      <c r="DTQ39" s="51"/>
      <c r="DTR39" s="51"/>
      <c r="DTS39" s="51"/>
      <c r="DTT39" s="51"/>
      <c r="DTU39" s="51"/>
      <c r="DTV39" s="51"/>
      <c r="DTW39" s="51"/>
      <c r="DTX39" s="51"/>
      <c r="DTY39" s="51"/>
      <c r="DTZ39" s="51"/>
      <c r="DUA39" s="51"/>
      <c r="DUB39" s="51"/>
      <c r="DUC39" s="51"/>
      <c r="DUD39" s="51"/>
      <c r="DUE39" s="51"/>
      <c r="DUF39" s="51"/>
      <c r="DUG39" s="51"/>
      <c r="DUH39" s="51"/>
      <c r="DUI39" s="51"/>
      <c r="DUJ39" s="51"/>
      <c r="DUK39" s="51"/>
      <c r="DUL39" s="51"/>
      <c r="DUM39" s="51"/>
      <c r="DUN39" s="51"/>
      <c r="DUO39" s="51"/>
      <c r="DUP39" s="51"/>
      <c r="DUQ39" s="51"/>
      <c r="DUR39" s="51"/>
      <c r="DUS39" s="51"/>
      <c r="DUT39" s="51"/>
      <c r="DUU39" s="51"/>
      <c r="DUV39" s="51"/>
      <c r="DUW39" s="51"/>
      <c r="DUX39" s="51"/>
      <c r="DUY39" s="51"/>
      <c r="DUZ39" s="51"/>
      <c r="DVA39" s="51"/>
      <c r="DVB39" s="51"/>
      <c r="DVC39" s="51"/>
      <c r="DVD39" s="51"/>
      <c r="DVE39" s="51"/>
      <c r="DVF39" s="51"/>
      <c r="DVG39" s="51"/>
      <c r="DVH39" s="51"/>
      <c r="DVI39" s="51"/>
      <c r="DVJ39" s="51"/>
      <c r="DVK39" s="51"/>
      <c r="DVL39" s="51"/>
      <c r="DVM39" s="51"/>
      <c r="DVN39" s="51"/>
      <c r="DVO39" s="51"/>
      <c r="DVP39" s="51"/>
      <c r="DVQ39" s="51"/>
      <c r="DVR39" s="51"/>
      <c r="DVS39" s="51"/>
      <c r="DVT39" s="51"/>
      <c r="DVU39" s="51"/>
      <c r="DVV39" s="51"/>
      <c r="DVW39" s="51"/>
      <c r="DVX39" s="51"/>
      <c r="DVY39" s="51"/>
      <c r="DVZ39" s="51"/>
      <c r="DWA39" s="51"/>
      <c r="DWB39" s="51"/>
      <c r="DWC39" s="51"/>
      <c r="DWD39" s="51"/>
      <c r="DWE39" s="51"/>
      <c r="DWF39" s="51"/>
      <c r="DWG39" s="51"/>
      <c r="DWH39" s="51"/>
      <c r="DWI39" s="51"/>
      <c r="DWJ39" s="51"/>
      <c r="DWK39" s="51"/>
      <c r="DWL39" s="51"/>
      <c r="DWM39" s="51"/>
      <c r="DWN39" s="51"/>
      <c r="DWO39" s="51"/>
      <c r="DWP39" s="51"/>
      <c r="DWQ39" s="51"/>
      <c r="DWR39" s="51"/>
      <c r="DWS39" s="51"/>
      <c r="DWT39" s="51"/>
      <c r="DWU39" s="51"/>
      <c r="DWV39" s="51"/>
      <c r="DWW39" s="51"/>
      <c r="DWX39" s="51"/>
      <c r="DWY39" s="51"/>
      <c r="DWZ39" s="51"/>
      <c r="DXA39" s="51"/>
      <c r="DXB39" s="51"/>
      <c r="DXC39" s="51"/>
      <c r="DXD39" s="51"/>
      <c r="DXE39" s="51"/>
      <c r="DXF39" s="51"/>
      <c r="DXG39" s="51"/>
      <c r="DXH39" s="51"/>
      <c r="DXI39" s="51"/>
      <c r="DXJ39" s="51"/>
      <c r="DXK39" s="51"/>
      <c r="DXL39" s="51"/>
      <c r="DXM39" s="51"/>
      <c r="DXN39" s="51"/>
      <c r="DXO39" s="51"/>
      <c r="DXP39" s="51"/>
      <c r="DXQ39" s="51"/>
      <c r="DXR39" s="51"/>
      <c r="DXS39" s="51"/>
      <c r="DXT39" s="51"/>
      <c r="DXU39" s="51"/>
      <c r="DXV39" s="51"/>
      <c r="DXW39" s="51"/>
      <c r="DXX39" s="51"/>
      <c r="DXY39" s="51"/>
      <c r="DXZ39" s="51"/>
      <c r="DYA39" s="51"/>
      <c r="DYB39" s="51"/>
      <c r="DYC39" s="51"/>
      <c r="DYD39" s="51"/>
      <c r="DYE39" s="51"/>
      <c r="DYF39" s="51"/>
      <c r="DYG39" s="51"/>
      <c r="DYH39" s="51"/>
      <c r="DYI39" s="51"/>
      <c r="DYJ39" s="51"/>
      <c r="DYK39" s="51"/>
      <c r="DYL39" s="51"/>
      <c r="DYM39" s="51"/>
      <c r="DYN39" s="51"/>
      <c r="DYO39" s="51"/>
      <c r="DYP39" s="51"/>
      <c r="DYQ39" s="51"/>
      <c r="DYR39" s="51"/>
      <c r="DYS39" s="51"/>
      <c r="DYT39" s="51"/>
      <c r="DYU39" s="51"/>
      <c r="DYV39" s="51"/>
      <c r="DYW39" s="51"/>
      <c r="DYX39" s="51"/>
      <c r="DYY39" s="51"/>
      <c r="DYZ39" s="51"/>
      <c r="DZA39" s="51"/>
      <c r="DZB39" s="51"/>
      <c r="DZC39" s="51"/>
      <c r="DZD39" s="51"/>
      <c r="DZE39" s="51"/>
      <c r="DZF39" s="51"/>
      <c r="DZG39" s="51"/>
      <c r="DZH39" s="51"/>
      <c r="DZI39" s="51"/>
      <c r="DZJ39" s="51"/>
      <c r="DZK39" s="51"/>
      <c r="DZL39" s="51"/>
      <c r="DZM39" s="51"/>
      <c r="DZN39" s="51"/>
      <c r="DZO39" s="51"/>
      <c r="DZP39" s="51"/>
      <c r="DZQ39" s="51"/>
      <c r="DZR39" s="51"/>
      <c r="DZS39" s="51"/>
      <c r="DZT39" s="51"/>
      <c r="DZU39" s="51"/>
      <c r="DZV39" s="51"/>
      <c r="DZW39" s="51"/>
      <c r="DZX39" s="51"/>
      <c r="DZY39" s="51"/>
      <c r="DZZ39" s="51"/>
      <c r="EAA39" s="51"/>
      <c r="EAB39" s="51"/>
      <c r="EAC39" s="51"/>
      <c r="EAD39" s="51"/>
      <c r="EAE39" s="51"/>
      <c r="EAF39" s="51"/>
      <c r="EAG39" s="51"/>
      <c r="EAH39" s="51"/>
      <c r="EAI39" s="51"/>
      <c r="EAJ39" s="51"/>
      <c r="EAK39" s="51"/>
      <c r="EAL39" s="51"/>
      <c r="EAM39" s="51"/>
      <c r="EAN39" s="51"/>
      <c r="EAO39" s="51"/>
      <c r="EAP39" s="51"/>
      <c r="EAQ39" s="51"/>
      <c r="EAR39" s="51"/>
      <c r="EAS39" s="51"/>
      <c r="EAT39" s="51"/>
      <c r="EAU39" s="51"/>
      <c r="EAV39" s="51"/>
      <c r="EAW39" s="51"/>
      <c r="EAX39" s="51"/>
      <c r="EAY39" s="51"/>
      <c r="EAZ39" s="51"/>
      <c r="EBA39" s="51"/>
      <c r="EBB39" s="51"/>
      <c r="EBC39" s="51"/>
      <c r="EBD39" s="51"/>
      <c r="EBE39" s="51"/>
      <c r="EBF39" s="51"/>
      <c r="EBG39" s="51"/>
      <c r="EBH39" s="51"/>
      <c r="EBI39" s="51"/>
      <c r="EBJ39" s="51"/>
      <c r="EBK39" s="51"/>
      <c r="EBL39" s="51"/>
      <c r="EBM39" s="51"/>
      <c r="EBN39" s="51"/>
      <c r="EBO39" s="51"/>
      <c r="EBP39" s="51"/>
      <c r="EBQ39" s="51"/>
      <c r="EBR39" s="51"/>
      <c r="EBS39" s="51"/>
      <c r="EBT39" s="51"/>
      <c r="EBU39" s="51"/>
      <c r="EBV39" s="51"/>
      <c r="EBW39" s="51"/>
      <c r="EBX39" s="51"/>
      <c r="EBY39" s="51"/>
      <c r="EBZ39" s="51"/>
      <c r="ECA39" s="51"/>
      <c r="ECB39" s="51"/>
      <c r="ECC39" s="51"/>
      <c r="ECD39" s="51"/>
      <c r="ECE39" s="51"/>
      <c r="ECF39" s="51"/>
      <c r="ECG39" s="51"/>
      <c r="ECH39" s="51"/>
      <c r="ECI39" s="51"/>
      <c r="ECJ39" s="51"/>
      <c r="ECK39" s="51"/>
      <c r="ECL39" s="51"/>
      <c r="ECM39" s="51"/>
      <c r="ECN39" s="51"/>
      <c r="ECO39" s="51"/>
      <c r="ECP39" s="51"/>
      <c r="ECQ39" s="51"/>
      <c r="ECR39" s="51"/>
      <c r="ECS39" s="51"/>
      <c r="ECT39" s="51"/>
      <c r="ECU39" s="51"/>
      <c r="ECV39" s="51"/>
      <c r="ECW39" s="51"/>
      <c r="ECX39" s="51"/>
      <c r="ECY39" s="51"/>
      <c r="ECZ39" s="51"/>
      <c r="EDA39" s="51"/>
      <c r="EDB39" s="51"/>
      <c r="EDC39" s="51"/>
      <c r="EDD39" s="51"/>
      <c r="EDE39" s="51"/>
      <c r="EDF39" s="51"/>
      <c r="EDG39" s="51"/>
      <c r="EDH39" s="51"/>
      <c r="EDI39" s="51"/>
      <c r="EDJ39" s="51"/>
      <c r="EDK39" s="51"/>
      <c r="EDL39" s="51"/>
      <c r="EDM39" s="51"/>
      <c r="EDN39" s="51"/>
      <c r="EDO39" s="51"/>
      <c r="EDP39" s="51"/>
      <c r="EDQ39" s="51"/>
      <c r="EDR39" s="51"/>
      <c r="EDS39" s="51"/>
      <c r="EDT39" s="51"/>
      <c r="EDU39" s="51"/>
      <c r="EDV39" s="51"/>
      <c r="EDW39" s="51"/>
      <c r="EDX39" s="51"/>
      <c r="EDY39" s="51"/>
      <c r="EDZ39" s="51"/>
      <c r="EEA39" s="51"/>
      <c r="EEB39" s="51"/>
      <c r="EEC39" s="51"/>
      <c r="EED39" s="51"/>
      <c r="EEE39" s="51"/>
      <c r="EEF39" s="51"/>
      <c r="EEG39" s="51"/>
      <c r="EEH39" s="51"/>
      <c r="EEI39" s="51"/>
      <c r="EEJ39" s="51"/>
      <c r="EEK39" s="51"/>
      <c r="EEL39" s="51"/>
      <c r="EEM39" s="51"/>
      <c r="EEN39" s="51"/>
      <c r="EEO39" s="51"/>
      <c r="EEP39" s="51"/>
      <c r="EEQ39" s="51"/>
      <c r="EER39" s="51"/>
      <c r="EES39" s="51"/>
      <c r="EET39" s="51"/>
      <c r="EEU39" s="51"/>
      <c r="EEV39" s="51"/>
      <c r="EEW39" s="51"/>
      <c r="EEX39" s="51"/>
      <c r="EEY39" s="51"/>
      <c r="EEZ39" s="51"/>
      <c r="EFA39" s="51"/>
      <c r="EFB39" s="51"/>
      <c r="EFC39" s="51"/>
      <c r="EFD39" s="51"/>
      <c r="EFE39" s="51"/>
      <c r="EFF39" s="51"/>
      <c r="EFG39" s="51"/>
      <c r="EFH39" s="51"/>
      <c r="EFI39" s="51"/>
      <c r="EFJ39" s="51"/>
      <c r="EFK39" s="51"/>
      <c r="EFL39" s="51"/>
      <c r="EFM39" s="51"/>
      <c r="EFN39" s="51"/>
      <c r="EFO39" s="51"/>
      <c r="EFP39" s="51"/>
      <c r="EFQ39" s="51"/>
      <c r="EFR39" s="51"/>
      <c r="EFS39" s="51"/>
      <c r="EFT39" s="51"/>
      <c r="EFU39" s="51"/>
      <c r="EFV39" s="51"/>
      <c r="EFW39" s="51"/>
      <c r="EFX39" s="51"/>
      <c r="EFY39" s="51"/>
      <c r="EFZ39" s="51"/>
      <c r="EGA39" s="51"/>
      <c r="EGB39" s="51"/>
      <c r="EGC39" s="51"/>
      <c r="EGD39" s="51"/>
      <c r="EGE39" s="51"/>
      <c r="EGF39" s="51"/>
      <c r="EGG39" s="51"/>
      <c r="EGH39" s="51"/>
      <c r="EGI39" s="51"/>
      <c r="EGJ39" s="51"/>
      <c r="EGK39" s="51"/>
      <c r="EGL39" s="51"/>
      <c r="EGM39" s="51"/>
      <c r="EGN39" s="51"/>
      <c r="EGO39" s="51"/>
      <c r="EGP39" s="51"/>
      <c r="EGQ39" s="51"/>
      <c r="EGR39" s="51"/>
      <c r="EGS39" s="51"/>
      <c r="EGT39" s="51"/>
      <c r="EGU39" s="51"/>
      <c r="EGV39" s="51"/>
      <c r="EGW39" s="51"/>
      <c r="EGX39" s="51"/>
      <c r="EGY39" s="51"/>
      <c r="EGZ39" s="51"/>
      <c r="EHA39" s="51"/>
      <c r="EHB39" s="51"/>
      <c r="EHC39" s="51"/>
      <c r="EHD39" s="51"/>
      <c r="EHE39" s="51"/>
      <c r="EHF39" s="51"/>
      <c r="EHG39" s="51"/>
      <c r="EHH39" s="51"/>
      <c r="EHI39" s="51"/>
      <c r="EHJ39" s="51"/>
      <c r="EHK39" s="51"/>
      <c r="EHL39" s="51"/>
      <c r="EHM39" s="51"/>
      <c r="EHN39" s="51"/>
      <c r="EHO39" s="51"/>
      <c r="EHP39" s="51"/>
      <c r="EHQ39" s="51"/>
      <c r="EHR39" s="51"/>
      <c r="EHS39" s="51"/>
      <c r="EHT39" s="51"/>
      <c r="EHU39" s="51"/>
      <c r="EHV39" s="51"/>
      <c r="EHW39" s="51"/>
      <c r="EHX39" s="51"/>
      <c r="EHY39" s="51"/>
      <c r="EHZ39" s="51"/>
      <c r="EIA39" s="51"/>
      <c r="EIB39" s="51"/>
      <c r="EIC39" s="51"/>
      <c r="EID39" s="51"/>
      <c r="EIE39" s="51"/>
      <c r="EIF39" s="51"/>
      <c r="EIG39" s="51"/>
      <c r="EIH39" s="51"/>
      <c r="EII39" s="51"/>
      <c r="EIJ39" s="51"/>
      <c r="EIK39" s="51"/>
      <c r="EIL39" s="51"/>
      <c r="EIM39" s="51"/>
      <c r="EIN39" s="51"/>
      <c r="EIO39" s="51"/>
      <c r="EIP39" s="51"/>
      <c r="EIQ39" s="51"/>
      <c r="EIR39" s="51"/>
      <c r="EIS39" s="51"/>
      <c r="EIT39" s="51"/>
      <c r="EIU39" s="51"/>
      <c r="EIV39" s="51"/>
      <c r="EIW39" s="51"/>
      <c r="EIX39" s="51"/>
      <c r="EIY39" s="51"/>
      <c r="EIZ39" s="51"/>
      <c r="EJA39" s="51"/>
      <c r="EJB39" s="51"/>
      <c r="EJC39" s="51"/>
      <c r="EJD39" s="51"/>
      <c r="EJE39" s="51"/>
      <c r="EJF39" s="51"/>
      <c r="EJG39" s="51"/>
      <c r="EJH39" s="51"/>
      <c r="EJI39" s="51"/>
      <c r="EJJ39" s="51"/>
      <c r="EJK39" s="51"/>
      <c r="EJL39" s="51"/>
      <c r="EJM39" s="51"/>
      <c r="EJN39" s="51"/>
      <c r="EJO39" s="51"/>
      <c r="EJP39" s="51"/>
      <c r="EJQ39" s="51"/>
      <c r="EJR39" s="51"/>
      <c r="EJS39" s="51"/>
      <c r="EJT39" s="51"/>
      <c r="EJU39" s="51"/>
      <c r="EJV39" s="51"/>
      <c r="EJW39" s="51"/>
      <c r="EJX39" s="51"/>
      <c r="EJY39" s="51"/>
      <c r="EJZ39" s="51"/>
      <c r="EKA39" s="51"/>
      <c r="EKB39" s="51"/>
      <c r="EKC39" s="51"/>
      <c r="EKD39" s="51"/>
      <c r="EKE39" s="51"/>
      <c r="EKF39" s="51"/>
      <c r="EKG39" s="51"/>
      <c r="EKH39" s="51"/>
      <c r="EKI39" s="51"/>
      <c r="EKJ39" s="51"/>
      <c r="EKK39" s="51"/>
      <c r="EKL39" s="51"/>
      <c r="EKM39" s="51"/>
      <c r="EKN39" s="51"/>
      <c r="EKO39" s="51"/>
      <c r="EKP39" s="51"/>
      <c r="EKQ39" s="51"/>
      <c r="EKR39" s="51"/>
      <c r="EKS39" s="51"/>
      <c r="EKT39" s="51"/>
      <c r="EKU39" s="51"/>
      <c r="EKV39" s="51"/>
      <c r="EKW39" s="51"/>
      <c r="EKX39" s="51"/>
      <c r="EKY39" s="51"/>
      <c r="EKZ39" s="51"/>
      <c r="ELA39" s="51"/>
      <c r="ELB39" s="51"/>
      <c r="ELC39" s="51"/>
      <c r="ELD39" s="51"/>
      <c r="ELE39" s="51"/>
      <c r="ELF39" s="51"/>
      <c r="ELG39" s="51"/>
      <c r="ELH39" s="51"/>
      <c r="ELI39" s="51"/>
      <c r="ELJ39" s="51"/>
      <c r="ELK39" s="51"/>
      <c r="ELL39" s="51"/>
      <c r="ELM39" s="51"/>
      <c r="ELN39" s="51"/>
      <c r="ELO39" s="51"/>
      <c r="ELP39" s="51"/>
      <c r="ELQ39" s="51"/>
      <c r="ELR39" s="51"/>
      <c r="ELS39" s="51"/>
      <c r="ELT39" s="51"/>
      <c r="ELU39" s="51"/>
      <c r="ELV39" s="51"/>
      <c r="ELW39" s="51"/>
      <c r="ELX39" s="51"/>
      <c r="ELY39" s="51"/>
      <c r="ELZ39" s="51"/>
      <c r="EMA39" s="51"/>
      <c r="EMB39" s="51"/>
      <c r="EMC39" s="51"/>
      <c r="EMD39" s="51"/>
      <c r="EME39" s="51"/>
      <c r="EMF39" s="51"/>
      <c r="EMG39" s="51"/>
      <c r="EMH39" s="51"/>
      <c r="EMI39" s="51"/>
      <c r="EMJ39" s="51"/>
      <c r="EMK39" s="51"/>
      <c r="EML39" s="51"/>
      <c r="EMM39" s="51"/>
      <c r="EMN39" s="51"/>
      <c r="EMO39" s="51"/>
      <c r="EMP39" s="51"/>
      <c r="EMQ39" s="51"/>
      <c r="EMR39" s="51"/>
      <c r="EMS39" s="51"/>
      <c r="EMT39" s="51"/>
      <c r="EMU39" s="51"/>
      <c r="EMV39" s="51"/>
      <c r="EMW39" s="51"/>
      <c r="EMX39" s="51"/>
      <c r="EMY39" s="51"/>
      <c r="EMZ39" s="51"/>
      <c r="ENA39" s="51"/>
      <c r="ENB39" s="51"/>
      <c r="ENC39" s="51"/>
      <c r="END39" s="51"/>
      <c r="ENE39" s="51"/>
      <c r="ENF39" s="51"/>
      <c r="ENG39" s="51"/>
      <c r="ENH39" s="51"/>
      <c r="ENI39" s="51"/>
      <c r="ENJ39" s="51"/>
      <c r="ENK39" s="51"/>
      <c r="ENL39" s="51"/>
      <c r="ENM39" s="51"/>
      <c r="ENN39" s="51"/>
      <c r="ENO39" s="51"/>
      <c r="ENP39" s="51"/>
      <c r="ENQ39" s="51"/>
      <c r="ENR39" s="51"/>
      <c r="ENS39" s="51"/>
      <c r="ENT39" s="51"/>
      <c r="ENU39" s="51"/>
      <c r="ENV39" s="51"/>
      <c r="ENW39" s="51"/>
      <c r="ENX39" s="51"/>
      <c r="ENY39" s="51"/>
      <c r="ENZ39" s="51"/>
      <c r="EOA39" s="51"/>
      <c r="EOB39" s="51"/>
      <c r="EOC39" s="51"/>
      <c r="EOD39" s="51"/>
      <c r="EOE39" s="51"/>
      <c r="EOF39" s="51"/>
      <c r="EOG39" s="51"/>
      <c r="EOH39" s="51"/>
      <c r="EOI39" s="51"/>
      <c r="EOJ39" s="51"/>
      <c r="EOK39" s="51"/>
      <c r="EOL39" s="51"/>
      <c r="EOM39" s="51"/>
      <c r="EON39" s="51"/>
      <c r="EOO39" s="51"/>
      <c r="EOP39" s="51"/>
      <c r="EOQ39" s="51"/>
      <c r="EOR39" s="51"/>
      <c r="EOS39" s="51"/>
      <c r="EOT39" s="51"/>
      <c r="EOU39" s="51"/>
      <c r="EOV39" s="51"/>
      <c r="EOW39" s="51"/>
      <c r="EOX39" s="51"/>
      <c r="EOY39" s="51"/>
      <c r="EOZ39" s="51"/>
      <c r="EPA39" s="51"/>
      <c r="EPB39" s="51"/>
      <c r="EPC39" s="51"/>
      <c r="EPD39" s="51"/>
      <c r="EPE39" s="51"/>
      <c r="EPF39" s="51"/>
      <c r="EPG39" s="51"/>
      <c r="EPH39" s="51"/>
      <c r="EPI39" s="51"/>
      <c r="EPJ39" s="51"/>
      <c r="EPK39" s="51"/>
      <c r="EPL39" s="51"/>
      <c r="EPM39" s="51"/>
      <c r="EPN39" s="51"/>
      <c r="EPO39" s="51"/>
      <c r="EPP39" s="51"/>
      <c r="EPQ39" s="51"/>
      <c r="EPR39" s="51"/>
      <c r="EPS39" s="51"/>
      <c r="EPT39" s="51"/>
      <c r="EPU39" s="51"/>
      <c r="EPV39" s="51"/>
      <c r="EPW39" s="51"/>
      <c r="EPX39" s="51"/>
      <c r="EPY39" s="51"/>
      <c r="EPZ39" s="51"/>
      <c r="EQA39" s="51"/>
      <c r="EQB39" s="51"/>
      <c r="EQC39" s="51"/>
      <c r="EQD39" s="51"/>
      <c r="EQE39" s="51"/>
      <c r="EQF39" s="51"/>
      <c r="EQG39" s="51"/>
      <c r="EQH39" s="51"/>
      <c r="EQI39" s="51"/>
      <c r="EQJ39" s="51"/>
      <c r="EQK39" s="51"/>
      <c r="EQL39" s="51"/>
      <c r="EQM39" s="51"/>
      <c r="EQN39" s="51"/>
      <c r="EQO39" s="51"/>
      <c r="EQP39" s="51"/>
      <c r="EQQ39" s="51"/>
      <c r="EQR39" s="51"/>
      <c r="EQS39" s="51"/>
      <c r="EQT39" s="51"/>
      <c r="EQU39" s="51"/>
      <c r="EQV39" s="51"/>
      <c r="EQW39" s="51"/>
      <c r="EQX39" s="51"/>
      <c r="EQY39" s="51"/>
      <c r="EQZ39" s="51"/>
      <c r="ERA39" s="51"/>
      <c r="ERB39" s="51"/>
      <c r="ERC39" s="51"/>
      <c r="ERD39" s="51"/>
      <c r="ERE39" s="51"/>
      <c r="ERF39" s="51"/>
      <c r="ERG39" s="51"/>
      <c r="ERH39" s="51"/>
      <c r="ERI39" s="51"/>
      <c r="ERJ39" s="51"/>
      <c r="ERK39" s="51"/>
      <c r="ERL39" s="51"/>
      <c r="ERM39" s="51"/>
      <c r="ERN39" s="51"/>
      <c r="ERO39" s="51"/>
      <c r="ERP39" s="51"/>
      <c r="ERQ39" s="51"/>
      <c r="ERR39" s="51"/>
      <c r="ERS39" s="51"/>
      <c r="ERT39" s="51"/>
      <c r="ERU39" s="51"/>
      <c r="ERV39" s="51"/>
      <c r="ERW39" s="51"/>
      <c r="ERX39" s="51"/>
      <c r="ERY39" s="51"/>
      <c r="ERZ39" s="51"/>
      <c r="ESA39" s="51"/>
      <c r="ESB39" s="51"/>
      <c r="ESC39" s="51"/>
      <c r="ESD39" s="51"/>
      <c r="ESE39" s="51"/>
      <c r="ESF39" s="51"/>
      <c r="ESG39" s="51"/>
      <c r="ESH39" s="51"/>
      <c r="ESI39" s="51"/>
      <c r="ESJ39" s="51"/>
      <c r="ESK39" s="51"/>
      <c r="ESL39" s="51"/>
      <c r="ESM39" s="51"/>
      <c r="ESN39" s="51"/>
      <c r="ESO39" s="51"/>
      <c r="ESP39" s="51"/>
      <c r="ESQ39" s="51"/>
      <c r="ESR39" s="51"/>
      <c r="ESS39" s="51"/>
      <c r="EST39" s="51"/>
      <c r="ESU39" s="51"/>
      <c r="ESV39" s="51"/>
      <c r="ESW39" s="51"/>
      <c r="ESX39" s="51"/>
      <c r="ESY39" s="51"/>
      <c r="ESZ39" s="51"/>
      <c r="ETA39" s="51"/>
      <c r="ETB39" s="51"/>
      <c r="ETC39" s="51"/>
      <c r="ETD39" s="51"/>
      <c r="ETE39" s="51"/>
      <c r="ETF39" s="51"/>
      <c r="ETG39" s="51"/>
      <c r="ETH39" s="51"/>
      <c r="ETI39" s="51"/>
      <c r="ETJ39" s="51"/>
      <c r="ETK39" s="51"/>
      <c r="ETL39" s="51"/>
      <c r="ETM39" s="51"/>
      <c r="ETN39" s="51"/>
      <c r="ETO39" s="51"/>
      <c r="ETP39" s="51"/>
      <c r="ETQ39" s="51"/>
      <c r="ETR39" s="51"/>
      <c r="ETS39" s="51"/>
      <c r="ETT39" s="51"/>
      <c r="ETU39" s="51"/>
      <c r="ETV39" s="51"/>
      <c r="ETW39" s="51"/>
      <c r="ETX39" s="51"/>
      <c r="ETY39" s="51"/>
      <c r="ETZ39" s="51"/>
      <c r="EUA39" s="51"/>
      <c r="EUB39" s="51"/>
      <c r="EUC39" s="51"/>
      <c r="EUD39" s="51"/>
      <c r="EUE39" s="51"/>
      <c r="EUF39" s="51"/>
      <c r="EUG39" s="51"/>
      <c r="EUH39" s="51"/>
      <c r="EUI39" s="51"/>
      <c r="EUJ39" s="51"/>
      <c r="EUK39" s="51"/>
      <c r="EUL39" s="51"/>
      <c r="EUM39" s="51"/>
      <c r="EUN39" s="51"/>
      <c r="EUO39" s="51"/>
      <c r="EUP39" s="51"/>
      <c r="EUQ39" s="51"/>
      <c r="EUR39" s="51"/>
      <c r="EUS39" s="51"/>
      <c r="EUT39" s="51"/>
      <c r="EUU39" s="51"/>
      <c r="EUV39" s="51"/>
      <c r="EUW39" s="51"/>
      <c r="EUX39" s="51"/>
      <c r="EUY39" s="51"/>
      <c r="EUZ39" s="51"/>
      <c r="EVA39" s="51"/>
      <c r="EVB39" s="51"/>
      <c r="EVC39" s="51"/>
      <c r="EVD39" s="51"/>
      <c r="EVE39" s="51"/>
      <c r="EVF39" s="51"/>
      <c r="EVG39" s="51"/>
      <c r="EVH39" s="51"/>
      <c r="EVI39" s="51"/>
      <c r="EVJ39" s="51"/>
      <c r="EVK39" s="51"/>
      <c r="EVL39" s="51"/>
      <c r="EVM39" s="51"/>
      <c r="EVN39" s="51"/>
      <c r="EVO39" s="51"/>
      <c r="EVP39" s="51"/>
      <c r="EVQ39" s="51"/>
      <c r="EVR39" s="51"/>
      <c r="EVS39" s="51"/>
      <c r="EVT39" s="51"/>
      <c r="EVU39" s="51"/>
      <c r="EVV39" s="51"/>
      <c r="EVW39" s="51"/>
      <c r="EVX39" s="51"/>
      <c r="EVY39" s="51"/>
      <c r="EVZ39" s="51"/>
      <c r="EWA39" s="51"/>
      <c r="EWB39" s="51"/>
      <c r="EWC39" s="51"/>
      <c r="EWD39" s="51"/>
      <c r="EWE39" s="51"/>
      <c r="EWF39" s="51"/>
      <c r="EWG39" s="51"/>
      <c r="EWH39" s="51"/>
      <c r="EWI39" s="51"/>
      <c r="EWJ39" s="51"/>
      <c r="EWK39" s="51"/>
      <c r="EWL39" s="51"/>
      <c r="EWM39" s="51"/>
      <c r="EWN39" s="51"/>
      <c r="EWO39" s="51"/>
      <c r="EWP39" s="51"/>
      <c r="EWQ39" s="51"/>
      <c r="EWR39" s="51"/>
      <c r="EWS39" s="51"/>
      <c r="EWT39" s="51"/>
      <c r="EWU39" s="51"/>
      <c r="EWV39" s="51"/>
      <c r="EWW39" s="51"/>
      <c r="EWX39" s="51"/>
      <c r="EWY39" s="51"/>
      <c r="EWZ39" s="51"/>
      <c r="EXA39" s="51"/>
      <c r="EXB39" s="51"/>
      <c r="EXC39" s="51"/>
      <c r="EXD39" s="51"/>
      <c r="EXE39" s="51"/>
      <c r="EXF39" s="51"/>
      <c r="EXG39" s="51"/>
      <c r="EXH39" s="51"/>
      <c r="EXI39" s="51"/>
      <c r="EXJ39" s="51"/>
      <c r="EXK39" s="51"/>
      <c r="EXL39" s="51"/>
      <c r="EXM39" s="51"/>
      <c r="EXN39" s="51"/>
      <c r="EXO39" s="51"/>
      <c r="EXP39" s="51"/>
      <c r="EXQ39" s="51"/>
      <c r="EXR39" s="51"/>
      <c r="EXS39" s="51"/>
      <c r="EXT39" s="51"/>
      <c r="EXU39" s="51"/>
      <c r="EXV39" s="51"/>
      <c r="EXW39" s="51"/>
      <c r="EXX39" s="51"/>
      <c r="EXY39" s="51"/>
      <c r="EXZ39" s="51"/>
      <c r="EYA39" s="51"/>
      <c r="EYB39" s="51"/>
      <c r="EYC39" s="51"/>
      <c r="EYD39" s="51"/>
      <c r="EYE39" s="51"/>
      <c r="EYF39" s="51"/>
      <c r="EYG39" s="51"/>
      <c r="EYH39" s="51"/>
      <c r="EYI39" s="51"/>
      <c r="EYJ39" s="51"/>
      <c r="EYK39" s="51"/>
      <c r="EYL39" s="51"/>
      <c r="EYM39" s="51"/>
      <c r="EYN39" s="51"/>
      <c r="EYO39" s="51"/>
      <c r="EYP39" s="51"/>
      <c r="EYQ39" s="51"/>
      <c r="EYR39" s="51"/>
      <c r="EYS39" s="51"/>
      <c r="EYT39" s="51"/>
      <c r="EYU39" s="51"/>
      <c r="EYV39" s="51"/>
      <c r="EYW39" s="51"/>
      <c r="EYX39" s="51"/>
      <c r="EYY39" s="51"/>
      <c r="EYZ39" s="51"/>
      <c r="EZA39" s="51"/>
      <c r="EZB39" s="51"/>
      <c r="EZC39" s="51"/>
      <c r="EZD39" s="51"/>
      <c r="EZE39" s="51"/>
      <c r="EZF39" s="51"/>
      <c r="EZG39" s="51"/>
      <c r="EZH39" s="51"/>
      <c r="EZI39" s="51"/>
      <c r="EZJ39" s="51"/>
      <c r="EZK39" s="51"/>
      <c r="EZL39" s="51"/>
      <c r="EZM39" s="51"/>
      <c r="EZN39" s="51"/>
      <c r="EZO39" s="51"/>
      <c r="EZP39" s="51"/>
      <c r="EZQ39" s="51"/>
      <c r="EZR39" s="51"/>
      <c r="EZS39" s="51"/>
      <c r="EZT39" s="51"/>
      <c r="EZU39" s="51"/>
      <c r="EZV39" s="51"/>
      <c r="EZW39" s="51"/>
      <c r="EZX39" s="51"/>
      <c r="EZY39" s="51"/>
      <c r="EZZ39" s="51"/>
      <c r="FAA39" s="51"/>
      <c r="FAB39" s="51"/>
      <c r="FAC39" s="51"/>
      <c r="FAD39" s="51"/>
      <c r="FAE39" s="51"/>
      <c r="FAF39" s="51"/>
      <c r="FAG39" s="51"/>
      <c r="FAH39" s="51"/>
      <c r="FAI39" s="51"/>
      <c r="FAJ39" s="51"/>
      <c r="FAK39" s="51"/>
      <c r="FAL39" s="51"/>
      <c r="FAM39" s="51"/>
      <c r="FAN39" s="51"/>
      <c r="FAO39" s="51"/>
      <c r="FAP39" s="51"/>
      <c r="FAQ39" s="51"/>
      <c r="FAR39" s="51"/>
      <c r="FAS39" s="51"/>
      <c r="FAT39" s="51"/>
      <c r="FAU39" s="51"/>
      <c r="FAV39" s="51"/>
      <c r="FAW39" s="51"/>
      <c r="FAX39" s="51"/>
      <c r="FAY39" s="51"/>
      <c r="FAZ39" s="51"/>
      <c r="FBA39" s="51"/>
      <c r="FBB39" s="51"/>
      <c r="FBC39" s="51"/>
      <c r="FBD39" s="51"/>
      <c r="FBE39" s="51"/>
      <c r="FBF39" s="51"/>
      <c r="FBG39" s="51"/>
      <c r="FBH39" s="51"/>
      <c r="FBI39" s="51"/>
      <c r="FBJ39" s="51"/>
      <c r="FBK39" s="51"/>
      <c r="FBL39" s="51"/>
      <c r="FBM39" s="51"/>
      <c r="FBN39" s="51"/>
      <c r="FBO39" s="51"/>
      <c r="FBP39" s="51"/>
      <c r="FBQ39" s="51"/>
      <c r="FBR39" s="51"/>
      <c r="FBS39" s="51"/>
      <c r="FBT39" s="51"/>
      <c r="FBU39" s="51"/>
      <c r="FBV39" s="51"/>
      <c r="FBW39" s="51"/>
      <c r="FBX39" s="51"/>
      <c r="FBY39" s="51"/>
      <c r="FBZ39" s="51"/>
      <c r="FCA39" s="51"/>
      <c r="FCB39" s="51"/>
      <c r="FCC39" s="51"/>
      <c r="FCD39" s="51"/>
      <c r="FCE39" s="51"/>
      <c r="FCF39" s="51"/>
      <c r="FCG39" s="51"/>
      <c r="FCH39" s="51"/>
      <c r="FCI39" s="51"/>
      <c r="FCJ39" s="51"/>
      <c r="FCK39" s="51"/>
      <c r="FCL39" s="51"/>
      <c r="FCM39" s="51"/>
      <c r="FCN39" s="51"/>
      <c r="FCO39" s="51"/>
      <c r="FCP39" s="51"/>
      <c r="FCQ39" s="51"/>
      <c r="FCR39" s="51"/>
      <c r="FCS39" s="51"/>
      <c r="FCT39" s="51"/>
      <c r="FCU39" s="51"/>
      <c r="FCV39" s="51"/>
      <c r="FCW39" s="51"/>
      <c r="FCX39" s="51"/>
      <c r="FCY39" s="51"/>
      <c r="FCZ39" s="51"/>
      <c r="FDA39" s="51"/>
      <c r="FDB39" s="51"/>
      <c r="FDC39" s="51"/>
      <c r="FDD39" s="51"/>
      <c r="FDE39" s="51"/>
      <c r="FDF39" s="51"/>
      <c r="FDG39" s="51"/>
      <c r="FDH39" s="51"/>
      <c r="FDI39" s="51"/>
      <c r="FDJ39" s="51"/>
      <c r="FDK39" s="51"/>
      <c r="FDL39" s="51"/>
      <c r="FDM39" s="51"/>
      <c r="FDN39" s="51"/>
      <c r="FDO39" s="51"/>
      <c r="FDP39" s="51"/>
      <c r="FDQ39" s="51"/>
      <c r="FDR39" s="51"/>
      <c r="FDS39" s="51"/>
      <c r="FDT39" s="51"/>
      <c r="FDU39" s="51"/>
      <c r="FDV39" s="51"/>
      <c r="FDW39" s="51"/>
      <c r="FDX39" s="51"/>
      <c r="FDY39" s="51"/>
      <c r="FDZ39" s="51"/>
      <c r="FEA39" s="51"/>
      <c r="FEB39" s="51"/>
      <c r="FEC39" s="51"/>
      <c r="FED39" s="51"/>
      <c r="FEE39" s="51"/>
      <c r="FEF39" s="51"/>
      <c r="FEG39" s="51"/>
      <c r="FEH39" s="51"/>
      <c r="FEI39" s="51"/>
      <c r="FEJ39" s="51"/>
      <c r="FEK39" s="51"/>
      <c r="FEL39" s="51"/>
      <c r="FEM39" s="51"/>
      <c r="FEN39" s="51"/>
      <c r="FEO39" s="51"/>
      <c r="FEP39" s="51"/>
      <c r="FEQ39" s="51"/>
      <c r="FER39" s="51"/>
      <c r="FES39" s="51"/>
      <c r="FET39" s="51"/>
      <c r="FEU39" s="51"/>
      <c r="FEV39" s="51"/>
      <c r="FEW39" s="51"/>
      <c r="FEX39" s="51"/>
      <c r="FEY39" s="51"/>
      <c r="FEZ39" s="51"/>
      <c r="FFA39" s="51"/>
      <c r="FFB39" s="51"/>
      <c r="FFC39" s="51"/>
      <c r="FFD39" s="51"/>
      <c r="FFE39" s="51"/>
      <c r="FFF39" s="51"/>
      <c r="FFG39" s="51"/>
      <c r="FFH39" s="51"/>
      <c r="FFI39" s="51"/>
      <c r="FFJ39" s="51"/>
      <c r="FFK39" s="51"/>
      <c r="FFL39" s="51"/>
      <c r="FFM39" s="51"/>
      <c r="FFN39" s="51"/>
      <c r="FFO39" s="51"/>
      <c r="FFP39" s="51"/>
      <c r="FFQ39" s="51"/>
      <c r="FFR39" s="51"/>
      <c r="FFS39" s="51"/>
      <c r="FFT39" s="51"/>
      <c r="FFU39" s="51"/>
      <c r="FFV39" s="51"/>
      <c r="FFW39" s="51"/>
      <c r="FFX39" s="51"/>
      <c r="FFY39" s="51"/>
      <c r="FFZ39" s="51"/>
      <c r="FGA39" s="51"/>
      <c r="FGB39" s="51"/>
      <c r="FGC39" s="51"/>
      <c r="FGD39" s="51"/>
      <c r="FGE39" s="51"/>
      <c r="FGF39" s="51"/>
      <c r="FGG39" s="51"/>
      <c r="FGH39" s="51"/>
      <c r="FGI39" s="51"/>
      <c r="FGJ39" s="51"/>
      <c r="FGK39" s="51"/>
      <c r="FGL39" s="51"/>
      <c r="FGM39" s="51"/>
      <c r="FGN39" s="51"/>
      <c r="FGO39" s="51"/>
      <c r="FGP39" s="51"/>
      <c r="FGQ39" s="51"/>
      <c r="FGR39" s="51"/>
      <c r="FGS39" s="51"/>
      <c r="FGT39" s="51"/>
      <c r="FGU39" s="51"/>
      <c r="FGV39" s="51"/>
      <c r="FGW39" s="51"/>
      <c r="FGX39" s="51"/>
      <c r="FGY39" s="51"/>
      <c r="FGZ39" s="51"/>
      <c r="FHA39" s="51"/>
      <c r="FHB39" s="51"/>
      <c r="FHC39" s="51"/>
      <c r="FHD39" s="51"/>
      <c r="FHE39" s="51"/>
      <c r="FHF39" s="51"/>
      <c r="FHG39" s="51"/>
      <c r="FHH39" s="51"/>
      <c r="FHI39" s="51"/>
      <c r="FHJ39" s="51"/>
      <c r="FHK39" s="51"/>
      <c r="FHL39" s="51"/>
      <c r="FHM39" s="51"/>
      <c r="FHN39" s="51"/>
      <c r="FHO39" s="51"/>
      <c r="FHP39" s="51"/>
      <c r="FHQ39" s="51"/>
      <c r="FHR39" s="51"/>
      <c r="FHS39" s="51"/>
      <c r="FHT39" s="51"/>
      <c r="FHU39" s="51"/>
      <c r="FHV39" s="51"/>
      <c r="FHW39" s="51"/>
      <c r="FHX39" s="51"/>
      <c r="FHY39" s="51"/>
      <c r="FHZ39" s="51"/>
      <c r="FIA39" s="51"/>
      <c r="FIB39" s="51"/>
      <c r="FIC39" s="51"/>
      <c r="FID39" s="51"/>
      <c r="FIE39" s="51"/>
      <c r="FIF39" s="51"/>
      <c r="FIG39" s="51"/>
      <c r="FIH39" s="51"/>
      <c r="FII39" s="51"/>
      <c r="FIJ39" s="51"/>
      <c r="FIK39" s="51"/>
      <c r="FIL39" s="51"/>
      <c r="FIM39" s="51"/>
      <c r="FIN39" s="51"/>
      <c r="FIO39" s="51"/>
      <c r="FIP39" s="51"/>
      <c r="FIQ39" s="51"/>
      <c r="FIR39" s="51"/>
      <c r="FIS39" s="51"/>
      <c r="FIT39" s="51"/>
      <c r="FIU39" s="51"/>
      <c r="FIV39" s="51"/>
      <c r="FIW39" s="51"/>
      <c r="FIX39" s="51"/>
      <c r="FIY39" s="51"/>
      <c r="FIZ39" s="51"/>
      <c r="FJA39" s="51"/>
      <c r="FJB39" s="51"/>
      <c r="FJC39" s="51"/>
      <c r="FJD39" s="51"/>
      <c r="FJE39" s="51"/>
      <c r="FJF39" s="51"/>
      <c r="FJG39" s="51"/>
      <c r="FJH39" s="51"/>
      <c r="FJI39" s="51"/>
      <c r="FJJ39" s="51"/>
      <c r="FJK39" s="51"/>
      <c r="FJL39" s="51"/>
      <c r="FJM39" s="51"/>
      <c r="FJN39" s="51"/>
      <c r="FJO39" s="51"/>
      <c r="FJP39" s="51"/>
      <c r="FJQ39" s="51"/>
      <c r="FJR39" s="51"/>
      <c r="FJS39" s="51"/>
      <c r="FJT39" s="51"/>
      <c r="FJU39" s="51"/>
      <c r="FJV39" s="51"/>
      <c r="FJW39" s="51"/>
      <c r="FJX39" s="51"/>
      <c r="FJY39" s="51"/>
      <c r="FJZ39" s="51"/>
      <c r="FKA39" s="51"/>
      <c r="FKB39" s="51"/>
      <c r="FKC39" s="51"/>
      <c r="FKD39" s="51"/>
      <c r="FKE39" s="51"/>
      <c r="FKF39" s="51"/>
      <c r="FKG39" s="51"/>
      <c r="FKH39" s="51"/>
      <c r="FKI39" s="51"/>
      <c r="FKJ39" s="51"/>
      <c r="FKK39" s="51"/>
      <c r="FKL39" s="51"/>
      <c r="FKM39" s="51"/>
      <c r="FKN39" s="51"/>
      <c r="FKO39" s="51"/>
      <c r="FKP39" s="51"/>
      <c r="FKQ39" s="51"/>
      <c r="FKR39" s="51"/>
      <c r="FKS39" s="51"/>
      <c r="FKT39" s="51"/>
      <c r="FKU39" s="51"/>
      <c r="FKV39" s="51"/>
      <c r="FKW39" s="51"/>
      <c r="FKX39" s="51"/>
      <c r="FKY39" s="51"/>
      <c r="FKZ39" s="51"/>
      <c r="FLA39" s="51"/>
      <c r="FLB39" s="51"/>
      <c r="FLC39" s="51"/>
      <c r="FLD39" s="51"/>
      <c r="FLE39" s="51"/>
      <c r="FLF39" s="51"/>
      <c r="FLG39" s="51"/>
      <c r="FLH39" s="51"/>
      <c r="FLI39" s="51"/>
      <c r="FLJ39" s="51"/>
      <c r="FLK39" s="51"/>
      <c r="FLL39" s="51"/>
      <c r="FLM39" s="51"/>
      <c r="FLN39" s="51"/>
      <c r="FLO39" s="51"/>
      <c r="FLP39" s="51"/>
      <c r="FLQ39" s="51"/>
      <c r="FLR39" s="51"/>
      <c r="FLS39" s="51"/>
      <c r="FLT39" s="51"/>
      <c r="FLU39" s="51"/>
      <c r="FLV39" s="51"/>
      <c r="FLW39" s="51"/>
      <c r="FLX39" s="51"/>
      <c r="FLY39" s="51"/>
      <c r="FLZ39" s="51"/>
      <c r="FMA39" s="51"/>
      <c r="FMB39" s="51"/>
      <c r="FMC39" s="51"/>
      <c r="FMD39" s="51"/>
      <c r="FME39" s="51"/>
      <c r="FMF39" s="51"/>
      <c r="FMG39" s="51"/>
      <c r="FMH39" s="51"/>
      <c r="FMI39" s="51"/>
      <c r="FMJ39" s="51"/>
      <c r="FMK39" s="51"/>
      <c r="FML39" s="51"/>
      <c r="FMM39" s="51"/>
      <c r="FMN39" s="51"/>
      <c r="FMO39" s="51"/>
      <c r="FMP39" s="51"/>
      <c r="FMQ39" s="51"/>
      <c r="FMR39" s="51"/>
      <c r="FMS39" s="51"/>
      <c r="FMT39" s="51"/>
      <c r="FMU39" s="51"/>
      <c r="FMV39" s="51"/>
      <c r="FMW39" s="51"/>
      <c r="FMX39" s="51"/>
      <c r="FMY39" s="51"/>
      <c r="FMZ39" s="51"/>
      <c r="FNA39" s="51"/>
      <c r="FNB39" s="51"/>
      <c r="FNC39" s="51"/>
      <c r="FND39" s="51"/>
      <c r="FNE39" s="51"/>
      <c r="FNF39" s="51"/>
      <c r="FNG39" s="51"/>
      <c r="FNH39" s="51"/>
      <c r="FNI39" s="51"/>
      <c r="FNJ39" s="51"/>
      <c r="FNK39" s="51"/>
      <c r="FNL39" s="51"/>
      <c r="FNM39" s="51"/>
      <c r="FNN39" s="51"/>
      <c r="FNO39" s="51"/>
      <c r="FNP39" s="51"/>
      <c r="FNQ39" s="51"/>
      <c r="FNR39" s="51"/>
      <c r="FNS39" s="51"/>
      <c r="FNT39" s="51"/>
      <c r="FNU39" s="51"/>
      <c r="FNV39" s="51"/>
      <c r="FNW39" s="51"/>
      <c r="FNX39" s="51"/>
      <c r="FNY39" s="51"/>
      <c r="FNZ39" s="51"/>
      <c r="FOA39" s="51"/>
      <c r="FOB39" s="51"/>
      <c r="FOC39" s="51"/>
      <c r="FOD39" s="51"/>
      <c r="FOE39" s="51"/>
      <c r="FOF39" s="51"/>
      <c r="FOG39" s="51"/>
      <c r="FOH39" s="51"/>
      <c r="FOI39" s="51"/>
      <c r="FOJ39" s="51"/>
      <c r="FOK39" s="51"/>
      <c r="FOL39" s="51"/>
      <c r="FOM39" s="51"/>
      <c r="FON39" s="51"/>
      <c r="FOO39" s="51"/>
      <c r="FOP39" s="51"/>
      <c r="FOQ39" s="51"/>
      <c r="FOR39" s="51"/>
      <c r="FOS39" s="51"/>
      <c r="FOT39" s="51"/>
      <c r="FOU39" s="51"/>
      <c r="FOV39" s="51"/>
      <c r="FOW39" s="51"/>
      <c r="FOX39" s="51"/>
      <c r="FOY39" s="51"/>
      <c r="FOZ39" s="51"/>
      <c r="FPA39" s="51"/>
      <c r="FPB39" s="51"/>
      <c r="FPC39" s="51"/>
      <c r="FPD39" s="51"/>
      <c r="FPE39" s="51"/>
      <c r="FPF39" s="51"/>
      <c r="FPG39" s="51"/>
      <c r="FPH39" s="51"/>
      <c r="FPI39" s="51"/>
      <c r="FPJ39" s="51"/>
      <c r="FPK39" s="51"/>
      <c r="FPL39" s="51"/>
      <c r="FPM39" s="51"/>
      <c r="FPN39" s="51"/>
      <c r="FPO39" s="51"/>
      <c r="FPP39" s="51"/>
      <c r="FPQ39" s="51"/>
      <c r="FPR39" s="51"/>
      <c r="FPS39" s="51"/>
      <c r="FPT39" s="51"/>
      <c r="FPU39" s="51"/>
      <c r="FPV39" s="51"/>
      <c r="FPW39" s="51"/>
      <c r="FPX39" s="51"/>
      <c r="FPY39" s="51"/>
      <c r="FPZ39" s="51"/>
      <c r="FQA39" s="51"/>
      <c r="FQB39" s="51"/>
      <c r="FQC39" s="51"/>
      <c r="FQD39" s="51"/>
      <c r="FQE39" s="51"/>
      <c r="FQF39" s="51"/>
      <c r="FQG39" s="51"/>
      <c r="FQH39" s="51"/>
      <c r="FQI39" s="51"/>
      <c r="FQJ39" s="51"/>
      <c r="FQK39" s="51"/>
      <c r="FQL39" s="51"/>
      <c r="FQM39" s="51"/>
      <c r="FQN39" s="51"/>
      <c r="FQO39" s="51"/>
      <c r="FQP39" s="51"/>
      <c r="FQQ39" s="51"/>
      <c r="FQR39" s="51"/>
      <c r="FQS39" s="51"/>
      <c r="FQT39" s="51"/>
      <c r="FQU39" s="51"/>
      <c r="FQV39" s="51"/>
      <c r="FQW39" s="51"/>
      <c r="FQX39" s="51"/>
      <c r="FQY39" s="51"/>
      <c r="FQZ39" s="51"/>
      <c r="FRA39" s="51"/>
      <c r="FRB39" s="51"/>
      <c r="FRC39" s="51"/>
      <c r="FRD39" s="51"/>
      <c r="FRE39" s="51"/>
      <c r="FRF39" s="51"/>
      <c r="FRG39" s="51"/>
      <c r="FRH39" s="51"/>
      <c r="FRI39" s="51"/>
      <c r="FRJ39" s="51"/>
      <c r="FRK39" s="51"/>
      <c r="FRL39" s="51"/>
      <c r="FRM39" s="51"/>
      <c r="FRN39" s="51"/>
      <c r="FRO39" s="51"/>
      <c r="FRP39" s="51"/>
      <c r="FRQ39" s="51"/>
      <c r="FRR39" s="51"/>
      <c r="FRS39" s="51"/>
      <c r="FRT39" s="51"/>
      <c r="FRU39" s="51"/>
      <c r="FRV39" s="51"/>
      <c r="FRW39" s="51"/>
      <c r="FRX39" s="51"/>
      <c r="FRY39" s="51"/>
      <c r="FRZ39" s="51"/>
      <c r="FSA39" s="51"/>
      <c r="FSB39" s="51"/>
      <c r="FSC39" s="51"/>
      <c r="FSD39" s="51"/>
      <c r="FSE39" s="51"/>
      <c r="FSF39" s="51"/>
      <c r="FSG39" s="51"/>
      <c r="FSH39" s="51"/>
      <c r="FSI39" s="51"/>
      <c r="FSJ39" s="51"/>
      <c r="FSK39" s="51"/>
      <c r="FSL39" s="51"/>
      <c r="FSM39" s="51"/>
      <c r="FSN39" s="51"/>
      <c r="FSO39" s="51"/>
      <c r="FSP39" s="51"/>
      <c r="FSQ39" s="51"/>
      <c r="FSR39" s="51"/>
      <c r="FSS39" s="51"/>
      <c r="FST39" s="51"/>
      <c r="FSU39" s="51"/>
      <c r="FSV39" s="51"/>
      <c r="FSW39" s="51"/>
      <c r="FSX39" s="51"/>
      <c r="FSY39" s="51"/>
      <c r="FSZ39" s="51"/>
      <c r="FTA39" s="51"/>
      <c r="FTB39" s="51"/>
      <c r="FTC39" s="51"/>
      <c r="FTD39" s="51"/>
      <c r="FTE39" s="51"/>
      <c r="FTF39" s="51"/>
      <c r="FTG39" s="51"/>
      <c r="FTH39" s="51"/>
      <c r="FTI39" s="51"/>
      <c r="FTJ39" s="51"/>
      <c r="FTK39" s="51"/>
      <c r="FTL39" s="51"/>
      <c r="FTM39" s="51"/>
      <c r="FTN39" s="51"/>
      <c r="FTO39" s="51"/>
      <c r="FTP39" s="51"/>
      <c r="FTQ39" s="51"/>
      <c r="FTR39" s="51"/>
      <c r="FTS39" s="51"/>
      <c r="FTT39" s="51"/>
      <c r="FTU39" s="51"/>
      <c r="FTV39" s="51"/>
      <c r="FTW39" s="51"/>
      <c r="FTX39" s="51"/>
      <c r="FTY39" s="51"/>
      <c r="FTZ39" s="51"/>
      <c r="FUA39" s="51"/>
      <c r="FUB39" s="51"/>
      <c r="FUC39" s="51"/>
      <c r="FUD39" s="51"/>
      <c r="FUE39" s="51"/>
      <c r="FUF39" s="51"/>
      <c r="FUG39" s="51"/>
      <c r="FUH39" s="51"/>
      <c r="FUI39" s="51"/>
      <c r="FUJ39" s="51"/>
      <c r="FUK39" s="51"/>
      <c r="FUL39" s="51"/>
      <c r="FUM39" s="51"/>
      <c r="FUN39" s="51"/>
      <c r="FUO39" s="51"/>
      <c r="FUP39" s="51"/>
      <c r="FUQ39" s="51"/>
      <c r="FUR39" s="51"/>
      <c r="FUS39" s="51"/>
      <c r="FUT39" s="51"/>
      <c r="FUU39" s="51"/>
      <c r="FUV39" s="51"/>
      <c r="FUW39" s="51"/>
      <c r="FUX39" s="51"/>
      <c r="FUY39" s="51"/>
      <c r="FUZ39" s="51"/>
      <c r="FVA39" s="51"/>
      <c r="FVB39" s="51"/>
      <c r="FVC39" s="51"/>
      <c r="FVD39" s="51"/>
      <c r="FVE39" s="51"/>
      <c r="FVF39" s="51"/>
      <c r="FVG39" s="51"/>
      <c r="FVH39" s="51"/>
      <c r="FVI39" s="51"/>
      <c r="FVJ39" s="51"/>
      <c r="FVK39" s="51"/>
      <c r="FVL39" s="51"/>
      <c r="FVM39" s="51"/>
      <c r="FVN39" s="51"/>
      <c r="FVO39" s="51"/>
      <c r="FVP39" s="51"/>
      <c r="FVQ39" s="51"/>
      <c r="FVR39" s="51"/>
      <c r="FVS39" s="51"/>
      <c r="FVT39" s="51"/>
      <c r="FVU39" s="51"/>
      <c r="FVV39" s="51"/>
      <c r="FVW39" s="51"/>
      <c r="FVX39" s="51"/>
      <c r="FVY39" s="51"/>
      <c r="FVZ39" s="51"/>
      <c r="FWA39" s="51"/>
      <c r="FWB39" s="51"/>
      <c r="FWC39" s="51"/>
      <c r="FWD39" s="51"/>
      <c r="FWE39" s="51"/>
      <c r="FWF39" s="51"/>
      <c r="FWG39" s="51"/>
      <c r="FWH39" s="51"/>
      <c r="FWI39" s="51"/>
      <c r="FWJ39" s="51"/>
      <c r="FWK39" s="51"/>
      <c r="FWL39" s="51"/>
      <c r="FWM39" s="51"/>
      <c r="FWN39" s="51"/>
      <c r="FWO39" s="51"/>
      <c r="FWP39" s="51"/>
      <c r="FWQ39" s="51"/>
      <c r="FWR39" s="51"/>
      <c r="FWS39" s="51"/>
      <c r="FWT39" s="51"/>
      <c r="FWU39" s="51"/>
      <c r="FWV39" s="51"/>
      <c r="FWW39" s="51"/>
      <c r="FWX39" s="51"/>
      <c r="FWY39" s="51"/>
      <c r="FWZ39" s="51"/>
      <c r="FXA39" s="51"/>
      <c r="FXB39" s="51"/>
      <c r="FXC39" s="51"/>
      <c r="FXD39" s="51"/>
      <c r="FXE39" s="51"/>
      <c r="FXF39" s="51"/>
      <c r="FXG39" s="51"/>
      <c r="FXH39" s="51"/>
      <c r="FXI39" s="51"/>
      <c r="FXJ39" s="51"/>
      <c r="FXK39" s="51"/>
      <c r="FXL39" s="51"/>
      <c r="FXM39" s="51"/>
      <c r="FXN39" s="51"/>
      <c r="FXO39" s="51"/>
      <c r="FXP39" s="51"/>
      <c r="FXQ39" s="51"/>
      <c r="FXR39" s="51"/>
      <c r="FXS39" s="51"/>
      <c r="FXT39" s="51"/>
      <c r="FXU39" s="51"/>
      <c r="FXV39" s="51"/>
      <c r="FXW39" s="51"/>
      <c r="FXX39" s="51"/>
      <c r="FXY39" s="51"/>
      <c r="FXZ39" s="51"/>
      <c r="FYA39" s="51"/>
      <c r="FYB39" s="51"/>
      <c r="FYC39" s="51"/>
      <c r="FYD39" s="51"/>
      <c r="FYE39" s="51"/>
      <c r="FYF39" s="51"/>
      <c r="FYG39" s="51"/>
      <c r="FYH39" s="51"/>
      <c r="FYI39" s="51"/>
      <c r="FYJ39" s="51"/>
      <c r="FYK39" s="51"/>
      <c r="FYL39" s="51"/>
      <c r="FYM39" s="51"/>
      <c r="FYN39" s="51"/>
      <c r="FYO39" s="51"/>
      <c r="FYP39" s="51"/>
      <c r="FYQ39" s="51"/>
      <c r="FYR39" s="51"/>
      <c r="FYS39" s="51"/>
      <c r="FYT39" s="51"/>
      <c r="FYU39" s="51"/>
      <c r="FYV39" s="51"/>
      <c r="FYW39" s="51"/>
      <c r="FYX39" s="51"/>
      <c r="FYY39" s="51"/>
      <c r="FYZ39" s="51"/>
      <c r="FZA39" s="51"/>
      <c r="FZB39" s="51"/>
      <c r="FZC39" s="51"/>
      <c r="FZD39" s="51"/>
      <c r="FZE39" s="51"/>
      <c r="FZF39" s="51"/>
      <c r="FZG39" s="51"/>
      <c r="FZH39" s="51"/>
      <c r="FZI39" s="51"/>
      <c r="FZJ39" s="51"/>
      <c r="FZK39" s="51"/>
      <c r="FZL39" s="51"/>
      <c r="FZM39" s="51"/>
      <c r="FZN39" s="51"/>
      <c r="FZO39" s="51"/>
      <c r="FZP39" s="51"/>
      <c r="FZQ39" s="51"/>
      <c r="FZR39" s="51"/>
      <c r="FZS39" s="51"/>
      <c r="FZT39" s="51"/>
      <c r="FZU39" s="51"/>
      <c r="FZV39" s="51"/>
      <c r="FZW39" s="51"/>
      <c r="FZX39" s="51"/>
      <c r="FZY39" s="51"/>
      <c r="FZZ39" s="51"/>
      <c r="GAA39" s="51"/>
      <c r="GAB39" s="51"/>
      <c r="GAC39" s="51"/>
      <c r="GAD39" s="51"/>
      <c r="GAE39" s="51"/>
      <c r="GAF39" s="51"/>
      <c r="GAG39" s="51"/>
      <c r="GAH39" s="51"/>
      <c r="GAI39" s="51"/>
      <c r="GAJ39" s="51"/>
      <c r="GAK39" s="51"/>
      <c r="GAL39" s="51"/>
      <c r="GAM39" s="51"/>
      <c r="GAN39" s="51"/>
      <c r="GAO39" s="51"/>
      <c r="GAP39" s="51"/>
      <c r="GAQ39" s="51"/>
      <c r="GAR39" s="51"/>
      <c r="GAS39" s="51"/>
      <c r="GAT39" s="51"/>
      <c r="GAU39" s="51"/>
      <c r="GAV39" s="51"/>
      <c r="GAW39" s="51"/>
      <c r="GAX39" s="51"/>
      <c r="GAY39" s="51"/>
      <c r="GAZ39" s="51"/>
      <c r="GBA39" s="51"/>
      <c r="GBB39" s="51"/>
      <c r="GBC39" s="51"/>
      <c r="GBD39" s="51"/>
      <c r="GBE39" s="51"/>
      <c r="GBF39" s="51"/>
      <c r="GBG39" s="51"/>
      <c r="GBH39" s="51"/>
      <c r="GBI39" s="51"/>
      <c r="GBJ39" s="51"/>
      <c r="GBK39" s="51"/>
      <c r="GBL39" s="51"/>
      <c r="GBM39" s="51"/>
      <c r="GBN39" s="51"/>
      <c r="GBO39" s="51"/>
      <c r="GBP39" s="51"/>
      <c r="GBQ39" s="51"/>
      <c r="GBR39" s="51"/>
      <c r="GBS39" s="51"/>
      <c r="GBT39" s="51"/>
      <c r="GBU39" s="51"/>
      <c r="GBV39" s="51"/>
      <c r="GBW39" s="51"/>
      <c r="GBX39" s="51"/>
      <c r="GBY39" s="51"/>
      <c r="GBZ39" s="51"/>
      <c r="GCA39" s="51"/>
      <c r="GCB39" s="51"/>
      <c r="GCC39" s="51"/>
      <c r="GCD39" s="51"/>
      <c r="GCE39" s="51"/>
      <c r="GCF39" s="51"/>
      <c r="GCG39" s="51"/>
      <c r="GCH39" s="51"/>
      <c r="GCI39" s="51"/>
      <c r="GCJ39" s="51"/>
      <c r="GCK39" s="51"/>
      <c r="GCL39" s="51"/>
      <c r="GCM39" s="51"/>
      <c r="GCN39" s="51"/>
      <c r="GCO39" s="51"/>
      <c r="GCP39" s="51"/>
      <c r="GCQ39" s="51"/>
      <c r="GCR39" s="51"/>
      <c r="GCS39" s="51"/>
      <c r="GCT39" s="51"/>
      <c r="GCU39" s="51"/>
      <c r="GCV39" s="51"/>
      <c r="GCW39" s="51"/>
      <c r="GCX39" s="51"/>
      <c r="GCY39" s="51"/>
      <c r="GCZ39" s="51"/>
      <c r="GDA39" s="51"/>
      <c r="GDB39" s="51"/>
      <c r="GDC39" s="51"/>
      <c r="GDD39" s="51"/>
      <c r="GDE39" s="51"/>
      <c r="GDF39" s="51"/>
      <c r="GDG39" s="51"/>
      <c r="GDH39" s="51"/>
      <c r="GDI39" s="51"/>
      <c r="GDJ39" s="51"/>
      <c r="GDK39" s="51"/>
      <c r="GDL39" s="51"/>
      <c r="GDM39" s="51"/>
      <c r="GDN39" s="51"/>
      <c r="GDO39" s="51"/>
      <c r="GDP39" s="51"/>
      <c r="GDQ39" s="51"/>
      <c r="GDR39" s="51"/>
      <c r="GDS39" s="51"/>
      <c r="GDT39" s="51"/>
      <c r="GDU39" s="51"/>
      <c r="GDV39" s="51"/>
      <c r="GDW39" s="51"/>
      <c r="GDX39" s="51"/>
      <c r="GDY39" s="51"/>
      <c r="GDZ39" s="51"/>
      <c r="GEA39" s="51"/>
      <c r="GEB39" s="51"/>
      <c r="GEC39" s="51"/>
      <c r="GED39" s="51"/>
      <c r="GEE39" s="51"/>
      <c r="GEF39" s="51"/>
      <c r="GEG39" s="51"/>
      <c r="GEH39" s="51"/>
      <c r="GEI39" s="51"/>
      <c r="GEJ39" s="51"/>
      <c r="GEK39" s="51"/>
      <c r="GEL39" s="51"/>
      <c r="GEM39" s="51"/>
      <c r="GEN39" s="51"/>
      <c r="GEO39" s="51"/>
      <c r="GEP39" s="51"/>
      <c r="GEQ39" s="51"/>
      <c r="GER39" s="51"/>
      <c r="GES39" s="51"/>
      <c r="GET39" s="51"/>
      <c r="GEU39" s="51"/>
      <c r="GEV39" s="51"/>
      <c r="GEW39" s="51"/>
      <c r="GEX39" s="51"/>
      <c r="GEY39" s="51"/>
      <c r="GEZ39" s="51"/>
      <c r="GFA39" s="51"/>
      <c r="GFB39" s="51"/>
      <c r="GFC39" s="51"/>
      <c r="GFD39" s="51"/>
      <c r="GFE39" s="51"/>
      <c r="GFF39" s="51"/>
      <c r="GFG39" s="51"/>
      <c r="GFH39" s="51"/>
      <c r="GFI39" s="51"/>
      <c r="GFJ39" s="51"/>
      <c r="GFK39" s="51"/>
      <c r="GFL39" s="51"/>
      <c r="GFM39" s="51"/>
      <c r="GFN39" s="51"/>
      <c r="GFO39" s="51"/>
      <c r="GFP39" s="51"/>
      <c r="GFQ39" s="51"/>
      <c r="GFR39" s="51"/>
      <c r="GFS39" s="51"/>
      <c r="GFT39" s="51"/>
      <c r="GFU39" s="51"/>
      <c r="GFV39" s="51"/>
      <c r="GFW39" s="51"/>
      <c r="GFX39" s="51"/>
      <c r="GFY39" s="51"/>
      <c r="GFZ39" s="51"/>
      <c r="GGA39" s="51"/>
      <c r="GGB39" s="51"/>
      <c r="GGC39" s="51"/>
      <c r="GGD39" s="51"/>
      <c r="GGE39" s="51"/>
      <c r="GGF39" s="51"/>
      <c r="GGG39" s="51"/>
      <c r="GGH39" s="51"/>
      <c r="GGI39" s="51"/>
      <c r="GGJ39" s="51"/>
      <c r="GGK39" s="51"/>
      <c r="GGL39" s="51"/>
      <c r="GGM39" s="51"/>
      <c r="GGN39" s="51"/>
      <c r="GGO39" s="51"/>
      <c r="GGP39" s="51"/>
      <c r="GGQ39" s="51"/>
      <c r="GGR39" s="51"/>
      <c r="GGS39" s="51"/>
      <c r="GGT39" s="51"/>
      <c r="GGU39" s="51"/>
      <c r="GGV39" s="51"/>
      <c r="GGW39" s="51"/>
      <c r="GGX39" s="51"/>
      <c r="GGY39" s="51"/>
      <c r="GGZ39" s="51"/>
      <c r="GHA39" s="51"/>
      <c r="GHB39" s="51"/>
      <c r="GHC39" s="51"/>
      <c r="GHD39" s="51"/>
      <c r="GHE39" s="51"/>
      <c r="GHF39" s="51"/>
      <c r="GHG39" s="51"/>
      <c r="GHH39" s="51"/>
      <c r="GHI39" s="51"/>
      <c r="GHJ39" s="51"/>
      <c r="GHK39" s="51"/>
      <c r="GHL39" s="51"/>
      <c r="GHM39" s="51"/>
      <c r="GHN39" s="51"/>
      <c r="GHO39" s="51"/>
      <c r="GHP39" s="51"/>
      <c r="GHQ39" s="51"/>
      <c r="GHR39" s="51"/>
      <c r="GHS39" s="51"/>
      <c r="GHT39" s="51"/>
      <c r="GHU39" s="51"/>
      <c r="GHV39" s="51"/>
      <c r="GHW39" s="51"/>
      <c r="GHX39" s="51"/>
      <c r="GHY39" s="51"/>
      <c r="GHZ39" s="51"/>
      <c r="GIA39" s="51"/>
      <c r="GIB39" s="51"/>
      <c r="GIC39" s="51"/>
      <c r="GID39" s="51"/>
      <c r="GIE39" s="51"/>
      <c r="GIF39" s="51"/>
      <c r="GIG39" s="51"/>
      <c r="GIH39" s="51"/>
      <c r="GII39" s="51"/>
      <c r="GIJ39" s="51"/>
      <c r="GIK39" s="51"/>
      <c r="GIL39" s="51"/>
      <c r="GIM39" s="51"/>
      <c r="GIN39" s="51"/>
      <c r="GIO39" s="51"/>
      <c r="GIP39" s="51"/>
      <c r="GIQ39" s="51"/>
      <c r="GIR39" s="51"/>
      <c r="GIS39" s="51"/>
      <c r="GIT39" s="51"/>
      <c r="GIU39" s="51"/>
      <c r="GIV39" s="51"/>
      <c r="GIW39" s="51"/>
      <c r="GIX39" s="51"/>
      <c r="GIY39" s="51"/>
      <c r="GIZ39" s="51"/>
      <c r="GJA39" s="51"/>
      <c r="GJB39" s="51"/>
      <c r="GJC39" s="51"/>
      <c r="GJD39" s="51"/>
      <c r="GJE39" s="51"/>
      <c r="GJF39" s="51"/>
      <c r="GJG39" s="51"/>
      <c r="GJH39" s="51"/>
      <c r="GJI39" s="51"/>
      <c r="GJJ39" s="51"/>
      <c r="GJK39" s="51"/>
      <c r="GJL39" s="51"/>
      <c r="GJM39" s="51"/>
      <c r="GJN39" s="51"/>
      <c r="GJO39" s="51"/>
      <c r="GJP39" s="51"/>
      <c r="GJQ39" s="51"/>
      <c r="GJR39" s="51"/>
      <c r="GJS39" s="51"/>
      <c r="GJT39" s="51"/>
      <c r="GJU39" s="51"/>
      <c r="GJV39" s="51"/>
      <c r="GJW39" s="51"/>
      <c r="GJX39" s="51"/>
      <c r="GJY39" s="51"/>
      <c r="GJZ39" s="51"/>
      <c r="GKA39" s="51"/>
      <c r="GKB39" s="51"/>
      <c r="GKC39" s="51"/>
      <c r="GKD39" s="51"/>
      <c r="GKE39" s="51"/>
      <c r="GKF39" s="51"/>
      <c r="GKG39" s="51"/>
      <c r="GKH39" s="51"/>
      <c r="GKI39" s="51"/>
      <c r="GKJ39" s="51"/>
      <c r="GKK39" s="51"/>
      <c r="GKL39" s="51"/>
      <c r="GKM39" s="51"/>
      <c r="GKN39" s="51"/>
      <c r="GKO39" s="51"/>
      <c r="GKP39" s="51"/>
      <c r="GKQ39" s="51"/>
      <c r="GKR39" s="51"/>
      <c r="GKS39" s="51"/>
      <c r="GKT39" s="51"/>
      <c r="GKU39" s="51"/>
      <c r="GKV39" s="51"/>
      <c r="GKW39" s="51"/>
      <c r="GKX39" s="51"/>
      <c r="GKY39" s="51"/>
      <c r="GKZ39" s="51"/>
      <c r="GLA39" s="51"/>
      <c r="GLB39" s="51"/>
      <c r="GLC39" s="51"/>
      <c r="GLD39" s="51"/>
      <c r="GLE39" s="51"/>
      <c r="GLF39" s="51"/>
      <c r="GLG39" s="51"/>
      <c r="GLH39" s="51"/>
      <c r="GLI39" s="51"/>
      <c r="GLJ39" s="51"/>
      <c r="GLK39" s="51"/>
      <c r="GLL39" s="51"/>
      <c r="GLM39" s="51"/>
      <c r="GLN39" s="51"/>
      <c r="GLO39" s="51"/>
      <c r="GLP39" s="51"/>
      <c r="GLQ39" s="51"/>
      <c r="GLR39" s="51"/>
      <c r="GLS39" s="51"/>
      <c r="GLT39" s="51"/>
      <c r="GLU39" s="51"/>
      <c r="GLV39" s="51"/>
      <c r="GLW39" s="51"/>
      <c r="GLX39" s="51"/>
      <c r="GLY39" s="51"/>
      <c r="GLZ39" s="51"/>
      <c r="GMA39" s="51"/>
      <c r="GMB39" s="51"/>
      <c r="GMC39" s="51"/>
      <c r="GMD39" s="51"/>
      <c r="GME39" s="51"/>
      <c r="GMF39" s="51"/>
      <c r="GMG39" s="51"/>
      <c r="GMH39" s="51"/>
      <c r="GMI39" s="51"/>
      <c r="GMJ39" s="51"/>
      <c r="GMK39" s="51"/>
      <c r="GML39" s="51"/>
      <c r="GMM39" s="51"/>
      <c r="GMN39" s="51"/>
      <c r="GMO39" s="51"/>
      <c r="GMP39" s="51"/>
      <c r="GMQ39" s="51"/>
      <c r="GMR39" s="51"/>
      <c r="GMS39" s="51"/>
      <c r="GMT39" s="51"/>
      <c r="GMU39" s="51"/>
      <c r="GMV39" s="51"/>
      <c r="GMW39" s="51"/>
      <c r="GMX39" s="51"/>
      <c r="GMY39" s="51"/>
      <c r="GMZ39" s="51"/>
      <c r="GNA39" s="51"/>
      <c r="GNB39" s="51"/>
      <c r="GNC39" s="51"/>
      <c r="GND39" s="51"/>
      <c r="GNE39" s="51"/>
      <c r="GNF39" s="51"/>
      <c r="GNG39" s="51"/>
      <c r="GNH39" s="51"/>
      <c r="GNI39" s="51"/>
      <c r="GNJ39" s="51"/>
      <c r="GNK39" s="51"/>
      <c r="GNL39" s="51"/>
      <c r="GNM39" s="51"/>
      <c r="GNN39" s="51"/>
      <c r="GNO39" s="51"/>
      <c r="GNP39" s="51"/>
      <c r="GNQ39" s="51"/>
      <c r="GNR39" s="51"/>
      <c r="GNS39" s="51"/>
      <c r="GNT39" s="51"/>
      <c r="GNU39" s="51"/>
      <c r="GNV39" s="51"/>
      <c r="GNW39" s="51"/>
      <c r="GNX39" s="51"/>
      <c r="GNY39" s="51"/>
      <c r="GNZ39" s="51"/>
      <c r="GOA39" s="51"/>
      <c r="GOB39" s="51"/>
      <c r="GOC39" s="51"/>
      <c r="GOD39" s="51"/>
      <c r="GOE39" s="51"/>
      <c r="GOF39" s="51"/>
      <c r="GOG39" s="51"/>
      <c r="GOH39" s="51"/>
      <c r="GOI39" s="51"/>
      <c r="GOJ39" s="51"/>
      <c r="GOK39" s="51"/>
      <c r="GOL39" s="51"/>
      <c r="GOM39" s="51"/>
      <c r="GON39" s="51"/>
      <c r="GOO39" s="51"/>
      <c r="GOP39" s="51"/>
      <c r="GOQ39" s="51"/>
      <c r="GOR39" s="51"/>
      <c r="GOS39" s="51"/>
      <c r="GOT39" s="51"/>
      <c r="GOU39" s="51"/>
      <c r="GOV39" s="51"/>
      <c r="GOW39" s="51"/>
      <c r="GOX39" s="51"/>
      <c r="GOY39" s="51"/>
      <c r="GOZ39" s="51"/>
      <c r="GPA39" s="51"/>
      <c r="GPB39" s="51"/>
      <c r="GPC39" s="51"/>
      <c r="GPD39" s="51"/>
      <c r="GPE39" s="51"/>
      <c r="GPF39" s="51"/>
      <c r="GPG39" s="51"/>
      <c r="GPH39" s="51"/>
      <c r="GPI39" s="51"/>
      <c r="GPJ39" s="51"/>
      <c r="GPK39" s="51"/>
      <c r="GPL39" s="51"/>
      <c r="GPM39" s="51"/>
      <c r="GPN39" s="51"/>
      <c r="GPO39" s="51"/>
      <c r="GPP39" s="51"/>
      <c r="GPQ39" s="51"/>
      <c r="GPR39" s="51"/>
      <c r="GPS39" s="51"/>
      <c r="GPT39" s="51"/>
      <c r="GPU39" s="51"/>
      <c r="GPV39" s="51"/>
      <c r="GPW39" s="51"/>
      <c r="GPX39" s="51"/>
      <c r="GPY39" s="51"/>
      <c r="GPZ39" s="51"/>
      <c r="GQA39" s="51"/>
      <c r="GQB39" s="51"/>
      <c r="GQC39" s="51"/>
      <c r="GQD39" s="51"/>
      <c r="GQE39" s="51"/>
      <c r="GQF39" s="51"/>
      <c r="GQG39" s="51"/>
      <c r="GQH39" s="51"/>
      <c r="GQI39" s="51"/>
      <c r="GQJ39" s="51"/>
      <c r="GQK39" s="51"/>
      <c r="GQL39" s="51"/>
      <c r="GQM39" s="51"/>
      <c r="GQN39" s="51"/>
      <c r="GQO39" s="51"/>
      <c r="GQP39" s="51"/>
      <c r="GQQ39" s="51"/>
      <c r="GQR39" s="51"/>
      <c r="GQS39" s="51"/>
      <c r="GQT39" s="51"/>
      <c r="GQU39" s="51"/>
      <c r="GQV39" s="51"/>
      <c r="GQW39" s="51"/>
      <c r="GQX39" s="51"/>
      <c r="GQY39" s="51"/>
      <c r="GQZ39" s="51"/>
      <c r="GRA39" s="51"/>
      <c r="GRB39" s="51"/>
      <c r="GRC39" s="51"/>
      <c r="GRD39" s="51"/>
      <c r="GRE39" s="51"/>
      <c r="GRF39" s="51"/>
      <c r="GRG39" s="51"/>
      <c r="GRH39" s="51"/>
      <c r="GRI39" s="51"/>
      <c r="GRJ39" s="51"/>
      <c r="GRK39" s="51"/>
      <c r="GRL39" s="51"/>
      <c r="GRM39" s="51"/>
      <c r="GRN39" s="51"/>
      <c r="GRO39" s="51"/>
      <c r="GRP39" s="51"/>
      <c r="GRQ39" s="51"/>
      <c r="GRR39" s="51"/>
      <c r="GRS39" s="51"/>
      <c r="GRT39" s="51"/>
      <c r="GRU39" s="51"/>
      <c r="GRV39" s="51"/>
      <c r="GRW39" s="51"/>
      <c r="GRX39" s="51"/>
      <c r="GRY39" s="51"/>
      <c r="GRZ39" s="51"/>
      <c r="GSA39" s="51"/>
      <c r="GSB39" s="51"/>
      <c r="GSC39" s="51"/>
      <c r="GSD39" s="51"/>
      <c r="GSE39" s="51"/>
      <c r="GSF39" s="51"/>
      <c r="GSG39" s="51"/>
      <c r="GSH39" s="51"/>
      <c r="GSI39" s="51"/>
      <c r="GSJ39" s="51"/>
      <c r="GSK39" s="51"/>
      <c r="GSL39" s="51"/>
      <c r="GSM39" s="51"/>
      <c r="GSN39" s="51"/>
      <c r="GSO39" s="51"/>
      <c r="GSP39" s="51"/>
      <c r="GSQ39" s="51"/>
      <c r="GSR39" s="51"/>
      <c r="GSS39" s="51"/>
      <c r="GST39" s="51"/>
      <c r="GSU39" s="51"/>
      <c r="GSV39" s="51"/>
      <c r="GSW39" s="51"/>
      <c r="GSX39" s="51"/>
      <c r="GSY39" s="51"/>
      <c r="GSZ39" s="51"/>
      <c r="GTA39" s="51"/>
      <c r="GTB39" s="51"/>
      <c r="GTC39" s="51"/>
      <c r="GTD39" s="51"/>
      <c r="GTE39" s="51"/>
      <c r="GTF39" s="51"/>
      <c r="GTG39" s="51"/>
      <c r="GTH39" s="51"/>
      <c r="GTI39" s="51"/>
      <c r="GTJ39" s="51"/>
      <c r="GTK39" s="51"/>
      <c r="GTL39" s="51"/>
      <c r="GTM39" s="51"/>
      <c r="GTN39" s="51"/>
      <c r="GTO39" s="51"/>
      <c r="GTP39" s="51"/>
      <c r="GTQ39" s="51"/>
      <c r="GTR39" s="51"/>
      <c r="GTS39" s="51"/>
      <c r="GTT39" s="51"/>
      <c r="GTU39" s="51"/>
      <c r="GTV39" s="51"/>
      <c r="GTW39" s="51"/>
      <c r="GTX39" s="51"/>
      <c r="GTY39" s="51"/>
      <c r="GTZ39" s="51"/>
      <c r="GUA39" s="51"/>
      <c r="GUB39" s="51"/>
      <c r="GUC39" s="51"/>
      <c r="GUD39" s="51"/>
      <c r="GUE39" s="51"/>
      <c r="GUF39" s="51"/>
      <c r="GUG39" s="51"/>
      <c r="GUH39" s="51"/>
      <c r="GUI39" s="51"/>
      <c r="GUJ39" s="51"/>
      <c r="GUK39" s="51"/>
      <c r="GUL39" s="51"/>
      <c r="GUM39" s="51"/>
      <c r="GUN39" s="51"/>
      <c r="GUO39" s="51"/>
      <c r="GUP39" s="51"/>
      <c r="GUQ39" s="51"/>
      <c r="GUR39" s="51"/>
      <c r="GUS39" s="51"/>
      <c r="GUT39" s="51"/>
      <c r="GUU39" s="51"/>
      <c r="GUV39" s="51"/>
      <c r="GUW39" s="51"/>
      <c r="GUX39" s="51"/>
      <c r="GUY39" s="51"/>
      <c r="GUZ39" s="51"/>
      <c r="GVA39" s="51"/>
      <c r="GVB39" s="51"/>
      <c r="GVC39" s="51"/>
      <c r="GVD39" s="51"/>
      <c r="GVE39" s="51"/>
      <c r="GVF39" s="51"/>
      <c r="GVG39" s="51"/>
      <c r="GVH39" s="51"/>
      <c r="GVI39" s="51"/>
      <c r="GVJ39" s="51"/>
      <c r="GVK39" s="51"/>
      <c r="GVL39" s="51"/>
      <c r="GVM39" s="51"/>
      <c r="GVN39" s="51"/>
      <c r="GVO39" s="51"/>
      <c r="GVP39" s="51"/>
      <c r="GVQ39" s="51"/>
      <c r="GVR39" s="51"/>
      <c r="GVS39" s="51"/>
      <c r="GVT39" s="51"/>
      <c r="GVU39" s="51"/>
      <c r="GVV39" s="51"/>
      <c r="GVW39" s="51"/>
      <c r="GVX39" s="51"/>
      <c r="GVY39" s="51"/>
      <c r="GVZ39" s="51"/>
      <c r="GWA39" s="51"/>
      <c r="GWB39" s="51"/>
      <c r="GWC39" s="51"/>
      <c r="GWD39" s="51"/>
      <c r="GWE39" s="51"/>
      <c r="GWF39" s="51"/>
      <c r="GWG39" s="51"/>
      <c r="GWH39" s="51"/>
      <c r="GWI39" s="51"/>
      <c r="GWJ39" s="51"/>
      <c r="GWK39" s="51"/>
      <c r="GWL39" s="51"/>
      <c r="GWM39" s="51"/>
      <c r="GWN39" s="51"/>
      <c r="GWO39" s="51"/>
      <c r="GWP39" s="51"/>
      <c r="GWQ39" s="51"/>
      <c r="GWR39" s="51"/>
      <c r="GWS39" s="51"/>
      <c r="GWT39" s="51"/>
      <c r="GWU39" s="51"/>
      <c r="GWV39" s="51"/>
      <c r="GWW39" s="51"/>
      <c r="GWX39" s="51"/>
      <c r="GWY39" s="51"/>
      <c r="GWZ39" s="51"/>
      <c r="GXA39" s="51"/>
      <c r="GXB39" s="51"/>
      <c r="GXC39" s="51"/>
      <c r="GXD39" s="51"/>
      <c r="GXE39" s="51"/>
      <c r="GXF39" s="51"/>
      <c r="GXG39" s="51"/>
      <c r="GXH39" s="51"/>
      <c r="GXI39" s="51"/>
      <c r="GXJ39" s="51"/>
      <c r="GXK39" s="51"/>
      <c r="GXL39" s="51"/>
      <c r="GXM39" s="51"/>
      <c r="GXN39" s="51"/>
      <c r="GXO39" s="51"/>
      <c r="GXP39" s="51"/>
      <c r="GXQ39" s="51"/>
      <c r="GXR39" s="51"/>
      <c r="GXS39" s="51"/>
      <c r="GXT39" s="51"/>
      <c r="GXU39" s="51"/>
      <c r="GXV39" s="51"/>
      <c r="GXW39" s="51"/>
      <c r="GXX39" s="51"/>
      <c r="GXY39" s="51"/>
      <c r="GXZ39" s="51"/>
      <c r="GYA39" s="51"/>
      <c r="GYB39" s="51"/>
      <c r="GYC39" s="51"/>
      <c r="GYD39" s="51"/>
      <c r="GYE39" s="51"/>
      <c r="GYF39" s="51"/>
      <c r="GYG39" s="51"/>
      <c r="GYH39" s="51"/>
      <c r="GYI39" s="51"/>
      <c r="GYJ39" s="51"/>
      <c r="GYK39" s="51"/>
      <c r="GYL39" s="51"/>
      <c r="GYM39" s="51"/>
      <c r="GYN39" s="51"/>
      <c r="GYO39" s="51"/>
      <c r="GYP39" s="51"/>
      <c r="GYQ39" s="51"/>
      <c r="GYR39" s="51"/>
      <c r="GYS39" s="51"/>
      <c r="GYT39" s="51"/>
      <c r="GYU39" s="51"/>
      <c r="GYV39" s="51"/>
      <c r="GYW39" s="51"/>
      <c r="GYX39" s="51"/>
      <c r="GYY39" s="51"/>
      <c r="GYZ39" s="51"/>
      <c r="GZA39" s="51"/>
      <c r="GZB39" s="51"/>
      <c r="GZC39" s="51"/>
      <c r="GZD39" s="51"/>
      <c r="GZE39" s="51"/>
      <c r="GZF39" s="51"/>
      <c r="GZG39" s="51"/>
      <c r="GZH39" s="51"/>
      <c r="GZI39" s="51"/>
      <c r="GZJ39" s="51"/>
      <c r="GZK39" s="51"/>
      <c r="GZL39" s="51"/>
      <c r="GZM39" s="51"/>
      <c r="GZN39" s="51"/>
      <c r="GZO39" s="51"/>
      <c r="GZP39" s="51"/>
      <c r="GZQ39" s="51"/>
      <c r="GZR39" s="51"/>
      <c r="GZS39" s="51"/>
      <c r="GZT39" s="51"/>
      <c r="GZU39" s="51"/>
      <c r="GZV39" s="51"/>
      <c r="GZW39" s="51"/>
      <c r="GZX39" s="51"/>
      <c r="GZY39" s="51"/>
      <c r="GZZ39" s="51"/>
      <c r="HAA39" s="51"/>
      <c r="HAB39" s="51"/>
      <c r="HAC39" s="51"/>
      <c r="HAD39" s="51"/>
      <c r="HAE39" s="51"/>
      <c r="HAF39" s="51"/>
      <c r="HAG39" s="51"/>
      <c r="HAH39" s="51"/>
      <c r="HAI39" s="51"/>
      <c r="HAJ39" s="51"/>
      <c r="HAK39" s="51"/>
      <c r="HAL39" s="51"/>
      <c r="HAM39" s="51"/>
      <c r="HAN39" s="51"/>
      <c r="HAO39" s="51"/>
      <c r="HAP39" s="51"/>
      <c r="HAQ39" s="51"/>
      <c r="HAR39" s="51"/>
      <c r="HAS39" s="51"/>
      <c r="HAT39" s="51"/>
      <c r="HAU39" s="51"/>
      <c r="HAV39" s="51"/>
      <c r="HAW39" s="51"/>
      <c r="HAX39" s="51"/>
      <c r="HAY39" s="51"/>
      <c r="HAZ39" s="51"/>
      <c r="HBA39" s="51"/>
      <c r="HBB39" s="51"/>
      <c r="HBC39" s="51"/>
      <c r="HBD39" s="51"/>
      <c r="HBE39" s="51"/>
      <c r="HBF39" s="51"/>
      <c r="HBG39" s="51"/>
      <c r="HBH39" s="51"/>
      <c r="HBI39" s="51"/>
      <c r="HBJ39" s="51"/>
      <c r="HBK39" s="51"/>
      <c r="HBL39" s="51"/>
      <c r="HBM39" s="51"/>
      <c r="HBN39" s="51"/>
      <c r="HBO39" s="51"/>
      <c r="HBP39" s="51"/>
      <c r="HBQ39" s="51"/>
      <c r="HBR39" s="51"/>
      <c r="HBS39" s="51"/>
      <c r="HBT39" s="51"/>
      <c r="HBU39" s="51"/>
      <c r="HBV39" s="51"/>
      <c r="HBW39" s="51"/>
      <c r="HBX39" s="51"/>
      <c r="HBY39" s="51"/>
      <c r="HBZ39" s="51"/>
      <c r="HCA39" s="51"/>
      <c r="HCB39" s="51"/>
      <c r="HCC39" s="51"/>
      <c r="HCD39" s="51"/>
      <c r="HCE39" s="51"/>
      <c r="HCF39" s="51"/>
      <c r="HCG39" s="51"/>
      <c r="HCH39" s="51"/>
      <c r="HCI39" s="51"/>
      <c r="HCJ39" s="51"/>
      <c r="HCK39" s="51"/>
      <c r="HCL39" s="51"/>
      <c r="HCM39" s="51"/>
      <c r="HCN39" s="51"/>
      <c r="HCO39" s="51"/>
      <c r="HCP39" s="51"/>
      <c r="HCQ39" s="51"/>
      <c r="HCR39" s="51"/>
      <c r="HCS39" s="51"/>
      <c r="HCT39" s="51"/>
      <c r="HCU39" s="51"/>
      <c r="HCV39" s="51"/>
      <c r="HCW39" s="51"/>
      <c r="HCX39" s="51"/>
      <c r="HCY39" s="51"/>
      <c r="HCZ39" s="51"/>
      <c r="HDA39" s="51"/>
      <c r="HDB39" s="51"/>
      <c r="HDC39" s="51"/>
      <c r="HDD39" s="51"/>
      <c r="HDE39" s="51"/>
      <c r="HDF39" s="51"/>
      <c r="HDG39" s="51"/>
      <c r="HDH39" s="51"/>
      <c r="HDI39" s="51"/>
      <c r="HDJ39" s="51"/>
      <c r="HDK39" s="51"/>
      <c r="HDL39" s="51"/>
      <c r="HDM39" s="51"/>
      <c r="HDN39" s="51"/>
      <c r="HDO39" s="51"/>
      <c r="HDP39" s="51"/>
      <c r="HDQ39" s="51"/>
      <c r="HDR39" s="51"/>
      <c r="HDS39" s="51"/>
      <c r="HDT39" s="51"/>
      <c r="HDU39" s="51"/>
      <c r="HDV39" s="51"/>
      <c r="HDW39" s="51"/>
      <c r="HDX39" s="51"/>
      <c r="HDY39" s="51"/>
      <c r="HDZ39" s="51"/>
      <c r="HEA39" s="51"/>
      <c r="HEB39" s="51"/>
      <c r="HEC39" s="51"/>
      <c r="HED39" s="51"/>
      <c r="HEE39" s="51"/>
      <c r="HEF39" s="51"/>
      <c r="HEG39" s="51"/>
      <c r="HEH39" s="51"/>
      <c r="HEI39" s="51"/>
      <c r="HEJ39" s="51"/>
      <c r="HEK39" s="51"/>
      <c r="HEL39" s="51"/>
      <c r="HEM39" s="51"/>
      <c r="HEN39" s="51"/>
      <c r="HEO39" s="51"/>
      <c r="HEP39" s="51"/>
      <c r="HEQ39" s="51"/>
      <c r="HER39" s="51"/>
      <c r="HES39" s="51"/>
      <c r="HET39" s="51"/>
      <c r="HEU39" s="51"/>
      <c r="HEV39" s="51"/>
      <c r="HEW39" s="51"/>
      <c r="HEX39" s="51"/>
      <c r="HEY39" s="51"/>
      <c r="HEZ39" s="51"/>
      <c r="HFA39" s="51"/>
      <c r="HFB39" s="51"/>
      <c r="HFC39" s="51"/>
      <c r="HFD39" s="51"/>
      <c r="HFE39" s="51"/>
      <c r="HFF39" s="51"/>
      <c r="HFG39" s="51"/>
      <c r="HFH39" s="51"/>
      <c r="HFI39" s="51"/>
      <c r="HFJ39" s="51"/>
      <c r="HFK39" s="51"/>
      <c r="HFL39" s="51"/>
      <c r="HFM39" s="51"/>
      <c r="HFN39" s="51"/>
      <c r="HFO39" s="51"/>
      <c r="HFP39" s="51"/>
      <c r="HFQ39" s="51"/>
      <c r="HFR39" s="51"/>
      <c r="HFS39" s="51"/>
      <c r="HFT39" s="51"/>
      <c r="HFU39" s="51"/>
      <c r="HFV39" s="51"/>
      <c r="HFW39" s="51"/>
      <c r="HFX39" s="51"/>
      <c r="HFY39" s="51"/>
      <c r="HFZ39" s="51"/>
      <c r="HGA39" s="51"/>
      <c r="HGB39" s="51"/>
      <c r="HGC39" s="51"/>
      <c r="HGD39" s="51"/>
      <c r="HGE39" s="51"/>
      <c r="HGF39" s="51"/>
      <c r="HGG39" s="51"/>
      <c r="HGH39" s="51"/>
      <c r="HGI39" s="51"/>
      <c r="HGJ39" s="51"/>
      <c r="HGK39" s="51"/>
      <c r="HGL39" s="51"/>
      <c r="HGM39" s="51"/>
      <c r="HGN39" s="51"/>
      <c r="HGO39" s="51"/>
      <c r="HGP39" s="51"/>
      <c r="HGQ39" s="51"/>
      <c r="HGR39" s="51"/>
      <c r="HGS39" s="51"/>
      <c r="HGT39" s="51"/>
      <c r="HGU39" s="51"/>
      <c r="HGV39" s="51"/>
      <c r="HGW39" s="51"/>
      <c r="HGX39" s="51"/>
      <c r="HGY39" s="51"/>
      <c r="HGZ39" s="51"/>
      <c r="HHA39" s="51"/>
      <c r="HHB39" s="51"/>
      <c r="HHC39" s="51"/>
      <c r="HHD39" s="51"/>
      <c r="HHE39" s="51"/>
      <c r="HHF39" s="51"/>
      <c r="HHG39" s="51"/>
      <c r="HHH39" s="51"/>
      <c r="HHI39" s="51"/>
      <c r="HHJ39" s="51"/>
      <c r="HHK39" s="51"/>
      <c r="HHL39" s="51"/>
      <c r="HHM39" s="51"/>
      <c r="HHN39" s="51"/>
      <c r="HHO39" s="51"/>
      <c r="HHP39" s="51"/>
      <c r="HHQ39" s="51"/>
      <c r="HHR39" s="51"/>
      <c r="HHS39" s="51"/>
      <c r="HHT39" s="51"/>
      <c r="HHU39" s="51"/>
      <c r="HHV39" s="51"/>
      <c r="HHW39" s="51"/>
      <c r="HHX39" s="51"/>
      <c r="HHY39" s="51"/>
      <c r="HHZ39" s="51"/>
      <c r="HIA39" s="51"/>
      <c r="HIB39" s="51"/>
      <c r="HIC39" s="51"/>
      <c r="HID39" s="51"/>
      <c r="HIE39" s="51"/>
      <c r="HIF39" s="51"/>
      <c r="HIG39" s="51"/>
      <c r="HIH39" s="51"/>
      <c r="HII39" s="51"/>
      <c r="HIJ39" s="51"/>
      <c r="HIK39" s="51"/>
      <c r="HIL39" s="51"/>
      <c r="HIM39" s="51"/>
      <c r="HIN39" s="51"/>
      <c r="HIO39" s="51"/>
      <c r="HIP39" s="51"/>
      <c r="HIQ39" s="51"/>
      <c r="HIR39" s="51"/>
      <c r="HIS39" s="51"/>
      <c r="HIT39" s="51"/>
      <c r="HIU39" s="51"/>
      <c r="HIV39" s="51"/>
      <c r="HIW39" s="51"/>
      <c r="HIX39" s="51"/>
      <c r="HIY39" s="51"/>
      <c r="HIZ39" s="51"/>
      <c r="HJA39" s="51"/>
      <c r="HJB39" s="51"/>
      <c r="HJC39" s="51"/>
      <c r="HJD39" s="51"/>
      <c r="HJE39" s="51"/>
      <c r="HJF39" s="51"/>
      <c r="HJG39" s="51"/>
      <c r="HJH39" s="51"/>
      <c r="HJI39" s="51"/>
      <c r="HJJ39" s="51"/>
      <c r="HJK39" s="51"/>
      <c r="HJL39" s="51"/>
      <c r="HJM39" s="51"/>
      <c r="HJN39" s="51"/>
      <c r="HJO39" s="51"/>
      <c r="HJP39" s="51"/>
      <c r="HJQ39" s="51"/>
      <c r="HJR39" s="51"/>
      <c r="HJS39" s="51"/>
      <c r="HJT39" s="51"/>
      <c r="HJU39" s="51"/>
      <c r="HJV39" s="51"/>
      <c r="HJW39" s="51"/>
      <c r="HJX39" s="51"/>
      <c r="HJY39" s="51"/>
      <c r="HJZ39" s="51"/>
      <c r="HKA39" s="51"/>
      <c r="HKB39" s="51"/>
      <c r="HKC39" s="51"/>
      <c r="HKD39" s="51"/>
      <c r="HKE39" s="51"/>
      <c r="HKF39" s="51"/>
      <c r="HKG39" s="51"/>
      <c r="HKH39" s="51"/>
      <c r="HKI39" s="51"/>
      <c r="HKJ39" s="51"/>
      <c r="HKK39" s="51"/>
      <c r="HKL39" s="51"/>
      <c r="HKM39" s="51"/>
      <c r="HKN39" s="51"/>
      <c r="HKO39" s="51"/>
      <c r="HKP39" s="51"/>
      <c r="HKQ39" s="51"/>
      <c r="HKR39" s="51"/>
      <c r="HKS39" s="51"/>
      <c r="HKT39" s="51"/>
      <c r="HKU39" s="51"/>
      <c r="HKV39" s="51"/>
      <c r="HKW39" s="51"/>
      <c r="HKX39" s="51"/>
      <c r="HKY39" s="51"/>
      <c r="HKZ39" s="51"/>
      <c r="HLA39" s="51"/>
      <c r="HLB39" s="51"/>
      <c r="HLC39" s="51"/>
      <c r="HLD39" s="51"/>
      <c r="HLE39" s="51"/>
      <c r="HLF39" s="51"/>
      <c r="HLG39" s="51"/>
      <c r="HLH39" s="51"/>
      <c r="HLI39" s="51"/>
      <c r="HLJ39" s="51"/>
      <c r="HLK39" s="51"/>
      <c r="HLL39" s="51"/>
      <c r="HLM39" s="51"/>
      <c r="HLN39" s="51"/>
      <c r="HLO39" s="51"/>
      <c r="HLP39" s="51"/>
      <c r="HLQ39" s="51"/>
      <c r="HLR39" s="51"/>
      <c r="HLS39" s="51"/>
      <c r="HLT39" s="51"/>
      <c r="HLU39" s="51"/>
      <c r="HLV39" s="51"/>
      <c r="HLW39" s="51"/>
      <c r="HLX39" s="51"/>
      <c r="HLY39" s="51"/>
      <c r="HLZ39" s="51"/>
      <c r="HMA39" s="51"/>
      <c r="HMB39" s="51"/>
      <c r="HMC39" s="51"/>
      <c r="HMD39" s="51"/>
      <c r="HME39" s="51"/>
      <c r="HMF39" s="51"/>
      <c r="HMG39" s="51"/>
      <c r="HMH39" s="51"/>
      <c r="HMI39" s="51"/>
      <c r="HMJ39" s="51"/>
      <c r="HMK39" s="51"/>
      <c r="HML39" s="51"/>
      <c r="HMM39" s="51"/>
      <c r="HMN39" s="51"/>
      <c r="HMO39" s="51"/>
      <c r="HMP39" s="51"/>
      <c r="HMQ39" s="51"/>
      <c r="HMR39" s="51"/>
      <c r="HMS39" s="51"/>
      <c r="HMT39" s="51"/>
      <c r="HMU39" s="51"/>
      <c r="HMV39" s="51"/>
      <c r="HMW39" s="51"/>
      <c r="HMX39" s="51"/>
      <c r="HMY39" s="51"/>
      <c r="HMZ39" s="51"/>
      <c r="HNA39" s="51"/>
      <c r="HNB39" s="51"/>
      <c r="HNC39" s="51"/>
      <c r="HND39" s="51"/>
      <c r="HNE39" s="51"/>
      <c r="HNF39" s="51"/>
      <c r="HNG39" s="51"/>
      <c r="HNH39" s="51"/>
      <c r="HNI39" s="51"/>
      <c r="HNJ39" s="51"/>
      <c r="HNK39" s="51"/>
      <c r="HNL39" s="51"/>
      <c r="HNM39" s="51"/>
      <c r="HNN39" s="51"/>
      <c r="HNO39" s="51"/>
      <c r="HNP39" s="51"/>
      <c r="HNQ39" s="51"/>
      <c r="HNR39" s="51"/>
      <c r="HNS39" s="51"/>
      <c r="HNT39" s="51"/>
      <c r="HNU39" s="51"/>
      <c r="HNV39" s="51"/>
      <c r="HNW39" s="51"/>
      <c r="HNX39" s="51"/>
      <c r="HNY39" s="51"/>
      <c r="HNZ39" s="51"/>
      <c r="HOA39" s="51"/>
      <c r="HOB39" s="51"/>
      <c r="HOC39" s="51"/>
      <c r="HOD39" s="51"/>
      <c r="HOE39" s="51"/>
      <c r="HOF39" s="51"/>
      <c r="HOG39" s="51"/>
      <c r="HOH39" s="51"/>
      <c r="HOI39" s="51"/>
      <c r="HOJ39" s="51"/>
      <c r="HOK39" s="51"/>
      <c r="HOL39" s="51"/>
      <c r="HOM39" s="51"/>
      <c r="HON39" s="51"/>
      <c r="HOO39" s="51"/>
      <c r="HOP39" s="51"/>
      <c r="HOQ39" s="51"/>
      <c r="HOR39" s="51"/>
      <c r="HOS39" s="51"/>
      <c r="HOT39" s="51"/>
      <c r="HOU39" s="51"/>
      <c r="HOV39" s="51"/>
      <c r="HOW39" s="51"/>
      <c r="HOX39" s="51"/>
      <c r="HOY39" s="51"/>
      <c r="HOZ39" s="51"/>
      <c r="HPA39" s="51"/>
      <c r="HPB39" s="51"/>
      <c r="HPC39" s="51"/>
      <c r="HPD39" s="51"/>
      <c r="HPE39" s="51"/>
      <c r="HPF39" s="51"/>
      <c r="HPG39" s="51"/>
      <c r="HPH39" s="51"/>
      <c r="HPI39" s="51"/>
      <c r="HPJ39" s="51"/>
      <c r="HPK39" s="51"/>
      <c r="HPL39" s="51"/>
      <c r="HPM39" s="51"/>
      <c r="HPN39" s="51"/>
      <c r="HPO39" s="51"/>
      <c r="HPP39" s="51"/>
      <c r="HPQ39" s="51"/>
      <c r="HPR39" s="51"/>
      <c r="HPS39" s="51"/>
      <c r="HPT39" s="51"/>
      <c r="HPU39" s="51"/>
      <c r="HPV39" s="51"/>
      <c r="HPW39" s="51"/>
      <c r="HPX39" s="51"/>
      <c r="HPY39" s="51"/>
      <c r="HPZ39" s="51"/>
      <c r="HQA39" s="51"/>
      <c r="HQB39" s="51"/>
      <c r="HQC39" s="51"/>
      <c r="HQD39" s="51"/>
      <c r="HQE39" s="51"/>
      <c r="HQF39" s="51"/>
      <c r="HQG39" s="51"/>
      <c r="HQH39" s="51"/>
      <c r="HQI39" s="51"/>
      <c r="HQJ39" s="51"/>
      <c r="HQK39" s="51"/>
      <c r="HQL39" s="51"/>
      <c r="HQM39" s="51"/>
      <c r="HQN39" s="51"/>
      <c r="HQO39" s="51"/>
      <c r="HQP39" s="51"/>
      <c r="HQQ39" s="51"/>
      <c r="HQR39" s="51"/>
      <c r="HQS39" s="51"/>
      <c r="HQT39" s="51"/>
      <c r="HQU39" s="51"/>
      <c r="HQV39" s="51"/>
      <c r="HQW39" s="51"/>
      <c r="HQX39" s="51"/>
      <c r="HQY39" s="51"/>
      <c r="HQZ39" s="51"/>
      <c r="HRA39" s="51"/>
      <c r="HRB39" s="51"/>
      <c r="HRC39" s="51"/>
      <c r="HRD39" s="51"/>
      <c r="HRE39" s="51"/>
      <c r="HRF39" s="51"/>
      <c r="HRG39" s="51"/>
      <c r="HRH39" s="51"/>
      <c r="HRI39" s="51"/>
      <c r="HRJ39" s="51"/>
      <c r="HRK39" s="51"/>
      <c r="HRL39" s="51"/>
      <c r="HRM39" s="51"/>
      <c r="HRN39" s="51"/>
      <c r="HRO39" s="51"/>
      <c r="HRP39" s="51"/>
      <c r="HRQ39" s="51"/>
      <c r="HRR39" s="51"/>
      <c r="HRS39" s="51"/>
      <c r="HRT39" s="51"/>
      <c r="HRU39" s="51"/>
      <c r="HRV39" s="51"/>
      <c r="HRW39" s="51"/>
      <c r="HRX39" s="51"/>
      <c r="HRY39" s="51"/>
      <c r="HRZ39" s="51"/>
      <c r="HSA39" s="51"/>
      <c r="HSB39" s="51"/>
      <c r="HSC39" s="51"/>
      <c r="HSD39" s="51"/>
      <c r="HSE39" s="51"/>
      <c r="HSF39" s="51"/>
      <c r="HSG39" s="51"/>
      <c r="HSH39" s="51"/>
      <c r="HSI39" s="51"/>
      <c r="HSJ39" s="51"/>
      <c r="HSK39" s="51"/>
      <c r="HSL39" s="51"/>
      <c r="HSM39" s="51"/>
      <c r="HSN39" s="51"/>
      <c r="HSO39" s="51"/>
      <c r="HSP39" s="51"/>
      <c r="HSQ39" s="51"/>
      <c r="HSR39" s="51"/>
      <c r="HSS39" s="51"/>
      <c r="HST39" s="51"/>
      <c r="HSU39" s="51"/>
      <c r="HSV39" s="51"/>
      <c r="HSW39" s="51"/>
      <c r="HSX39" s="51"/>
      <c r="HSY39" s="51"/>
      <c r="HSZ39" s="51"/>
      <c r="HTA39" s="51"/>
      <c r="HTB39" s="51"/>
      <c r="HTC39" s="51"/>
      <c r="HTD39" s="51"/>
      <c r="HTE39" s="51"/>
      <c r="HTF39" s="51"/>
      <c r="HTG39" s="51"/>
      <c r="HTH39" s="51"/>
      <c r="HTI39" s="51"/>
      <c r="HTJ39" s="51"/>
      <c r="HTK39" s="51"/>
      <c r="HTL39" s="51"/>
      <c r="HTM39" s="51"/>
      <c r="HTN39" s="51"/>
      <c r="HTO39" s="51"/>
      <c r="HTP39" s="51"/>
      <c r="HTQ39" s="51"/>
      <c r="HTR39" s="51"/>
      <c r="HTS39" s="51"/>
      <c r="HTT39" s="51"/>
      <c r="HTU39" s="51"/>
      <c r="HTV39" s="51"/>
      <c r="HTW39" s="51"/>
      <c r="HTX39" s="51"/>
      <c r="HTY39" s="51"/>
      <c r="HTZ39" s="51"/>
      <c r="HUA39" s="51"/>
      <c r="HUB39" s="51"/>
      <c r="HUC39" s="51"/>
      <c r="HUD39" s="51"/>
      <c r="HUE39" s="51"/>
      <c r="HUF39" s="51"/>
      <c r="HUG39" s="51"/>
      <c r="HUH39" s="51"/>
      <c r="HUI39" s="51"/>
      <c r="HUJ39" s="51"/>
      <c r="HUK39" s="51"/>
      <c r="HUL39" s="51"/>
      <c r="HUM39" s="51"/>
      <c r="HUN39" s="51"/>
      <c r="HUO39" s="51"/>
      <c r="HUP39" s="51"/>
      <c r="HUQ39" s="51"/>
      <c r="HUR39" s="51"/>
      <c r="HUS39" s="51"/>
      <c r="HUT39" s="51"/>
      <c r="HUU39" s="51"/>
      <c r="HUV39" s="51"/>
      <c r="HUW39" s="51"/>
      <c r="HUX39" s="51"/>
      <c r="HUY39" s="51"/>
      <c r="HUZ39" s="51"/>
      <c r="HVA39" s="51"/>
      <c r="HVB39" s="51"/>
      <c r="HVC39" s="51"/>
      <c r="HVD39" s="51"/>
      <c r="HVE39" s="51"/>
      <c r="HVF39" s="51"/>
      <c r="HVG39" s="51"/>
      <c r="HVH39" s="51"/>
      <c r="HVI39" s="51"/>
      <c r="HVJ39" s="51"/>
      <c r="HVK39" s="51"/>
      <c r="HVL39" s="51"/>
      <c r="HVM39" s="51"/>
      <c r="HVN39" s="51"/>
      <c r="HVO39" s="51"/>
      <c r="HVP39" s="51"/>
      <c r="HVQ39" s="51"/>
      <c r="HVR39" s="51"/>
      <c r="HVS39" s="51"/>
      <c r="HVT39" s="51"/>
      <c r="HVU39" s="51"/>
      <c r="HVV39" s="51"/>
      <c r="HVW39" s="51"/>
      <c r="HVX39" s="51"/>
      <c r="HVY39" s="51"/>
      <c r="HVZ39" s="51"/>
      <c r="HWA39" s="51"/>
      <c r="HWB39" s="51"/>
      <c r="HWC39" s="51"/>
      <c r="HWD39" s="51"/>
      <c r="HWE39" s="51"/>
      <c r="HWF39" s="51"/>
      <c r="HWG39" s="51"/>
      <c r="HWH39" s="51"/>
      <c r="HWI39" s="51"/>
      <c r="HWJ39" s="51"/>
      <c r="HWK39" s="51"/>
      <c r="HWL39" s="51"/>
      <c r="HWM39" s="51"/>
      <c r="HWN39" s="51"/>
      <c r="HWO39" s="51"/>
      <c r="HWP39" s="51"/>
      <c r="HWQ39" s="51"/>
      <c r="HWR39" s="51"/>
      <c r="HWS39" s="51"/>
      <c r="HWT39" s="51"/>
      <c r="HWU39" s="51"/>
      <c r="HWV39" s="51"/>
      <c r="HWW39" s="51"/>
      <c r="HWX39" s="51"/>
      <c r="HWY39" s="51"/>
      <c r="HWZ39" s="51"/>
      <c r="HXA39" s="51"/>
      <c r="HXB39" s="51"/>
      <c r="HXC39" s="51"/>
      <c r="HXD39" s="51"/>
      <c r="HXE39" s="51"/>
      <c r="HXF39" s="51"/>
      <c r="HXG39" s="51"/>
      <c r="HXH39" s="51"/>
      <c r="HXI39" s="51"/>
      <c r="HXJ39" s="51"/>
      <c r="HXK39" s="51"/>
      <c r="HXL39" s="51"/>
      <c r="HXM39" s="51"/>
      <c r="HXN39" s="51"/>
      <c r="HXO39" s="51"/>
      <c r="HXP39" s="51"/>
      <c r="HXQ39" s="51"/>
      <c r="HXR39" s="51"/>
      <c r="HXS39" s="51"/>
      <c r="HXT39" s="51"/>
      <c r="HXU39" s="51"/>
      <c r="HXV39" s="51"/>
      <c r="HXW39" s="51"/>
      <c r="HXX39" s="51"/>
      <c r="HXY39" s="51"/>
      <c r="HXZ39" s="51"/>
      <c r="HYA39" s="51"/>
      <c r="HYB39" s="51"/>
      <c r="HYC39" s="51"/>
      <c r="HYD39" s="51"/>
      <c r="HYE39" s="51"/>
      <c r="HYF39" s="51"/>
      <c r="HYG39" s="51"/>
      <c r="HYH39" s="51"/>
      <c r="HYI39" s="51"/>
      <c r="HYJ39" s="51"/>
      <c r="HYK39" s="51"/>
      <c r="HYL39" s="51"/>
      <c r="HYM39" s="51"/>
      <c r="HYN39" s="51"/>
      <c r="HYO39" s="51"/>
      <c r="HYP39" s="51"/>
      <c r="HYQ39" s="51"/>
      <c r="HYR39" s="51"/>
      <c r="HYS39" s="51"/>
      <c r="HYT39" s="51"/>
      <c r="HYU39" s="51"/>
      <c r="HYV39" s="51"/>
      <c r="HYW39" s="51"/>
      <c r="HYX39" s="51"/>
      <c r="HYY39" s="51"/>
      <c r="HYZ39" s="51"/>
      <c r="HZA39" s="51"/>
      <c r="HZB39" s="51"/>
      <c r="HZC39" s="51"/>
      <c r="HZD39" s="51"/>
      <c r="HZE39" s="51"/>
      <c r="HZF39" s="51"/>
      <c r="HZG39" s="51"/>
      <c r="HZH39" s="51"/>
      <c r="HZI39" s="51"/>
      <c r="HZJ39" s="51"/>
      <c r="HZK39" s="51"/>
      <c r="HZL39" s="51"/>
      <c r="HZM39" s="51"/>
      <c r="HZN39" s="51"/>
      <c r="HZO39" s="51"/>
      <c r="HZP39" s="51"/>
      <c r="HZQ39" s="51"/>
      <c r="HZR39" s="51"/>
      <c r="HZS39" s="51"/>
      <c r="HZT39" s="51"/>
      <c r="HZU39" s="51"/>
      <c r="HZV39" s="51"/>
      <c r="HZW39" s="51"/>
      <c r="HZX39" s="51"/>
      <c r="HZY39" s="51"/>
      <c r="HZZ39" s="51"/>
      <c r="IAA39" s="51"/>
      <c r="IAB39" s="51"/>
      <c r="IAC39" s="51"/>
      <c r="IAD39" s="51"/>
      <c r="IAE39" s="51"/>
      <c r="IAF39" s="51"/>
      <c r="IAG39" s="51"/>
      <c r="IAH39" s="51"/>
      <c r="IAI39" s="51"/>
      <c r="IAJ39" s="51"/>
      <c r="IAK39" s="51"/>
      <c r="IAL39" s="51"/>
      <c r="IAM39" s="51"/>
      <c r="IAN39" s="51"/>
      <c r="IAO39" s="51"/>
      <c r="IAP39" s="51"/>
      <c r="IAQ39" s="51"/>
      <c r="IAR39" s="51"/>
      <c r="IAS39" s="51"/>
      <c r="IAT39" s="51"/>
      <c r="IAU39" s="51"/>
      <c r="IAV39" s="51"/>
      <c r="IAW39" s="51"/>
      <c r="IAX39" s="51"/>
      <c r="IAY39" s="51"/>
      <c r="IAZ39" s="51"/>
      <c r="IBA39" s="51"/>
      <c r="IBB39" s="51"/>
      <c r="IBC39" s="51"/>
      <c r="IBD39" s="51"/>
      <c r="IBE39" s="51"/>
      <c r="IBF39" s="51"/>
      <c r="IBG39" s="51"/>
      <c r="IBH39" s="51"/>
      <c r="IBI39" s="51"/>
      <c r="IBJ39" s="51"/>
      <c r="IBK39" s="51"/>
      <c r="IBL39" s="51"/>
      <c r="IBM39" s="51"/>
      <c r="IBN39" s="51"/>
      <c r="IBO39" s="51"/>
      <c r="IBP39" s="51"/>
      <c r="IBQ39" s="51"/>
      <c r="IBR39" s="51"/>
      <c r="IBS39" s="51"/>
      <c r="IBT39" s="51"/>
      <c r="IBU39" s="51"/>
      <c r="IBV39" s="51"/>
      <c r="IBW39" s="51"/>
      <c r="IBX39" s="51"/>
      <c r="IBY39" s="51"/>
      <c r="IBZ39" s="51"/>
      <c r="ICA39" s="51"/>
      <c r="ICB39" s="51"/>
      <c r="ICC39" s="51"/>
      <c r="ICD39" s="51"/>
      <c r="ICE39" s="51"/>
      <c r="ICF39" s="51"/>
      <c r="ICG39" s="51"/>
      <c r="ICH39" s="51"/>
      <c r="ICI39" s="51"/>
      <c r="ICJ39" s="51"/>
      <c r="ICK39" s="51"/>
      <c r="ICL39" s="51"/>
      <c r="ICM39" s="51"/>
      <c r="ICN39" s="51"/>
      <c r="ICO39" s="51"/>
      <c r="ICP39" s="51"/>
      <c r="ICQ39" s="51"/>
      <c r="ICR39" s="51"/>
      <c r="ICS39" s="51"/>
      <c r="ICT39" s="51"/>
      <c r="ICU39" s="51"/>
      <c r="ICV39" s="51"/>
      <c r="ICW39" s="51"/>
      <c r="ICX39" s="51"/>
      <c r="ICY39" s="51"/>
      <c r="ICZ39" s="51"/>
      <c r="IDA39" s="51"/>
      <c r="IDB39" s="51"/>
      <c r="IDC39" s="51"/>
      <c r="IDD39" s="51"/>
      <c r="IDE39" s="51"/>
      <c r="IDF39" s="51"/>
      <c r="IDG39" s="51"/>
      <c r="IDH39" s="51"/>
      <c r="IDI39" s="51"/>
      <c r="IDJ39" s="51"/>
      <c r="IDK39" s="51"/>
      <c r="IDL39" s="51"/>
      <c r="IDM39" s="51"/>
      <c r="IDN39" s="51"/>
      <c r="IDO39" s="51"/>
      <c r="IDP39" s="51"/>
      <c r="IDQ39" s="51"/>
      <c r="IDR39" s="51"/>
      <c r="IDS39" s="51"/>
      <c r="IDT39" s="51"/>
      <c r="IDU39" s="51"/>
      <c r="IDV39" s="51"/>
      <c r="IDW39" s="51"/>
      <c r="IDX39" s="51"/>
      <c r="IDY39" s="51"/>
      <c r="IDZ39" s="51"/>
      <c r="IEA39" s="51"/>
      <c r="IEB39" s="51"/>
      <c r="IEC39" s="51"/>
      <c r="IED39" s="51"/>
      <c r="IEE39" s="51"/>
      <c r="IEF39" s="51"/>
      <c r="IEG39" s="51"/>
      <c r="IEH39" s="51"/>
      <c r="IEI39" s="51"/>
      <c r="IEJ39" s="51"/>
      <c r="IEK39" s="51"/>
      <c r="IEL39" s="51"/>
      <c r="IEM39" s="51"/>
      <c r="IEN39" s="51"/>
      <c r="IEO39" s="51"/>
      <c r="IEP39" s="51"/>
      <c r="IEQ39" s="51"/>
      <c r="IER39" s="51"/>
      <c r="IES39" s="51"/>
      <c r="IET39" s="51"/>
      <c r="IEU39" s="51"/>
      <c r="IEV39" s="51"/>
      <c r="IEW39" s="51"/>
      <c r="IEX39" s="51"/>
      <c r="IEY39" s="51"/>
      <c r="IEZ39" s="51"/>
      <c r="IFA39" s="51"/>
      <c r="IFB39" s="51"/>
      <c r="IFC39" s="51"/>
      <c r="IFD39" s="51"/>
      <c r="IFE39" s="51"/>
      <c r="IFF39" s="51"/>
      <c r="IFG39" s="51"/>
      <c r="IFH39" s="51"/>
      <c r="IFI39" s="51"/>
      <c r="IFJ39" s="51"/>
      <c r="IFK39" s="51"/>
      <c r="IFL39" s="51"/>
      <c r="IFM39" s="51"/>
      <c r="IFN39" s="51"/>
      <c r="IFO39" s="51"/>
      <c r="IFP39" s="51"/>
      <c r="IFQ39" s="51"/>
      <c r="IFR39" s="51"/>
      <c r="IFS39" s="51"/>
      <c r="IFT39" s="51"/>
      <c r="IFU39" s="51"/>
      <c r="IFV39" s="51"/>
      <c r="IFW39" s="51"/>
      <c r="IFX39" s="51"/>
      <c r="IFY39" s="51"/>
      <c r="IFZ39" s="51"/>
      <c r="IGA39" s="51"/>
      <c r="IGB39" s="51"/>
      <c r="IGC39" s="51"/>
      <c r="IGD39" s="51"/>
      <c r="IGE39" s="51"/>
      <c r="IGF39" s="51"/>
      <c r="IGG39" s="51"/>
      <c r="IGH39" s="51"/>
      <c r="IGI39" s="51"/>
      <c r="IGJ39" s="51"/>
      <c r="IGK39" s="51"/>
      <c r="IGL39" s="51"/>
      <c r="IGM39" s="51"/>
      <c r="IGN39" s="51"/>
      <c r="IGO39" s="51"/>
      <c r="IGP39" s="51"/>
      <c r="IGQ39" s="51"/>
      <c r="IGR39" s="51"/>
      <c r="IGS39" s="51"/>
      <c r="IGT39" s="51"/>
      <c r="IGU39" s="51"/>
      <c r="IGV39" s="51"/>
      <c r="IGW39" s="51"/>
      <c r="IGX39" s="51"/>
      <c r="IGY39" s="51"/>
      <c r="IGZ39" s="51"/>
      <c r="IHA39" s="51"/>
      <c r="IHB39" s="51"/>
      <c r="IHC39" s="51"/>
      <c r="IHD39" s="51"/>
      <c r="IHE39" s="51"/>
      <c r="IHF39" s="51"/>
      <c r="IHG39" s="51"/>
      <c r="IHH39" s="51"/>
      <c r="IHI39" s="51"/>
      <c r="IHJ39" s="51"/>
      <c r="IHK39" s="51"/>
      <c r="IHL39" s="51"/>
      <c r="IHM39" s="51"/>
      <c r="IHN39" s="51"/>
      <c r="IHO39" s="51"/>
      <c r="IHP39" s="51"/>
      <c r="IHQ39" s="51"/>
      <c r="IHR39" s="51"/>
      <c r="IHS39" s="51"/>
      <c r="IHT39" s="51"/>
      <c r="IHU39" s="51"/>
      <c r="IHV39" s="51"/>
      <c r="IHW39" s="51"/>
      <c r="IHX39" s="51"/>
      <c r="IHY39" s="51"/>
      <c r="IHZ39" s="51"/>
      <c r="IIA39" s="51"/>
      <c r="IIB39" s="51"/>
      <c r="IIC39" s="51"/>
      <c r="IID39" s="51"/>
      <c r="IIE39" s="51"/>
      <c r="IIF39" s="51"/>
      <c r="IIG39" s="51"/>
      <c r="IIH39" s="51"/>
      <c r="III39" s="51"/>
      <c r="IIJ39" s="51"/>
      <c r="IIK39" s="51"/>
      <c r="IIL39" s="51"/>
      <c r="IIM39" s="51"/>
      <c r="IIN39" s="51"/>
      <c r="IIO39" s="51"/>
      <c r="IIP39" s="51"/>
      <c r="IIQ39" s="51"/>
      <c r="IIR39" s="51"/>
      <c r="IIS39" s="51"/>
      <c r="IIT39" s="51"/>
      <c r="IIU39" s="51"/>
      <c r="IIV39" s="51"/>
      <c r="IIW39" s="51"/>
      <c r="IIX39" s="51"/>
      <c r="IIY39" s="51"/>
      <c r="IIZ39" s="51"/>
      <c r="IJA39" s="51"/>
      <c r="IJB39" s="51"/>
      <c r="IJC39" s="51"/>
      <c r="IJD39" s="51"/>
      <c r="IJE39" s="51"/>
      <c r="IJF39" s="51"/>
      <c r="IJG39" s="51"/>
      <c r="IJH39" s="51"/>
      <c r="IJI39" s="51"/>
      <c r="IJJ39" s="51"/>
      <c r="IJK39" s="51"/>
      <c r="IJL39" s="51"/>
      <c r="IJM39" s="51"/>
      <c r="IJN39" s="51"/>
      <c r="IJO39" s="51"/>
      <c r="IJP39" s="51"/>
      <c r="IJQ39" s="51"/>
      <c r="IJR39" s="51"/>
      <c r="IJS39" s="51"/>
      <c r="IJT39" s="51"/>
      <c r="IJU39" s="51"/>
      <c r="IJV39" s="51"/>
      <c r="IJW39" s="51"/>
      <c r="IJX39" s="51"/>
      <c r="IJY39" s="51"/>
      <c r="IJZ39" s="51"/>
      <c r="IKA39" s="51"/>
      <c r="IKB39" s="51"/>
      <c r="IKC39" s="51"/>
      <c r="IKD39" s="51"/>
      <c r="IKE39" s="51"/>
      <c r="IKF39" s="51"/>
      <c r="IKG39" s="51"/>
      <c r="IKH39" s="51"/>
      <c r="IKI39" s="51"/>
      <c r="IKJ39" s="51"/>
      <c r="IKK39" s="51"/>
      <c r="IKL39" s="51"/>
      <c r="IKM39" s="51"/>
      <c r="IKN39" s="51"/>
      <c r="IKO39" s="51"/>
      <c r="IKP39" s="51"/>
      <c r="IKQ39" s="51"/>
      <c r="IKR39" s="51"/>
      <c r="IKS39" s="51"/>
      <c r="IKT39" s="51"/>
      <c r="IKU39" s="51"/>
      <c r="IKV39" s="51"/>
      <c r="IKW39" s="51"/>
      <c r="IKX39" s="51"/>
      <c r="IKY39" s="51"/>
      <c r="IKZ39" s="51"/>
      <c r="ILA39" s="51"/>
      <c r="ILB39" s="51"/>
      <c r="ILC39" s="51"/>
      <c r="ILD39" s="51"/>
      <c r="ILE39" s="51"/>
      <c r="ILF39" s="51"/>
      <c r="ILG39" s="51"/>
      <c r="ILH39" s="51"/>
      <c r="ILI39" s="51"/>
      <c r="ILJ39" s="51"/>
      <c r="ILK39" s="51"/>
      <c r="ILL39" s="51"/>
      <c r="ILM39" s="51"/>
      <c r="ILN39" s="51"/>
      <c r="ILO39" s="51"/>
      <c r="ILP39" s="51"/>
      <c r="ILQ39" s="51"/>
      <c r="ILR39" s="51"/>
      <c r="ILS39" s="51"/>
      <c r="ILT39" s="51"/>
      <c r="ILU39" s="51"/>
      <c r="ILV39" s="51"/>
      <c r="ILW39" s="51"/>
      <c r="ILX39" s="51"/>
      <c r="ILY39" s="51"/>
      <c r="ILZ39" s="51"/>
      <c r="IMA39" s="51"/>
      <c r="IMB39" s="51"/>
      <c r="IMC39" s="51"/>
      <c r="IMD39" s="51"/>
      <c r="IME39" s="51"/>
      <c r="IMF39" s="51"/>
      <c r="IMG39" s="51"/>
      <c r="IMH39" s="51"/>
      <c r="IMI39" s="51"/>
      <c r="IMJ39" s="51"/>
      <c r="IMK39" s="51"/>
      <c r="IML39" s="51"/>
      <c r="IMM39" s="51"/>
      <c r="IMN39" s="51"/>
      <c r="IMO39" s="51"/>
      <c r="IMP39" s="51"/>
      <c r="IMQ39" s="51"/>
      <c r="IMR39" s="51"/>
      <c r="IMS39" s="51"/>
      <c r="IMT39" s="51"/>
      <c r="IMU39" s="51"/>
      <c r="IMV39" s="51"/>
      <c r="IMW39" s="51"/>
      <c r="IMX39" s="51"/>
      <c r="IMY39" s="51"/>
      <c r="IMZ39" s="51"/>
      <c r="INA39" s="51"/>
      <c r="INB39" s="51"/>
      <c r="INC39" s="51"/>
      <c r="IND39" s="51"/>
      <c r="INE39" s="51"/>
      <c r="INF39" s="51"/>
      <c r="ING39" s="51"/>
      <c r="INH39" s="51"/>
      <c r="INI39" s="51"/>
      <c r="INJ39" s="51"/>
      <c r="INK39" s="51"/>
      <c r="INL39" s="51"/>
      <c r="INM39" s="51"/>
      <c r="INN39" s="51"/>
      <c r="INO39" s="51"/>
      <c r="INP39" s="51"/>
      <c r="INQ39" s="51"/>
      <c r="INR39" s="51"/>
      <c r="INS39" s="51"/>
      <c r="INT39" s="51"/>
      <c r="INU39" s="51"/>
      <c r="INV39" s="51"/>
      <c r="INW39" s="51"/>
      <c r="INX39" s="51"/>
      <c r="INY39" s="51"/>
      <c r="INZ39" s="51"/>
      <c r="IOA39" s="51"/>
      <c r="IOB39" s="51"/>
      <c r="IOC39" s="51"/>
      <c r="IOD39" s="51"/>
      <c r="IOE39" s="51"/>
      <c r="IOF39" s="51"/>
      <c r="IOG39" s="51"/>
      <c r="IOH39" s="51"/>
      <c r="IOI39" s="51"/>
      <c r="IOJ39" s="51"/>
      <c r="IOK39" s="51"/>
      <c r="IOL39" s="51"/>
      <c r="IOM39" s="51"/>
      <c r="ION39" s="51"/>
      <c r="IOO39" s="51"/>
      <c r="IOP39" s="51"/>
      <c r="IOQ39" s="51"/>
      <c r="IOR39" s="51"/>
      <c r="IOS39" s="51"/>
      <c r="IOT39" s="51"/>
      <c r="IOU39" s="51"/>
      <c r="IOV39" s="51"/>
      <c r="IOW39" s="51"/>
      <c r="IOX39" s="51"/>
      <c r="IOY39" s="51"/>
      <c r="IOZ39" s="51"/>
      <c r="IPA39" s="51"/>
      <c r="IPB39" s="51"/>
      <c r="IPC39" s="51"/>
      <c r="IPD39" s="51"/>
      <c r="IPE39" s="51"/>
      <c r="IPF39" s="51"/>
      <c r="IPG39" s="51"/>
      <c r="IPH39" s="51"/>
      <c r="IPI39" s="51"/>
      <c r="IPJ39" s="51"/>
      <c r="IPK39" s="51"/>
      <c r="IPL39" s="51"/>
      <c r="IPM39" s="51"/>
      <c r="IPN39" s="51"/>
      <c r="IPO39" s="51"/>
      <c r="IPP39" s="51"/>
      <c r="IPQ39" s="51"/>
      <c r="IPR39" s="51"/>
      <c r="IPS39" s="51"/>
      <c r="IPT39" s="51"/>
      <c r="IPU39" s="51"/>
      <c r="IPV39" s="51"/>
      <c r="IPW39" s="51"/>
      <c r="IPX39" s="51"/>
      <c r="IPY39" s="51"/>
      <c r="IPZ39" s="51"/>
      <c r="IQA39" s="51"/>
      <c r="IQB39" s="51"/>
      <c r="IQC39" s="51"/>
      <c r="IQD39" s="51"/>
      <c r="IQE39" s="51"/>
      <c r="IQF39" s="51"/>
      <c r="IQG39" s="51"/>
      <c r="IQH39" s="51"/>
      <c r="IQI39" s="51"/>
      <c r="IQJ39" s="51"/>
      <c r="IQK39" s="51"/>
      <c r="IQL39" s="51"/>
      <c r="IQM39" s="51"/>
      <c r="IQN39" s="51"/>
      <c r="IQO39" s="51"/>
      <c r="IQP39" s="51"/>
      <c r="IQQ39" s="51"/>
      <c r="IQR39" s="51"/>
      <c r="IQS39" s="51"/>
      <c r="IQT39" s="51"/>
      <c r="IQU39" s="51"/>
      <c r="IQV39" s="51"/>
      <c r="IQW39" s="51"/>
      <c r="IQX39" s="51"/>
      <c r="IQY39" s="51"/>
      <c r="IQZ39" s="51"/>
      <c r="IRA39" s="51"/>
      <c r="IRB39" s="51"/>
      <c r="IRC39" s="51"/>
      <c r="IRD39" s="51"/>
      <c r="IRE39" s="51"/>
      <c r="IRF39" s="51"/>
      <c r="IRG39" s="51"/>
      <c r="IRH39" s="51"/>
      <c r="IRI39" s="51"/>
      <c r="IRJ39" s="51"/>
      <c r="IRK39" s="51"/>
      <c r="IRL39" s="51"/>
      <c r="IRM39" s="51"/>
      <c r="IRN39" s="51"/>
      <c r="IRO39" s="51"/>
      <c r="IRP39" s="51"/>
      <c r="IRQ39" s="51"/>
      <c r="IRR39" s="51"/>
      <c r="IRS39" s="51"/>
      <c r="IRT39" s="51"/>
      <c r="IRU39" s="51"/>
      <c r="IRV39" s="51"/>
      <c r="IRW39" s="51"/>
      <c r="IRX39" s="51"/>
      <c r="IRY39" s="51"/>
      <c r="IRZ39" s="51"/>
      <c r="ISA39" s="51"/>
      <c r="ISB39" s="51"/>
      <c r="ISC39" s="51"/>
      <c r="ISD39" s="51"/>
      <c r="ISE39" s="51"/>
      <c r="ISF39" s="51"/>
      <c r="ISG39" s="51"/>
      <c r="ISH39" s="51"/>
      <c r="ISI39" s="51"/>
      <c r="ISJ39" s="51"/>
      <c r="ISK39" s="51"/>
      <c r="ISL39" s="51"/>
      <c r="ISM39" s="51"/>
      <c r="ISN39" s="51"/>
      <c r="ISO39" s="51"/>
      <c r="ISP39" s="51"/>
      <c r="ISQ39" s="51"/>
      <c r="ISR39" s="51"/>
      <c r="ISS39" s="51"/>
      <c r="IST39" s="51"/>
      <c r="ISU39" s="51"/>
      <c r="ISV39" s="51"/>
      <c r="ISW39" s="51"/>
      <c r="ISX39" s="51"/>
      <c r="ISY39" s="51"/>
      <c r="ISZ39" s="51"/>
      <c r="ITA39" s="51"/>
      <c r="ITB39" s="51"/>
      <c r="ITC39" s="51"/>
      <c r="ITD39" s="51"/>
      <c r="ITE39" s="51"/>
      <c r="ITF39" s="51"/>
      <c r="ITG39" s="51"/>
      <c r="ITH39" s="51"/>
      <c r="ITI39" s="51"/>
      <c r="ITJ39" s="51"/>
      <c r="ITK39" s="51"/>
      <c r="ITL39" s="51"/>
      <c r="ITM39" s="51"/>
      <c r="ITN39" s="51"/>
      <c r="ITO39" s="51"/>
      <c r="ITP39" s="51"/>
      <c r="ITQ39" s="51"/>
      <c r="ITR39" s="51"/>
      <c r="ITS39" s="51"/>
      <c r="ITT39" s="51"/>
      <c r="ITU39" s="51"/>
      <c r="ITV39" s="51"/>
      <c r="ITW39" s="51"/>
      <c r="ITX39" s="51"/>
      <c r="ITY39" s="51"/>
      <c r="ITZ39" s="51"/>
      <c r="IUA39" s="51"/>
      <c r="IUB39" s="51"/>
      <c r="IUC39" s="51"/>
      <c r="IUD39" s="51"/>
      <c r="IUE39" s="51"/>
      <c r="IUF39" s="51"/>
      <c r="IUG39" s="51"/>
      <c r="IUH39" s="51"/>
      <c r="IUI39" s="51"/>
      <c r="IUJ39" s="51"/>
      <c r="IUK39" s="51"/>
      <c r="IUL39" s="51"/>
      <c r="IUM39" s="51"/>
      <c r="IUN39" s="51"/>
      <c r="IUO39" s="51"/>
      <c r="IUP39" s="51"/>
      <c r="IUQ39" s="51"/>
      <c r="IUR39" s="51"/>
      <c r="IUS39" s="51"/>
      <c r="IUT39" s="51"/>
      <c r="IUU39" s="51"/>
      <c r="IUV39" s="51"/>
      <c r="IUW39" s="51"/>
      <c r="IUX39" s="51"/>
      <c r="IUY39" s="51"/>
      <c r="IUZ39" s="51"/>
      <c r="IVA39" s="51"/>
      <c r="IVB39" s="51"/>
      <c r="IVC39" s="51"/>
      <c r="IVD39" s="51"/>
      <c r="IVE39" s="51"/>
      <c r="IVF39" s="51"/>
      <c r="IVG39" s="51"/>
      <c r="IVH39" s="51"/>
      <c r="IVI39" s="51"/>
      <c r="IVJ39" s="51"/>
      <c r="IVK39" s="51"/>
      <c r="IVL39" s="51"/>
      <c r="IVM39" s="51"/>
      <c r="IVN39" s="51"/>
      <c r="IVO39" s="51"/>
      <c r="IVP39" s="51"/>
      <c r="IVQ39" s="51"/>
      <c r="IVR39" s="51"/>
      <c r="IVS39" s="51"/>
      <c r="IVT39" s="51"/>
      <c r="IVU39" s="51"/>
      <c r="IVV39" s="51"/>
      <c r="IVW39" s="51"/>
      <c r="IVX39" s="51"/>
      <c r="IVY39" s="51"/>
      <c r="IVZ39" s="51"/>
      <c r="IWA39" s="51"/>
      <c r="IWB39" s="51"/>
      <c r="IWC39" s="51"/>
      <c r="IWD39" s="51"/>
      <c r="IWE39" s="51"/>
      <c r="IWF39" s="51"/>
      <c r="IWG39" s="51"/>
      <c r="IWH39" s="51"/>
      <c r="IWI39" s="51"/>
      <c r="IWJ39" s="51"/>
      <c r="IWK39" s="51"/>
      <c r="IWL39" s="51"/>
      <c r="IWM39" s="51"/>
      <c r="IWN39" s="51"/>
      <c r="IWO39" s="51"/>
      <c r="IWP39" s="51"/>
      <c r="IWQ39" s="51"/>
      <c r="IWR39" s="51"/>
      <c r="IWS39" s="51"/>
      <c r="IWT39" s="51"/>
      <c r="IWU39" s="51"/>
      <c r="IWV39" s="51"/>
      <c r="IWW39" s="51"/>
      <c r="IWX39" s="51"/>
      <c r="IWY39" s="51"/>
      <c r="IWZ39" s="51"/>
      <c r="IXA39" s="51"/>
      <c r="IXB39" s="51"/>
      <c r="IXC39" s="51"/>
      <c r="IXD39" s="51"/>
      <c r="IXE39" s="51"/>
      <c r="IXF39" s="51"/>
      <c r="IXG39" s="51"/>
      <c r="IXH39" s="51"/>
      <c r="IXI39" s="51"/>
      <c r="IXJ39" s="51"/>
      <c r="IXK39" s="51"/>
      <c r="IXL39" s="51"/>
      <c r="IXM39" s="51"/>
      <c r="IXN39" s="51"/>
      <c r="IXO39" s="51"/>
      <c r="IXP39" s="51"/>
      <c r="IXQ39" s="51"/>
      <c r="IXR39" s="51"/>
      <c r="IXS39" s="51"/>
      <c r="IXT39" s="51"/>
      <c r="IXU39" s="51"/>
      <c r="IXV39" s="51"/>
      <c r="IXW39" s="51"/>
      <c r="IXX39" s="51"/>
      <c r="IXY39" s="51"/>
      <c r="IXZ39" s="51"/>
      <c r="IYA39" s="51"/>
      <c r="IYB39" s="51"/>
      <c r="IYC39" s="51"/>
      <c r="IYD39" s="51"/>
      <c r="IYE39" s="51"/>
      <c r="IYF39" s="51"/>
      <c r="IYG39" s="51"/>
      <c r="IYH39" s="51"/>
      <c r="IYI39" s="51"/>
      <c r="IYJ39" s="51"/>
      <c r="IYK39" s="51"/>
      <c r="IYL39" s="51"/>
      <c r="IYM39" s="51"/>
      <c r="IYN39" s="51"/>
      <c r="IYO39" s="51"/>
      <c r="IYP39" s="51"/>
      <c r="IYQ39" s="51"/>
      <c r="IYR39" s="51"/>
      <c r="IYS39" s="51"/>
      <c r="IYT39" s="51"/>
      <c r="IYU39" s="51"/>
      <c r="IYV39" s="51"/>
      <c r="IYW39" s="51"/>
      <c r="IYX39" s="51"/>
      <c r="IYY39" s="51"/>
      <c r="IYZ39" s="51"/>
      <c r="IZA39" s="51"/>
      <c r="IZB39" s="51"/>
      <c r="IZC39" s="51"/>
      <c r="IZD39" s="51"/>
      <c r="IZE39" s="51"/>
      <c r="IZF39" s="51"/>
      <c r="IZG39" s="51"/>
      <c r="IZH39" s="51"/>
      <c r="IZI39" s="51"/>
      <c r="IZJ39" s="51"/>
      <c r="IZK39" s="51"/>
      <c r="IZL39" s="51"/>
      <c r="IZM39" s="51"/>
      <c r="IZN39" s="51"/>
      <c r="IZO39" s="51"/>
      <c r="IZP39" s="51"/>
      <c r="IZQ39" s="51"/>
      <c r="IZR39" s="51"/>
      <c r="IZS39" s="51"/>
      <c r="IZT39" s="51"/>
      <c r="IZU39" s="51"/>
      <c r="IZV39" s="51"/>
      <c r="IZW39" s="51"/>
      <c r="IZX39" s="51"/>
      <c r="IZY39" s="51"/>
      <c r="IZZ39" s="51"/>
      <c r="JAA39" s="51"/>
      <c r="JAB39" s="51"/>
      <c r="JAC39" s="51"/>
      <c r="JAD39" s="51"/>
      <c r="JAE39" s="51"/>
      <c r="JAF39" s="51"/>
      <c r="JAG39" s="51"/>
      <c r="JAH39" s="51"/>
      <c r="JAI39" s="51"/>
      <c r="JAJ39" s="51"/>
      <c r="JAK39" s="51"/>
      <c r="JAL39" s="51"/>
      <c r="JAM39" s="51"/>
      <c r="JAN39" s="51"/>
      <c r="JAO39" s="51"/>
      <c r="JAP39" s="51"/>
      <c r="JAQ39" s="51"/>
      <c r="JAR39" s="51"/>
      <c r="JAS39" s="51"/>
      <c r="JAT39" s="51"/>
      <c r="JAU39" s="51"/>
      <c r="JAV39" s="51"/>
      <c r="JAW39" s="51"/>
      <c r="JAX39" s="51"/>
      <c r="JAY39" s="51"/>
      <c r="JAZ39" s="51"/>
      <c r="JBA39" s="51"/>
      <c r="JBB39" s="51"/>
      <c r="JBC39" s="51"/>
      <c r="JBD39" s="51"/>
      <c r="JBE39" s="51"/>
      <c r="JBF39" s="51"/>
      <c r="JBG39" s="51"/>
      <c r="JBH39" s="51"/>
      <c r="JBI39" s="51"/>
      <c r="JBJ39" s="51"/>
      <c r="JBK39" s="51"/>
      <c r="JBL39" s="51"/>
      <c r="JBM39" s="51"/>
      <c r="JBN39" s="51"/>
      <c r="JBO39" s="51"/>
      <c r="JBP39" s="51"/>
      <c r="JBQ39" s="51"/>
      <c r="JBR39" s="51"/>
      <c r="JBS39" s="51"/>
      <c r="JBT39" s="51"/>
      <c r="JBU39" s="51"/>
      <c r="JBV39" s="51"/>
      <c r="JBW39" s="51"/>
      <c r="JBX39" s="51"/>
      <c r="JBY39" s="51"/>
      <c r="JBZ39" s="51"/>
      <c r="JCA39" s="51"/>
      <c r="JCB39" s="51"/>
      <c r="JCC39" s="51"/>
      <c r="JCD39" s="51"/>
      <c r="JCE39" s="51"/>
      <c r="JCF39" s="51"/>
      <c r="JCG39" s="51"/>
      <c r="JCH39" s="51"/>
      <c r="JCI39" s="51"/>
      <c r="JCJ39" s="51"/>
      <c r="JCK39" s="51"/>
      <c r="JCL39" s="51"/>
      <c r="JCM39" s="51"/>
      <c r="JCN39" s="51"/>
      <c r="JCO39" s="51"/>
      <c r="JCP39" s="51"/>
      <c r="JCQ39" s="51"/>
      <c r="JCR39" s="51"/>
      <c r="JCS39" s="51"/>
      <c r="JCT39" s="51"/>
      <c r="JCU39" s="51"/>
      <c r="JCV39" s="51"/>
      <c r="JCW39" s="51"/>
      <c r="JCX39" s="51"/>
      <c r="JCY39" s="51"/>
      <c r="JCZ39" s="51"/>
      <c r="JDA39" s="51"/>
      <c r="JDB39" s="51"/>
      <c r="JDC39" s="51"/>
      <c r="JDD39" s="51"/>
      <c r="JDE39" s="51"/>
      <c r="JDF39" s="51"/>
      <c r="JDG39" s="51"/>
      <c r="JDH39" s="51"/>
      <c r="JDI39" s="51"/>
      <c r="JDJ39" s="51"/>
      <c r="JDK39" s="51"/>
      <c r="JDL39" s="51"/>
      <c r="JDM39" s="51"/>
      <c r="JDN39" s="51"/>
      <c r="JDO39" s="51"/>
      <c r="JDP39" s="51"/>
      <c r="JDQ39" s="51"/>
      <c r="JDR39" s="51"/>
      <c r="JDS39" s="51"/>
      <c r="JDT39" s="51"/>
      <c r="JDU39" s="51"/>
      <c r="JDV39" s="51"/>
      <c r="JDW39" s="51"/>
      <c r="JDX39" s="51"/>
      <c r="JDY39" s="51"/>
      <c r="JDZ39" s="51"/>
      <c r="JEA39" s="51"/>
      <c r="JEB39" s="51"/>
      <c r="JEC39" s="51"/>
      <c r="JED39" s="51"/>
      <c r="JEE39" s="51"/>
      <c r="JEF39" s="51"/>
      <c r="JEG39" s="51"/>
      <c r="JEH39" s="51"/>
      <c r="JEI39" s="51"/>
      <c r="JEJ39" s="51"/>
      <c r="JEK39" s="51"/>
      <c r="JEL39" s="51"/>
      <c r="JEM39" s="51"/>
      <c r="JEN39" s="51"/>
      <c r="JEO39" s="51"/>
      <c r="JEP39" s="51"/>
      <c r="JEQ39" s="51"/>
      <c r="JER39" s="51"/>
      <c r="JES39" s="51"/>
      <c r="JET39" s="51"/>
      <c r="JEU39" s="51"/>
      <c r="JEV39" s="51"/>
      <c r="JEW39" s="51"/>
      <c r="JEX39" s="51"/>
      <c r="JEY39" s="51"/>
      <c r="JEZ39" s="51"/>
      <c r="JFA39" s="51"/>
      <c r="JFB39" s="51"/>
      <c r="JFC39" s="51"/>
      <c r="JFD39" s="51"/>
      <c r="JFE39" s="51"/>
      <c r="JFF39" s="51"/>
      <c r="JFG39" s="51"/>
      <c r="JFH39" s="51"/>
      <c r="JFI39" s="51"/>
      <c r="JFJ39" s="51"/>
      <c r="JFK39" s="51"/>
      <c r="JFL39" s="51"/>
      <c r="JFM39" s="51"/>
      <c r="JFN39" s="51"/>
      <c r="JFO39" s="51"/>
      <c r="JFP39" s="51"/>
      <c r="JFQ39" s="51"/>
      <c r="JFR39" s="51"/>
      <c r="JFS39" s="51"/>
      <c r="JFT39" s="51"/>
      <c r="JFU39" s="51"/>
      <c r="JFV39" s="51"/>
      <c r="JFW39" s="51"/>
      <c r="JFX39" s="51"/>
      <c r="JFY39" s="51"/>
      <c r="JFZ39" s="51"/>
      <c r="JGA39" s="51"/>
      <c r="JGB39" s="51"/>
      <c r="JGC39" s="51"/>
      <c r="JGD39" s="51"/>
      <c r="JGE39" s="51"/>
      <c r="JGF39" s="51"/>
      <c r="JGG39" s="51"/>
      <c r="JGH39" s="51"/>
      <c r="JGI39" s="51"/>
      <c r="JGJ39" s="51"/>
      <c r="JGK39" s="51"/>
      <c r="JGL39" s="51"/>
      <c r="JGM39" s="51"/>
      <c r="JGN39" s="51"/>
      <c r="JGO39" s="51"/>
      <c r="JGP39" s="51"/>
      <c r="JGQ39" s="51"/>
      <c r="JGR39" s="51"/>
      <c r="JGS39" s="51"/>
      <c r="JGT39" s="51"/>
      <c r="JGU39" s="51"/>
      <c r="JGV39" s="51"/>
      <c r="JGW39" s="51"/>
      <c r="JGX39" s="51"/>
      <c r="JGY39" s="51"/>
      <c r="JGZ39" s="51"/>
      <c r="JHA39" s="51"/>
      <c r="JHB39" s="51"/>
      <c r="JHC39" s="51"/>
      <c r="JHD39" s="51"/>
      <c r="JHE39" s="51"/>
      <c r="JHF39" s="51"/>
      <c r="JHG39" s="51"/>
      <c r="JHH39" s="51"/>
      <c r="JHI39" s="51"/>
      <c r="JHJ39" s="51"/>
      <c r="JHK39" s="51"/>
      <c r="JHL39" s="51"/>
      <c r="JHM39" s="51"/>
      <c r="JHN39" s="51"/>
      <c r="JHO39" s="51"/>
      <c r="JHP39" s="51"/>
      <c r="JHQ39" s="51"/>
      <c r="JHR39" s="51"/>
      <c r="JHS39" s="51"/>
      <c r="JHT39" s="51"/>
      <c r="JHU39" s="51"/>
      <c r="JHV39" s="51"/>
      <c r="JHW39" s="51"/>
      <c r="JHX39" s="51"/>
      <c r="JHY39" s="51"/>
      <c r="JHZ39" s="51"/>
      <c r="JIA39" s="51"/>
      <c r="JIB39" s="51"/>
      <c r="JIC39" s="51"/>
      <c r="JID39" s="51"/>
      <c r="JIE39" s="51"/>
      <c r="JIF39" s="51"/>
      <c r="JIG39" s="51"/>
      <c r="JIH39" s="51"/>
      <c r="JII39" s="51"/>
      <c r="JIJ39" s="51"/>
      <c r="JIK39" s="51"/>
      <c r="JIL39" s="51"/>
      <c r="JIM39" s="51"/>
      <c r="JIN39" s="51"/>
      <c r="JIO39" s="51"/>
      <c r="JIP39" s="51"/>
      <c r="JIQ39" s="51"/>
      <c r="JIR39" s="51"/>
      <c r="JIS39" s="51"/>
      <c r="JIT39" s="51"/>
      <c r="JIU39" s="51"/>
      <c r="JIV39" s="51"/>
      <c r="JIW39" s="51"/>
      <c r="JIX39" s="51"/>
      <c r="JIY39" s="51"/>
      <c r="JIZ39" s="51"/>
      <c r="JJA39" s="51"/>
      <c r="JJB39" s="51"/>
      <c r="JJC39" s="51"/>
      <c r="JJD39" s="51"/>
      <c r="JJE39" s="51"/>
      <c r="JJF39" s="51"/>
      <c r="JJG39" s="51"/>
      <c r="JJH39" s="51"/>
      <c r="JJI39" s="51"/>
      <c r="JJJ39" s="51"/>
      <c r="JJK39" s="51"/>
      <c r="JJL39" s="51"/>
      <c r="JJM39" s="51"/>
      <c r="JJN39" s="51"/>
      <c r="JJO39" s="51"/>
      <c r="JJP39" s="51"/>
      <c r="JJQ39" s="51"/>
      <c r="JJR39" s="51"/>
      <c r="JJS39" s="51"/>
      <c r="JJT39" s="51"/>
      <c r="JJU39" s="51"/>
      <c r="JJV39" s="51"/>
      <c r="JJW39" s="51"/>
      <c r="JJX39" s="51"/>
      <c r="JJY39" s="51"/>
      <c r="JJZ39" s="51"/>
      <c r="JKA39" s="51"/>
      <c r="JKB39" s="51"/>
      <c r="JKC39" s="51"/>
      <c r="JKD39" s="51"/>
      <c r="JKE39" s="51"/>
      <c r="JKF39" s="51"/>
      <c r="JKG39" s="51"/>
      <c r="JKH39" s="51"/>
      <c r="JKI39" s="51"/>
      <c r="JKJ39" s="51"/>
      <c r="JKK39" s="51"/>
      <c r="JKL39" s="51"/>
      <c r="JKM39" s="51"/>
      <c r="JKN39" s="51"/>
      <c r="JKO39" s="51"/>
      <c r="JKP39" s="51"/>
      <c r="JKQ39" s="51"/>
      <c r="JKR39" s="51"/>
      <c r="JKS39" s="51"/>
      <c r="JKT39" s="51"/>
      <c r="JKU39" s="51"/>
      <c r="JKV39" s="51"/>
      <c r="JKW39" s="51"/>
      <c r="JKX39" s="51"/>
      <c r="JKY39" s="51"/>
      <c r="JKZ39" s="51"/>
      <c r="JLA39" s="51"/>
      <c r="JLB39" s="51"/>
      <c r="JLC39" s="51"/>
      <c r="JLD39" s="51"/>
      <c r="JLE39" s="51"/>
      <c r="JLF39" s="51"/>
      <c r="JLG39" s="51"/>
      <c r="JLH39" s="51"/>
      <c r="JLI39" s="51"/>
      <c r="JLJ39" s="51"/>
      <c r="JLK39" s="51"/>
      <c r="JLL39" s="51"/>
      <c r="JLM39" s="51"/>
      <c r="JLN39" s="51"/>
      <c r="JLO39" s="51"/>
      <c r="JLP39" s="51"/>
      <c r="JLQ39" s="51"/>
      <c r="JLR39" s="51"/>
      <c r="JLS39" s="51"/>
      <c r="JLT39" s="51"/>
      <c r="JLU39" s="51"/>
      <c r="JLV39" s="51"/>
      <c r="JLW39" s="51"/>
      <c r="JLX39" s="51"/>
      <c r="JLY39" s="51"/>
      <c r="JLZ39" s="51"/>
      <c r="JMA39" s="51"/>
      <c r="JMB39" s="51"/>
      <c r="JMC39" s="51"/>
      <c r="JMD39" s="51"/>
      <c r="JME39" s="51"/>
      <c r="JMF39" s="51"/>
      <c r="JMG39" s="51"/>
      <c r="JMH39" s="51"/>
      <c r="JMI39" s="51"/>
      <c r="JMJ39" s="51"/>
      <c r="JMK39" s="51"/>
      <c r="JML39" s="51"/>
      <c r="JMM39" s="51"/>
      <c r="JMN39" s="51"/>
      <c r="JMO39" s="51"/>
      <c r="JMP39" s="51"/>
      <c r="JMQ39" s="51"/>
      <c r="JMR39" s="51"/>
      <c r="JMS39" s="51"/>
      <c r="JMT39" s="51"/>
      <c r="JMU39" s="51"/>
      <c r="JMV39" s="51"/>
      <c r="JMW39" s="51"/>
      <c r="JMX39" s="51"/>
      <c r="JMY39" s="51"/>
      <c r="JMZ39" s="51"/>
      <c r="JNA39" s="51"/>
      <c r="JNB39" s="51"/>
      <c r="JNC39" s="51"/>
      <c r="JND39" s="51"/>
      <c r="JNE39" s="51"/>
      <c r="JNF39" s="51"/>
      <c r="JNG39" s="51"/>
      <c r="JNH39" s="51"/>
      <c r="JNI39" s="51"/>
      <c r="JNJ39" s="51"/>
      <c r="JNK39" s="51"/>
      <c r="JNL39" s="51"/>
      <c r="JNM39" s="51"/>
      <c r="JNN39" s="51"/>
      <c r="JNO39" s="51"/>
      <c r="JNP39" s="51"/>
      <c r="JNQ39" s="51"/>
      <c r="JNR39" s="51"/>
      <c r="JNS39" s="51"/>
      <c r="JNT39" s="51"/>
      <c r="JNU39" s="51"/>
      <c r="JNV39" s="51"/>
      <c r="JNW39" s="51"/>
      <c r="JNX39" s="51"/>
      <c r="JNY39" s="51"/>
      <c r="JNZ39" s="51"/>
      <c r="JOA39" s="51"/>
      <c r="JOB39" s="51"/>
      <c r="JOC39" s="51"/>
      <c r="JOD39" s="51"/>
      <c r="JOE39" s="51"/>
      <c r="JOF39" s="51"/>
      <c r="JOG39" s="51"/>
      <c r="JOH39" s="51"/>
      <c r="JOI39" s="51"/>
      <c r="JOJ39" s="51"/>
      <c r="JOK39" s="51"/>
      <c r="JOL39" s="51"/>
      <c r="JOM39" s="51"/>
      <c r="JON39" s="51"/>
      <c r="JOO39" s="51"/>
      <c r="JOP39" s="51"/>
      <c r="JOQ39" s="51"/>
      <c r="JOR39" s="51"/>
      <c r="JOS39" s="51"/>
      <c r="JOT39" s="51"/>
      <c r="JOU39" s="51"/>
      <c r="JOV39" s="51"/>
      <c r="JOW39" s="51"/>
      <c r="JOX39" s="51"/>
      <c r="JOY39" s="51"/>
      <c r="JOZ39" s="51"/>
      <c r="JPA39" s="51"/>
      <c r="JPB39" s="51"/>
      <c r="JPC39" s="51"/>
      <c r="JPD39" s="51"/>
      <c r="JPE39" s="51"/>
      <c r="JPF39" s="51"/>
      <c r="JPG39" s="51"/>
      <c r="JPH39" s="51"/>
      <c r="JPI39" s="51"/>
      <c r="JPJ39" s="51"/>
      <c r="JPK39" s="51"/>
      <c r="JPL39" s="51"/>
      <c r="JPM39" s="51"/>
      <c r="JPN39" s="51"/>
      <c r="JPO39" s="51"/>
      <c r="JPP39" s="51"/>
      <c r="JPQ39" s="51"/>
      <c r="JPR39" s="51"/>
      <c r="JPS39" s="51"/>
      <c r="JPT39" s="51"/>
      <c r="JPU39" s="51"/>
      <c r="JPV39" s="51"/>
      <c r="JPW39" s="51"/>
      <c r="JPX39" s="51"/>
      <c r="JPY39" s="51"/>
      <c r="JPZ39" s="51"/>
      <c r="JQA39" s="51"/>
      <c r="JQB39" s="51"/>
      <c r="JQC39" s="51"/>
      <c r="JQD39" s="51"/>
      <c r="JQE39" s="51"/>
      <c r="JQF39" s="51"/>
      <c r="JQG39" s="51"/>
      <c r="JQH39" s="51"/>
      <c r="JQI39" s="51"/>
      <c r="JQJ39" s="51"/>
      <c r="JQK39" s="51"/>
      <c r="JQL39" s="51"/>
      <c r="JQM39" s="51"/>
      <c r="JQN39" s="51"/>
      <c r="JQO39" s="51"/>
      <c r="JQP39" s="51"/>
      <c r="JQQ39" s="51"/>
      <c r="JQR39" s="51"/>
      <c r="JQS39" s="51"/>
      <c r="JQT39" s="51"/>
      <c r="JQU39" s="51"/>
      <c r="JQV39" s="51"/>
      <c r="JQW39" s="51"/>
      <c r="JQX39" s="51"/>
      <c r="JQY39" s="51"/>
      <c r="JQZ39" s="51"/>
      <c r="JRA39" s="51"/>
      <c r="JRB39" s="51"/>
      <c r="JRC39" s="51"/>
      <c r="JRD39" s="51"/>
      <c r="JRE39" s="51"/>
      <c r="JRF39" s="51"/>
      <c r="JRG39" s="51"/>
      <c r="JRH39" s="51"/>
      <c r="JRI39" s="51"/>
      <c r="JRJ39" s="51"/>
      <c r="JRK39" s="51"/>
      <c r="JRL39" s="51"/>
      <c r="JRM39" s="51"/>
      <c r="JRN39" s="51"/>
      <c r="JRO39" s="51"/>
      <c r="JRP39" s="51"/>
      <c r="JRQ39" s="51"/>
      <c r="JRR39" s="51"/>
      <c r="JRS39" s="51"/>
      <c r="JRT39" s="51"/>
      <c r="JRU39" s="51"/>
      <c r="JRV39" s="51"/>
      <c r="JRW39" s="51"/>
      <c r="JRX39" s="51"/>
      <c r="JRY39" s="51"/>
      <c r="JRZ39" s="51"/>
      <c r="JSA39" s="51"/>
      <c r="JSB39" s="51"/>
      <c r="JSC39" s="51"/>
      <c r="JSD39" s="51"/>
      <c r="JSE39" s="51"/>
      <c r="JSF39" s="51"/>
      <c r="JSG39" s="51"/>
      <c r="JSH39" s="51"/>
      <c r="JSI39" s="51"/>
      <c r="JSJ39" s="51"/>
      <c r="JSK39" s="51"/>
      <c r="JSL39" s="51"/>
      <c r="JSM39" s="51"/>
      <c r="JSN39" s="51"/>
      <c r="JSO39" s="51"/>
      <c r="JSP39" s="51"/>
      <c r="JSQ39" s="51"/>
      <c r="JSR39" s="51"/>
      <c r="JSS39" s="51"/>
      <c r="JST39" s="51"/>
      <c r="JSU39" s="51"/>
      <c r="JSV39" s="51"/>
      <c r="JSW39" s="51"/>
      <c r="JSX39" s="51"/>
      <c r="JSY39" s="51"/>
      <c r="JSZ39" s="51"/>
      <c r="JTA39" s="51"/>
      <c r="JTB39" s="51"/>
      <c r="JTC39" s="51"/>
      <c r="JTD39" s="51"/>
      <c r="JTE39" s="51"/>
      <c r="JTF39" s="51"/>
      <c r="JTG39" s="51"/>
      <c r="JTH39" s="51"/>
      <c r="JTI39" s="51"/>
      <c r="JTJ39" s="51"/>
      <c r="JTK39" s="51"/>
      <c r="JTL39" s="51"/>
      <c r="JTM39" s="51"/>
      <c r="JTN39" s="51"/>
      <c r="JTO39" s="51"/>
      <c r="JTP39" s="51"/>
      <c r="JTQ39" s="51"/>
      <c r="JTR39" s="51"/>
      <c r="JTS39" s="51"/>
      <c r="JTT39" s="51"/>
      <c r="JTU39" s="51"/>
      <c r="JTV39" s="51"/>
      <c r="JTW39" s="51"/>
      <c r="JTX39" s="51"/>
      <c r="JTY39" s="51"/>
      <c r="JTZ39" s="51"/>
      <c r="JUA39" s="51"/>
      <c r="JUB39" s="51"/>
      <c r="JUC39" s="51"/>
      <c r="JUD39" s="51"/>
      <c r="JUE39" s="51"/>
      <c r="JUF39" s="51"/>
      <c r="JUG39" s="51"/>
      <c r="JUH39" s="51"/>
      <c r="JUI39" s="51"/>
      <c r="JUJ39" s="51"/>
      <c r="JUK39" s="51"/>
      <c r="JUL39" s="51"/>
      <c r="JUM39" s="51"/>
      <c r="JUN39" s="51"/>
      <c r="JUO39" s="51"/>
      <c r="JUP39" s="51"/>
      <c r="JUQ39" s="51"/>
      <c r="JUR39" s="51"/>
      <c r="JUS39" s="51"/>
      <c r="JUT39" s="51"/>
      <c r="JUU39" s="51"/>
      <c r="JUV39" s="51"/>
      <c r="JUW39" s="51"/>
      <c r="JUX39" s="51"/>
      <c r="JUY39" s="51"/>
      <c r="JUZ39" s="51"/>
      <c r="JVA39" s="51"/>
      <c r="JVB39" s="51"/>
      <c r="JVC39" s="51"/>
      <c r="JVD39" s="51"/>
      <c r="JVE39" s="51"/>
      <c r="JVF39" s="51"/>
      <c r="JVG39" s="51"/>
      <c r="JVH39" s="51"/>
      <c r="JVI39" s="51"/>
      <c r="JVJ39" s="51"/>
      <c r="JVK39" s="51"/>
      <c r="JVL39" s="51"/>
      <c r="JVM39" s="51"/>
      <c r="JVN39" s="51"/>
      <c r="JVO39" s="51"/>
      <c r="JVP39" s="51"/>
      <c r="JVQ39" s="51"/>
      <c r="JVR39" s="51"/>
      <c r="JVS39" s="51"/>
      <c r="JVT39" s="51"/>
      <c r="JVU39" s="51"/>
      <c r="JVV39" s="51"/>
      <c r="JVW39" s="51"/>
      <c r="JVX39" s="51"/>
      <c r="JVY39" s="51"/>
      <c r="JVZ39" s="51"/>
      <c r="JWA39" s="51"/>
      <c r="JWB39" s="51"/>
      <c r="JWC39" s="51"/>
      <c r="JWD39" s="51"/>
      <c r="JWE39" s="51"/>
      <c r="JWF39" s="51"/>
      <c r="JWG39" s="51"/>
      <c r="JWH39" s="51"/>
      <c r="JWI39" s="51"/>
      <c r="JWJ39" s="51"/>
      <c r="JWK39" s="51"/>
      <c r="JWL39" s="51"/>
      <c r="JWM39" s="51"/>
      <c r="JWN39" s="51"/>
      <c r="JWO39" s="51"/>
      <c r="JWP39" s="51"/>
      <c r="JWQ39" s="51"/>
      <c r="JWR39" s="51"/>
      <c r="JWS39" s="51"/>
      <c r="JWT39" s="51"/>
      <c r="JWU39" s="51"/>
      <c r="JWV39" s="51"/>
      <c r="JWW39" s="51"/>
      <c r="JWX39" s="51"/>
      <c r="JWY39" s="51"/>
      <c r="JWZ39" s="51"/>
      <c r="JXA39" s="51"/>
      <c r="JXB39" s="51"/>
      <c r="JXC39" s="51"/>
      <c r="JXD39" s="51"/>
      <c r="JXE39" s="51"/>
      <c r="JXF39" s="51"/>
      <c r="JXG39" s="51"/>
      <c r="JXH39" s="51"/>
      <c r="JXI39" s="51"/>
      <c r="JXJ39" s="51"/>
      <c r="JXK39" s="51"/>
      <c r="JXL39" s="51"/>
      <c r="JXM39" s="51"/>
      <c r="JXN39" s="51"/>
      <c r="JXO39" s="51"/>
      <c r="JXP39" s="51"/>
      <c r="JXQ39" s="51"/>
      <c r="JXR39" s="51"/>
      <c r="JXS39" s="51"/>
      <c r="JXT39" s="51"/>
      <c r="JXU39" s="51"/>
      <c r="JXV39" s="51"/>
      <c r="JXW39" s="51"/>
      <c r="JXX39" s="51"/>
      <c r="JXY39" s="51"/>
      <c r="JXZ39" s="51"/>
      <c r="JYA39" s="51"/>
      <c r="JYB39" s="51"/>
      <c r="JYC39" s="51"/>
      <c r="JYD39" s="51"/>
      <c r="JYE39" s="51"/>
      <c r="JYF39" s="51"/>
      <c r="JYG39" s="51"/>
      <c r="JYH39" s="51"/>
      <c r="JYI39" s="51"/>
      <c r="JYJ39" s="51"/>
      <c r="JYK39" s="51"/>
      <c r="JYL39" s="51"/>
      <c r="JYM39" s="51"/>
      <c r="JYN39" s="51"/>
      <c r="JYO39" s="51"/>
      <c r="JYP39" s="51"/>
      <c r="JYQ39" s="51"/>
      <c r="JYR39" s="51"/>
      <c r="JYS39" s="51"/>
      <c r="JYT39" s="51"/>
      <c r="JYU39" s="51"/>
      <c r="JYV39" s="51"/>
      <c r="JYW39" s="51"/>
      <c r="JYX39" s="51"/>
      <c r="JYY39" s="51"/>
      <c r="JYZ39" s="51"/>
      <c r="JZA39" s="51"/>
      <c r="JZB39" s="51"/>
      <c r="JZC39" s="51"/>
      <c r="JZD39" s="51"/>
      <c r="JZE39" s="51"/>
      <c r="JZF39" s="51"/>
      <c r="JZG39" s="51"/>
      <c r="JZH39" s="51"/>
      <c r="JZI39" s="51"/>
      <c r="JZJ39" s="51"/>
      <c r="JZK39" s="51"/>
      <c r="JZL39" s="51"/>
      <c r="JZM39" s="51"/>
      <c r="JZN39" s="51"/>
      <c r="JZO39" s="51"/>
      <c r="JZP39" s="51"/>
      <c r="JZQ39" s="51"/>
      <c r="JZR39" s="51"/>
      <c r="JZS39" s="51"/>
      <c r="JZT39" s="51"/>
      <c r="JZU39" s="51"/>
      <c r="JZV39" s="51"/>
      <c r="JZW39" s="51"/>
      <c r="JZX39" s="51"/>
      <c r="JZY39" s="51"/>
      <c r="JZZ39" s="51"/>
      <c r="KAA39" s="51"/>
      <c r="KAB39" s="51"/>
      <c r="KAC39" s="51"/>
      <c r="KAD39" s="51"/>
      <c r="KAE39" s="51"/>
      <c r="KAF39" s="51"/>
      <c r="KAG39" s="51"/>
      <c r="KAH39" s="51"/>
      <c r="KAI39" s="51"/>
      <c r="KAJ39" s="51"/>
      <c r="KAK39" s="51"/>
      <c r="KAL39" s="51"/>
      <c r="KAM39" s="51"/>
      <c r="KAN39" s="51"/>
      <c r="KAO39" s="51"/>
      <c r="KAP39" s="51"/>
      <c r="KAQ39" s="51"/>
      <c r="KAR39" s="51"/>
      <c r="KAS39" s="51"/>
      <c r="KAT39" s="51"/>
      <c r="KAU39" s="51"/>
      <c r="KAV39" s="51"/>
      <c r="KAW39" s="51"/>
      <c r="KAX39" s="51"/>
      <c r="KAY39" s="51"/>
      <c r="KAZ39" s="51"/>
      <c r="KBA39" s="51"/>
      <c r="KBB39" s="51"/>
      <c r="KBC39" s="51"/>
      <c r="KBD39" s="51"/>
      <c r="KBE39" s="51"/>
      <c r="KBF39" s="51"/>
      <c r="KBG39" s="51"/>
      <c r="KBH39" s="51"/>
      <c r="KBI39" s="51"/>
      <c r="KBJ39" s="51"/>
      <c r="KBK39" s="51"/>
      <c r="KBL39" s="51"/>
      <c r="KBM39" s="51"/>
      <c r="KBN39" s="51"/>
      <c r="KBO39" s="51"/>
      <c r="KBP39" s="51"/>
      <c r="KBQ39" s="51"/>
      <c r="KBR39" s="51"/>
      <c r="KBS39" s="51"/>
      <c r="KBT39" s="51"/>
      <c r="KBU39" s="51"/>
      <c r="KBV39" s="51"/>
      <c r="KBW39" s="51"/>
      <c r="KBX39" s="51"/>
      <c r="KBY39" s="51"/>
      <c r="KBZ39" s="51"/>
      <c r="KCA39" s="51"/>
      <c r="KCB39" s="51"/>
      <c r="KCC39" s="51"/>
      <c r="KCD39" s="51"/>
      <c r="KCE39" s="51"/>
      <c r="KCF39" s="51"/>
      <c r="KCG39" s="51"/>
      <c r="KCH39" s="51"/>
      <c r="KCI39" s="51"/>
      <c r="KCJ39" s="51"/>
      <c r="KCK39" s="51"/>
      <c r="KCL39" s="51"/>
      <c r="KCM39" s="51"/>
      <c r="KCN39" s="51"/>
      <c r="KCO39" s="51"/>
      <c r="KCP39" s="51"/>
      <c r="KCQ39" s="51"/>
      <c r="KCR39" s="51"/>
      <c r="KCS39" s="51"/>
      <c r="KCT39" s="51"/>
      <c r="KCU39" s="51"/>
      <c r="KCV39" s="51"/>
      <c r="KCW39" s="51"/>
      <c r="KCX39" s="51"/>
      <c r="KCY39" s="51"/>
      <c r="KCZ39" s="51"/>
      <c r="KDA39" s="51"/>
      <c r="KDB39" s="51"/>
      <c r="KDC39" s="51"/>
      <c r="KDD39" s="51"/>
      <c r="KDE39" s="51"/>
      <c r="KDF39" s="51"/>
      <c r="KDG39" s="51"/>
      <c r="KDH39" s="51"/>
      <c r="KDI39" s="51"/>
      <c r="KDJ39" s="51"/>
      <c r="KDK39" s="51"/>
      <c r="KDL39" s="51"/>
      <c r="KDM39" s="51"/>
      <c r="KDN39" s="51"/>
      <c r="KDO39" s="51"/>
      <c r="KDP39" s="51"/>
      <c r="KDQ39" s="51"/>
      <c r="KDR39" s="51"/>
      <c r="KDS39" s="51"/>
      <c r="KDT39" s="51"/>
      <c r="KDU39" s="51"/>
      <c r="KDV39" s="51"/>
      <c r="KDW39" s="51"/>
      <c r="KDX39" s="51"/>
      <c r="KDY39" s="51"/>
      <c r="KDZ39" s="51"/>
      <c r="KEA39" s="51"/>
      <c r="KEB39" s="51"/>
      <c r="KEC39" s="51"/>
      <c r="KED39" s="51"/>
      <c r="KEE39" s="51"/>
      <c r="KEF39" s="51"/>
      <c r="KEG39" s="51"/>
      <c r="KEH39" s="51"/>
      <c r="KEI39" s="51"/>
      <c r="KEJ39" s="51"/>
      <c r="KEK39" s="51"/>
      <c r="KEL39" s="51"/>
      <c r="KEM39" s="51"/>
      <c r="KEN39" s="51"/>
      <c r="KEO39" s="51"/>
      <c r="KEP39" s="51"/>
      <c r="KEQ39" s="51"/>
      <c r="KER39" s="51"/>
      <c r="KES39" s="51"/>
      <c r="KET39" s="51"/>
      <c r="KEU39" s="51"/>
      <c r="KEV39" s="51"/>
      <c r="KEW39" s="51"/>
      <c r="KEX39" s="51"/>
      <c r="KEY39" s="51"/>
      <c r="KEZ39" s="51"/>
      <c r="KFA39" s="51"/>
      <c r="KFB39" s="51"/>
      <c r="KFC39" s="51"/>
      <c r="KFD39" s="51"/>
      <c r="KFE39" s="51"/>
      <c r="KFF39" s="51"/>
      <c r="KFG39" s="51"/>
      <c r="KFH39" s="51"/>
      <c r="KFI39" s="51"/>
      <c r="KFJ39" s="51"/>
      <c r="KFK39" s="51"/>
      <c r="KFL39" s="51"/>
      <c r="KFM39" s="51"/>
      <c r="KFN39" s="51"/>
      <c r="KFO39" s="51"/>
      <c r="KFP39" s="51"/>
      <c r="KFQ39" s="51"/>
      <c r="KFR39" s="51"/>
      <c r="KFS39" s="51"/>
      <c r="KFT39" s="51"/>
      <c r="KFU39" s="51"/>
      <c r="KFV39" s="51"/>
      <c r="KFW39" s="51"/>
      <c r="KFX39" s="51"/>
      <c r="KFY39" s="51"/>
      <c r="KFZ39" s="51"/>
      <c r="KGA39" s="51"/>
      <c r="KGB39" s="51"/>
      <c r="KGC39" s="51"/>
      <c r="KGD39" s="51"/>
      <c r="KGE39" s="51"/>
      <c r="KGF39" s="51"/>
      <c r="KGG39" s="51"/>
      <c r="KGH39" s="51"/>
      <c r="KGI39" s="51"/>
      <c r="KGJ39" s="51"/>
      <c r="KGK39" s="51"/>
      <c r="KGL39" s="51"/>
      <c r="KGM39" s="51"/>
      <c r="KGN39" s="51"/>
      <c r="KGO39" s="51"/>
      <c r="KGP39" s="51"/>
      <c r="KGQ39" s="51"/>
      <c r="KGR39" s="51"/>
      <c r="KGS39" s="51"/>
      <c r="KGT39" s="51"/>
      <c r="KGU39" s="51"/>
      <c r="KGV39" s="51"/>
      <c r="KGW39" s="51"/>
      <c r="KGX39" s="51"/>
      <c r="KGY39" s="51"/>
      <c r="KGZ39" s="51"/>
      <c r="KHA39" s="51"/>
      <c r="KHB39" s="51"/>
      <c r="KHC39" s="51"/>
      <c r="KHD39" s="51"/>
      <c r="KHE39" s="51"/>
      <c r="KHF39" s="51"/>
      <c r="KHG39" s="51"/>
      <c r="KHH39" s="51"/>
      <c r="KHI39" s="51"/>
      <c r="KHJ39" s="51"/>
      <c r="KHK39" s="51"/>
      <c r="KHL39" s="51"/>
      <c r="KHM39" s="51"/>
      <c r="KHN39" s="51"/>
      <c r="KHO39" s="51"/>
      <c r="KHP39" s="51"/>
      <c r="KHQ39" s="51"/>
      <c r="KHR39" s="51"/>
      <c r="KHS39" s="51"/>
      <c r="KHT39" s="51"/>
      <c r="KHU39" s="51"/>
      <c r="KHV39" s="51"/>
      <c r="KHW39" s="51"/>
      <c r="KHX39" s="51"/>
      <c r="KHY39" s="51"/>
      <c r="KHZ39" s="51"/>
      <c r="KIA39" s="51"/>
      <c r="KIB39" s="51"/>
      <c r="KIC39" s="51"/>
      <c r="KID39" s="51"/>
      <c r="KIE39" s="51"/>
      <c r="KIF39" s="51"/>
      <c r="KIG39" s="51"/>
      <c r="KIH39" s="51"/>
      <c r="KII39" s="51"/>
      <c r="KIJ39" s="51"/>
      <c r="KIK39" s="51"/>
      <c r="KIL39" s="51"/>
      <c r="KIM39" s="51"/>
      <c r="KIN39" s="51"/>
      <c r="KIO39" s="51"/>
      <c r="KIP39" s="51"/>
      <c r="KIQ39" s="51"/>
      <c r="KIR39" s="51"/>
      <c r="KIS39" s="51"/>
      <c r="KIT39" s="51"/>
      <c r="KIU39" s="51"/>
      <c r="KIV39" s="51"/>
      <c r="KIW39" s="51"/>
      <c r="KIX39" s="51"/>
      <c r="KIY39" s="51"/>
      <c r="KIZ39" s="51"/>
      <c r="KJA39" s="51"/>
      <c r="KJB39" s="51"/>
      <c r="KJC39" s="51"/>
      <c r="KJD39" s="51"/>
      <c r="KJE39" s="51"/>
      <c r="KJF39" s="51"/>
      <c r="KJG39" s="51"/>
      <c r="KJH39" s="51"/>
      <c r="KJI39" s="51"/>
      <c r="KJJ39" s="51"/>
      <c r="KJK39" s="51"/>
      <c r="KJL39" s="51"/>
      <c r="KJM39" s="51"/>
      <c r="KJN39" s="51"/>
      <c r="KJO39" s="51"/>
      <c r="KJP39" s="51"/>
      <c r="KJQ39" s="51"/>
      <c r="KJR39" s="51"/>
      <c r="KJS39" s="51"/>
      <c r="KJT39" s="51"/>
      <c r="KJU39" s="51"/>
      <c r="KJV39" s="51"/>
      <c r="KJW39" s="51"/>
      <c r="KJX39" s="51"/>
      <c r="KJY39" s="51"/>
      <c r="KJZ39" s="51"/>
      <c r="KKA39" s="51"/>
      <c r="KKB39" s="51"/>
      <c r="KKC39" s="51"/>
      <c r="KKD39" s="51"/>
      <c r="KKE39" s="51"/>
      <c r="KKF39" s="51"/>
      <c r="KKG39" s="51"/>
      <c r="KKH39" s="51"/>
      <c r="KKI39" s="51"/>
      <c r="KKJ39" s="51"/>
      <c r="KKK39" s="51"/>
      <c r="KKL39" s="51"/>
      <c r="KKM39" s="51"/>
      <c r="KKN39" s="51"/>
      <c r="KKO39" s="51"/>
      <c r="KKP39" s="51"/>
      <c r="KKQ39" s="51"/>
      <c r="KKR39" s="51"/>
      <c r="KKS39" s="51"/>
      <c r="KKT39" s="51"/>
      <c r="KKU39" s="51"/>
      <c r="KKV39" s="51"/>
      <c r="KKW39" s="51"/>
      <c r="KKX39" s="51"/>
      <c r="KKY39" s="51"/>
      <c r="KKZ39" s="51"/>
      <c r="KLA39" s="51"/>
      <c r="KLB39" s="51"/>
      <c r="KLC39" s="51"/>
      <c r="KLD39" s="51"/>
      <c r="KLE39" s="51"/>
      <c r="KLF39" s="51"/>
      <c r="KLG39" s="51"/>
      <c r="KLH39" s="51"/>
      <c r="KLI39" s="51"/>
      <c r="KLJ39" s="51"/>
      <c r="KLK39" s="51"/>
      <c r="KLL39" s="51"/>
      <c r="KLM39" s="51"/>
      <c r="KLN39" s="51"/>
      <c r="KLO39" s="51"/>
      <c r="KLP39" s="51"/>
      <c r="KLQ39" s="51"/>
      <c r="KLR39" s="51"/>
      <c r="KLS39" s="51"/>
      <c r="KLT39" s="51"/>
      <c r="KLU39" s="51"/>
      <c r="KLV39" s="51"/>
      <c r="KLW39" s="51"/>
      <c r="KLX39" s="51"/>
      <c r="KLY39" s="51"/>
      <c r="KLZ39" s="51"/>
      <c r="KMA39" s="51"/>
      <c r="KMB39" s="51"/>
      <c r="KMC39" s="51"/>
      <c r="KMD39" s="51"/>
      <c r="KME39" s="51"/>
      <c r="KMF39" s="51"/>
      <c r="KMG39" s="51"/>
      <c r="KMH39" s="51"/>
      <c r="KMI39" s="51"/>
      <c r="KMJ39" s="51"/>
      <c r="KMK39" s="51"/>
      <c r="KML39" s="51"/>
      <c r="KMM39" s="51"/>
      <c r="KMN39" s="51"/>
      <c r="KMO39" s="51"/>
      <c r="KMP39" s="51"/>
      <c r="KMQ39" s="51"/>
      <c r="KMR39" s="51"/>
      <c r="KMS39" s="51"/>
      <c r="KMT39" s="51"/>
      <c r="KMU39" s="51"/>
      <c r="KMV39" s="51"/>
      <c r="KMW39" s="51"/>
      <c r="KMX39" s="51"/>
      <c r="KMY39" s="51"/>
      <c r="KMZ39" s="51"/>
      <c r="KNA39" s="51"/>
      <c r="KNB39" s="51"/>
      <c r="KNC39" s="51"/>
      <c r="KND39" s="51"/>
      <c r="KNE39" s="51"/>
      <c r="KNF39" s="51"/>
      <c r="KNG39" s="51"/>
      <c r="KNH39" s="51"/>
      <c r="KNI39" s="51"/>
      <c r="KNJ39" s="51"/>
      <c r="KNK39" s="51"/>
      <c r="KNL39" s="51"/>
      <c r="KNM39" s="51"/>
      <c r="KNN39" s="51"/>
      <c r="KNO39" s="51"/>
      <c r="KNP39" s="51"/>
      <c r="KNQ39" s="51"/>
      <c r="KNR39" s="51"/>
      <c r="KNS39" s="51"/>
      <c r="KNT39" s="51"/>
      <c r="KNU39" s="51"/>
      <c r="KNV39" s="51"/>
      <c r="KNW39" s="51"/>
      <c r="KNX39" s="51"/>
      <c r="KNY39" s="51"/>
      <c r="KNZ39" s="51"/>
      <c r="KOA39" s="51"/>
      <c r="KOB39" s="51"/>
      <c r="KOC39" s="51"/>
      <c r="KOD39" s="51"/>
      <c r="KOE39" s="51"/>
      <c r="KOF39" s="51"/>
      <c r="KOG39" s="51"/>
      <c r="KOH39" s="51"/>
      <c r="KOI39" s="51"/>
      <c r="KOJ39" s="51"/>
      <c r="KOK39" s="51"/>
      <c r="KOL39" s="51"/>
      <c r="KOM39" s="51"/>
      <c r="KON39" s="51"/>
      <c r="KOO39" s="51"/>
      <c r="KOP39" s="51"/>
      <c r="KOQ39" s="51"/>
      <c r="KOR39" s="51"/>
      <c r="KOS39" s="51"/>
      <c r="KOT39" s="51"/>
      <c r="KOU39" s="51"/>
      <c r="KOV39" s="51"/>
      <c r="KOW39" s="51"/>
      <c r="KOX39" s="51"/>
      <c r="KOY39" s="51"/>
      <c r="KOZ39" s="51"/>
      <c r="KPA39" s="51"/>
      <c r="KPB39" s="51"/>
      <c r="KPC39" s="51"/>
      <c r="KPD39" s="51"/>
      <c r="KPE39" s="51"/>
      <c r="KPF39" s="51"/>
      <c r="KPG39" s="51"/>
      <c r="KPH39" s="51"/>
      <c r="KPI39" s="51"/>
      <c r="KPJ39" s="51"/>
      <c r="KPK39" s="51"/>
      <c r="KPL39" s="51"/>
      <c r="KPM39" s="51"/>
      <c r="KPN39" s="51"/>
      <c r="KPO39" s="51"/>
      <c r="KPP39" s="51"/>
      <c r="KPQ39" s="51"/>
      <c r="KPR39" s="51"/>
      <c r="KPS39" s="51"/>
      <c r="KPT39" s="51"/>
      <c r="KPU39" s="51"/>
      <c r="KPV39" s="51"/>
      <c r="KPW39" s="51"/>
      <c r="KPX39" s="51"/>
      <c r="KPY39" s="51"/>
      <c r="KPZ39" s="51"/>
      <c r="KQA39" s="51"/>
      <c r="KQB39" s="51"/>
      <c r="KQC39" s="51"/>
      <c r="KQD39" s="51"/>
      <c r="KQE39" s="51"/>
      <c r="KQF39" s="51"/>
      <c r="KQG39" s="51"/>
      <c r="KQH39" s="51"/>
      <c r="KQI39" s="51"/>
      <c r="KQJ39" s="51"/>
      <c r="KQK39" s="51"/>
      <c r="KQL39" s="51"/>
      <c r="KQM39" s="51"/>
      <c r="KQN39" s="51"/>
      <c r="KQO39" s="51"/>
      <c r="KQP39" s="51"/>
      <c r="KQQ39" s="51"/>
      <c r="KQR39" s="51"/>
      <c r="KQS39" s="51"/>
      <c r="KQT39" s="51"/>
      <c r="KQU39" s="51"/>
      <c r="KQV39" s="51"/>
      <c r="KQW39" s="51"/>
      <c r="KQX39" s="51"/>
      <c r="KQY39" s="51"/>
      <c r="KQZ39" s="51"/>
      <c r="KRA39" s="51"/>
      <c r="KRB39" s="51"/>
      <c r="KRC39" s="51"/>
      <c r="KRD39" s="51"/>
      <c r="KRE39" s="51"/>
      <c r="KRF39" s="51"/>
      <c r="KRG39" s="51"/>
      <c r="KRH39" s="51"/>
      <c r="KRI39" s="51"/>
      <c r="KRJ39" s="51"/>
      <c r="KRK39" s="51"/>
      <c r="KRL39" s="51"/>
      <c r="KRM39" s="51"/>
      <c r="KRN39" s="51"/>
      <c r="KRO39" s="51"/>
      <c r="KRP39" s="51"/>
      <c r="KRQ39" s="51"/>
      <c r="KRR39" s="51"/>
      <c r="KRS39" s="51"/>
      <c r="KRT39" s="51"/>
      <c r="KRU39" s="51"/>
      <c r="KRV39" s="51"/>
      <c r="KRW39" s="51"/>
      <c r="KRX39" s="51"/>
      <c r="KRY39" s="51"/>
      <c r="KRZ39" s="51"/>
      <c r="KSA39" s="51"/>
      <c r="KSB39" s="51"/>
      <c r="KSC39" s="51"/>
      <c r="KSD39" s="51"/>
      <c r="KSE39" s="51"/>
      <c r="KSF39" s="51"/>
      <c r="KSG39" s="51"/>
      <c r="KSH39" s="51"/>
      <c r="KSI39" s="51"/>
      <c r="KSJ39" s="51"/>
      <c r="KSK39" s="51"/>
      <c r="KSL39" s="51"/>
      <c r="KSM39" s="51"/>
      <c r="KSN39" s="51"/>
      <c r="KSO39" s="51"/>
      <c r="KSP39" s="51"/>
      <c r="KSQ39" s="51"/>
      <c r="KSR39" s="51"/>
      <c r="KSS39" s="51"/>
      <c r="KST39" s="51"/>
      <c r="KSU39" s="51"/>
      <c r="KSV39" s="51"/>
      <c r="KSW39" s="51"/>
      <c r="KSX39" s="51"/>
      <c r="KSY39" s="51"/>
      <c r="KSZ39" s="51"/>
      <c r="KTA39" s="51"/>
      <c r="KTB39" s="51"/>
      <c r="KTC39" s="51"/>
      <c r="KTD39" s="51"/>
      <c r="KTE39" s="51"/>
      <c r="KTF39" s="51"/>
      <c r="KTG39" s="51"/>
      <c r="KTH39" s="51"/>
      <c r="KTI39" s="51"/>
      <c r="KTJ39" s="51"/>
      <c r="KTK39" s="51"/>
      <c r="KTL39" s="51"/>
      <c r="KTM39" s="51"/>
      <c r="KTN39" s="51"/>
      <c r="KTO39" s="51"/>
      <c r="KTP39" s="51"/>
      <c r="KTQ39" s="51"/>
      <c r="KTR39" s="51"/>
      <c r="KTS39" s="51"/>
      <c r="KTT39" s="51"/>
      <c r="KTU39" s="51"/>
      <c r="KTV39" s="51"/>
      <c r="KTW39" s="51"/>
      <c r="KTX39" s="51"/>
      <c r="KTY39" s="51"/>
      <c r="KTZ39" s="51"/>
      <c r="KUA39" s="51"/>
      <c r="KUB39" s="51"/>
      <c r="KUC39" s="51"/>
      <c r="KUD39" s="51"/>
      <c r="KUE39" s="51"/>
      <c r="KUF39" s="51"/>
      <c r="KUG39" s="51"/>
      <c r="KUH39" s="51"/>
      <c r="KUI39" s="51"/>
      <c r="KUJ39" s="51"/>
      <c r="KUK39" s="51"/>
      <c r="KUL39" s="51"/>
      <c r="KUM39" s="51"/>
      <c r="KUN39" s="51"/>
      <c r="KUO39" s="51"/>
      <c r="KUP39" s="51"/>
      <c r="KUQ39" s="51"/>
      <c r="KUR39" s="51"/>
      <c r="KUS39" s="51"/>
      <c r="KUT39" s="51"/>
      <c r="KUU39" s="51"/>
      <c r="KUV39" s="51"/>
      <c r="KUW39" s="51"/>
      <c r="KUX39" s="51"/>
      <c r="KUY39" s="51"/>
      <c r="KUZ39" s="51"/>
      <c r="KVA39" s="51"/>
      <c r="KVB39" s="51"/>
      <c r="KVC39" s="51"/>
      <c r="KVD39" s="51"/>
      <c r="KVE39" s="51"/>
      <c r="KVF39" s="51"/>
      <c r="KVG39" s="51"/>
      <c r="KVH39" s="51"/>
      <c r="KVI39" s="51"/>
      <c r="KVJ39" s="51"/>
      <c r="KVK39" s="51"/>
      <c r="KVL39" s="51"/>
      <c r="KVM39" s="51"/>
      <c r="KVN39" s="51"/>
      <c r="KVO39" s="51"/>
      <c r="KVP39" s="51"/>
      <c r="KVQ39" s="51"/>
      <c r="KVR39" s="51"/>
      <c r="KVS39" s="51"/>
      <c r="KVT39" s="51"/>
      <c r="KVU39" s="51"/>
      <c r="KVV39" s="51"/>
      <c r="KVW39" s="51"/>
      <c r="KVX39" s="51"/>
      <c r="KVY39" s="51"/>
      <c r="KVZ39" s="51"/>
      <c r="KWA39" s="51"/>
      <c r="KWB39" s="51"/>
      <c r="KWC39" s="51"/>
      <c r="KWD39" s="51"/>
      <c r="KWE39" s="51"/>
      <c r="KWF39" s="51"/>
      <c r="KWG39" s="51"/>
      <c r="KWH39" s="51"/>
      <c r="KWI39" s="51"/>
      <c r="KWJ39" s="51"/>
      <c r="KWK39" s="51"/>
      <c r="KWL39" s="51"/>
      <c r="KWM39" s="51"/>
      <c r="KWN39" s="51"/>
      <c r="KWO39" s="51"/>
      <c r="KWP39" s="51"/>
      <c r="KWQ39" s="51"/>
      <c r="KWR39" s="51"/>
      <c r="KWS39" s="51"/>
      <c r="KWT39" s="51"/>
      <c r="KWU39" s="51"/>
      <c r="KWV39" s="51"/>
      <c r="KWW39" s="51"/>
      <c r="KWX39" s="51"/>
      <c r="KWY39" s="51"/>
      <c r="KWZ39" s="51"/>
      <c r="KXA39" s="51"/>
      <c r="KXB39" s="51"/>
      <c r="KXC39" s="51"/>
      <c r="KXD39" s="51"/>
      <c r="KXE39" s="51"/>
      <c r="KXF39" s="51"/>
      <c r="KXG39" s="51"/>
      <c r="KXH39" s="51"/>
      <c r="KXI39" s="51"/>
      <c r="KXJ39" s="51"/>
      <c r="KXK39" s="51"/>
      <c r="KXL39" s="51"/>
      <c r="KXM39" s="51"/>
      <c r="KXN39" s="51"/>
      <c r="KXO39" s="51"/>
      <c r="KXP39" s="51"/>
      <c r="KXQ39" s="51"/>
      <c r="KXR39" s="51"/>
      <c r="KXS39" s="51"/>
      <c r="KXT39" s="51"/>
      <c r="KXU39" s="51"/>
      <c r="KXV39" s="51"/>
      <c r="KXW39" s="51"/>
      <c r="KXX39" s="51"/>
      <c r="KXY39" s="51"/>
      <c r="KXZ39" s="51"/>
      <c r="KYA39" s="51"/>
      <c r="KYB39" s="51"/>
      <c r="KYC39" s="51"/>
      <c r="KYD39" s="51"/>
      <c r="KYE39" s="51"/>
      <c r="KYF39" s="51"/>
      <c r="KYG39" s="51"/>
      <c r="KYH39" s="51"/>
      <c r="KYI39" s="51"/>
      <c r="KYJ39" s="51"/>
      <c r="KYK39" s="51"/>
      <c r="KYL39" s="51"/>
      <c r="KYM39" s="51"/>
      <c r="KYN39" s="51"/>
      <c r="KYO39" s="51"/>
      <c r="KYP39" s="51"/>
      <c r="KYQ39" s="51"/>
      <c r="KYR39" s="51"/>
      <c r="KYS39" s="51"/>
      <c r="KYT39" s="51"/>
      <c r="KYU39" s="51"/>
      <c r="KYV39" s="51"/>
      <c r="KYW39" s="51"/>
      <c r="KYX39" s="51"/>
      <c r="KYY39" s="51"/>
      <c r="KYZ39" s="51"/>
      <c r="KZA39" s="51"/>
      <c r="KZB39" s="51"/>
      <c r="KZC39" s="51"/>
      <c r="KZD39" s="51"/>
      <c r="KZE39" s="51"/>
      <c r="KZF39" s="51"/>
      <c r="KZG39" s="51"/>
      <c r="KZH39" s="51"/>
      <c r="KZI39" s="51"/>
      <c r="KZJ39" s="51"/>
      <c r="KZK39" s="51"/>
      <c r="KZL39" s="51"/>
      <c r="KZM39" s="51"/>
      <c r="KZN39" s="51"/>
      <c r="KZO39" s="51"/>
      <c r="KZP39" s="51"/>
      <c r="KZQ39" s="51"/>
      <c r="KZR39" s="51"/>
      <c r="KZS39" s="51"/>
      <c r="KZT39" s="51"/>
      <c r="KZU39" s="51"/>
      <c r="KZV39" s="51"/>
      <c r="KZW39" s="51"/>
      <c r="KZX39" s="51"/>
      <c r="KZY39" s="51"/>
      <c r="KZZ39" s="51"/>
      <c r="LAA39" s="51"/>
      <c r="LAB39" s="51"/>
      <c r="LAC39" s="51"/>
      <c r="LAD39" s="51"/>
      <c r="LAE39" s="51"/>
      <c r="LAF39" s="51"/>
      <c r="LAG39" s="51"/>
      <c r="LAH39" s="51"/>
      <c r="LAI39" s="51"/>
      <c r="LAJ39" s="51"/>
      <c r="LAK39" s="51"/>
      <c r="LAL39" s="51"/>
      <c r="LAM39" s="51"/>
      <c r="LAN39" s="51"/>
      <c r="LAO39" s="51"/>
      <c r="LAP39" s="51"/>
      <c r="LAQ39" s="51"/>
      <c r="LAR39" s="51"/>
      <c r="LAS39" s="51"/>
      <c r="LAT39" s="51"/>
      <c r="LAU39" s="51"/>
      <c r="LAV39" s="51"/>
      <c r="LAW39" s="51"/>
      <c r="LAX39" s="51"/>
      <c r="LAY39" s="51"/>
      <c r="LAZ39" s="51"/>
      <c r="LBA39" s="51"/>
      <c r="LBB39" s="51"/>
      <c r="LBC39" s="51"/>
      <c r="LBD39" s="51"/>
      <c r="LBE39" s="51"/>
      <c r="LBF39" s="51"/>
      <c r="LBG39" s="51"/>
      <c r="LBH39" s="51"/>
      <c r="LBI39" s="51"/>
      <c r="LBJ39" s="51"/>
      <c r="LBK39" s="51"/>
      <c r="LBL39" s="51"/>
      <c r="LBM39" s="51"/>
      <c r="LBN39" s="51"/>
      <c r="LBO39" s="51"/>
      <c r="LBP39" s="51"/>
      <c r="LBQ39" s="51"/>
      <c r="LBR39" s="51"/>
      <c r="LBS39" s="51"/>
      <c r="LBT39" s="51"/>
      <c r="LBU39" s="51"/>
      <c r="LBV39" s="51"/>
      <c r="LBW39" s="51"/>
      <c r="LBX39" s="51"/>
      <c r="LBY39" s="51"/>
      <c r="LBZ39" s="51"/>
      <c r="LCA39" s="51"/>
      <c r="LCB39" s="51"/>
      <c r="LCC39" s="51"/>
      <c r="LCD39" s="51"/>
      <c r="LCE39" s="51"/>
      <c r="LCF39" s="51"/>
      <c r="LCG39" s="51"/>
      <c r="LCH39" s="51"/>
      <c r="LCI39" s="51"/>
      <c r="LCJ39" s="51"/>
      <c r="LCK39" s="51"/>
      <c r="LCL39" s="51"/>
      <c r="LCM39" s="51"/>
      <c r="LCN39" s="51"/>
      <c r="LCO39" s="51"/>
      <c r="LCP39" s="51"/>
      <c r="LCQ39" s="51"/>
      <c r="LCR39" s="51"/>
      <c r="LCS39" s="51"/>
      <c r="LCT39" s="51"/>
      <c r="LCU39" s="51"/>
      <c r="LCV39" s="51"/>
      <c r="LCW39" s="51"/>
      <c r="LCX39" s="51"/>
      <c r="LCY39" s="51"/>
      <c r="LCZ39" s="51"/>
      <c r="LDA39" s="51"/>
      <c r="LDB39" s="51"/>
      <c r="LDC39" s="51"/>
      <c r="LDD39" s="51"/>
      <c r="LDE39" s="51"/>
      <c r="LDF39" s="51"/>
      <c r="LDG39" s="51"/>
      <c r="LDH39" s="51"/>
      <c r="LDI39" s="51"/>
      <c r="LDJ39" s="51"/>
      <c r="LDK39" s="51"/>
      <c r="LDL39" s="51"/>
      <c r="LDM39" s="51"/>
      <c r="LDN39" s="51"/>
      <c r="LDO39" s="51"/>
      <c r="LDP39" s="51"/>
      <c r="LDQ39" s="51"/>
      <c r="LDR39" s="51"/>
      <c r="LDS39" s="51"/>
      <c r="LDT39" s="51"/>
      <c r="LDU39" s="51"/>
      <c r="LDV39" s="51"/>
      <c r="LDW39" s="51"/>
      <c r="LDX39" s="51"/>
      <c r="LDY39" s="51"/>
      <c r="LDZ39" s="51"/>
      <c r="LEA39" s="51"/>
      <c r="LEB39" s="51"/>
      <c r="LEC39" s="51"/>
      <c r="LED39" s="51"/>
      <c r="LEE39" s="51"/>
      <c r="LEF39" s="51"/>
      <c r="LEG39" s="51"/>
      <c r="LEH39" s="51"/>
      <c r="LEI39" s="51"/>
      <c r="LEJ39" s="51"/>
      <c r="LEK39" s="51"/>
      <c r="LEL39" s="51"/>
      <c r="LEM39" s="51"/>
      <c r="LEN39" s="51"/>
      <c r="LEO39" s="51"/>
      <c r="LEP39" s="51"/>
      <c r="LEQ39" s="51"/>
      <c r="LER39" s="51"/>
      <c r="LES39" s="51"/>
      <c r="LET39" s="51"/>
      <c r="LEU39" s="51"/>
      <c r="LEV39" s="51"/>
      <c r="LEW39" s="51"/>
      <c r="LEX39" s="51"/>
      <c r="LEY39" s="51"/>
      <c r="LEZ39" s="51"/>
      <c r="LFA39" s="51"/>
      <c r="LFB39" s="51"/>
      <c r="LFC39" s="51"/>
      <c r="LFD39" s="51"/>
      <c r="LFE39" s="51"/>
      <c r="LFF39" s="51"/>
      <c r="LFG39" s="51"/>
      <c r="LFH39" s="51"/>
      <c r="LFI39" s="51"/>
      <c r="LFJ39" s="51"/>
      <c r="LFK39" s="51"/>
      <c r="LFL39" s="51"/>
      <c r="LFM39" s="51"/>
      <c r="LFN39" s="51"/>
      <c r="LFO39" s="51"/>
      <c r="LFP39" s="51"/>
      <c r="LFQ39" s="51"/>
      <c r="LFR39" s="51"/>
      <c r="LFS39" s="51"/>
      <c r="LFT39" s="51"/>
      <c r="LFU39" s="51"/>
      <c r="LFV39" s="51"/>
      <c r="LFW39" s="51"/>
      <c r="LFX39" s="51"/>
      <c r="LFY39" s="51"/>
      <c r="LFZ39" s="51"/>
      <c r="LGA39" s="51"/>
      <c r="LGB39" s="51"/>
      <c r="LGC39" s="51"/>
      <c r="LGD39" s="51"/>
      <c r="LGE39" s="51"/>
      <c r="LGF39" s="51"/>
      <c r="LGG39" s="51"/>
      <c r="LGH39" s="51"/>
      <c r="LGI39" s="51"/>
      <c r="LGJ39" s="51"/>
      <c r="LGK39" s="51"/>
      <c r="LGL39" s="51"/>
      <c r="LGM39" s="51"/>
      <c r="LGN39" s="51"/>
      <c r="LGO39" s="51"/>
      <c r="LGP39" s="51"/>
      <c r="LGQ39" s="51"/>
      <c r="LGR39" s="51"/>
      <c r="LGS39" s="51"/>
      <c r="LGT39" s="51"/>
      <c r="LGU39" s="51"/>
      <c r="LGV39" s="51"/>
      <c r="LGW39" s="51"/>
      <c r="LGX39" s="51"/>
      <c r="LGY39" s="51"/>
      <c r="LGZ39" s="51"/>
      <c r="LHA39" s="51"/>
      <c r="LHB39" s="51"/>
      <c r="LHC39" s="51"/>
      <c r="LHD39" s="51"/>
      <c r="LHE39" s="51"/>
      <c r="LHF39" s="51"/>
      <c r="LHG39" s="51"/>
      <c r="LHH39" s="51"/>
      <c r="LHI39" s="51"/>
      <c r="LHJ39" s="51"/>
      <c r="LHK39" s="51"/>
      <c r="LHL39" s="51"/>
      <c r="LHM39" s="51"/>
      <c r="LHN39" s="51"/>
      <c r="LHO39" s="51"/>
      <c r="LHP39" s="51"/>
      <c r="LHQ39" s="51"/>
      <c r="LHR39" s="51"/>
      <c r="LHS39" s="51"/>
      <c r="LHT39" s="51"/>
      <c r="LHU39" s="51"/>
      <c r="LHV39" s="51"/>
      <c r="LHW39" s="51"/>
      <c r="LHX39" s="51"/>
      <c r="LHY39" s="51"/>
      <c r="LHZ39" s="51"/>
      <c r="LIA39" s="51"/>
      <c r="LIB39" s="51"/>
      <c r="LIC39" s="51"/>
      <c r="LID39" s="51"/>
      <c r="LIE39" s="51"/>
      <c r="LIF39" s="51"/>
      <c r="LIG39" s="51"/>
      <c r="LIH39" s="51"/>
      <c r="LII39" s="51"/>
      <c r="LIJ39" s="51"/>
      <c r="LIK39" s="51"/>
      <c r="LIL39" s="51"/>
      <c r="LIM39" s="51"/>
      <c r="LIN39" s="51"/>
      <c r="LIO39" s="51"/>
      <c r="LIP39" s="51"/>
      <c r="LIQ39" s="51"/>
      <c r="LIR39" s="51"/>
      <c r="LIS39" s="51"/>
      <c r="LIT39" s="51"/>
      <c r="LIU39" s="51"/>
      <c r="LIV39" s="51"/>
      <c r="LIW39" s="51"/>
      <c r="LIX39" s="51"/>
      <c r="LIY39" s="51"/>
      <c r="LIZ39" s="51"/>
      <c r="LJA39" s="51"/>
      <c r="LJB39" s="51"/>
      <c r="LJC39" s="51"/>
      <c r="LJD39" s="51"/>
      <c r="LJE39" s="51"/>
      <c r="LJF39" s="51"/>
      <c r="LJG39" s="51"/>
      <c r="LJH39" s="51"/>
      <c r="LJI39" s="51"/>
      <c r="LJJ39" s="51"/>
      <c r="LJK39" s="51"/>
      <c r="LJL39" s="51"/>
      <c r="LJM39" s="51"/>
      <c r="LJN39" s="51"/>
      <c r="LJO39" s="51"/>
      <c r="LJP39" s="51"/>
      <c r="LJQ39" s="51"/>
      <c r="LJR39" s="51"/>
      <c r="LJS39" s="51"/>
      <c r="LJT39" s="51"/>
      <c r="LJU39" s="51"/>
      <c r="LJV39" s="51"/>
      <c r="LJW39" s="51"/>
      <c r="LJX39" s="51"/>
      <c r="LJY39" s="51"/>
      <c r="LJZ39" s="51"/>
      <c r="LKA39" s="51"/>
      <c r="LKB39" s="51"/>
      <c r="LKC39" s="51"/>
      <c r="LKD39" s="51"/>
      <c r="LKE39" s="51"/>
      <c r="LKF39" s="51"/>
      <c r="LKG39" s="51"/>
      <c r="LKH39" s="51"/>
      <c r="LKI39" s="51"/>
      <c r="LKJ39" s="51"/>
      <c r="LKK39" s="51"/>
      <c r="LKL39" s="51"/>
      <c r="LKM39" s="51"/>
      <c r="LKN39" s="51"/>
      <c r="LKO39" s="51"/>
      <c r="LKP39" s="51"/>
      <c r="LKQ39" s="51"/>
      <c r="LKR39" s="51"/>
      <c r="LKS39" s="51"/>
      <c r="LKT39" s="51"/>
      <c r="LKU39" s="51"/>
      <c r="LKV39" s="51"/>
      <c r="LKW39" s="51"/>
      <c r="LKX39" s="51"/>
      <c r="LKY39" s="51"/>
      <c r="LKZ39" s="51"/>
      <c r="LLA39" s="51"/>
      <c r="LLB39" s="51"/>
      <c r="LLC39" s="51"/>
      <c r="LLD39" s="51"/>
      <c r="LLE39" s="51"/>
      <c r="LLF39" s="51"/>
      <c r="LLG39" s="51"/>
      <c r="LLH39" s="51"/>
      <c r="LLI39" s="51"/>
      <c r="LLJ39" s="51"/>
      <c r="LLK39" s="51"/>
      <c r="LLL39" s="51"/>
      <c r="LLM39" s="51"/>
      <c r="LLN39" s="51"/>
      <c r="LLO39" s="51"/>
      <c r="LLP39" s="51"/>
      <c r="LLQ39" s="51"/>
      <c r="LLR39" s="51"/>
      <c r="LLS39" s="51"/>
      <c r="LLT39" s="51"/>
      <c r="LLU39" s="51"/>
      <c r="LLV39" s="51"/>
      <c r="LLW39" s="51"/>
      <c r="LLX39" s="51"/>
      <c r="LLY39" s="51"/>
      <c r="LLZ39" s="51"/>
      <c r="LMA39" s="51"/>
      <c r="LMB39" s="51"/>
      <c r="LMC39" s="51"/>
      <c r="LMD39" s="51"/>
      <c r="LME39" s="51"/>
      <c r="LMF39" s="51"/>
      <c r="LMG39" s="51"/>
      <c r="LMH39" s="51"/>
      <c r="LMI39" s="51"/>
      <c r="LMJ39" s="51"/>
      <c r="LMK39" s="51"/>
      <c r="LML39" s="51"/>
      <c r="LMM39" s="51"/>
      <c r="LMN39" s="51"/>
      <c r="LMO39" s="51"/>
      <c r="LMP39" s="51"/>
      <c r="LMQ39" s="51"/>
      <c r="LMR39" s="51"/>
      <c r="LMS39" s="51"/>
      <c r="LMT39" s="51"/>
      <c r="LMU39" s="51"/>
      <c r="LMV39" s="51"/>
      <c r="LMW39" s="51"/>
      <c r="LMX39" s="51"/>
      <c r="LMY39" s="51"/>
      <c r="LMZ39" s="51"/>
      <c r="LNA39" s="51"/>
      <c r="LNB39" s="51"/>
      <c r="LNC39" s="51"/>
      <c r="LND39" s="51"/>
      <c r="LNE39" s="51"/>
      <c r="LNF39" s="51"/>
      <c r="LNG39" s="51"/>
      <c r="LNH39" s="51"/>
      <c r="LNI39" s="51"/>
      <c r="LNJ39" s="51"/>
      <c r="LNK39" s="51"/>
      <c r="LNL39" s="51"/>
      <c r="LNM39" s="51"/>
      <c r="LNN39" s="51"/>
      <c r="LNO39" s="51"/>
      <c r="LNP39" s="51"/>
      <c r="LNQ39" s="51"/>
      <c r="LNR39" s="51"/>
      <c r="LNS39" s="51"/>
      <c r="LNT39" s="51"/>
      <c r="LNU39" s="51"/>
      <c r="LNV39" s="51"/>
      <c r="LNW39" s="51"/>
      <c r="LNX39" s="51"/>
      <c r="LNY39" s="51"/>
      <c r="LNZ39" s="51"/>
      <c r="LOA39" s="51"/>
      <c r="LOB39" s="51"/>
      <c r="LOC39" s="51"/>
      <c r="LOD39" s="51"/>
      <c r="LOE39" s="51"/>
      <c r="LOF39" s="51"/>
      <c r="LOG39" s="51"/>
      <c r="LOH39" s="51"/>
      <c r="LOI39" s="51"/>
      <c r="LOJ39" s="51"/>
      <c r="LOK39" s="51"/>
      <c r="LOL39" s="51"/>
      <c r="LOM39" s="51"/>
      <c r="LON39" s="51"/>
      <c r="LOO39" s="51"/>
      <c r="LOP39" s="51"/>
      <c r="LOQ39" s="51"/>
      <c r="LOR39" s="51"/>
      <c r="LOS39" s="51"/>
      <c r="LOT39" s="51"/>
      <c r="LOU39" s="51"/>
      <c r="LOV39" s="51"/>
      <c r="LOW39" s="51"/>
      <c r="LOX39" s="51"/>
      <c r="LOY39" s="51"/>
      <c r="LOZ39" s="51"/>
      <c r="LPA39" s="51"/>
      <c r="LPB39" s="51"/>
      <c r="LPC39" s="51"/>
      <c r="LPD39" s="51"/>
      <c r="LPE39" s="51"/>
      <c r="LPF39" s="51"/>
      <c r="LPG39" s="51"/>
      <c r="LPH39" s="51"/>
      <c r="LPI39" s="51"/>
      <c r="LPJ39" s="51"/>
      <c r="LPK39" s="51"/>
      <c r="LPL39" s="51"/>
      <c r="LPM39" s="51"/>
      <c r="LPN39" s="51"/>
      <c r="LPO39" s="51"/>
      <c r="LPP39" s="51"/>
      <c r="LPQ39" s="51"/>
      <c r="LPR39" s="51"/>
      <c r="LPS39" s="51"/>
      <c r="LPT39" s="51"/>
      <c r="LPU39" s="51"/>
      <c r="LPV39" s="51"/>
      <c r="LPW39" s="51"/>
      <c r="LPX39" s="51"/>
      <c r="LPY39" s="51"/>
      <c r="LPZ39" s="51"/>
      <c r="LQA39" s="51"/>
      <c r="LQB39" s="51"/>
      <c r="LQC39" s="51"/>
      <c r="LQD39" s="51"/>
      <c r="LQE39" s="51"/>
      <c r="LQF39" s="51"/>
      <c r="LQG39" s="51"/>
      <c r="LQH39" s="51"/>
      <c r="LQI39" s="51"/>
      <c r="LQJ39" s="51"/>
      <c r="LQK39" s="51"/>
      <c r="LQL39" s="51"/>
      <c r="LQM39" s="51"/>
      <c r="LQN39" s="51"/>
      <c r="LQO39" s="51"/>
      <c r="LQP39" s="51"/>
      <c r="LQQ39" s="51"/>
      <c r="LQR39" s="51"/>
      <c r="LQS39" s="51"/>
      <c r="LQT39" s="51"/>
      <c r="LQU39" s="51"/>
      <c r="LQV39" s="51"/>
      <c r="LQW39" s="51"/>
      <c r="LQX39" s="51"/>
      <c r="LQY39" s="51"/>
      <c r="LQZ39" s="51"/>
      <c r="LRA39" s="51"/>
      <c r="LRB39" s="51"/>
      <c r="LRC39" s="51"/>
      <c r="LRD39" s="51"/>
      <c r="LRE39" s="51"/>
      <c r="LRF39" s="51"/>
      <c r="LRG39" s="51"/>
      <c r="LRH39" s="51"/>
      <c r="LRI39" s="51"/>
      <c r="LRJ39" s="51"/>
      <c r="LRK39" s="51"/>
      <c r="LRL39" s="51"/>
      <c r="LRM39" s="51"/>
      <c r="LRN39" s="51"/>
      <c r="LRO39" s="51"/>
      <c r="LRP39" s="51"/>
      <c r="LRQ39" s="51"/>
      <c r="LRR39" s="51"/>
      <c r="LRS39" s="51"/>
      <c r="LRT39" s="51"/>
      <c r="LRU39" s="51"/>
      <c r="LRV39" s="51"/>
      <c r="LRW39" s="51"/>
      <c r="LRX39" s="51"/>
      <c r="LRY39" s="51"/>
      <c r="LRZ39" s="51"/>
      <c r="LSA39" s="51"/>
      <c r="LSB39" s="51"/>
      <c r="LSC39" s="51"/>
      <c r="LSD39" s="51"/>
      <c r="LSE39" s="51"/>
      <c r="LSF39" s="51"/>
      <c r="LSG39" s="51"/>
      <c r="LSH39" s="51"/>
      <c r="LSI39" s="51"/>
      <c r="LSJ39" s="51"/>
      <c r="LSK39" s="51"/>
      <c r="LSL39" s="51"/>
      <c r="LSM39" s="51"/>
      <c r="LSN39" s="51"/>
      <c r="LSO39" s="51"/>
      <c r="LSP39" s="51"/>
      <c r="LSQ39" s="51"/>
      <c r="LSR39" s="51"/>
      <c r="LSS39" s="51"/>
      <c r="LST39" s="51"/>
      <c r="LSU39" s="51"/>
      <c r="LSV39" s="51"/>
      <c r="LSW39" s="51"/>
      <c r="LSX39" s="51"/>
      <c r="LSY39" s="51"/>
      <c r="LSZ39" s="51"/>
      <c r="LTA39" s="51"/>
      <c r="LTB39" s="51"/>
      <c r="LTC39" s="51"/>
      <c r="LTD39" s="51"/>
      <c r="LTE39" s="51"/>
      <c r="LTF39" s="51"/>
      <c r="LTG39" s="51"/>
      <c r="LTH39" s="51"/>
      <c r="LTI39" s="51"/>
      <c r="LTJ39" s="51"/>
      <c r="LTK39" s="51"/>
      <c r="LTL39" s="51"/>
      <c r="LTM39" s="51"/>
      <c r="LTN39" s="51"/>
      <c r="LTO39" s="51"/>
      <c r="LTP39" s="51"/>
      <c r="LTQ39" s="51"/>
      <c r="LTR39" s="51"/>
      <c r="LTS39" s="51"/>
      <c r="LTT39" s="51"/>
      <c r="LTU39" s="51"/>
      <c r="LTV39" s="51"/>
      <c r="LTW39" s="51"/>
      <c r="LTX39" s="51"/>
      <c r="LTY39" s="51"/>
      <c r="LTZ39" s="51"/>
      <c r="LUA39" s="51"/>
      <c r="LUB39" s="51"/>
      <c r="LUC39" s="51"/>
      <c r="LUD39" s="51"/>
      <c r="LUE39" s="51"/>
      <c r="LUF39" s="51"/>
      <c r="LUG39" s="51"/>
      <c r="LUH39" s="51"/>
      <c r="LUI39" s="51"/>
      <c r="LUJ39" s="51"/>
      <c r="LUK39" s="51"/>
      <c r="LUL39" s="51"/>
      <c r="LUM39" s="51"/>
      <c r="LUN39" s="51"/>
      <c r="LUO39" s="51"/>
      <c r="LUP39" s="51"/>
      <c r="LUQ39" s="51"/>
      <c r="LUR39" s="51"/>
      <c r="LUS39" s="51"/>
      <c r="LUT39" s="51"/>
      <c r="LUU39" s="51"/>
      <c r="LUV39" s="51"/>
      <c r="LUW39" s="51"/>
      <c r="LUX39" s="51"/>
      <c r="LUY39" s="51"/>
      <c r="LUZ39" s="51"/>
      <c r="LVA39" s="51"/>
      <c r="LVB39" s="51"/>
      <c r="LVC39" s="51"/>
      <c r="LVD39" s="51"/>
      <c r="LVE39" s="51"/>
      <c r="LVF39" s="51"/>
      <c r="LVG39" s="51"/>
      <c r="LVH39" s="51"/>
      <c r="LVI39" s="51"/>
      <c r="LVJ39" s="51"/>
      <c r="LVK39" s="51"/>
      <c r="LVL39" s="51"/>
      <c r="LVM39" s="51"/>
      <c r="LVN39" s="51"/>
      <c r="LVO39" s="51"/>
      <c r="LVP39" s="51"/>
      <c r="LVQ39" s="51"/>
      <c r="LVR39" s="51"/>
      <c r="LVS39" s="51"/>
      <c r="LVT39" s="51"/>
      <c r="LVU39" s="51"/>
      <c r="LVV39" s="51"/>
      <c r="LVW39" s="51"/>
      <c r="LVX39" s="51"/>
      <c r="LVY39" s="51"/>
      <c r="LVZ39" s="51"/>
      <c r="LWA39" s="51"/>
      <c r="LWB39" s="51"/>
      <c r="LWC39" s="51"/>
      <c r="LWD39" s="51"/>
      <c r="LWE39" s="51"/>
      <c r="LWF39" s="51"/>
      <c r="LWG39" s="51"/>
      <c r="LWH39" s="51"/>
      <c r="LWI39" s="51"/>
      <c r="LWJ39" s="51"/>
      <c r="LWK39" s="51"/>
      <c r="LWL39" s="51"/>
      <c r="LWM39" s="51"/>
      <c r="LWN39" s="51"/>
      <c r="LWO39" s="51"/>
      <c r="LWP39" s="51"/>
      <c r="LWQ39" s="51"/>
      <c r="LWR39" s="51"/>
      <c r="LWS39" s="51"/>
      <c r="LWT39" s="51"/>
      <c r="LWU39" s="51"/>
      <c r="LWV39" s="51"/>
      <c r="LWW39" s="51"/>
      <c r="LWX39" s="51"/>
      <c r="LWY39" s="51"/>
      <c r="LWZ39" s="51"/>
      <c r="LXA39" s="51"/>
      <c r="LXB39" s="51"/>
      <c r="LXC39" s="51"/>
      <c r="LXD39" s="51"/>
      <c r="LXE39" s="51"/>
      <c r="LXF39" s="51"/>
      <c r="LXG39" s="51"/>
      <c r="LXH39" s="51"/>
      <c r="LXI39" s="51"/>
      <c r="LXJ39" s="51"/>
      <c r="LXK39" s="51"/>
      <c r="LXL39" s="51"/>
      <c r="LXM39" s="51"/>
      <c r="LXN39" s="51"/>
      <c r="LXO39" s="51"/>
      <c r="LXP39" s="51"/>
      <c r="LXQ39" s="51"/>
      <c r="LXR39" s="51"/>
      <c r="LXS39" s="51"/>
      <c r="LXT39" s="51"/>
      <c r="LXU39" s="51"/>
      <c r="LXV39" s="51"/>
      <c r="LXW39" s="51"/>
      <c r="LXX39" s="51"/>
      <c r="LXY39" s="51"/>
      <c r="LXZ39" s="51"/>
      <c r="LYA39" s="51"/>
      <c r="LYB39" s="51"/>
      <c r="LYC39" s="51"/>
      <c r="LYD39" s="51"/>
      <c r="LYE39" s="51"/>
      <c r="LYF39" s="51"/>
      <c r="LYG39" s="51"/>
      <c r="LYH39" s="51"/>
      <c r="LYI39" s="51"/>
      <c r="LYJ39" s="51"/>
      <c r="LYK39" s="51"/>
      <c r="LYL39" s="51"/>
      <c r="LYM39" s="51"/>
      <c r="LYN39" s="51"/>
      <c r="LYO39" s="51"/>
      <c r="LYP39" s="51"/>
      <c r="LYQ39" s="51"/>
      <c r="LYR39" s="51"/>
      <c r="LYS39" s="51"/>
      <c r="LYT39" s="51"/>
      <c r="LYU39" s="51"/>
      <c r="LYV39" s="51"/>
      <c r="LYW39" s="51"/>
      <c r="LYX39" s="51"/>
      <c r="LYY39" s="51"/>
      <c r="LYZ39" s="51"/>
      <c r="LZA39" s="51"/>
      <c r="LZB39" s="51"/>
      <c r="LZC39" s="51"/>
      <c r="LZD39" s="51"/>
      <c r="LZE39" s="51"/>
      <c r="LZF39" s="51"/>
      <c r="LZG39" s="51"/>
      <c r="LZH39" s="51"/>
      <c r="LZI39" s="51"/>
      <c r="LZJ39" s="51"/>
      <c r="LZK39" s="51"/>
      <c r="LZL39" s="51"/>
      <c r="LZM39" s="51"/>
      <c r="LZN39" s="51"/>
      <c r="LZO39" s="51"/>
      <c r="LZP39" s="51"/>
      <c r="LZQ39" s="51"/>
      <c r="LZR39" s="51"/>
      <c r="LZS39" s="51"/>
      <c r="LZT39" s="51"/>
      <c r="LZU39" s="51"/>
      <c r="LZV39" s="51"/>
      <c r="LZW39" s="51"/>
      <c r="LZX39" s="51"/>
      <c r="LZY39" s="51"/>
      <c r="LZZ39" s="51"/>
      <c r="MAA39" s="51"/>
      <c r="MAB39" s="51"/>
      <c r="MAC39" s="51"/>
      <c r="MAD39" s="51"/>
      <c r="MAE39" s="51"/>
      <c r="MAF39" s="51"/>
      <c r="MAG39" s="51"/>
      <c r="MAH39" s="51"/>
      <c r="MAI39" s="51"/>
      <c r="MAJ39" s="51"/>
      <c r="MAK39" s="51"/>
      <c r="MAL39" s="51"/>
      <c r="MAM39" s="51"/>
      <c r="MAN39" s="51"/>
      <c r="MAO39" s="51"/>
      <c r="MAP39" s="51"/>
      <c r="MAQ39" s="51"/>
      <c r="MAR39" s="51"/>
      <c r="MAS39" s="51"/>
      <c r="MAT39" s="51"/>
      <c r="MAU39" s="51"/>
      <c r="MAV39" s="51"/>
      <c r="MAW39" s="51"/>
      <c r="MAX39" s="51"/>
      <c r="MAY39" s="51"/>
      <c r="MAZ39" s="51"/>
      <c r="MBA39" s="51"/>
      <c r="MBB39" s="51"/>
      <c r="MBC39" s="51"/>
      <c r="MBD39" s="51"/>
      <c r="MBE39" s="51"/>
      <c r="MBF39" s="51"/>
      <c r="MBG39" s="51"/>
      <c r="MBH39" s="51"/>
      <c r="MBI39" s="51"/>
      <c r="MBJ39" s="51"/>
      <c r="MBK39" s="51"/>
      <c r="MBL39" s="51"/>
      <c r="MBM39" s="51"/>
      <c r="MBN39" s="51"/>
      <c r="MBO39" s="51"/>
      <c r="MBP39" s="51"/>
      <c r="MBQ39" s="51"/>
      <c r="MBR39" s="51"/>
      <c r="MBS39" s="51"/>
      <c r="MBT39" s="51"/>
      <c r="MBU39" s="51"/>
      <c r="MBV39" s="51"/>
      <c r="MBW39" s="51"/>
      <c r="MBX39" s="51"/>
      <c r="MBY39" s="51"/>
      <c r="MBZ39" s="51"/>
      <c r="MCA39" s="51"/>
      <c r="MCB39" s="51"/>
      <c r="MCC39" s="51"/>
      <c r="MCD39" s="51"/>
      <c r="MCE39" s="51"/>
      <c r="MCF39" s="51"/>
      <c r="MCG39" s="51"/>
      <c r="MCH39" s="51"/>
      <c r="MCI39" s="51"/>
      <c r="MCJ39" s="51"/>
      <c r="MCK39" s="51"/>
      <c r="MCL39" s="51"/>
      <c r="MCM39" s="51"/>
      <c r="MCN39" s="51"/>
      <c r="MCO39" s="51"/>
      <c r="MCP39" s="51"/>
      <c r="MCQ39" s="51"/>
      <c r="MCR39" s="51"/>
      <c r="MCS39" s="51"/>
      <c r="MCT39" s="51"/>
      <c r="MCU39" s="51"/>
      <c r="MCV39" s="51"/>
      <c r="MCW39" s="51"/>
      <c r="MCX39" s="51"/>
      <c r="MCY39" s="51"/>
      <c r="MCZ39" s="51"/>
      <c r="MDA39" s="51"/>
      <c r="MDB39" s="51"/>
      <c r="MDC39" s="51"/>
      <c r="MDD39" s="51"/>
      <c r="MDE39" s="51"/>
      <c r="MDF39" s="51"/>
      <c r="MDG39" s="51"/>
      <c r="MDH39" s="51"/>
      <c r="MDI39" s="51"/>
      <c r="MDJ39" s="51"/>
      <c r="MDK39" s="51"/>
      <c r="MDL39" s="51"/>
      <c r="MDM39" s="51"/>
      <c r="MDN39" s="51"/>
      <c r="MDO39" s="51"/>
      <c r="MDP39" s="51"/>
      <c r="MDQ39" s="51"/>
      <c r="MDR39" s="51"/>
      <c r="MDS39" s="51"/>
      <c r="MDT39" s="51"/>
      <c r="MDU39" s="51"/>
      <c r="MDV39" s="51"/>
      <c r="MDW39" s="51"/>
      <c r="MDX39" s="51"/>
      <c r="MDY39" s="51"/>
      <c r="MDZ39" s="51"/>
      <c r="MEA39" s="51"/>
      <c r="MEB39" s="51"/>
      <c r="MEC39" s="51"/>
      <c r="MED39" s="51"/>
      <c r="MEE39" s="51"/>
      <c r="MEF39" s="51"/>
      <c r="MEG39" s="51"/>
      <c r="MEH39" s="51"/>
      <c r="MEI39" s="51"/>
      <c r="MEJ39" s="51"/>
      <c r="MEK39" s="51"/>
      <c r="MEL39" s="51"/>
      <c r="MEM39" s="51"/>
      <c r="MEN39" s="51"/>
      <c r="MEO39" s="51"/>
      <c r="MEP39" s="51"/>
      <c r="MEQ39" s="51"/>
      <c r="MER39" s="51"/>
      <c r="MES39" s="51"/>
      <c r="MET39" s="51"/>
      <c r="MEU39" s="51"/>
      <c r="MEV39" s="51"/>
      <c r="MEW39" s="51"/>
      <c r="MEX39" s="51"/>
      <c r="MEY39" s="51"/>
      <c r="MEZ39" s="51"/>
      <c r="MFA39" s="51"/>
      <c r="MFB39" s="51"/>
      <c r="MFC39" s="51"/>
      <c r="MFD39" s="51"/>
      <c r="MFE39" s="51"/>
      <c r="MFF39" s="51"/>
      <c r="MFG39" s="51"/>
      <c r="MFH39" s="51"/>
      <c r="MFI39" s="51"/>
      <c r="MFJ39" s="51"/>
      <c r="MFK39" s="51"/>
      <c r="MFL39" s="51"/>
      <c r="MFM39" s="51"/>
      <c r="MFN39" s="51"/>
      <c r="MFO39" s="51"/>
      <c r="MFP39" s="51"/>
      <c r="MFQ39" s="51"/>
      <c r="MFR39" s="51"/>
      <c r="MFS39" s="51"/>
      <c r="MFT39" s="51"/>
      <c r="MFU39" s="51"/>
      <c r="MFV39" s="51"/>
      <c r="MFW39" s="51"/>
      <c r="MFX39" s="51"/>
      <c r="MFY39" s="51"/>
      <c r="MFZ39" s="51"/>
      <c r="MGA39" s="51"/>
      <c r="MGB39" s="51"/>
      <c r="MGC39" s="51"/>
      <c r="MGD39" s="51"/>
      <c r="MGE39" s="51"/>
      <c r="MGF39" s="51"/>
      <c r="MGG39" s="51"/>
      <c r="MGH39" s="51"/>
      <c r="MGI39" s="51"/>
      <c r="MGJ39" s="51"/>
      <c r="MGK39" s="51"/>
      <c r="MGL39" s="51"/>
      <c r="MGM39" s="51"/>
      <c r="MGN39" s="51"/>
      <c r="MGO39" s="51"/>
      <c r="MGP39" s="51"/>
      <c r="MGQ39" s="51"/>
      <c r="MGR39" s="51"/>
      <c r="MGS39" s="51"/>
      <c r="MGT39" s="51"/>
      <c r="MGU39" s="51"/>
      <c r="MGV39" s="51"/>
      <c r="MGW39" s="51"/>
      <c r="MGX39" s="51"/>
      <c r="MGY39" s="51"/>
      <c r="MGZ39" s="51"/>
      <c r="MHA39" s="51"/>
      <c r="MHB39" s="51"/>
      <c r="MHC39" s="51"/>
      <c r="MHD39" s="51"/>
      <c r="MHE39" s="51"/>
      <c r="MHF39" s="51"/>
      <c r="MHG39" s="51"/>
      <c r="MHH39" s="51"/>
      <c r="MHI39" s="51"/>
      <c r="MHJ39" s="51"/>
      <c r="MHK39" s="51"/>
      <c r="MHL39" s="51"/>
      <c r="MHM39" s="51"/>
      <c r="MHN39" s="51"/>
      <c r="MHO39" s="51"/>
      <c r="MHP39" s="51"/>
      <c r="MHQ39" s="51"/>
      <c r="MHR39" s="51"/>
      <c r="MHS39" s="51"/>
      <c r="MHT39" s="51"/>
      <c r="MHU39" s="51"/>
      <c r="MHV39" s="51"/>
      <c r="MHW39" s="51"/>
      <c r="MHX39" s="51"/>
      <c r="MHY39" s="51"/>
      <c r="MHZ39" s="51"/>
      <c r="MIA39" s="51"/>
      <c r="MIB39" s="51"/>
      <c r="MIC39" s="51"/>
      <c r="MID39" s="51"/>
      <c r="MIE39" s="51"/>
      <c r="MIF39" s="51"/>
      <c r="MIG39" s="51"/>
      <c r="MIH39" s="51"/>
      <c r="MII39" s="51"/>
      <c r="MIJ39" s="51"/>
      <c r="MIK39" s="51"/>
      <c r="MIL39" s="51"/>
      <c r="MIM39" s="51"/>
      <c r="MIN39" s="51"/>
      <c r="MIO39" s="51"/>
      <c r="MIP39" s="51"/>
      <c r="MIQ39" s="51"/>
      <c r="MIR39" s="51"/>
      <c r="MIS39" s="51"/>
      <c r="MIT39" s="51"/>
      <c r="MIU39" s="51"/>
      <c r="MIV39" s="51"/>
      <c r="MIW39" s="51"/>
      <c r="MIX39" s="51"/>
      <c r="MIY39" s="51"/>
      <c r="MIZ39" s="51"/>
      <c r="MJA39" s="51"/>
      <c r="MJB39" s="51"/>
      <c r="MJC39" s="51"/>
      <c r="MJD39" s="51"/>
      <c r="MJE39" s="51"/>
      <c r="MJF39" s="51"/>
      <c r="MJG39" s="51"/>
      <c r="MJH39" s="51"/>
      <c r="MJI39" s="51"/>
      <c r="MJJ39" s="51"/>
      <c r="MJK39" s="51"/>
      <c r="MJL39" s="51"/>
      <c r="MJM39" s="51"/>
      <c r="MJN39" s="51"/>
      <c r="MJO39" s="51"/>
      <c r="MJP39" s="51"/>
      <c r="MJQ39" s="51"/>
      <c r="MJR39" s="51"/>
      <c r="MJS39" s="51"/>
      <c r="MJT39" s="51"/>
      <c r="MJU39" s="51"/>
      <c r="MJV39" s="51"/>
      <c r="MJW39" s="51"/>
      <c r="MJX39" s="51"/>
      <c r="MJY39" s="51"/>
      <c r="MJZ39" s="51"/>
      <c r="MKA39" s="51"/>
      <c r="MKB39" s="51"/>
      <c r="MKC39" s="51"/>
      <c r="MKD39" s="51"/>
      <c r="MKE39" s="51"/>
      <c r="MKF39" s="51"/>
      <c r="MKG39" s="51"/>
      <c r="MKH39" s="51"/>
      <c r="MKI39" s="51"/>
      <c r="MKJ39" s="51"/>
      <c r="MKK39" s="51"/>
      <c r="MKL39" s="51"/>
      <c r="MKM39" s="51"/>
      <c r="MKN39" s="51"/>
      <c r="MKO39" s="51"/>
      <c r="MKP39" s="51"/>
      <c r="MKQ39" s="51"/>
      <c r="MKR39" s="51"/>
      <c r="MKS39" s="51"/>
      <c r="MKT39" s="51"/>
      <c r="MKU39" s="51"/>
      <c r="MKV39" s="51"/>
      <c r="MKW39" s="51"/>
      <c r="MKX39" s="51"/>
      <c r="MKY39" s="51"/>
      <c r="MKZ39" s="51"/>
      <c r="MLA39" s="51"/>
      <c r="MLB39" s="51"/>
      <c r="MLC39" s="51"/>
      <c r="MLD39" s="51"/>
      <c r="MLE39" s="51"/>
      <c r="MLF39" s="51"/>
      <c r="MLG39" s="51"/>
      <c r="MLH39" s="51"/>
      <c r="MLI39" s="51"/>
      <c r="MLJ39" s="51"/>
      <c r="MLK39" s="51"/>
      <c r="MLL39" s="51"/>
      <c r="MLM39" s="51"/>
      <c r="MLN39" s="51"/>
      <c r="MLO39" s="51"/>
      <c r="MLP39" s="51"/>
      <c r="MLQ39" s="51"/>
      <c r="MLR39" s="51"/>
      <c r="MLS39" s="51"/>
      <c r="MLT39" s="51"/>
      <c r="MLU39" s="51"/>
      <c r="MLV39" s="51"/>
      <c r="MLW39" s="51"/>
      <c r="MLX39" s="51"/>
      <c r="MLY39" s="51"/>
      <c r="MLZ39" s="51"/>
      <c r="MMA39" s="51"/>
      <c r="MMB39" s="51"/>
      <c r="MMC39" s="51"/>
      <c r="MMD39" s="51"/>
      <c r="MME39" s="51"/>
      <c r="MMF39" s="51"/>
      <c r="MMG39" s="51"/>
      <c r="MMH39" s="51"/>
      <c r="MMI39" s="51"/>
      <c r="MMJ39" s="51"/>
      <c r="MMK39" s="51"/>
      <c r="MML39" s="51"/>
      <c r="MMM39" s="51"/>
      <c r="MMN39" s="51"/>
      <c r="MMO39" s="51"/>
      <c r="MMP39" s="51"/>
      <c r="MMQ39" s="51"/>
      <c r="MMR39" s="51"/>
      <c r="MMS39" s="51"/>
      <c r="MMT39" s="51"/>
      <c r="MMU39" s="51"/>
      <c r="MMV39" s="51"/>
      <c r="MMW39" s="51"/>
      <c r="MMX39" s="51"/>
      <c r="MMY39" s="51"/>
      <c r="MMZ39" s="51"/>
      <c r="MNA39" s="51"/>
      <c r="MNB39" s="51"/>
      <c r="MNC39" s="51"/>
      <c r="MND39" s="51"/>
      <c r="MNE39" s="51"/>
      <c r="MNF39" s="51"/>
      <c r="MNG39" s="51"/>
      <c r="MNH39" s="51"/>
      <c r="MNI39" s="51"/>
      <c r="MNJ39" s="51"/>
      <c r="MNK39" s="51"/>
      <c r="MNL39" s="51"/>
      <c r="MNM39" s="51"/>
      <c r="MNN39" s="51"/>
      <c r="MNO39" s="51"/>
      <c r="MNP39" s="51"/>
      <c r="MNQ39" s="51"/>
      <c r="MNR39" s="51"/>
      <c r="MNS39" s="51"/>
      <c r="MNT39" s="51"/>
      <c r="MNU39" s="51"/>
      <c r="MNV39" s="51"/>
      <c r="MNW39" s="51"/>
      <c r="MNX39" s="51"/>
      <c r="MNY39" s="51"/>
      <c r="MNZ39" s="51"/>
      <c r="MOA39" s="51"/>
      <c r="MOB39" s="51"/>
      <c r="MOC39" s="51"/>
      <c r="MOD39" s="51"/>
      <c r="MOE39" s="51"/>
      <c r="MOF39" s="51"/>
      <c r="MOG39" s="51"/>
      <c r="MOH39" s="51"/>
      <c r="MOI39" s="51"/>
      <c r="MOJ39" s="51"/>
      <c r="MOK39" s="51"/>
      <c r="MOL39" s="51"/>
      <c r="MOM39" s="51"/>
      <c r="MON39" s="51"/>
      <c r="MOO39" s="51"/>
      <c r="MOP39" s="51"/>
      <c r="MOQ39" s="51"/>
      <c r="MOR39" s="51"/>
      <c r="MOS39" s="51"/>
      <c r="MOT39" s="51"/>
      <c r="MOU39" s="51"/>
      <c r="MOV39" s="51"/>
      <c r="MOW39" s="51"/>
      <c r="MOX39" s="51"/>
      <c r="MOY39" s="51"/>
      <c r="MOZ39" s="51"/>
      <c r="MPA39" s="51"/>
      <c r="MPB39" s="51"/>
      <c r="MPC39" s="51"/>
      <c r="MPD39" s="51"/>
      <c r="MPE39" s="51"/>
      <c r="MPF39" s="51"/>
      <c r="MPG39" s="51"/>
      <c r="MPH39" s="51"/>
      <c r="MPI39" s="51"/>
      <c r="MPJ39" s="51"/>
      <c r="MPK39" s="51"/>
      <c r="MPL39" s="51"/>
      <c r="MPM39" s="51"/>
      <c r="MPN39" s="51"/>
      <c r="MPO39" s="51"/>
      <c r="MPP39" s="51"/>
      <c r="MPQ39" s="51"/>
      <c r="MPR39" s="51"/>
      <c r="MPS39" s="51"/>
      <c r="MPT39" s="51"/>
      <c r="MPU39" s="51"/>
      <c r="MPV39" s="51"/>
      <c r="MPW39" s="51"/>
      <c r="MPX39" s="51"/>
      <c r="MPY39" s="51"/>
      <c r="MPZ39" s="51"/>
      <c r="MQA39" s="51"/>
      <c r="MQB39" s="51"/>
      <c r="MQC39" s="51"/>
      <c r="MQD39" s="51"/>
      <c r="MQE39" s="51"/>
      <c r="MQF39" s="51"/>
      <c r="MQG39" s="51"/>
      <c r="MQH39" s="51"/>
      <c r="MQI39" s="51"/>
      <c r="MQJ39" s="51"/>
      <c r="MQK39" s="51"/>
      <c r="MQL39" s="51"/>
      <c r="MQM39" s="51"/>
      <c r="MQN39" s="51"/>
      <c r="MQO39" s="51"/>
      <c r="MQP39" s="51"/>
      <c r="MQQ39" s="51"/>
      <c r="MQR39" s="51"/>
      <c r="MQS39" s="51"/>
      <c r="MQT39" s="51"/>
      <c r="MQU39" s="51"/>
      <c r="MQV39" s="51"/>
      <c r="MQW39" s="51"/>
      <c r="MQX39" s="51"/>
      <c r="MQY39" s="51"/>
      <c r="MQZ39" s="51"/>
      <c r="MRA39" s="51"/>
      <c r="MRB39" s="51"/>
      <c r="MRC39" s="51"/>
      <c r="MRD39" s="51"/>
      <c r="MRE39" s="51"/>
      <c r="MRF39" s="51"/>
      <c r="MRG39" s="51"/>
      <c r="MRH39" s="51"/>
      <c r="MRI39" s="51"/>
      <c r="MRJ39" s="51"/>
      <c r="MRK39" s="51"/>
      <c r="MRL39" s="51"/>
      <c r="MRM39" s="51"/>
      <c r="MRN39" s="51"/>
      <c r="MRO39" s="51"/>
      <c r="MRP39" s="51"/>
      <c r="MRQ39" s="51"/>
      <c r="MRR39" s="51"/>
      <c r="MRS39" s="51"/>
      <c r="MRT39" s="51"/>
      <c r="MRU39" s="51"/>
      <c r="MRV39" s="51"/>
      <c r="MRW39" s="51"/>
      <c r="MRX39" s="51"/>
      <c r="MRY39" s="51"/>
      <c r="MRZ39" s="51"/>
      <c r="MSA39" s="51"/>
      <c r="MSB39" s="51"/>
      <c r="MSC39" s="51"/>
      <c r="MSD39" s="51"/>
      <c r="MSE39" s="51"/>
      <c r="MSF39" s="51"/>
      <c r="MSG39" s="51"/>
      <c r="MSH39" s="51"/>
      <c r="MSI39" s="51"/>
      <c r="MSJ39" s="51"/>
      <c r="MSK39" s="51"/>
      <c r="MSL39" s="51"/>
      <c r="MSM39" s="51"/>
      <c r="MSN39" s="51"/>
      <c r="MSO39" s="51"/>
      <c r="MSP39" s="51"/>
      <c r="MSQ39" s="51"/>
      <c r="MSR39" s="51"/>
      <c r="MSS39" s="51"/>
      <c r="MST39" s="51"/>
      <c r="MSU39" s="51"/>
      <c r="MSV39" s="51"/>
      <c r="MSW39" s="51"/>
      <c r="MSX39" s="51"/>
      <c r="MSY39" s="51"/>
      <c r="MSZ39" s="51"/>
      <c r="MTA39" s="51"/>
      <c r="MTB39" s="51"/>
      <c r="MTC39" s="51"/>
      <c r="MTD39" s="51"/>
      <c r="MTE39" s="51"/>
      <c r="MTF39" s="51"/>
      <c r="MTG39" s="51"/>
      <c r="MTH39" s="51"/>
      <c r="MTI39" s="51"/>
      <c r="MTJ39" s="51"/>
      <c r="MTK39" s="51"/>
      <c r="MTL39" s="51"/>
      <c r="MTM39" s="51"/>
      <c r="MTN39" s="51"/>
      <c r="MTO39" s="51"/>
      <c r="MTP39" s="51"/>
      <c r="MTQ39" s="51"/>
      <c r="MTR39" s="51"/>
      <c r="MTS39" s="51"/>
      <c r="MTT39" s="51"/>
      <c r="MTU39" s="51"/>
      <c r="MTV39" s="51"/>
      <c r="MTW39" s="51"/>
      <c r="MTX39" s="51"/>
      <c r="MTY39" s="51"/>
      <c r="MTZ39" s="51"/>
      <c r="MUA39" s="51"/>
      <c r="MUB39" s="51"/>
      <c r="MUC39" s="51"/>
      <c r="MUD39" s="51"/>
      <c r="MUE39" s="51"/>
      <c r="MUF39" s="51"/>
      <c r="MUG39" s="51"/>
      <c r="MUH39" s="51"/>
      <c r="MUI39" s="51"/>
      <c r="MUJ39" s="51"/>
      <c r="MUK39" s="51"/>
      <c r="MUL39" s="51"/>
      <c r="MUM39" s="51"/>
      <c r="MUN39" s="51"/>
      <c r="MUO39" s="51"/>
      <c r="MUP39" s="51"/>
      <c r="MUQ39" s="51"/>
      <c r="MUR39" s="51"/>
      <c r="MUS39" s="51"/>
      <c r="MUT39" s="51"/>
      <c r="MUU39" s="51"/>
      <c r="MUV39" s="51"/>
      <c r="MUW39" s="51"/>
      <c r="MUX39" s="51"/>
      <c r="MUY39" s="51"/>
      <c r="MUZ39" s="51"/>
      <c r="MVA39" s="51"/>
      <c r="MVB39" s="51"/>
      <c r="MVC39" s="51"/>
      <c r="MVD39" s="51"/>
      <c r="MVE39" s="51"/>
      <c r="MVF39" s="51"/>
      <c r="MVG39" s="51"/>
      <c r="MVH39" s="51"/>
      <c r="MVI39" s="51"/>
      <c r="MVJ39" s="51"/>
      <c r="MVK39" s="51"/>
      <c r="MVL39" s="51"/>
      <c r="MVM39" s="51"/>
      <c r="MVN39" s="51"/>
      <c r="MVO39" s="51"/>
      <c r="MVP39" s="51"/>
      <c r="MVQ39" s="51"/>
      <c r="MVR39" s="51"/>
      <c r="MVS39" s="51"/>
      <c r="MVT39" s="51"/>
      <c r="MVU39" s="51"/>
      <c r="MVV39" s="51"/>
      <c r="MVW39" s="51"/>
      <c r="MVX39" s="51"/>
      <c r="MVY39" s="51"/>
      <c r="MVZ39" s="51"/>
      <c r="MWA39" s="51"/>
      <c r="MWB39" s="51"/>
      <c r="MWC39" s="51"/>
      <c r="MWD39" s="51"/>
      <c r="MWE39" s="51"/>
      <c r="MWF39" s="51"/>
      <c r="MWG39" s="51"/>
      <c r="MWH39" s="51"/>
      <c r="MWI39" s="51"/>
      <c r="MWJ39" s="51"/>
      <c r="MWK39" s="51"/>
      <c r="MWL39" s="51"/>
      <c r="MWM39" s="51"/>
      <c r="MWN39" s="51"/>
      <c r="MWO39" s="51"/>
      <c r="MWP39" s="51"/>
      <c r="MWQ39" s="51"/>
      <c r="MWR39" s="51"/>
      <c r="MWS39" s="51"/>
      <c r="MWT39" s="51"/>
      <c r="MWU39" s="51"/>
      <c r="MWV39" s="51"/>
      <c r="MWW39" s="51"/>
      <c r="MWX39" s="51"/>
      <c r="MWY39" s="51"/>
      <c r="MWZ39" s="51"/>
      <c r="MXA39" s="51"/>
      <c r="MXB39" s="51"/>
      <c r="MXC39" s="51"/>
      <c r="MXD39" s="51"/>
      <c r="MXE39" s="51"/>
      <c r="MXF39" s="51"/>
      <c r="MXG39" s="51"/>
      <c r="MXH39" s="51"/>
      <c r="MXI39" s="51"/>
      <c r="MXJ39" s="51"/>
      <c r="MXK39" s="51"/>
      <c r="MXL39" s="51"/>
      <c r="MXM39" s="51"/>
      <c r="MXN39" s="51"/>
      <c r="MXO39" s="51"/>
      <c r="MXP39" s="51"/>
      <c r="MXQ39" s="51"/>
      <c r="MXR39" s="51"/>
      <c r="MXS39" s="51"/>
      <c r="MXT39" s="51"/>
      <c r="MXU39" s="51"/>
      <c r="MXV39" s="51"/>
      <c r="MXW39" s="51"/>
      <c r="MXX39" s="51"/>
      <c r="MXY39" s="51"/>
      <c r="MXZ39" s="51"/>
      <c r="MYA39" s="51"/>
      <c r="MYB39" s="51"/>
      <c r="MYC39" s="51"/>
      <c r="MYD39" s="51"/>
      <c r="MYE39" s="51"/>
      <c r="MYF39" s="51"/>
      <c r="MYG39" s="51"/>
      <c r="MYH39" s="51"/>
      <c r="MYI39" s="51"/>
      <c r="MYJ39" s="51"/>
      <c r="MYK39" s="51"/>
      <c r="MYL39" s="51"/>
      <c r="MYM39" s="51"/>
      <c r="MYN39" s="51"/>
      <c r="MYO39" s="51"/>
      <c r="MYP39" s="51"/>
      <c r="MYQ39" s="51"/>
      <c r="MYR39" s="51"/>
      <c r="MYS39" s="51"/>
      <c r="MYT39" s="51"/>
      <c r="MYU39" s="51"/>
      <c r="MYV39" s="51"/>
      <c r="MYW39" s="51"/>
      <c r="MYX39" s="51"/>
      <c r="MYY39" s="51"/>
      <c r="MYZ39" s="51"/>
      <c r="MZA39" s="51"/>
      <c r="MZB39" s="51"/>
      <c r="MZC39" s="51"/>
      <c r="MZD39" s="51"/>
      <c r="MZE39" s="51"/>
      <c r="MZF39" s="51"/>
      <c r="MZG39" s="51"/>
      <c r="MZH39" s="51"/>
      <c r="MZI39" s="51"/>
      <c r="MZJ39" s="51"/>
      <c r="MZK39" s="51"/>
      <c r="MZL39" s="51"/>
      <c r="MZM39" s="51"/>
      <c r="MZN39" s="51"/>
      <c r="MZO39" s="51"/>
      <c r="MZP39" s="51"/>
      <c r="MZQ39" s="51"/>
      <c r="MZR39" s="51"/>
      <c r="MZS39" s="51"/>
      <c r="MZT39" s="51"/>
      <c r="MZU39" s="51"/>
      <c r="MZV39" s="51"/>
      <c r="MZW39" s="51"/>
      <c r="MZX39" s="51"/>
      <c r="MZY39" s="51"/>
      <c r="MZZ39" s="51"/>
      <c r="NAA39" s="51"/>
      <c r="NAB39" s="51"/>
      <c r="NAC39" s="51"/>
      <c r="NAD39" s="51"/>
      <c r="NAE39" s="51"/>
      <c r="NAF39" s="51"/>
      <c r="NAG39" s="51"/>
      <c r="NAH39" s="51"/>
      <c r="NAI39" s="51"/>
      <c r="NAJ39" s="51"/>
      <c r="NAK39" s="51"/>
      <c r="NAL39" s="51"/>
      <c r="NAM39" s="51"/>
      <c r="NAN39" s="51"/>
      <c r="NAO39" s="51"/>
      <c r="NAP39" s="51"/>
      <c r="NAQ39" s="51"/>
      <c r="NAR39" s="51"/>
      <c r="NAS39" s="51"/>
      <c r="NAT39" s="51"/>
      <c r="NAU39" s="51"/>
      <c r="NAV39" s="51"/>
      <c r="NAW39" s="51"/>
      <c r="NAX39" s="51"/>
      <c r="NAY39" s="51"/>
      <c r="NAZ39" s="51"/>
      <c r="NBA39" s="51"/>
      <c r="NBB39" s="51"/>
      <c r="NBC39" s="51"/>
      <c r="NBD39" s="51"/>
      <c r="NBE39" s="51"/>
      <c r="NBF39" s="51"/>
      <c r="NBG39" s="51"/>
      <c r="NBH39" s="51"/>
      <c r="NBI39" s="51"/>
      <c r="NBJ39" s="51"/>
      <c r="NBK39" s="51"/>
      <c r="NBL39" s="51"/>
      <c r="NBM39" s="51"/>
      <c r="NBN39" s="51"/>
      <c r="NBO39" s="51"/>
      <c r="NBP39" s="51"/>
      <c r="NBQ39" s="51"/>
      <c r="NBR39" s="51"/>
      <c r="NBS39" s="51"/>
      <c r="NBT39" s="51"/>
      <c r="NBU39" s="51"/>
      <c r="NBV39" s="51"/>
      <c r="NBW39" s="51"/>
      <c r="NBX39" s="51"/>
      <c r="NBY39" s="51"/>
      <c r="NBZ39" s="51"/>
      <c r="NCA39" s="51"/>
      <c r="NCB39" s="51"/>
      <c r="NCC39" s="51"/>
      <c r="NCD39" s="51"/>
      <c r="NCE39" s="51"/>
      <c r="NCF39" s="51"/>
      <c r="NCG39" s="51"/>
      <c r="NCH39" s="51"/>
      <c r="NCI39" s="51"/>
      <c r="NCJ39" s="51"/>
      <c r="NCK39" s="51"/>
      <c r="NCL39" s="51"/>
      <c r="NCM39" s="51"/>
      <c r="NCN39" s="51"/>
      <c r="NCO39" s="51"/>
      <c r="NCP39" s="51"/>
      <c r="NCQ39" s="51"/>
      <c r="NCR39" s="51"/>
      <c r="NCS39" s="51"/>
      <c r="NCT39" s="51"/>
      <c r="NCU39" s="51"/>
      <c r="NCV39" s="51"/>
      <c r="NCW39" s="51"/>
      <c r="NCX39" s="51"/>
      <c r="NCY39" s="51"/>
      <c r="NCZ39" s="51"/>
      <c r="NDA39" s="51"/>
      <c r="NDB39" s="51"/>
      <c r="NDC39" s="51"/>
      <c r="NDD39" s="51"/>
      <c r="NDE39" s="51"/>
      <c r="NDF39" s="51"/>
      <c r="NDG39" s="51"/>
      <c r="NDH39" s="51"/>
      <c r="NDI39" s="51"/>
      <c r="NDJ39" s="51"/>
      <c r="NDK39" s="51"/>
      <c r="NDL39" s="51"/>
      <c r="NDM39" s="51"/>
      <c r="NDN39" s="51"/>
      <c r="NDO39" s="51"/>
      <c r="NDP39" s="51"/>
      <c r="NDQ39" s="51"/>
      <c r="NDR39" s="51"/>
      <c r="NDS39" s="51"/>
      <c r="NDT39" s="51"/>
      <c r="NDU39" s="51"/>
      <c r="NDV39" s="51"/>
      <c r="NDW39" s="51"/>
      <c r="NDX39" s="51"/>
      <c r="NDY39" s="51"/>
      <c r="NDZ39" s="51"/>
      <c r="NEA39" s="51"/>
      <c r="NEB39" s="51"/>
      <c r="NEC39" s="51"/>
      <c r="NED39" s="51"/>
      <c r="NEE39" s="51"/>
      <c r="NEF39" s="51"/>
      <c r="NEG39" s="51"/>
      <c r="NEH39" s="51"/>
      <c r="NEI39" s="51"/>
      <c r="NEJ39" s="51"/>
      <c r="NEK39" s="51"/>
      <c r="NEL39" s="51"/>
      <c r="NEM39" s="51"/>
      <c r="NEN39" s="51"/>
      <c r="NEO39" s="51"/>
      <c r="NEP39" s="51"/>
      <c r="NEQ39" s="51"/>
      <c r="NER39" s="51"/>
      <c r="NES39" s="51"/>
      <c r="NET39" s="51"/>
      <c r="NEU39" s="51"/>
      <c r="NEV39" s="51"/>
      <c r="NEW39" s="51"/>
      <c r="NEX39" s="51"/>
      <c r="NEY39" s="51"/>
      <c r="NEZ39" s="51"/>
      <c r="NFA39" s="51"/>
      <c r="NFB39" s="51"/>
      <c r="NFC39" s="51"/>
      <c r="NFD39" s="51"/>
      <c r="NFE39" s="51"/>
      <c r="NFF39" s="51"/>
      <c r="NFG39" s="51"/>
      <c r="NFH39" s="51"/>
      <c r="NFI39" s="51"/>
      <c r="NFJ39" s="51"/>
      <c r="NFK39" s="51"/>
      <c r="NFL39" s="51"/>
      <c r="NFM39" s="51"/>
      <c r="NFN39" s="51"/>
      <c r="NFO39" s="51"/>
      <c r="NFP39" s="51"/>
      <c r="NFQ39" s="51"/>
      <c r="NFR39" s="51"/>
      <c r="NFS39" s="51"/>
      <c r="NFT39" s="51"/>
      <c r="NFU39" s="51"/>
      <c r="NFV39" s="51"/>
      <c r="NFW39" s="51"/>
      <c r="NFX39" s="51"/>
      <c r="NFY39" s="51"/>
      <c r="NFZ39" s="51"/>
      <c r="NGA39" s="51"/>
      <c r="NGB39" s="51"/>
      <c r="NGC39" s="51"/>
      <c r="NGD39" s="51"/>
      <c r="NGE39" s="51"/>
      <c r="NGF39" s="51"/>
      <c r="NGG39" s="51"/>
      <c r="NGH39" s="51"/>
      <c r="NGI39" s="51"/>
      <c r="NGJ39" s="51"/>
      <c r="NGK39" s="51"/>
      <c r="NGL39" s="51"/>
      <c r="NGM39" s="51"/>
      <c r="NGN39" s="51"/>
      <c r="NGO39" s="51"/>
      <c r="NGP39" s="51"/>
      <c r="NGQ39" s="51"/>
      <c r="NGR39" s="51"/>
      <c r="NGS39" s="51"/>
      <c r="NGT39" s="51"/>
      <c r="NGU39" s="51"/>
      <c r="NGV39" s="51"/>
      <c r="NGW39" s="51"/>
      <c r="NGX39" s="51"/>
      <c r="NGY39" s="51"/>
      <c r="NGZ39" s="51"/>
      <c r="NHA39" s="51"/>
      <c r="NHB39" s="51"/>
      <c r="NHC39" s="51"/>
      <c r="NHD39" s="51"/>
      <c r="NHE39" s="51"/>
      <c r="NHF39" s="51"/>
      <c r="NHG39" s="51"/>
      <c r="NHH39" s="51"/>
      <c r="NHI39" s="51"/>
      <c r="NHJ39" s="51"/>
      <c r="NHK39" s="51"/>
      <c r="NHL39" s="51"/>
      <c r="NHM39" s="51"/>
      <c r="NHN39" s="51"/>
      <c r="NHO39" s="51"/>
      <c r="NHP39" s="51"/>
      <c r="NHQ39" s="51"/>
      <c r="NHR39" s="51"/>
      <c r="NHS39" s="51"/>
      <c r="NHT39" s="51"/>
      <c r="NHU39" s="51"/>
      <c r="NHV39" s="51"/>
      <c r="NHW39" s="51"/>
      <c r="NHX39" s="51"/>
      <c r="NHY39" s="51"/>
      <c r="NHZ39" s="51"/>
      <c r="NIA39" s="51"/>
      <c r="NIB39" s="51"/>
      <c r="NIC39" s="51"/>
      <c r="NID39" s="51"/>
      <c r="NIE39" s="51"/>
      <c r="NIF39" s="51"/>
      <c r="NIG39" s="51"/>
      <c r="NIH39" s="51"/>
      <c r="NII39" s="51"/>
      <c r="NIJ39" s="51"/>
      <c r="NIK39" s="51"/>
      <c r="NIL39" s="51"/>
      <c r="NIM39" s="51"/>
      <c r="NIN39" s="51"/>
      <c r="NIO39" s="51"/>
      <c r="NIP39" s="51"/>
      <c r="NIQ39" s="51"/>
      <c r="NIR39" s="51"/>
      <c r="NIS39" s="51"/>
      <c r="NIT39" s="51"/>
      <c r="NIU39" s="51"/>
      <c r="NIV39" s="51"/>
      <c r="NIW39" s="51"/>
      <c r="NIX39" s="51"/>
      <c r="NIY39" s="51"/>
      <c r="NIZ39" s="51"/>
      <c r="NJA39" s="51"/>
      <c r="NJB39" s="51"/>
      <c r="NJC39" s="51"/>
      <c r="NJD39" s="51"/>
      <c r="NJE39" s="51"/>
      <c r="NJF39" s="51"/>
      <c r="NJG39" s="51"/>
      <c r="NJH39" s="51"/>
      <c r="NJI39" s="51"/>
      <c r="NJJ39" s="51"/>
      <c r="NJK39" s="51"/>
      <c r="NJL39" s="51"/>
      <c r="NJM39" s="51"/>
      <c r="NJN39" s="51"/>
      <c r="NJO39" s="51"/>
      <c r="NJP39" s="51"/>
      <c r="NJQ39" s="51"/>
      <c r="NJR39" s="51"/>
      <c r="NJS39" s="51"/>
      <c r="NJT39" s="51"/>
      <c r="NJU39" s="51"/>
      <c r="NJV39" s="51"/>
      <c r="NJW39" s="51"/>
      <c r="NJX39" s="51"/>
      <c r="NJY39" s="51"/>
      <c r="NJZ39" s="51"/>
      <c r="NKA39" s="51"/>
      <c r="NKB39" s="51"/>
      <c r="NKC39" s="51"/>
      <c r="NKD39" s="51"/>
      <c r="NKE39" s="51"/>
      <c r="NKF39" s="51"/>
      <c r="NKG39" s="51"/>
      <c r="NKH39" s="51"/>
      <c r="NKI39" s="51"/>
      <c r="NKJ39" s="51"/>
      <c r="NKK39" s="51"/>
      <c r="NKL39" s="51"/>
      <c r="NKM39" s="51"/>
      <c r="NKN39" s="51"/>
      <c r="NKO39" s="51"/>
      <c r="NKP39" s="51"/>
      <c r="NKQ39" s="51"/>
      <c r="NKR39" s="51"/>
      <c r="NKS39" s="51"/>
      <c r="NKT39" s="51"/>
      <c r="NKU39" s="51"/>
      <c r="NKV39" s="51"/>
      <c r="NKW39" s="51"/>
      <c r="NKX39" s="51"/>
      <c r="NKY39" s="51"/>
      <c r="NKZ39" s="51"/>
      <c r="NLA39" s="51"/>
      <c r="NLB39" s="51"/>
      <c r="NLC39" s="51"/>
      <c r="NLD39" s="51"/>
      <c r="NLE39" s="51"/>
      <c r="NLF39" s="51"/>
      <c r="NLG39" s="51"/>
      <c r="NLH39" s="51"/>
      <c r="NLI39" s="51"/>
      <c r="NLJ39" s="51"/>
      <c r="NLK39" s="51"/>
      <c r="NLL39" s="51"/>
      <c r="NLM39" s="51"/>
      <c r="NLN39" s="51"/>
      <c r="NLO39" s="51"/>
      <c r="NLP39" s="51"/>
      <c r="NLQ39" s="51"/>
      <c r="NLR39" s="51"/>
      <c r="NLS39" s="51"/>
      <c r="NLT39" s="51"/>
      <c r="NLU39" s="51"/>
      <c r="NLV39" s="51"/>
      <c r="NLW39" s="51"/>
      <c r="NLX39" s="51"/>
      <c r="NLY39" s="51"/>
      <c r="NLZ39" s="51"/>
      <c r="NMA39" s="51"/>
      <c r="NMB39" s="51"/>
      <c r="NMC39" s="51"/>
      <c r="NMD39" s="51"/>
      <c r="NME39" s="51"/>
      <c r="NMF39" s="51"/>
      <c r="NMG39" s="51"/>
      <c r="NMH39" s="51"/>
      <c r="NMI39" s="51"/>
      <c r="NMJ39" s="51"/>
      <c r="NMK39" s="51"/>
      <c r="NML39" s="51"/>
      <c r="NMM39" s="51"/>
      <c r="NMN39" s="51"/>
      <c r="NMO39" s="51"/>
      <c r="NMP39" s="51"/>
      <c r="NMQ39" s="51"/>
      <c r="NMR39" s="51"/>
      <c r="NMS39" s="51"/>
      <c r="NMT39" s="51"/>
      <c r="NMU39" s="51"/>
      <c r="NMV39" s="51"/>
      <c r="NMW39" s="51"/>
      <c r="NMX39" s="51"/>
      <c r="NMY39" s="51"/>
      <c r="NMZ39" s="51"/>
      <c r="NNA39" s="51"/>
      <c r="NNB39" s="51"/>
      <c r="NNC39" s="51"/>
      <c r="NND39" s="51"/>
      <c r="NNE39" s="51"/>
      <c r="NNF39" s="51"/>
      <c r="NNG39" s="51"/>
      <c r="NNH39" s="51"/>
      <c r="NNI39" s="51"/>
      <c r="NNJ39" s="51"/>
      <c r="NNK39" s="51"/>
      <c r="NNL39" s="51"/>
      <c r="NNM39" s="51"/>
      <c r="NNN39" s="51"/>
      <c r="NNO39" s="51"/>
      <c r="NNP39" s="51"/>
      <c r="NNQ39" s="51"/>
      <c r="NNR39" s="51"/>
      <c r="NNS39" s="51"/>
      <c r="NNT39" s="51"/>
      <c r="NNU39" s="51"/>
      <c r="NNV39" s="51"/>
      <c r="NNW39" s="51"/>
      <c r="NNX39" s="51"/>
      <c r="NNY39" s="51"/>
      <c r="NNZ39" s="51"/>
      <c r="NOA39" s="51"/>
      <c r="NOB39" s="51"/>
      <c r="NOC39" s="51"/>
      <c r="NOD39" s="51"/>
      <c r="NOE39" s="51"/>
      <c r="NOF39" s="51"/>
      <c r="NOG39" s="51"/>
      <c r="NOH39" s="51"/>
      <c r="NOI39" s="51"/>
      <c r="NOJ39" s="51"/>
      <c r="NOK39" s="51"/>
      <c r="NOL39" s="51"/>
      <c r="NOM39" s="51"/>
      <c r="NON39" s="51"/>
      <c r="NOO39" s="51"/>
      <c r="NOP39" s="51"/>
      <c r="NOQ39" s="51"/>
      <c r="NOR39" s="51"/>
      <c r="NOS39" s="51"/>
      <c r="NOT39" s="51"/>
      <c r="NOU39" s="51"/>
      <c r="NOV39" s="51"/>
      <c r="NOW39" s="51"/>
      <c r="NOX39" s="51"/>
      <c r="NOY39" s="51"/>
      <c r="NOZ39" s="51"/>
      <c r="NPA39" s="51"/>
      <c r="NPB39" s="51"/>
      <c r="NPC39" s="51"/>
      <c r="NPD39" s="51"/>
      <c r="NPE39" s="51"/>
      <c r="NPF39" s="51"/>
      <c r="NPG39" s="51"/>
      <c r="NPH39" s="51"/>
      <c r="NPI39" s="51"/>
      <c r="NPJ39" s="51"/>
      <c r="NPK39" s="51"/>
      <c r="NPL39" s="51"/>
      <c r="NPM39" s="51"/>
      <c r="NPN39" s="51"/>
      <c r="NPO39" s="51"/>
      <c r="NPP39" s="51"/>
      <c r="NPQ39" s="51"/>
      <c r="NPR39" s="51"/>
      <c r="NPS39" s="51"/>
      <c r="NPT39" s="51"/>
      <c r="NPU39" s="51"/>
      <c r="NPV39" s="51"/>
      <c r="NPW39" s="51"/>
      <c r="NPX39" s="51"/>
      <c r="NPY39" s="51"/>
      <c r="NPZ39" s="51"/>
      <c r="NQA39" s="51"/>
      <c r="NQB39" s="51"/>
      <c r="NQC39" s="51"/>
      <c r="NQD39" s="51"/>
      <c r="NQE39" s="51"/>
      <c r="NQF39" s="51"/>
      <c r="NQG39" s="51"/>
      <c r="NQH39" s="51"/>
      <c r="NQI39" s="51"/>
      <c r="NQJ39" s="51"/>
      <c r="NQK39" s="51"/>
      <c r="NQL39" s="51"/>
      <c r="NQM39" s="51"/>
      <c r="NQN39" s="51"/>
      <c r="NQO39" s="51"/>
      <c r="NQP39" s="51"/>
      <c r="NQQ39" s="51"/>
      <c r="NQR39" s="51"/>
      <c r="NQS39" s="51"/>
      <c r="NQT39" s="51"/>
      <c r="NQU39" s="51"/>
      <c r="NQV39" s="51"/>
      <c r="NQW39" s="51"/>
      <c r="NQX39" s="51"/>
      <c r="NQY39" s="51"/>
      <c r="NQZ39" s="51"/>
      <c r="NRA39" s="51"/>
      <c r="NRB39" s="51"/>
      <c r="NRC39" s="51"/>
      <c r="NRD39" s="51"/>
      <c r="NRE39" s="51"/>
      <c r="NRF39" s="51"/>
      <c r="NRG39" s="51"/>
      <c r="NRH39" s="51"/>
      <c r="NRI39" s="51"/>
      <c r="NRJ39" s="51"/>
      <c r="NRK39" s="51"/>
      <c r="NRL39" s="51"/>
      <c r="NRM39" s="51"/>
      <c r="NRN39" s="51"/>
      <c r="NRO39" s="51"/>
      <c r="NRP39" s="51"/>
      <c r="NRQ39" s="51"/>
      <c r="NRR39" s="51"/>
      <c r="NRS39" s="51"/>
      <c r="NRT39" s="51"/>
      <c r="NRU39" s="51"/>
      <c r="NRV39" s="51"/>
      <c r="NRW39" s="51"/>
      <c r="NRX39" s="51"/>
      <c r="NRY39" s="51"/>
      <c r="NRZ39" s="51"/>
      <c r="NSA39" s="51"/>
      <c r="NSB39" s="51"/>
      <c r="NSC39" s="51"/>
      <c r="NSD39" s="51"/>
      <c r="NSE39" s="51"/>
      <c r="NSF39" s="51"/>
      <c r="NSG39" s="51"/>
      <c r="NSH39" s="51"/>
      <c r="NSI39" s="51"/>
      <c r="NSJ39" s="51"/>
      <c r="NSK39" s="51"/>
      <c r="NSL39" s="51"/>
      <c r="NSM39" s="51"/>
      <c r="NSN39" s="51"/>
      <c r="NSO39" s="51"/>
      <c r="NSP39" s="51"/>
      <c r="NSQ39" s="51"/>
      <c r="NSR39" s="51"/>
      <c r="NSS39" s="51"/>
      <c r="NST39" s="51"/>
      <c r="NSU39" s="51"/>
      <c r="NSV39" s="51"/>
      <c r="NSW39" s="51"/>
      <c r="NSX39" s="51"/>
      <c r="NSY39" s="51"/>
      <c r="NSZ39" s="51"/>
      <c r="NTA39" s="51"/>
      <c r="NTB39" s="51"/>
      <c r="NTC39" s="51"/>
      <c r="NTD39" s="51"/>
      <c r="NTE39" s="51"/>
      <c r="NTF39" s="51"/>
      <c r="NTG39" s="51"/>
      <c r="NTH39" s="51"/>
      <c r="NTI39" s="51"/>
      <c r="NTJ39" s="51"/>
      <c r="NTK39" s="51"/>
      <c r="NTL39" s="51"/>
      <c r="NTM39" s="51"/>
      <c r="NTN39" s="51"/>
      <c r="NTO39" s="51"/>
      <c r="NTP39" s="51"/>
      <c r="NTQ39" s="51"/>
      <c r="NTR39" s="51"/>
      <c r="NTS39" s="51"/>
      <c r="NTT39" s="51"/>
      <c r="NTU39" s="51"/>
      <c r="NTV39" s="51"/>
      <c r="NTW39" s="51"/>
      <c r="NTX39" s="51"/>
      <c r="NTY39" s="51"/>
      <c r="NTZ39" s="51"/>
      <c r="NUA39" s="51"/>
      <c r="NUB39" s="51"/>
      <c r="NUC39" s="51"/>
      <c r="NUD39" s="51"/>
      <c r="NUE39" s="51"/>
      <c r="NUF39" s="51"/>
      <c r="NUG39" s="51"/>
      <c r="NUH39" s="51"/>
      <c r="NUI39" s="51"/>
      <c r="NUJ39" s="51"/>
      <c r="NUK39" s="51"/>
      <c r="NUL39" s="51"/>
      <c r="NUM39" s="51"/>
      <c r="NUN39" s="51"/>
      <c r="NUO39" s="51"/>
      <c r="NUP39" s="51"/>
      <c r="NUQ39" s="51"/>
      <c r="NUR39" s="51"/>
      <c r="NUS39" s="51"/>
      <c r="NUT39" s="51"/>
      <c r="NUU39" s="51"/>
      <c r="NUV39" s="51"/>
      <c r="NUW39" s="51"/>
      <c r="NUX39" s="51"/>
      <c r="NUY39" s="51"/>
      <c r="NUZ39" s="51"/>
      <c r="NVA39" s="51"/>
      <c r="NVB39" s="51"/>
      <c r="NVC39" s="51"/>
      <c r="NVD39" s="51"/>
      <c r="NVE39" s="51"/>
      <c r="NVF39" s="51"/>
      <c r="NVG39" s="51"/>
      <c r="NVH39" s="51"/>
      <c r="NVI39" s="51"/>
      <c r="NVJ39" s="51"/>
      <c r="NVK39" s="51"/>
      <c r="NVL39" s="51"/>
      <c r="NVM39" s="51"/>
      <c r="NVN39" s="51"/>
      <c r="NVO39" s="51"/>
      <c r="NVP39" s="51"/>
      <c r="NVQ39" s="51"/>
      <c r="NVR39" s="51"/>
      <c r="NVS39" s="51"/>
      <c r="NVT39" s="51"/>
      <c r="NVU39" s="51"/>
      <c r="NVV39" s="51"/>
      <c r="NVW39" s="51"/>
      <c r="NVX39" s="51"/>
      <c r="NVY39" s="51"/>
      <c r="NVZ39" s="51"/>
      <c r="NWA39" s="51"/>
      <c r="NWB39" s="51"/>
      <c r="NWC39" s="51"/>
      <c r="NWD39" s="51"/>
      <c r="NWE39" s="51"/>
      <c r="NWF39" s="51"/>
      <c r="NWG39" s="51"/>
      <c r="NWH39" s="51"/>
      <c r="NWI39" s="51"/>
      <c r="NWJ39" s="51"/>
      <c r="NWK39" s="51"/>
      <c r="NWL39" s="51"/>
      <c r="NWM39" s="51"/>
      <c r="NWN39" s="51"/>
      <c r="NWO39" s="51"/>
      <c r="NWP39" s="51"/>
      <c r="NWQ39" s="51"/>
      <c r="NWR39" s="51"/>
      <c r="NWS39" s="51"/>
      <c r="NWT39" s="51"/>
      <c r="NWU39" s="51"/>
      <c r="NWV39" s="51"/>
      <c r="NWW39" s="51"/>
      <c r="NWX39" s="51"/>
      <c r="NWY39" s="51"/>
      <c r="NWZ39" s="51"/>
      <c r="NXA39" s="51"/>
      <c r="NXB39" s="51"/>
      <c r="NXC39" s="51"/>
      <c r="NXD39" s="51"/>
      <c r="NXE39" s="51"/>
      <c r="NXF39" s="51"/>
      <c r="NXG39" s="51"/>
      <c r="NXH39" s="51"/>
      <c r="NXI39" s="51"/>
      <c r="NXJ39" s="51"/>
      <c r="NXK39" s="51"/>
      <c r="NXL39" s="51"/>
      <c r="NXM39" s="51"/>
      <c r="NXN39" s="51"/>
      <c r="NXO39" s="51"/>
      <c r="NXP39" s="51"/>
      <c r="NXQ39" s="51"/>
      <c r="NXR39" s="51"/>
      <c r="NXS39" s="51"/>
      <c r="NXT39" s="51"/>
      <c r="NXU39" s="51"/>
      <c r="NXV39" s="51"/>
      <c r="NXW39" s="51"/>
      <c r="NXX39" s="51"/>
      <c r="NXY39" s="51"/>
      <c r="NXZ39" s="51"/>
      <c r="NYA39" s="51"/>
      <c r="NYB39" s="51"/>
      <c r="NYC39" s="51"/>
      <c r="NYD39" s="51"/>
      <c r="NYE39" s="51"/>
      <c r="NYF39" s="51"/>
      <c r="NYG39" s="51"/>
      <c r="NYH39" s="51"/>
      <c r="NYI39" s="51"/>
      <c r="NYJ39" s="51"/>
      <c r="NYK39" s="51"/>
      <c r="NYL39" s="51"/>
      <c r="NYM39" s="51"/>
      <c r="NYN39" s="51"/>
      <c r="NYO39" s="51"/>
      <c r="NYP39" s="51"/>
      <c r="NYQ39" s="51"/>
      <c r="NYR39" s="51"/>
      <c r="NYS39" s="51"/>
      <c r="NYT39" s="51"/>
      <c r="NYU39" s="51"/>
      <c r="NYV39" s="51"/>
      <c r="NYW39" s="51"/>
      <c r="NYX39" s="51"/>
      <c r="NYY39" s="51"/>
      <c r="NYZ39" s="51"/>
      <c r="NZA39" s="51"/>
      <c r="NZB39" s="51"/>
      <c r="NZC39" s="51"/>
      <c r="NZD39" s="51"/>
      <c r="NZE39" s="51"/>
      <c r="NZF39" s="51"/>
      <c r="NZG39" s="51"/>
      <c r="NZH39" s="51"/>
      <c r="NZI39" s="51"/>
      <c r="NZJ39" s="51"/>
      <c r="NZK39" s="51"/>
      <c r="NZL39" s="51"/>
      <c r="NZM39" s="51"/>
      <c r="NZN39" s="51"/>
      <c r="NZO39" s="51"/>
      <c r="NZP39" s="51"/>
      <c r="NZQ39" s="51"/>
      <c r="NZR39" s="51"/>
      <c r="NZS39" s="51"/>
      <c r="NZT39" s="51"/>
      <c r="NZU39" s="51"/>
      <c r="NZV39" s="51"/>
      <c r="NZW39" s="51"/>
      <c r="NZX39" s="51"/>
      <c r="NZY39" s="51"/>
      <c r="NZZ39" s="51"/>
      <c r="OAA39" s="51"/>
      <c r="OAB39" s="51"/>
      <c r="OAC39" s="51"/>
      <c r="OAD39" s="51"/>
      <c r="OAE39" s="51"/>
      <c r="OAF39" s="51"/>
      <c r="OAG39" s="51"/>
      <c r="OAH39" s="51"/>
      <c r="OAI39" s="51"/>
      <c r="OAJ39" s="51"/>
      <c r="OAK39" s="51"/>
      <c r="OAL39" s="51"/>
      <c r="OAM39" s="51"/>
      <c r="OAN39" s="51"/>
      <c r="OAO39" s="51"/>
      <c r="OAP39" s="51"/>
      <c r="OAQ39" s="51"/>
      <c r="OAR39" s="51"/>
      <c r="OAS39" s="51"/>
      <c r="OAT39" s="51"/>
      <c r="OAU39" s="51"/>
      <c r="OAV39" s="51"/>
      <c r="OAW39" s="51"/>
      <c r="OAX39" s="51"/>
      <c r="OAY39" s="51"/>
      <c r="OAZ39" s="51"/>
      <c r="OBA39" s="51"/>
      <c r="OBB39" s="51"/>
      <c r="OBC39" s="51"/>
      <c r="OBD39" s="51"/>
      <c r="OBE39" s="51"/>
      <c r="OBF39" s="51"/>
      <c r="OBG39" s="51"/>
      <c r="OBH39" s="51"/>
      <c r="OBI39" s="51"/>
      <c r="OBJ39" s="51"/>
      <c r="OBK39" s="51"/>
      <c r="OBL39" s="51"/>
      <c r="OBM39" s="51"/>
      <c r="OBN39" s="51"/>
      <c r="OBO39" s="51"/>
      <c r="OBP39" s="51"/>
      <c r="OBQ39" s="51"/>
      <c r="OBR39" s="51"/>
      <c r="OBS39" s="51"/>
      <c r="OBT39" s="51"/>
      <c r="OBU39" s="51"/>
      <c r="OBV39" s="51"/>
      <c r="OBW39" s="51"/>
      <c r="OBX39" s="51"/>
      <c r="OBY39" s="51"/>
      <c r="OBZ39" s="51"/>
      <c r="OCA39" s="51"/>
      <c r="OCB39" s="51"/>
      <c r="OCC39" s="51"/>
      <c r="OCD39" s="51"/>
      <c r="OCE39" s="51"/>
      <c r="OCF39" s="51"/>
      <c r="OCG39" s="51"/>
      <c r="OCH39" s="51"/>
      <c r="OCI39" s="51"/>
      <c r="OCJ39" s="51"/>
      <c r="OCK39" s="51"/>
      <c r="OCL39" s="51"/>
      <c r="OCM39" s="51"/>
      <c r="OCN39" s="51"/>
      <c r="OCO39" s="51"/>
      <c r="OCP39" s="51"/>
      <c r="OCQ39" s="51"/>
      <c r="OCR39" s="51"/>
      <c r="OCS39" s="51"/>
      <c r="OCT39" s="51"/>
      <c r="OCU39" s="51"/>
      <c r="OCV39" s="51"/>
      <c r="OCW39" s="51"/>
      <c r="OCX39" s="51"/>
      <c r="OCY39" s="51"/>
      <c r="OCZ39" s="51"/>
      <c r="ODA39" s="51"/>
      <c r="ODB39" s="51"/>
      <c r="ODC39" s="51"/>
      <c r="ODD39" s="51"/>
      <c r="ODE39" s="51"/>
      <c r="ODF39" s="51"/>
      <c r="ODG39" s="51"/>
      <c r="ODH39" s="51"/>
      <c r="ODI39" s="51"/>
      <c r="ODJ39" s="51"/>
      <c r="ODK39" s="51"/>
      <c r="ODL39" s="51"/>
      <c r="ODM39" s="51"/>
      <c r="ODN39" s="51"/>
      <c r="ODO39" s="51"/>
      <c r="ODP39" s="51"/>
      <c r="ODQ39" s="51"/>
      <c r="ODR39" s="51"/>
      <c r="ODS39" s="51"/>
      <c r="ODT39" s="51"/>
      <c r="ODU39" s="51"/>
      <c r="ODV39" s="51"/>
      <c r="ODW39" s="51"/>
      <c r="ODX39" s="51"/>
      <c r="ODY39" s="51"/>
      <c r="ODZ39" s="51"/>
      <c r="OEA39" s="51"/>
      <c r="OEB39" s="51"/>
      <c r="OEC39" s="51"/>
      <c r="OED39" s="51"/>
      <c r="OEE39" s="51"/>
      <c r="OEF39" s="51"/>
      <c r="OEG39" s="51"/>
      <c r="OEH39" s="51"/>
      <c r="OEI39" s="51"/>
      <c r="OEJ39" s="51"/>
      <c r="OEK39" s="51"/>
      <c r="OEL39" s="51"/>
      <c r="OEM39" s="51"/>
      <c r="OEN39" s="51"/>
      <c r="OEO39" s="51"/>
      <c r="OEP39" s="51"/>
      <c r="OEQ39" s="51"/>
      <c r="OER39" s="51"/>
      <c r="OES39" s="51"/>
      <c r="OET39" s="51"/>
      <c r="OEU39" s="51"/>
      <c r="OEV39" s="51"/>
      <c r="OEW39" s="51"/>
      <c r="OEX39" s="51"/>
      <c r="OEY39" s="51"/>
      <c r="OEZ39" s="51"/>
      <c r="OFA39" s="51"/>
      <c r="OFB39" s="51"/>
      <c r="OFC39" s="51"/>
      <c r="OFD39" s="51"/>
      <c r="OFE39" s="51"/>
      <c r="OFF39" s="51"/>
      <c r="OFG39" s="51"/>
      <c r="OFH39" s="51"/>
      <c r="OFI39" s="51"/>
      <c r="OFJ39" s="51"/>
      <c r="OFK39" s="51"/>
      <c r="OFL39" s="51"/>
      <c r="OFM39" s="51"/>
      <c r="OFN39" s="51"/>
      <c r="OFO39" s="51"/>
      <c r="OFP39" s="51"/>
      <c r="OFQ39" s="51"/>
      <c r="OFR39" s="51"/>
      <c r="OFS39" s="51"/>
      <c r="OFT39" s="51"/>
      <c r="OFU39" s="51"/>
      <c r="OFV39" s="51"/>
      <c r="OFW39" s="51"/>
      <c r="OFX39" s="51"/>
      <c r="OFY39" s="51"/>
      <c r="OFZ39" s="51"/>
      <c r="OGA39" s="51"/>
      <c r="OGB39" s="51"/>
      <c r="OGC39" s="51"/>
      <c r="OGD39" s="51"/>
      <c r="OGE39" s="51"/>
      <c r="OGF39" s="51"/>
      <c r="OGG39" s="51"/>
      <c r="OGH39" s="51"/>
      <c r="OGI39" s="51"/>
      <c r="OGJ39" s="51"/>
      <c r="OGK39" s="51"/>
      <c r="OGL39" s="51"/>
      <c r="OGM39" s="51"/>
      <c r="OGN39" s="51"/>
      <c r="OGO39" s="51"/>
      <c r="OGP39" s="51"/>
      <c r="OGQ39" s="51"/>
      <c r="OGR39" s="51"/>
      <c r="OGS39" s="51"/>
      <c r="OGT39" s="51"/>
      <c r="OGU39" s="51"/>
      <c r="OGV39" s="51"/>
      <c r="OGW39" s="51"/>
      <c r="OGX39" s="51"/>
      <c r="OGY39" s="51"/>
      <c r="OGZ39" s="51"/>
      <c r="OHA39" s="51"/>
      <c r="OHB39" s="51"/>
      <c r="OHC39" s="51"/>
      <c r="OHD39" s="51"/>
      <c r="OHE39" s="51"/>
      <c r="OHF39" s="51"/>
      <c r="OHG39" s="51"/>
      <c r="OHH39" s="51"/>
      <c r="OHI39" s="51"/>
      <c r="OHJ39" s="51"/>
      <c r="OHK39" s="51"/>
      <c r="OHL39" s="51"/>
      <c r="OHM39" s="51"/>
      <c r="OHN39" s="51"/>
      <c r="OHO39" s="51"/>
      <c r="OHP39" s="51"/>
      <c r="OHQ39" s="51"/>
      <c r="OHR39" s="51"/>
      <c r="OHS39" s="51"/>
      <c r="OHT39" s="51"/>
      <c r="OHU39" s="51"/>
      <c r="OHV39" s="51"/>
      <c r="OHW39" s="51"/>
      <c r="OHX39" s="51"/>
      <c r="OHY39" s="51"/>
      <c r="OHZ39" s="51"/>
      <c r="OIA39" s="51"/>
      <c r="OIB39" s="51"/>
      <c r="OIC39" s="51"/>
      <c r="OID39" s="51"/>
      <c r="OIE39" s="51"/>
      <c r="OIF39" s="51"/>
      <c r="OIG39" s="51"/>
      <c r="OIH39" s="51"/>
      <c r="OII39" s="51"/>
      <c r="OIJ39" s="51"/>
      <c r="OIK39" s="51"/>
      <c r="OIL39" s="51"/>
      <c r="OIM39" s="51"/>
      <c r="OIN39" s="51"/>
      <c r="OIO39" s="51"/>
      <c r="OIP39" s="51"/>
      <c r="OIQ39" s="51"/>
      <c r="OIR39" s="51"/>
      <c r="OIS39" s="51"/>
      <c r="OIT39" s="51"/>
      <c r="OIU39" s="51"/>
      <c r="OIV39" s="51"/>
      <c r="OIW39" s="51"/>
      <c r="OIX39" s="51"/>
      <c r="OIY39" s="51"/>
      <c r="OIZ39" s="51"/>
      <c r="OJA39" s="51"/>
      <c r="OJB39" s="51"/>
      <c r="OJC39" s="51"/>
      <c r="OJD39" s="51"/>
      <c r="OJE39" s="51"/>
      <c r="OJF39" s="51"/>
      <c r="OJG39" s="51"/>
      <c r="OJH39" s="51"/>
      <c r="OJI39" s="51"/>
      <c r="OJJ39" s="51"/>
      <c r="OJK39" s="51"/>
      <c r="OJL39" s="51"/>
      <c r="OJM39" s="51"/>
      <c r="OJN39" s="51"/>
      <c r="OJO39" s="51"/>
      <c r="OJP39" s="51"/>
      <c r="OJQ39" s="51"/>
      <c r="OJR39" s="51"/>
      <c r="OJS39" s="51"/>
      <c r="OJT39" s="51"/>
      <c r="OJU39" s="51"/>
      <c r="OJV39" s="51"/>
      <c r="OJW39" s="51"/>
      <c r="OJX39" s="51"/>
      <c r="OJY39" s="51"/>
      <c r="OJZ39" s="51"/>
      <c r="OKA39" s="51"/>
      <c r="OKB39" s="51"/>
      <c r="OKC39" s="51"/>
      <c r="OKD39" s="51"/>
      <c r="OKE39" s="51"/>
      <c r="OKF39" s="51"/>
      <c r="OKG39" s="51"/>
      <c r="OKH39" s="51"/>
      <c r="OKI39" s="51"/>
      <c r="OKJ39" s="51"/>
      <c r="OKK39" s="51"/>
      <c r="OKL39" s="51"/>
      <c r="OKM39" s="51"/>
      <c r="OKN39" s="51"/>
      <c r="OKO39" s="51"/>
      <c r="OKP39" s="51"/>
      <c r="OKQ39" s="51"/>
      <c r="OKR39" s="51"/>
      <c r="OKS39" s="51"/>
      <c r="OKT39" s="51"/>
      <c r="OKU39" s="51"/>
      <c r="OKV39" s="51"/>
      <c r="OKW39" s="51"/>
      <c r="OKX39" s="51"/>
      <c r="OKY39" s="51"/>
      <c r="OKZ39" s="51"/>
      <c r="OLA39" s="51"/>
      <c r="OLB39" s="51"/>
      <c r="OLC39" s="51"/>
      <c r="OLD39" s="51"/>
      <c r="OLE39" s="51"/>
      <c r="OLF39" s="51"/>
      <c r="OLG39" s="51"/>
      <c r="OLH39" s="51"/>
      <c r="OLI39" s="51"/>
      <c r="OLJ39" s="51"/>
      <c r="OLK39" s="51"/>
      <c r="OLL39" s="51"/>
      <c r="OLM39" s="51"/>
      <c r="OLN39" s="51"/>
      <c r="OLO39" s="51"/>
      <c r="OLP39" s="51"/>
      <c r="OLQ39" s="51"/>
      <c r="OLR39" s="51"/>
      <c r="OLS39" s="51"/>
      <c r="OLT39" s="51"/>
      <c r="OLU39" s="51"/>
      <c r="OLV39" s="51"/>
      <c r="OLW39" s="51"/>
      <c r="OLX39" s="51"/>
      <c r="OLY39" s="51"/>
      <c r="OLZ39" s="51"/>
      <c r="OMA39" s="51"/>
      <c r="OMB39" s="51"/>
      <c r="OMC39" s="51"/>
      <c r="OMD39" s="51"/>
      <c r="OME39" s="51"/>
      <c r="OMF39" s="51"/>
      <c r="OMG39" s="51"/>
      <c r="OMH39" s="51"/>
      <c r="OMI39" s="51"/>
      <c r="OMJ39" s="51"/>
      <c r="OMK39" s="51"/>
      <c r="OML39" s="51"/>
      <c r="OMM39" s="51"/>
      <c r="OMN39" s="51"/>
      <c r="OMO39" s="51"/>
      <c r="OMP39" s="51"/>
      <c r="OMQ39" s="51"/>
      <c r="OMR39" s="51"/>
      <c r="OMS39" s="51"/>
      <c r="OMT39" s="51"/>
      <c r="OMU39" s="51"/>
      <c r="OMV39" s="51"/>
      <c r="OMW39" s="51"/>
      <c r="OMX39" s="51"/>
      <c r="OMY39" s="51"/>
      <c r="OMZ39" s="51"/>
      <c r="ONA39" s="51"/>
      <c r="ONB39" s="51"/>
      <c r="ONC39" s="51"/>
      <c r="OND39" s="51"/>
      <c r="ONE39" s="51"/>
      <c r="ONF39" s="51"/>
      <c r="ONG39" s="51"/>
      <c r="ONH39" s="51"/>
      <c r="ONI39" s="51"/>
      <c r="ONJ39" s="51"/>
      <c r="ONK39" s="51"/>
      <c r="ONL39" s="51"/>
      <c r="ONM39" s="51"/>
      <c r="ONN39" s="51"/>
      <c r="ONO39" s="51"/>
      <c r="ONP39" s="51"/>
      <c r="ONQ39" s="51"/>
      <c r="ONR39" s="51"/>
      <c r="ONS39" s="51"/>
      <c r="ONT39" s="51"/>
      <c r="ONU39" s="51"/>
      <c r="ONV39" s="51"/>
      <c r="ONW39" s="51"/>
      <c r="ONX39" s="51"/>
      <c r="ONY39" s="51"/>
      <c r="ONZ39" s="51"/>
      <c r="OOA39" s="51"/>
      <c r="OOB39" s="51"/>
      <c r="OOC39" s="51"/>
      <c r="OOD39" s="51"/>
      <c r="OOE39" s="51"/>
      <c r="OOF39" s="51"/>
      <c r="OOG39" s="51"/>
      <c r="OOH39" s="51"/>
      <c r="OOI39" s="51"/>
      <c r="OOJ39" s="51"/>
      <c r="OOK39" s="51"/>
      <c r="OOL39" s="51"/>
      <c r="OOM39" s="51"/>
      <c r="OON39" s="51"/>
      <c r="OOO39" s="51"/>
      <c r="OOP39" s="51"/>
      <c r="OOQ39" s="51"/>
      <c r="OOR39" s="51"/>
      <c r="OOS39" s="51"/>
      <c r="OOT39" s="51"/>
      <c r="OOU39" s="51"/>
      <c r="OOV39" s="51"/>
      <c r="OOW39" s="51"/>
      <c r="OOX39" s="51"/>
      <c r="OOY39" s="51"/>
      <c r="OOZ39" s="51"/>
      <c r="OPA39" s="51"/>
      <c r="OPB39" s="51"/>
      <c r="OPC39" s="51"/>
      <c r="OPD39" s="51"/>
      <c r="OPE39" s="51"/>
      <c r="OPF39" s="51"/>
      <c r="OPG39" s="51"/>
      <c r="OPH39" s="51"/>
      <c r="OPI39" s="51"/>
      <c r="OPJ39" s="51"/>
      <c r="OPK39" s="51"/>
      <c r="OPL39" s="51"/>
      <c r="OPM39" s="51"/>
      <c r="OPN39" s="51"/>
      <c r="OPO39" s="51"/>
      <c r="OPP39" s="51"/>
      <c r="OPQ39" s="51"/>
      <c r="OPR39" s="51"/>
      <c r="OPS39" s="51"/>
      <c r="OPT39" s="51"/>
      <c r="OPU39" s="51"/>
      <c r="OPV39" s="51"/>
      <c r="OPW39" s="51"/>
      <c r="OPX39" s="51"/>
      <c r="OPY39" s="51"/>
      <c r="OPZ39" s="51"/>
      <c r="OQA39" s="51"/>
      <c r="OQB39" s="51"/>
      <c r="OQC39" s="51"/>
      <c r="OQD39" s="51"/>
      <c r="OQE39" s="51"/>
      <c r="OQF39" s="51"/>
      <c r="OQG39" s="51"/>
      <c r="OQH39" s="51"/>
      <c r="OQI39" s="51"/>
      <c r="OQJ39" s="51"/>
      <c r="OQK39" s="51"/>
      <c r="OQL39" s="51"/>
      <c r="OQM39" s="51"/>
      <c r="OQN39" s="51"/>
      <c r="OQO39" s="51"/>
      <c r="OQP39" s="51"/>
      <c r="OQQ39" s="51"/>
      <c r="OQR39" s="51"/>
      <c r="OQS39" s="51"/>
      <c r="OQT39" s="51"/>
      <c r="OQU39" s="51"/>
      <c r="OQV39" s="51"/>
      <c r="OQW39" s="51"/>
      <c r="OQX39" s="51"/>
      <c r="OQY39" s="51"/>
      <c r="OQZ39" s="51"/>
      <c r="ORA39" s="51"/>
      <c r="ORB39" s="51"/>
      <c r="ORC39" s="51"/>
      <c r="ORD39" s="51"/>
      <c r="ORE39" s="51"/>
      <c r="ORF39" s="51"/>
      <c r="ORG39" s="51"/>
      <c r="ORH39" s="51"/>
      <c r="ORI39" s="51"/>
      <c r="ORJ39" s="51"/>
      <c r="ORK39" s="51"/>
      <c r="ORL39" s="51"/>
      <c r="ORM39" s="51"/>
      <c r="ORN39" s="51"/>
      <c r="ORO39" s="51"/>
      <c r="ORP39" s="51"/>
      <c r="ORQ39" s="51"/>
      <c r="ORR39" s="51"/>
      <c r="ORS39" s="51"/>
      <c r="ORT39" s="51"/>
      <c r="ORU39" s="51"/>
      <c r="ORV39" s="51"/>
      <c r="ORW39" s="51"/>
      <c r="ORX39" s="51"/>
      <c r="ORY39" s="51"/>
      <c r="ORZ39" s="51"/>
      <c r="OSA39" s="51"/>
      <c r="OSB39" s="51"/>
      <c r="OSC39" s="51"/>
      <c r="OSD39" s="51"/>
      <c r="OSE39" s="51"/>
      <c r="OSF39" s="51"/>
      <c r="OSG39" s="51"/>
      <c r="OSH39" s="51"/>
      <c r="OSI39" s="51"/>
      <c r="OSJ39" s="51"/>
      <c r="OSK39" s="51"/>
      <c r="OSL39" s="51"/>
      <c r="OSM39" s="51"/>
      <c r="OSN39" s="51"/>
      <c r="OSO39" s="51"/>
      <c r="OSP39" s="51"/>
      <c r="OSQ39" s="51"/>
      <c r="OSR39" s="51"/>
      <c r="OSS39" s="51"/>
      <c r="OST39" s="51"/>
      <c r="OSU39" s="51"/>
      <c r="OSV39" s="51"/>
      <c r="OSW39" s="51"/>
      <c r="OSX39" s="51"/>
      <c r="OSY39" s="51"/>
      <c r="OSZ39" s="51"/>
      <c r="OTA39" s="51"/>
      <c r="OTB39" s="51"/>
      <c r="OTC39" s="51"/>
      <c r="OTD39" s="51"/>
      <c r="OTE39" s="51"/>
      <c r="OTF39" s="51"/>
      <c r="OTG39" s="51"/>
      <c r="OTH39" s="51"/>
      <c r="OTI39" s="51"/>
      <c r="OTJ39" s="51"/>
      <c r="OTK39" s="51"/>
      <c r="OTL39" s="51"/>
      <c r="OTM39" s="51"/>
      <c r="OTN39" s="51"/>
      <c r="OTO39" s="51"/>
      <c r="OTP39" s="51"/>
      <c r="OTQ39" s="51"/>
      <c r="OTR39" s="51"/>
      <c r="OTS39" s="51"/>
      <c r="OTT39" s="51"/>
      <c r="OTU39" s="51"/>
      <c r="OTV39" s="51"/>
      <c r="OTW39" s="51"/>
      <c r="OTX39" s="51"/>
      <c r="OTY39" s="51"/>
      <c r="OTZ39" s="51"/>
      <c r="OUA39" s="51"/>
      <c r="OUB39" s="51"/>
      <c r="OUC39" s="51"/>
      <c r="OUD39" s="51"/>
      <c r="OUE39" s="51"/>
      <c r="OUF39" s="51"/>
      <c r="OUG39" s="51"/>
      <c r="OUH39" s="51"/>
      <c r="OUI39" s="51"/>
      <c r="OUJ39" s="51"/>
      <c r="OUK39" s="51"/>
      <c r="OUL39" s="51"/>
      <c r="OUM39" s="51"/>
      <c r="OUN39" s="51"/>
      <c r="OUO39" s="51"/>
      <c r="OUP39" s="51"/>
      <c r="OUQ39" s="51"/>
      <c r="OUR39" s="51"/>
      <c r="OUS39" s="51"/>
      <c r="OUT39" s="51"/>
      <c r="OUU39" s="51"/>
      <c r="OUV39" s="51"/>
      <c r="OUW39" s="51"/>
      <c r="OUX39" s="51"/>
      <c r="OUY39" s="51"/>
      <c r="OUZ39" s="51"/>
      <c r="OVA39" s="51"/>
      <c r="OVB39" s="51"/>
      <c r="OVC39" s="51"/>
      <c r="OVD39" s="51"/>
      <c r="OVE39" s="51"/>
      <c r="OVF39" s="51"/>
      <c r="OVG39" s="51"/>
      <c r="OVH39" s="51"/>
      <c r="OVI39" s="51"/>
      <c r="OVJ39" s="51"/>
      <c r="OVK39" s="51"/>
      <c r="OVL39" s="51"/>
      <c r="OVM39" s="51"/>
      <c r="OVN39" s="51"/>
      <c r="OVO39" s="51"/>
      <c r="OVP39" s="51"/>
      <c r="OVQ39" s="51"/>
      <c r="OVR39" s="51"/>
      <c r="OVS39" s="51"/>
      <c r="OVT39" s="51"/>
      <c r="OVU39" s="51"/>
      <c r="OVV39" s="51"/>
      <c r="OVW39" s="51"/>
      <c r="OVX39" s="51"/>
      <c r="OVY39" s="51"/>
      <c r="OVZ39" s="51"/>
      <c r="OWA39" s="51"/>
      <c r="OWB39" s="51"/>
      <c r="OWC39" s="51"/>
      <c r="OWD39" s="51"/>
      <c r="OWE39" s="51"/>
      <c r="OWF39" s="51"/>
      <c r="OWG39" s="51"/>
      <c r="OWH39" s="51"/>
      <c r="OWI39" s="51"/>
      <c r="OWJ39" s="51"/>
      <c r="OWK39" s="51"/>
      <c r="OWL39" s="51"/>
      <c r="OWM39" s="51"/>
      <c r="OWN39" s="51"/>
      <c r="OWO39" s="51"/>
      <c r="OWP39" s="51"/>
      <c r="OWQ39" s="51"/>
      <c r="OWR39" s="51"/>
      <c r="OWS39" s="51"/>
      <c r="OWT39" s="51"/>
      <c r="OWU39" s="51"/>
      <c r="OWV39" s="51"/>
      <c r="OWW39" s="51"/>
      <c r="OWX39" s="51"/>
      <c r="OWY39" s="51"/>
      <c r="OWZ39" s="51"/>
      <c r="OXA39" s="51"/>
      <c r="OXB39" s="51"/>
      <c r="OXC39" s="51"/>
      <c r="OXD39" s="51"/>
      <c r="OXE39" s="51"/>
      <c r="OXF39" s="51"/>
      <c r="OXG39" s="51"/>
      <c r="OXH39" s="51"/>
      <c r="OXI39" s="51"/>
      <c r="OXJ39" s="51"/>
      <c r="OXK39" s="51"/>
      <c r="OXL39" s="51"/>
      <c r="OXM39" s="51"/>
      <c r="OXN39" s="51"/>
      <c r="OXO39" s="51"/>
      <c r="OXP39" s="51"/>
      <c r="OXQ39" s="51"/>
      <c r="OXR39" s="51"/>
      <c r="OXS39" s="51"/>
      <c r="OXT39" s="51"/>
      <c r="OXU39" s="51"/>
      <c r="OXV39" s="51"/>
      <c r="OXW39" s="51"/>
      <c r="OXX39" s="51"/>
      <c r="OXY39" s="51"/>
      <c r="OXZ39" s="51"/>
      <c r="OYA39" s="51"/>
      <c r="OYB39" s="51"/>
      <c r="OYC39" s="51"/>
      <c r="OYD39" s="51"/>
      <c r="OYE39" s="51"/>
      <c r="OYF39" s="51"/>
      <c r="OYG39" s="51"/>
      <c r="OYH39" s="51"/>
      <c r="OYI39" s="51"/>
      <c r="OYJ39" s="51"/>
      <c r="OYK39" s="51"/>
      <c r="OYL39" s="51"/>
      <c r="OYM39" s="51"/>
      <c r="OYN39" s="51"/>
      <c r="OYO39" s="51"/>
      <c r="OYP39" s="51"/>
      <c r="OYQ39" s="51"/>
      <c r="OYR39" s="51"/>
      <c r="OYS39" s="51"/>
      <c r="OYT39" s="51"/>
      <c r="OYU39" s="51"/>
      <c r="OYV39" s="51"/>
      <c r="OYW39" s="51"/>
      <c r="OYX39" s="51"/>
      <c r="OYY39" s="51"/>
      <c r="OYZ39" s="51"/>
      <c r="OZA39" s="51"/>
      <c r="OZB39" s="51"/>
      <c r="OZC39" s="51"/>
      <c r="OZD39" s="51"/>
      <c r="OZE39" s="51"/>
      <c r="OZF39" s="51"/>
      <c r="OZG39" s="51"/>
      <c r="OZH39" s="51"/>
      <c r="OZI39" s="51"/>
      <c r="OZJ39" s="51"/>
      <c r="OZK39" s="51"/>
      <c r="OZL39" s="51"/>
      <c r="OZM39" s="51"/>
      <c r="OZN39" s="51"/>
      <c r="OZO39" s="51"/>
      <c r="OZP39" s="51"/>
      <c r="OZQ39" s="51"/>
      <c r="OZR39" s="51"/>
      <c r="OZS39" s="51"/>
      <c r="OZT39" s="51"/>
      <c r="OZU39" s="51"/>
      <c r="OZV39" s="51"/>
      <c r="OZW39" s="51"/>
      <c r="OZX39" s="51"/>
      <c r="OZY39" s="51"/>
      <c r="OZZ39" s="51"/>
      <c r="PAA39" s="51"/>
      <c r="PAB39" s="51"/>
      <c r="PAC39" s="51"/>
      <c r="PAD39" s="51"/>
      <c r="PAE39" s="51"/>
      <c r="PAF39" s="51"/>
      <c r="PAG39" s="51"/>
      <c r="PAH39" s="51"/>
      <c r="PAI39" s="51"/>
      <c r="PAJ39" s="51"/>
      <c r="PAK39" s="51"/>
      <c r="PAL39" s="51"/>
      <c r="PAM39" s="51"/>
      <c r="PAN39" s="51"/>
      <c r="PAO39" s="51"/>
      <c r="PAP39" s="51"/>
      <c r="PAQ39" s="51"/>
      <c r="PAR39" s="51"/>
      <c r="PAS39" s="51"/>
      <c r="PAT39" s="51"/>
      <c r="PAU39" s="51"/>
      <c r="PAV39" s="51"/>
      <c r="PAW39" s="51"/>
      <c r="PAX39" s="51"/>
      <c r="PAY39" s="51"/>
      <c r="PAZ39" s="51"/>
      <c r="PBA39" s="51"/>
      <c r="PBB39" s="51"/>
      <c r="PBC39" s="51"/>
      <c r="PBD39" s="51"/>
      <c r="PBE39" s="51"/>
      <c r="PBF39" s="51"/>
      <c r="PBG39" s="51"/>
      <c r="PBH39" s="51"/>
      <c r="PBI39" s="51"/>
      <c r="PBJ39" s="51"/>
      <c r="PBK39" s="51"/>
      <c r="PBL39" s="51"/>
      <c r="PBM39" s="51"/>
      <c r="PBN39" s="51"/>
      <c r="PBO39" s="51"/>
      <c r="PBP39" s="51"/>
      <c r="PBQ39" s="51"/>
      <c r="PBR39" s="51"/>
      <c r="PBS39" s="51"/>
      <c r="PBT39" s="51"/>
      <c r="PBU39" s="51"/>
      <c r="PBV39" s="51"/>
      <c r="PBW39" s="51"/>
      <c r="PBX39" s="51"/>
      <c r="PBY39" s="51"/>
      <c r="PBZ39" s="51"/>
      <c r="PCA39" s="51"/>
      <c r="PCB39" s="51"/>
      <c r="PCC39" s="51"/>
      <c r="PCD39" s="51"/>
      <c r="PCE39" s="51"/>
      <c r="PCF39" s="51"/>
      <c r="PCG39" s="51"/>
      <c r="PCH39" s="51"/>
      <c r="PCI39" s="51"/>
      <c r="PCJ39" s="51"/>
      <c r="PCK39" s="51"/>
      <c r="PCL39" s="51"/>
      <c r="PCM39" s="51"/>
      <c r="PCN39" s="51"/>
      <c r="PCO39" s="51"/>
      <c r="PCP39" s="51"/>
      <c r="PCQ39" s="51"/>
      <c r="PCR39" s="51"/>
      <c r="PCS39" s="51"/>
      <c r="PCT39" s="51"/>
      <c r="PCU39" s="51"/>
      <c r="PCV39" s="51"/>
      <c r="PCW39" s="51"/>
      <c r="PCX39" s="51"/>
      <c r="PCY39" s="51"/>
      <c r="PCZ39" s="51"/>
      <c r="PDA39" s="51"/>
      <c r="PDB39" s="51"/>
      <c r="PDC39" s="51"/>
      <c r="PDD39" s="51"/>
      <c r="PDE39" s="51"/>
      <c r="PDF39" s="51"/>
      <c r="PDG39" s="51"/>
      <c r="PDH39" s="51"/>
      <c r="PDI39" s="51"/>
      <c r="PDJ39" s="51"/>
      <c r="PDK39" s="51"/>
      <c r="PDL39" s="51"/>
      <c r="PDM39" s="51"/>
      <c r="PDN39" s="51"/>
      <c r="PDO39" s="51"/>
      <c r="PDP39" s="51"/>
      <c r="PDQ39" s="51"/>
      <c r="PDR39" s="51"/>
      <c r="PDS39" s="51"/>
      <c r="PDT39" s="51"/>
      <c r="PDU39" s="51"/>
      <c r="PDV39" s="51"/>
      <c r="PDW39" s="51"/>
      <c r="PDX39" s="51"/>
      <c r="PDY39" s="51"/>
      <c r="PDZ39" s="51"/>
      <c r="PEA39" s="51"/>
      <c r="PEB39" s="51"/>
      <c r="PEC39" s="51"/>
      <c r="PED39" s="51"/>
      <c r="PEE39" s="51"/>
      <c r="PEF39" s="51"/>
      <c r="PEG39" s="51"/>
      <c r="PEH39" s="51"/>
      <c r="PEI39" s="51"/>
      <c r="PEJ39" s="51"/>
      <c r="PEK39" s="51"/>
      <c r="PEL39" s="51"/>
      <c r="PEM39" s="51"/>
      <c r="PEN39" s="51"/>
      <c r="PEO39" s="51"/>
      <c r="PEP39" s="51"/>
      <c r="PEQ39" s="51"/>
      <c r="PER39" s="51"/>
      <c r="PES39" s="51"/>
      <c r="PET39" s="51"/>
      <c r="PEU39" s="51"/>
      <c r="PEV39" s="51"/>
      <c r="PEW39" s="51"/>
      <c r="PEX39" s="51"/>
      <c r="PEY39" s="51"/>
      <c r="PEZ39" s="51"/>
      <c r="PFA39" s="51"/>
      <c r="PFB39" s="51"/>
      <c r="PFC39" s="51"/>
      <c r="PFD39" s="51"/>
      <c r="PFE39" s="51"/>
      <c r="PFF39" s="51"/>
      <c r="PFG39" s="51"/>
      <c r="PFH39" s="51"/>
      <c r="PFI39" s="51"/>
      <c r="PFJ39" s="51"/>
      <c r="PFK39" s="51"/>
      <c r="PFL39" s="51"/>
      <c r="PFM39" s="51"/>
      <c r="PFN39" s="51"/>
      <c r="PFO39" s="51"/>
      <c r="PFP39" s="51"/>
      <c r="PFQ39" s="51"/>
      <c r="PFR39" s="51"/>
      <c r="PFS39" s="51"/>
      <c r="PFT39" s="51"/>
      <c r="PFU39" s="51"/>
      <c r="PFV39" s="51"/>
      <c r="PFW39" s="51"/>
      <c r="PFX39" s="51"/>
      <c r="PFY39" s="51"/>
      <c r="PFZ39" s="51"/>
      <c r="PGA39" s="51"/>
      <c r="PGB39" s="51"/>
      <c r="PGC39" s="51"/>
      <c r="PGD39" s="51"/>
      <c r="PGE39" s="51"/>
      <c r="PGF39" s="51"/>
      <c r="PGG39" s="51"/>
      <c r="PGH39" s="51"/>
      <c r="PGI39" s="51"/>
      <c r="PGJ39" s="51"/>
      <c r="PGK39" s="51"/>
      <c r="PGL39" s="51"/>
      <c r="PGM39" s="51"/>
      <c r="PGN39" s="51"/>
      <c r="PGO39" s="51"/>
      <c r="PGP39" s="51"/>
      <c r="PGQ39" s="51"/>
      <c r="PGR39" s="51"/>
      <c r="PGS39" s="51"/>
      <c r="PGT39" s="51"/>
      <c r="PGU39" s="51"/>
      <c r="PGV39" s="51"/>
      <c r="PGW39" s="51"/>
      <c r="PGX39" s="51"/>
      <c r="PGY39" s="51"/>
      <c r="PGZ39" s="51"/>
      <c r="PHA39" s="51"/>
      <c r="PHB39" s="51"/>
      <c r="PHC39" s="51"/>
      <c r="PHD39" s="51"/>
      <c r="PHE39" s="51"/>
      <c r="PHF39" s="51"/>
      <c r="PHG39" s="51"/>
      <c r="PHH39" s="51"/>
      <c r="PHI39" s="51"/>
      <c r="PHJ39" s="51"/>
      <c r="PHK39" s="51"/>
      <c r="PHL39" s="51"/>
      <c r="PHM39" s="51"/>
      <c r="PHN39" s="51"/>
      <c r="PHO39" s="51"/>
      <c r="PHP39" s="51"/>
      <c r="PHQ39" s="51"/>
      <c r="PHR39" s="51"/>
      <c r="PHS39" s="51"/>
      <c r="PHT39" s="51"/>
      <c r="PHU39" s="51"/>
      <c r="PHV39" s="51"/>
      <c r="PHW39" s="51"/>
      <c r="PHX39" s="51"/>
      <c r="PHY39" s="51"/>
      <c r="PHZ39" s="51"/>
      <c r="PIA39" s="51"/>
      <c r="PIB39" s="51"/>
      <c r="PIC39" s="51"/>
      <c r="PID39" s="51"/>
      <c r="PIE39" s="51"/>
      <c r="PIF39" s="51"/>
      <c r="PIG39" s="51"/>
      <c r="PIH39" s="51"/>
      <c r="PII39" s="51"/>
      <c r="PIJ39" s="51"/>
      <c r="PIK39" s="51"/>
      <c r="PIL39" s="51"/>
      <c r="PIM39" s="51"/>
      <c r="PIN39" s="51"/>
      <c r="PIO39" s="51"/>
      <c r="PIP39" s="51"/>
      <c r="PIQ39" s="51"/>
      <c r="PIR39" s="51"/>
      <c r="PIS39" s="51"/>
      <c r="PIT39" s="51"/>
      <c r="PIU39" s="51"/>
      <c r="PIV39" s="51"/>
      <c r="PIW39" s="51"/>
      <c r="PIX39" s="51"/>
      <c r="PIY39" s="51"/>
      <c r="PIZ39" s="51"/>
      <c r="PJA39" s="51"/>
      <c r="PJB39" s="51"/>
      <c r="PJC39" s="51"/>
      <c r="PJD39" s="51"/>
      <c r="PJE39" s="51"/>
      <c r="PJF39" s="51"/>
      <c r="PJG39" s="51"/>
      <c r="PJH39" s="51"/>
      <c r="PJI39" s="51"/>
      <c r="PJJ39" s="51"/>
      <c r="PJK39" s="51"/>
      <c r="PJL39" s="51"/>
      <c r="PJM39" s="51"/>
      <c r="PJN39" s="51"/>
      <c r="PJO39" s="51"/>
      <c r="PJP39" s="51"/>
      <c r="PJQ39" s="51"/>
      <c r="PJR39" s="51"/>
      <c r="PJS39" s="51"/>
      <c r="PJT39" s="51"/>
      <c r="PJU39" s="51"/>
      <c r="PJV39" s="51"/>
      <c r="PJW39" s="51"/>
      <c r="PJX39" s="51"/>
      <c r="PJY39" s="51"/>
      <c r="PJZ39" s="51"/>
      <c r="PKA39" s="51"/>
      <c r="PKB39" s="51"/>
      <c r="PKC39" s="51"/>
      <c r="PKD39" s="51"/>
      <c r="PKE39" s="51"/>
      <c r="PKF39" s="51"/>
      <c r="PKG39" s="51"/>
      <c r="PKH39" s="51"/>
      <c r="PKI39" s="51"/>
      <c r="PKJ39" s="51"/>
      <c r="PKK39" s="51"/>
      <c r="PKL39" s="51"/>
      <c r="PKM39" s="51"/>
      <c r="PKN39" s="51"/>
      <c r="PKO39" s="51"/>
      <c r="PKP39" s="51"/>
      <c r="PKQ39" s="51"/>
      <c r="PKR39" s="51"/>
      <c r="PKS39" s="51"/>
      <c r="PKT39" s="51"/>
      <c r="PKU39" s="51"/>
      <c r="PKV39" s="51"/>
      <c r="PKW39" s="51"/>
      <c r="PKX39" s="51"/>
      <c r="PKY39" s="51"/>
      <c r="PKZ39" s="51"/>
      <c r="PLA39" s="51"/>
      <c r="PLB39" s="51"/>
      <c r="PLC39" s="51"/>
      <c r="PLD39" s="51"/>
      <c r="PLE39" s="51"/>
      <c r="PLF39" s="51"/>
      <c r="PLG39" s="51"/>
      <c r="PLH39" s="51"/>
      <c r="PLI39" s="51"/>
      <c r="PLJ39" s="51"/>
      <c r="PLK39" s="51"/>
      <c r="PLL39" s="51"/>
      <c r="PLM39" s="51"/>
      <c r="PLN39" s="51"/>
      <c r="PLO39" s="51"/>
      <c r="PLP39" s="51"/>
      <c r="PLQ39" s="51"/>
      <c r="PLR39" s="51"/>
      <c r="PLS39" s="51"/>
      <c r="PLT39" s="51"/>
      <c r="PLU39" s="51"/>
      <c r="PLV39" s="51"/>
      <c r="PLW39" s="51"/>
      <c r="PLX39" s="51"/>
      <c r="PLY39" s="51"/>
      <c r="PLZ39" s="51"/>
      <c r="PMA39" s="51"/>
      <c r="PMB39" s="51"/>
      <c r="PMC39" s="51"/>
      <c r="PMD39" s="51"/>
      <c r="PME39" s="51"/>
      <c r="PMF39" s="51"/>
      <c r="PMG39" s="51"/>
      <c r="PMH39" s="51"/>
      <c r="PMI39" s="51"/>
      <c r="PMJ39" s="51"/>
      <c r="PMK39" s="51"/>
      <c r="PML39" s="51"/>
      <c r="PMM39" s="51"/>
      <c r="PMN39" s="51"/>
      <c r="PMO39" s="51"/>
      <c r="PMP39" s="51"/>
      <c r="PMQ39" s="51"/>
      <c r="PMR39" s="51"/>
      <c r="PMS39" s="51"/>
      <c r="PMT39" s="51"/>
      <c r="PMU39" s="51"/>
      <c r="PMV39" s="51"/>
      <c r="PMW39" s="51"/>
      <c r="PMX39" s="51"/>
      <c r="PMY39" s="51"/>
      <c r="PMZ39" s="51"/>
      <c r="PNA39" s="51"/>
      <c r="PNB39" s="51"/>
      <c r="PNC39" s="51"/>
      <c r="PND39" s="51"/>
      <c r="PNE39" s="51"/>
      <c r="PNF39" s="51"/>
      <c r="PNG39" s="51"/>
      <c r="PNH39" s="51"/>
      <c r="PNI39" s="51"/>
      <c r="PNJ39" s="51"/>
      <c r="PNK39" s="51"/>
      <c r="PNL39" s="51"/>
      <c r="PNM39" s="51"/>
      <c r="PNN39" s="51"/>
      <c r="PNO39" s="51"/>
      <c r="PNP39" s="51"/>
      <c r="PNQ39" s="51"/>
      <c r="PNR39" s="51"/>
      <c r="PNS39" s="51"/>
      <c r="PNT39" s="51"/>
      <c r="PNU39" s="51"/>
      <c r="PNV39" s="51"/>
      <c r="PNW39" s="51"/>
      <c r="PNX39" s="51"/>
      <c r="PNY39" s="51"/>
      <c r="PNZ39" s="51"/>
      <c r="POA39" s="51"/>
      <c r="POB39" s="51"/>
      <c r="POC39" s="51"/>
      <c r="POD39" s="51"/>
      <c r="POE39" s="51"/>
      <c r="POF39" s="51"/>
      <c r="POG39" s="51"/>
      <c r="POH39" s="51"/>
      <c r="POI39" s="51"/>
      <c r="POJ39" s="51"/>
      <c r="POK39" s="51"/>
      <c r="POL39" s="51"/>
      <c r="POM39" s="51"/>
      <c r="PON39" s="51"/>
      <c r="POO39" s="51"/>
      <c r="POP39" s="51"/>
      <c r="POQ39" s="51"/>
      <c r="POR39" s="51"/>
      <c r="POS39" s="51"/>
      <c r="POT39" s="51"/>
      <c r="POU39" s="51"/>
      <c r="POV39" s="51"/>
      <c r="POW39" s="51"/>
      <c r="POX39" s="51"/>
      <c r="POY39" s="51"/>
      <c r="POZ39" s="51"/>
      <c r="PPA39" s="51"/>
      <c r="PPB39" s="51"/>
      <c r="PPC39" s="51"/>
      <c r="PPD39" s="51"/>
      <c r="PPE39" s="51"/>
      <c r="PPF39" s="51"/>
      <c r="PPG39" s="51"/>
      <c r="PPH39" s="51"/>
      <c r="PPI39" s="51"/>
      <c r="PPJ39" s="51"/>
      <c r="PPK39" s="51"/>
      <c r="PPL39" s="51"/>
      <c r="PPM39" s="51"/>
      <c r="PPN39" s="51"/>
      <c r="PPO39" s="51"/>
      <c r="PPP39" s="51"/>
      <c r="PPQ39" s="51"/>
      <c r="PPR39" s="51"/>
      <c r="PPS39" s="51"/>
      <c r="PPT39" s="51"/>
      <c r="PPU39" s="51"/>
      <c r="PPV39" s="51"/>
      <c r="PPW39" s="51"/>
      <c r="PPX39" s="51"/>
      <c r="PPY39" s="51"/>
      <c r="PPZ39" s="51"/>
      <c r="PQA39" s="51"/>
      <c r="PQB39" s="51"/>
      <c r="PQC39" s="51"/>
      <c r="PQD39" s="51"/>
      <c r="PQE39" s="51"/>
      <c r="PQF39" s="51"/>
      <c r="PQG39" s="51"/>
      <c r="PQH39" s="51"/>
      <c r="PQI39" s="51"/>
      <c r="PQJ39" s="51"/>
      <c r="PQK39" s="51"/>
      <c r="PQL39" s="51"/>
      <c r="PQM39" s="51"/>
      <c r="PQN39" s="51"/>
      <c r="PQO39" s="51"/>
      <c r="PQP39" s="51"/>
      <c r="PQQ39" s="51"/>
      <c r="PQR39" s="51"/>
      <c r="PQS39" s="51"/>
      <c r="PQT39" s="51"/>
      <c r="PQU39" s="51"/>
      <c r="PQV39" s="51"/>
      <c r="PQW39" s="51"/>
      <c r="PQX39" s="51"/>
      <c r="PQY39" s="51"/>
      <c r="PQZ39" s="51"/>
      <c r="PRA39" s="51"/>
      <c r="PRB39" s="51"/>
      <c r="PRC39" s="51"/>
      <c r="PRD39" s="51"/>
      <c r="PRE39" s="51"/>
      <c r="PRF39" s="51"/>
      <c r="PRG39" s="51"/>
      <c r="PRH39" s="51"/>
      <c r="PRI39" s="51"/>
      <c r="PRJ39" s="51"/>
      <c r="PRK39" s="51"/>
      <c r="PRL39" s="51"/>
      <c r="PRM39" s="51"/>
      <c r="PRN39" s="51"/>
      <c r="PRO39" s="51"/>
      <c r="PRP39" s="51"/>
      <c r="PRQ39" s="51"/>
      <c r="PRR39" s="51"/>
      <c r="PRS39" s="51"/>
      <c r="PRT39" s="51"/>
      <c r="PRU39" s="51"/>
      <c r="PRV39" s="51"/>
      <c r="PRW39" s="51"/>
      <c r="PRX39" s="51"/>
      <c r="PRY39" s="51"/>
      <c r="PRZ39" s="51"/>
      <c r="PSA39" s="51"/>
      <c r="PSB39" s="51"/>
      <c r="PSC39" s="51"/>
      <c r="PSD39" s="51"/>
      <c r="PSE39" s="51"/>
      <c r="PSF39" s="51"/>
      <c r="PSG39" s="51"/>
      <c r="PSH39" s="51"/>
      <c r="PSI39" s="51"/>
      <c r="PSJ39" s="51"/>
      <c r="PSK39" s="51"/>
      <c r="PSL39" s="51"/>
      <c r="PSM39" s="51"/>
      <c r="PSN39" s="51"/>
      <c r="PSO39" s="51"/>
      <c r="PSP39" s="51"/>
      <c r="PSQ39" s="51"/>
      <c r="PSR39" s="51"/>
      <c r="PSS39" s="51"/>
      <c r="PST39" s="51"/>
      <c r="PSU39" s="51"/>
      <c r="PSV39" s="51"/>
      <c r="PSW39" s="51"/>
      <c r="PSX39" s="51"/>
      <c r="PSY39" s="51"/>
      <c r="PSZ39" s="51"/>
      <c r="PTA39" s="51"/>
      <c r="PTB39" s="51"/>
      <c r="PTC39" s="51"/>
      <c r="PTD39" s="51"/>
      <c r="PTE39" s="51"/>
      <c r="PTF39" s="51"/>
      <c r="PTG39" s="51"/>
      <c r="PTH39" s="51"/>
      <c r="PTI39" s="51"/>
      <c r="PTJ39" s="51"/>
      <c r="PTK39" s="51"/>
      <c r="PTL39" s="51"/>
      <c r="PTM39" s="51"/>
      <c r="PTN39" s="51"/>
      <c r="PTO39" s="51"/>
      <c r="PTP39" s="51"/>
      <c r="PTQ39" s="51"/>
      <c r="PTR39" s="51"/>
      <c r="PTS39" s="51"/>
      <c r="PTT39" s="51"/>
      <c r="PTU39" s="51"/>
      <c r="PTV39" s="51"/>
      <c r="PTW39" s="51"/>
      <c r="PTX39" s="51"/>
      <c r="PTY39" s="51"/>
      <c r="PTZ39" s="51"/>
      <c r="PUA39" s="51"/>
      <c r="PUB39" s="51"/>
      <c r="PUC39" s="51"/>
      <c r="PUD39" s="51"/>
      <c r="PUE39" s="51"/>
      <c r="PUF39" s="51"/>
      <c r="PUG39" s="51"/>
      <c r="PUH39" s="51"/>
      <c r="PUI39" s="51"/>
      <c r="PUJ39" s="51"/>
      <c r="PUK39" s="51"/>
      <c r="PUL39" s="51"/>
      <c r="PUM39" s="51"/>
      <c r="PUN39" s="51"/>
      <c r="PUO39" s="51"/>
      <c r="PUP39" s="51"/>
      <c r="PUQ39" s="51"/>
      <c r="PUR39" s="51"/>
      <c r="PUS39" s="51"/>
      <c r="PUT39" s="51"/>
      <c r="PUU39" s="51"/>
      <c r="PUV39" s="51"/>
      <c r="PUW39" s="51"/>
      <c r="PUX39" s="51"/>
      <c r="PUY39" s="51"/>
      <c r="PUZ39" s="51"/>
      <c r="PVA39" s="51"/>
      <c r="PVB39" s="51"/>
      <c r="PVC39" s="51"/>
      <c r="PVD39" s="51"/>
      <c r="PVE39" s="51"/>
      <c r="PVF39" s="51"/>
      <c r="PVG39" s="51"/>
      <c r="PVH39" s="51"/>
      <c r="PVI39" s="51"/>
      <c r="PVJ39" s="51"/>
      <c r="PVK39" s="51"/>
      <c r="PVL39" s="51"/>
      <c r="PVM39" s="51"/>
      <c r="PVN39" s="51"/>
      <c r="PVO39" s="51"/>
      <c r="PVP39" s="51"/>
      <c r="PVQ39" s="51"/>
      <c r="PVR39" s="51"/>
      <c r="PVS39" s="51"/>
      <c r="PVT39" s="51"/>
      <c r="PVU39" s="51"/>
      <c r="PVV39" s="51"/>
      <c r="PVW39" s="51"/>
      <c r="PVX39" s="51"/>
      <c r="PVY39" s="51"/>
      <c r="PVZ39" s="51"/>
      <c r="PWA39" s="51"/>
      <c r="PWB39" s="51"/>
      <c r="PWC39" s="51"/>
      <c r="PWD39" s="51"/>
      <c r="PWE39" s="51"/>
      <c r="PWF39" s="51"/>
      <c r="PWG39" s="51"/>
      <c r="PWH39" s="51"/>
      <c r="PWI39" s="51"/>
      <c r="PWJ39" s="51"/>
      <c r="PWK39" s="51"/>
      <c r="PWL39" s="51"/>
      <c r="PWM39" s="51"/>
      <c r="PWN39" s="51"/>
      <c r="PWO39" s="51"/>
      <c r="PWP39" s="51"/>
      <c r="PWQ39" s="51"/>
      <c r="PWR39" s="51"/>
      <c r="PWS39" s="51"/>
      <c r="PWT39" s="51"/>
      <c r="PWU39" s="51"/>
      <c r="PWV39" s="51"/>
      <c r="PWW39" s="51"/>
      <c r="PWX39" s="51"/>
      <c r="PWY39" s="51"/>
      <c r="PWZ39" s="51"/>
      <c r="PXA39" s="51"/>
      <c r="PXB39" s="51"/>
      <c r="PXC39" s="51"/>
      <c r="PXD39" s="51"/>
      <c r="PXE39" s="51"/>
      <c r="PXF39" s="51"/>
      <c r="PXG39" s="51"/>
      <c r="PXH39" s="51"/>
      <c r="PXI39" s="51"/>
      <c r="PXJ39" s="51"/>
      <c r="PXK39" s="51"/>
      <c r="PXL39" s="51"/>
      <c r="PXM39" s="51"/>
      <c r="PXN39" s="51"/>
      <c r="PXO39" s="51"/>
      <c r="PXP39" s="51"/>
      <c r="PXQ39" s="51"/>
      <c r="PXR39" s="51"/>
      <c r="PXS39" s="51"/>
      <c r="PXT39" s="51"/>
      <c r="PXU39" s="51"/>
      <c r="PXV39" s="51"/>
      <c r="PXW39" s="51"/>
      <c r="PXX39" s="51"/>
      <c r="PXY39" s="51"/>
      <c r="PXZ39" s="51"/>
      <c r="PYA39" s="51"/>
      <c r="PYB39" s="51"/>
      <c r="PYC39" s="51"/>
      <c r="PYD39" s="51"/>
      <c r="PYE39" s="51"/>
      <c r="PYF39" s="51"/>
      <c r="PYG39" s="51"/>
      <c r="PYH39" s="51"/>
      <c r="PYI39" s="51"/>
      <c r="PYJ39" s="51"/>
      <c r="PYK39" s="51"/>
      <c r="PYL39" s="51"/>
      <c r="PYM39" s="51"/>
      <c r="PYN39" s="51"/>
      <c r="PYO39" s="51"/>
      <c r="PYP39" s="51"/>
      <c r="PYQ39" s="51"/>
      <c r="PYR39" s="51"/>
      <c r="PYS39" s="51"/>
      <c r="PYT39" s="51"/>
      <c r="PYU39" s="51"/>
      <c r="PYV39" s="51"/>
      <c r="PYW39" s="51"/>
      <c r="PYX39" s="51"/>
      <c r="PYY39" s="51"/>
      <c r="PYZ39" s="51"/>
      <c r="PZA39" s="51"/>
      <c r="PZB39" s="51"/>
      <c r="PZC39" s="51"/>
      <c r="PZD39" s="51"/>
      <c r="PZE39" s="51"/>
      <c r="PZF39" s="51"/>
      <c r="PZG39" s="51"/>
      <c r="PZH39" s="51"/>
      <c r="PZI39" s="51"/>
      <c r="PZJ39" s="51"/>
      <c r="PZK39" s="51"/>
      <c r="PZL39" s="51"/>
      <c r="PZM39" s="51"/>
      <c r="PZN39" s="51"/>
      <c r="PZO39" s="51"/>
      <c r="PZP39" s="51"/>
      <c r="PZQ39" s="51"/>
      <c r="PZR39" s="51"/>
      <c r="PZS39" s="51"/>
      <c r="PZT39" s="51"/>
      <c r="PZU39" s="51"/>
      <c r="PZV39" s="51"/>
      <c r="PZW39" s="51"/>
      <c r="PZX39" s="51"/>
      <c r="PZY39" s="51"/>
      <c r="PZZ39" s="51"/>
      <c r="QAA39" s="51"/>
      <c r="QAB39" s="51"/>
      <c r="QAC39" s="51"/>
      <c r="QAD39" s="51"/>
      <c r="QAE39" s="51"/>
      <c r="QAF39" s="51"/>
      <c r="QAG39" s="51"/>
      <c r="QAH39" s="51"/>
      <c r="QAI39" s="51"/>
      <c r="QAJ39" s="51"/>
      <c r="QAK39" s="51"/>
      <c r="QAL39" s="51"/>
      <c r="QAM39" s="51"/>
      <c r="QAN39" s="51"/>
      <c r="QAO39" s="51"/>
      <c r="QAP39" s="51"/>
      <c r="QAQ39" s="51"/>
      <c r="QAR39" s="51"/>
      <c r="QAS39" s="51"/>
      <c r="QAT39" s="51"/>
      <c r="QAU39" s="51"/>
      <c r="QAV39" s="51"/>
      <c r="QAW39" s="51"/>
      <c r="QAX39" s="51"/>
      <c r="QAY39" s="51"/>
      <c r="QAZ39" s="51"/>
      <c r="QBA39" s="51"/>
      <c r="QBB39" s="51"/>
      <c r="QBC39" s="51"/>
      <c r="QBD39" s="51"/>
      <c r="QBE39" s="51"/>
      <c r="QBF39" s="51"/>
      <c r="QBG39" s="51"/>
      <c r="QBH39" s="51"/>
      <c r="QBI39" s="51"/>
      <c r="QBJ39" s="51"/>
      <c r="QBK39" s="51"/>
      <c r="QBL39" s="51"/>
      <c r="QBM39" s="51"/>
      <c r="QBN39" s="51"/>
      <c r="QBO39" s="51"/>
      <c r="QBP39" s="51"/>
      <c r="QBQ39" s="51"/>
      <c r="QBR39" s="51"/>
      <c r="QBS39" s="51"/>
      <c r="QBT39" s="51"/>
      <c r="QBU39" s="51"/>
      <c r="QBV39" s="51"/>
      <c r="QBW39" s="51"/>
      <c r="QBX39" s="51"/>
      <c r="QBY39" s="51"/>
      <c r="QBZ39" s="51"/>
      <c r="QCA39" s="51"/>
      <c r="QCB39" s="51"/>
      <c r="QCC39" s="51"/>
      <c r="QCD39" s="51"/>
      <c r="QCE39" s="51"/>
      <c r="QCF39" s="51"/>
      <c r="QCG39" s="51"/>
      <c r="QCH39" s="51"/>
      <c r="QCI39" s="51"/>
      <c r="QCJ39" s="51"/>
      <c r="QCK39" s="51"/>
      <c r="QCL39" s="51"/>
      <c r="QCM39" s="51"/>
      <c r="QCN39" s="51"/>
      <c r="QCO39" s="51"/>
      <c r="QCP39" s="51"/>
      <c r="QCQ39" s="51"/>
      <c r="QCR39" s="51"/>
      <c r="QCS39" s="51"/>
      <c r="QCT39" s="51"/>
      <c r="QCU39" s="51"/>
      <c r="QCV39" s="51"/>
      <c r="QCW39" s="51"/>
      <c r="QCX39" s="51"/>
      <c r="QCY39" s="51"/>
      <c r="QCZ39" s="51"/>
      <c r="QDA39" s="51"/>
      <c r="QDB39" s="51"/>
      <c r="QDC39" s="51"/>
      <c r="QDD39" s="51"/>
      <c r="QDE39" s="51"/>
      <c r="QDF39" s="51"/>
      <c r="QDG39" s="51"/>
      <c r="QDH39" s="51"/>
      <c r="QDI39" s="51"/>
      <c r="QDJ39" s="51"/>
      <c r="QDK39" s="51"/>
      <c r="QDL39" s="51"/>
      <c r="QDM39" s="51"/>
      <c r="QDN39" s="51"/>
      <c r="QDO39" s="51"/>
      <c r="QDP39" s="51"/>
      <c r="QDQ39" s="51"/>
      <c r="QDR39" s="51"/>
      <c r="QDS39" s="51"/>
      <c r="QDT39" s="51"/>
      <c r="QDU39" s="51"/>
      <c r="QDV39" s="51"/>
      <c r="QDW39" s="51"/>
      <c r="QDX39" s="51"/>
      <c r="QDY39" s="51"/>
      <c r="QDZ39" s="51"/>
      <c r="QEA39" s="51"/>
      <c r="QEB39" s="51"/>
      <c r="QEC39" s="51"/>
      <c r="QED39" s="51"/>
      <c r="QEE39" s="51"/>
      <c r="QEF39" s="51"/>
      <c r="QEG39" s="51"/>
      <c r="QEH39" s="51"/>
      <c r="QEI39" s="51"/>
      <c r="QEJ39" s="51"/>
      <c r="QEK39" s="51"/>
      <c r="QEL39" s="51"/>
      <c r="QEM39" s="51"/>
      <c r="QEN39" s="51"/>
      <c r="QEO39" s="51"/>
      <c r="QEP39" s="51"/>
      <c r="QEQ39" s="51"/>
      <c r="QER39" s="51"/>
      <c r="QES39" s="51"/>
      <c r="QET39" s="51"/>
      <c r="QEU39" s="51"/>
      <c r="QEV39" s="51"/>
      <c r="QEW39" s="51"/>
      <c r="QEX39" s="51"/>
      <c r="QEY39" s="51"/>
      <c r="QEZ39" s="51"/>
      <c r="QFA39" s="51"/>
      <c r="QFB39" s="51"/>
      <c r="QFC39" s="51"/>
      <c r="QFD39" s="51"/>
      <c r="QFE39" s="51"/>
      <c r="QFF39" s="51"/>
      <c r="QFG39" s="51"/>
      <c r="QFH39" s="51"/>
      <c r="QFI39" s="51"/>
      <c r="QFJ39" s="51"/>
      <c r="QFK39" s="51"/>
      <c r="QFL39" s="51"/>
      <c r="QFM39" s="51"/>
      <c r="QFN39" s="51"/>
      <c r="QFO39" s="51"/>
      <c r="QFP39" s="51"/>
      <c r="QFQ39" s="51"/>
      <c r="QFR39" s="51"/>
      <c r="QFS39" s="51"/>
      <c r="QFT39" s="51"/>
      <c r="QFU39" s="51"/>
      <c r="QFV39" s="51"/>
      <c r="QFW39" s="51"/>
      <c r="QFX39" s="51"/>
      <c r="QFY39" s="51"/>
      <c r="QFZ39" s="51"/>
      <c r="QGA39" s="51"/>
      <c r="QGB39" s="51"/>
      <c r="QGC39" s="51"/>
      <c r="QGD39" s="51"/>
      <c r="QGE39" s="51"/>
      <c r="QGF39" s="51"/>
      <c r="QGG39" s="51"/>
      <c r="QGH39" s="51"/>
      <c r="QGI39" s="51"/>
      <c r="QGJ39" s="51"/>
      <c r="QGK39" s="51"/>
      <c r="QGL39" s="51"/>
      <c r="QGM39" s="51"/>
      <c r="QGN39" s="51"/>
      <c r="QGO39" s="51"/>
      <c r="QGP39" s="51"/>
      <c r="QGQ39" s="51"/>
      <c r="QGR39" s="51"/>
      <c r="QGS39" s="51"/>
      <c r="QGT39" s="51"/>
      <c r="QGU39" s="51"/>
      <c r="QGV39" s="51"/>
      <c r="QGW39" s="51"/>
      <c r="QGX39" s="51"/>
      <c r="QGY39" s="51"/>
      <c r="QGZ39" s="51"/>
      <c r="QHA39" s="51"/>
      <c r="QHB39" s="51"/>
      <c r="QHC39" s="51"/>
      <c r="QHD39" s="51"/>
      <c r="QHE39" s="51"/>
      <c r="QHF39" s="51"/>
      <c r="QHG39" s="51"/>
      <c r="QHH39" s="51"/>
      <c r="QHI39" s="51"/>
      <c r="QHJ39" s="51"/>
      <c r="QHK39" s="51"/>
      <c r="QHL39" s="51"/>
      <c r="QHM39" s="51"/>
      <c r="QHN39" s="51"/>
      <c r="QHO39" s="51"/>
      <c r="QHP39" s="51"/>
      <c r="QHQ39" s="51"/>
      <c r="QHR39" s="51"/>
      <c r="QHS39" s="51"/>
      <c r="QHT39" s="51"/>
      <c r="QHU39" s="51"/>
      <c r="QHV39" s="51"/>
      <c r="QHW39" s="51"/>
      <c r="QHX39" s="51"/>
      <c r="QHY39" s="51"/>
      <c r="QHZ39" s="51"/>
      <c r="QIA39" s="51"/>
      <c r="QIB39" s="51"/>
      <c r="QIC39" s="51"/>
      <c r="QID39" s="51"/>
      <c r="QIE39" s="51"/>
      <c r="QIF39" s="51"/>
      <c r="QIG39" s="51"/>
      <c r="QIH39" s="51"/>
      <c r="QII39" s="51"/>
      <c r="QIJ39" s="51"/>
      <c r="QIK39" s="51"/>
      <c r="QIL39" s="51"/>
      <c r="QIM39" s="51"/>
      <c r="QIN39" s="51"/>
      <c r="QIO39" s="51"/>
      <c r="QIP39" s="51"/>
      <c r="QIQ39" s="51"/>
      <c r="QIR39" s="51"/>
      <c r="QIS39" s="51"/>
      <c r="QIT39" s="51"/>
      <c r="QIU39" s="51"/>
      <c r="QIV39" s="51"/>
      <c r="QIW39" s="51"/>
      <c r="QIX39" s="51"/>
      <c r="QIY39" s="51"/>
      <c r="QIZ39" s="51"/>
      <c r="QJA39" s="51"/>
      <c r="QJB39" s="51"/>
      <c r="QJC39" s="51"/>
      <c r="QJD39" s="51"/>
      <c r="QJE39" s="51"/>
      <c r="QJF39" s="51"/>
      <c r="QJG39" s="51"/>
      <c r="QJH39" s="51"/>
      <c r="QJI39" s="51"/>
      <c r="QJJ39" s="51"/>
      <c r="QJK39" s="51"/>
      <c r="QJL39" s="51"/>
      <c r="QJM39" s="51"/>
      <c r="QJN39" s="51"/>
      <c r="QJO39" s="51"/>
      <c r="QJP39" s="51"/>
      <c r="QJQ39" s="51"/>
      <c r="QJR39" s="51"/>
      <c r="QJS39" s="51"/>
      <c r="QJT39" s="51"/>
      <c r="QJU39" s="51"/>
      <c r="QJV39" s="51"/>
      <c r="QJW39" s="51"/>
      <c r="QJX39" s="51"/>
      <c r="QJY39" s="51"/>
      <c r="QJZ39" s="51"/>
      <c r="QKA39" s="51"/>
      <c r="QKB39" s="51"/>
      <c r="QKC39" s="51"/>
      <c r="QKD39" s="51"/>
      <c r="QKE39" s="51"/>
      <c r="QKF39" s="51"/>
      <c r="QKG39" s="51"/>
      <c r="QKH39" s="51"/>
      <c r="QKI39" s="51"/>
      <c r="QKJ39" s="51"/>
      <c r="QKK39" s="51"/>
      <c r="QKL39" s="51"/>
      <c r="QKM39" s="51"/>
      <c r="QKN39" s="51"/>
      <c r="QKO39" s="51"/>
      <c r="QKP39" s="51"/>
      <c r="QKQ39" s="51"/>
      <c r="QKR39" s="51"/>
      <c r="QKS39" s="51"/>
      <c r="QKT39" s="51"/>
      <c r="QKU39" s="51"/>
      <c r="QKV39" s="51"/>
      <c r="QKW39" s="51"/>
      <c r="QKX39" s="51"/>
      <c r="QKY39" s="51"/>
      <c r="QKZ39" s="51"/>
      <c r="QLA39" s="51"/>
      <c r="QLB39" s="51"/>
      <c r="QLC39" s="51"/>
      <c r="QLD39" s="51"/>
      <c r="QLE39" s="51"/>
      <c r="QLF39" s="51"/>
      <c r="QLG39" s="51"/>
      <c r="QLH39" s="51"/>
      <c r="QLI39" s="51"/>
      <c r="QLJ39" s="51"/>
      <c r="QLK39" s="51"/>
      <c r="QLL39" s="51"/>
      <c r="QLM39" s="51"/>
      <c r="QLN39" s="51"/>
      <c r="QLO39" s="51"/>
      <c r="QLP39" s="51"/>
      <c r="QLQ39" s="51"/>
      <c r="QLR39" s="51"/>
      <c r="QLS39" s="51"/>
      <c r="QLT39" s="51"/>
      <c r="QLU39" s="51"/>
      <c r="QLV39" s="51"/>
      <c r="QLW39" s="51"/>
      <c r="QLX39" s="51"/>
      <c r="QLY39" s="51"/>
      <c r="QLZ39" s="51"/>
      <c r="QMA39" s="51"/>
      <c r="QMB39" s="51"/>
      <c r="QMC39" s="51"/>
      <c r="QMD39" s="51"/>
      <c r="QME39" s="51"/>
      <c r="QMF39" s="51"/>
      <c r="QMG39" s="51"/>
      <c r="QMH39" s="51"/>
      <c r="QMI39" s="51"/>
      <c r="QMJ39" s="51"/>
      <c r="QMK39" s="51"/>
      <c r="QML39" s="51"/>
      <c r="QMM39" s="51"/>
      <c r="QMN39" s="51"/>
      <c r="QMO39" s="51"/>
      <c r="QMP39" s="51"/>
      <c r="QMQ39" s="51"/>
      <c r="QMR39" s="51"/>
      <c r="QMS39" s="51"/>
      <c r="QMT39" s="51"/>
      <c r="QMU39" s="51"/>
      <c r="QMV39" s="51"/>
      <c r="QMW39" s="51"/>
      <c r="QMX39" s="51"/>
      <c r="QMY39" s="51"/>
      <c r="QMZ39" s="51"/>
      <c r="QNA39" s="51"/>
      <c r="QNB39" s="51"/>
      <c r="QNC39" s="51"/>
      <c r="QND39" s="51"/>
      <c r="QNE39" s="51"/>
      <c r="QNF39" s="51"/>
      <c r="QNG39" s="51"/>
      <c r="QNH39" s="51"/>
      <c r="QNI39" s="51"/>
      <c r="QNJ39" s="51"/>
      <c r="QNK39" s="51"/>
      <c r="QNL39" s="51"/>
      <c r="QNM39" s="51"/>
      <c r="QNN39" s="51"/>
      <c r="QNO39" s="51"/>
      <c r="QNP39" s="51"/>
      <c r="QNQ39" s="51"/>
      <c r="QNR39" s="51"/>
      <c r="QNS39" s="51"/>
      <c r="QNT39" s="51"/>
      <c r="QNU39" s="51"/>
      <c r="QNV39" s="51"/>
      <c r="QNW39" s="51"/>
      <c r="QNX39" s="51"/>
      <c r="QNY39" s="51"/>
      <c r="QNZ39" s="51"/>
      <c r="QOA39" s="51"/>
      <c r="QOB39" s="51"/>
      <c r="QOC39" s="51"/>
      <c r="QOD39" s="51"/>
      <c r="QOE39" s="51"/>
      <c r="QOF39" s="51"/>
      <c r="QOG39" s="51"/>
      <c r="QOH39" s="51"/>
      <c r="QOI39" s="51"/>
      <c r="QOJ39" s="51"/>
      <c r="QOK39" s="51"/>
      <c r="QOL39" s="51"/>
      <c r="QOM39" s="51"/>
      <c r="QON39" s="51"/>
      <c r="QOO39" s="51"/>
      <c r="QOP39" s="51"/>
      <c r="QOQ39" s="51"/>
      <c r="QOR39" s="51"/>
      <c r="QOS39" s="51"/>
      <c r="QOT39" s="51"/>
      <c r="QOU39" s="51"/>
      <c r="QOV39" s="51"/>
      <c r="QOW39" s="51"/>
      <c r="QOX39" s="51"/>
      <c r="QOY39" s="51"/>
      <c r="QOZ39" s="51"/>
      <c r="QPA39" s="51"/>
      <c r="QPB39" s="51"/>
      <c r="QPC39" s="51"/>
      <c r="QPD39" s="51"/>
      <c r="QPE39" s="51"/>
      <c r="QPF39" s="51"/>
      <c r="QPG39" s="51"/>
      <c r="QPH39" s="51"/>
      <c r="QPI39" s="51"/>
      <c r="QPJ39" s="51"/>
      <c r="QPK39" s="51"/>
      <c r="QPL39" s="51"/>
      <c r="QPM39" s="51"/>
      <c r="QPN39" s="51"/>
      <c r="QPO39" s="51"/>
      <c r="QPP39" s="51"/>
      <c r="QPQ39" s="51"/>
      <c r="QPR39" s="51"/>
      <c r="QPS39" s="51"/>
      <c r="QPT39" s="51"/>
      <c r="QPU39" s="51"/>
      <c r="QPV39" s="51"/>
      <c r="QPW39" s="51"/>
      <c r="QPX39" s="51"/>
      <c r="QPY39" s="51"/>
      <c r="QPZ39" s="51"/>
      <c r="QQA39" s="51"/>
      <c r="QQB39" s="51"/>
      <c r="QQC39" s="51"/>
      <c r="QQD39" s="51"/>
      <c r="QQE39" s="51"/>
      <c r="QQF39" s="51"/>
      <c r="QQG39" s="51"/>
      <c r="QQH39" s="51"/>
      <c r="QQI39" s="51"/>
      <c r="QQJ39" s="51"/>
      <c r="QQK39" s="51"/>
      <c r="QQL39" s="51"/>
      <c r="QQM39" s="51"/>
      <c r="QQN39" s="51"/>
      <c r="QQO39" s="51"/>
      <c r="QQP39" s="51"/>
      <c r="QQQ39" s="51"/>
      <c r="QQR39" s="51"/>
      <c r="QQS39" s="51"/>
      <c r="QQT39" s="51"/>
      <c r="QQU39" s="51"/>
      <c r="QQV39" s="51"/>
      <c r="QQW39" s="51"/>
      <c r="QQX39" s="51"/>
      <c r="QQY39" s="51"/>
      <c r="QQZ39" s="51"/>
      <c r="QRA39" s="51"/>
      <c r="QRB39" s="51"/>
      <c r="QRC39" s="51"/>
      <c r="QRD39" s="51"/>
      <c r="QRE39" s="51"/>
      <c r="QRF39" s="51"/>
      <c r="QRG39" s="51"/>
      <c r="QRH39" s="51"/>
      <c r="QRI39" s="51"/>
      <c r="QRJ39" s="51"/>
      <c r="QRK39" s="51"/>
      <c r="QRL39" s="51"/>
      <c r="QRM39" s="51"/>
      <c r="QRN39" s="51"/>
      <c r="QRO39" s="51"/>
      <c r="QRP39" s="51"/>
      <c r="QRQ39" s="51"/>
      <c r="QRR39" s="51"/>
      <c r="QRS39" s="51"/>
      <c r="QRT39" s="51"/>
      <c r="QRU39" s="51"/>
      <c r="QRV39" s="51"/>
      <c r="QRW39" s="51"/>
      <c r="QRX39" s="51"/>
      <c r="QRY39" s="51"/>
      <c r="QRZ39" s="51"/>
      <c r="QSA39" s="51"/>
      <c r="QSB39" s="51"/>
      <c r="QSC39" s="51"/>
      <c r="QSD39" s="51"/>
      <c r="QSE39" s="51"/>
      <c r="QSF39" s="51"/>
      <c r="QSG39" s="51"/>
      <c r="QSH39" s="51"/>
      <c r="QSI39" s="51"/>
      <c r="QSJ39" s="51"/>
      <c r="QSK39" s="51"/>
      <c r="QSL39" s="51"/>
      <c r="QSM39" s="51"/>
      <c r="QSN39" s="51"/>
      <c r="QSO39" s="51"/>
      <c r="QSP39" s="51"/>
      <c r="QSQ39" s="51"/>
      <c r="QSR39" s="51"/>
      <c r="QSS39" s="51"/>
      <c r="QST39" s="51"/>
      <c r="QSU39" s="51"/>
      <c r="QSV39" s="51"/>
      <c r="QSW39" s="51"/>
      <c r="QSX39" s="51"/>
      <c r="QSY39" s="51"/>
      <c r="QSZ39" s="51"/>
      <c r="QTA39" s="51"/>
      <c r="QTB39" s="51"/>
      <c r="QTC39" s="51"/>
      <c r="QTD39" s="51"/>
      <c r="QTE39" s="51"/>
      <c r="QTF39" s="51"/>
      <c r="QTG39" s="51"/>
      <c r="QTH39" s="51"/>
      <c r="QTI39" s="51"/>
      <c r="QTJ39" s="51"/>
      <c r="QTK39" s="51"/>
      <c r="QTL39" s="51"/>
      <c r="QTM39" s="51"/>
      <c r="QTN39" s="51"/>
      <c r="QTO39" s="51"/>
      <c r="QTP39" s="51"/>
      <c r="QTQ39" s="51"/>
      <c r="QTR39" s="51"/>
      <c r="QTS39" s="51"/>
      <c r="QTT39" s="51"/>
      <c r="QTU39" s="51"/>
      <c r="QTV39" s="51"/>
      <c r="QTW39" s="51"/>
      <c r="QTX39" s="51"/>
      <c r="QTY39" s="51"/>
      <c r="QTZ39" s="51"/>
      <c r="QUA39" s="51"/>
      <c r="QUB39" s="51"/>
      <c r="QUC39" s="51"/>
      <c r="QUD39" s="51"/>
      <c r="QUE39" s="51"/>
      <c r="QUF39" s="51"/>
      <c r="QUG39" s="51"/>
      <c r="QUH39" s="51"/>
      <c r="QUI39" s="51"/>
      <c r="QUJ39" s="51"/>
      <c r="QUK39" s="51"/>
      <c r="QUL39" s="51"/>
      <c r="QUM39" s="51"/>
      <c r="QUN39" s="51"/>
      <c r="QUO39" s="51"/>
      <c r="QUP39" s="51"/>
      <c r="QUQ39" s="51"/>
      <c r="QUR39" s="51"/>
      <c r="QUS39" s="51"/>
      <c r="QUT39" s="51"/>
      <c r="QUU39" s="51"/>
      <c r="QUV39" s="51"/>
      <c r="QUW39" s="51"/>
      <c r="QUX39" s="51"/>
      <c r="QUY39" s="51"/>
      <c r="QUZ39" s="51"/>
      <c r="QVA39" s="51"/>
      <c r="QVB39" s="51"/>
      <c r="QVC39" s="51"/>
      <c r="QVD39" s="51"/>
      <c r="QVE39" s="51"/>
      <c r="QVF39" s="51"/>
      <c r="QVG39" s="51"/>
      <c r="QVH39" s="51"/>
      <c r="QVI39" s="51"/>
      <c r="QVJ39" s="51"/>
      <c r="QVK39" s="51"/>
      <c r="QVL39" s="51"/>
      <c r="QVM39" s="51"/>
      <c r="QVN39" s="51"/>
      <c r="QVO39" s="51"/>
      <c r="QVP39" s="51"/>
      <c r="QVQ39" s="51"/>
      <c r="QVR39" s="51"/>
      <c r="QVS39" s="51"/>
      <c r="QVT39" s="51"/>
      <c r="QVU39" s="51"/>
      <c r="QVV39" s="51"/>
      <c r="QVW39" s="51"/>
      <c r="QVX39" s="51"/>
      <c r="QVY39" s="51"/>
      <c r="QVZ39" s="51"/>
      <c r="QWA39" s="51"/>
      <c r="QWB39" s="51"/>
      <c r="QWC39" s="51"/>
      <c r="QWD39" s="51"/>
      <c r="QWE39" s="51"/>
      <c r="QWF39" s="51"/>
      <c r="QWG39" s="51"/>
      <c r="QWH39" s="51"/>
      <c r="QWI39" s="51"/>
      <c r="QWJ39" s="51"/>
      <c r="QWK39" s="51"/>
      <c r="QWL39" s="51"/>
      <c r="QWM39" s="51"/>
      <c r="QWN39" s="51"/>
      <c r="QWO39" s="51"/>
      <c r="QWP39" s="51"/>
      <c r="QWQ39" s="51"/>
      <c r="QWR39" s="51"/>
      <c r="QWS39" s="51"/>
      <c r="QWT39" s="51"/>
      <c r="QWU39" s="51"/>
      <c r="QWV39" s="51"/>
      <c r="QWW39" s="51"/>
      <c r="QWX39" s="51"/>
      <c r="QWY39" s="51"/>
      <c r="QWZ39" s="51"/>
      <c r="QXA39" s="51"/>
      <c r="QXB39" s="51"/>
      <c r="QXC39" s="51"/>
      <c r="QXD39" s="51"/>
      <c r="QXE39" s="51"/>
      <c r="QXF39" s="51"/>
      <c r="QXG39" s="51"/>
      <c r="QXH39" s="51"/>
      <c r="QXI39" s="51"/>
      <c r="QXJ39" s="51"/>
      <c r="QXK39" s="51"/>
      <c r="QXL39" s="51"/>
      <c r="QXM39" s="51"/>
      <c r="QXN39" s="51"/>
      <c r="QXO39" s="51"/>
      <c r="QXP39" s="51"/>
      <c r="QXQ39" s="51"/>
      <c r="QXR39" s="51"/>
      <c r="QXS39" s="51"/>
      <c r="QXT39" s="51"/>
      <c r="QXU39" s="51"/>
      <c r="QXV39" s="51"/>
      <c r="QXW39" s="51"/>
      <c r="QXX39" s="51"/>
      <c r="QXY39" s="51"/>
      <c r="QXZ39" s="51"/>
      <c r="QYA39" s="51"/>
      <c r="QYB39" s="51"/>
      <c r="QYC39" s="51"/>
      <c r="QYD39" s="51"/>
      <c r="QYE39" s="51"/>
      <c r="QYF39" s="51"/>
      <c r="QYG39" s="51"/>
      <c r="QYH39" s="51"/>
      <c r="QYI39" s="51"/>
      <c r="QYJ39" s="51"/>
      <c r="QYK39" s="51"/>
      <c r="QYL39" s="51"/>
      <c r="QYM39" s="51"/>
      <c r="QYN39" s="51"/>
      <c r="QYO39" s="51"/>
      <c r="QYP39" s="51"/>
      <c r="QYQ39" s="51"/>
      <c r="QYR39" s="51"/>
      <c r="QYS39" s="51"/>
      <c r="QYT39" s="51"/>
      <c r="QYU39" s="51"/>
      <c r="QYV39" s="51"/>
      <c r="QYW39" s="51"/>
      <c r="QYX39" s="51"/>
      <c r="QYY39" s="51"/>
      <c r="QYZ39" s="51"/>
      <c r="QZA39" s="51"/>
      <c r="QZB39" s="51"/>
      <c r="QZC39" s="51"/>
      <c r="QZD39" s="51"/>
      <c r="QZE39" s="51"/>
      <c r="QZF39" s="51"/>
      <c r="QZG39" s="51"/>
      <c r="QZH39" s="51"/>
      <c r="QZI39" s="51"/>
      <c r="QZJ39" s="51"/>
      <c r="QZK39" s="51"/>
      <c r="QZL39" s="51"/>
      <c r="QZM39" s="51"/>
      <c r="QZN39" s="51"/>
      <c r="QZO39" s="51"/>
      <c r="QZP39" s="51"/>
      <c r="QZQ39" s="51"/>
      <c r="QZR39" s="51"/>
      <c r="QZS39" s="51"/>
      <c r="QZT39" s="51"/>
      <c r="QZU39" s="51"/>
      <c r="QZV39" s="51"/>
      <c r="QZW39" s="51"/>
      <c r="QZX39" s="51"/>
      <c r="QZY39" s="51"/>
      <c r="QZZ39" s="51"/>
      <c r="RAA39" s="51"/>
      <c r="RAB39" s="51"/>
      <c r="RAC39" s="51"/>
      <c r="RAD39" s="51"/>
      <c r="RAE39" s="51"/>
      <c r="RAF39" s="51"/>
      <c r="RAG39" s="51"/>
      <c r="RAH39" s="51"/>
      <c r="RAI39" s="51"/>
      <c r="RAJ39" s="51"/>
      <c r="RAK39" s="51"/>
      <c r="RAL39" s="51"/>
      <c r="RAM39" s="51"/>
      <c r="RAN39" s="51"/>
      <c r="RAO39" s="51"/>
      <c r="RAP39" s="51"/>
      <c r="RAQ39" s="51"/>
      <c r="RAR39" s="51"/>
      <c r="RAS39" s="51"/>
      <c r="RAT39" s="51"/>
      <c r="RAU39" s="51"/>
      <c r="RAV39" s="51"/>
      <c r="RAW39" s="51"/>
      <c r="RAX39" s="51"/>
      <c r="RAY39" s="51"/>
      <c r="RAZ39" s="51"/>
      <c r="RBA39" s="51"/>
      <c r="RBB39" s="51"/>
      <c r="RBC39" s="51"/>
      <c r="RBD39" s="51"/>
      <c r="RBE39" s="51"/>
      <c r="RBF39" s="51"/>
      <c r="RBG39" s="51"/>
      <c r="RBH39" s="51"/>
      <c r="RBI39" s="51"/>
      <c r="RBJ39" s="51"/>
      <c r="RBK39" s="51"/>
      <c r="RBL39" s="51"/>
      <c r="RBM39" s="51"/>
      <c r="RBN39" s="51"/>
      <c r="RBO39" s="51"/>
      <c r="RBP39" s="51"/>
      <c r="RBQ39" s="51"/>
      <c r="RBR39" s="51"/>
      <c r="RBS39" s="51"/>
      <c r="RBT39" s="51"/>
      <c r="RBU39" s="51"/>
      <c r="RBV39" s="51"/>
      <c r="RBW39" s="51"/>
      <c r="RBX39" s="51"/>
      <c r="RBY39" s="51"/>
      <c r="RBZ39" s="51"/>
      <c r="RCA39" s="51"/>
      <c r="RCB39" s="51"/>
      <c r="RCC39" s="51"/>
      <c r="RCD39" s="51"/>
      <c r="RCE39" s="51"/>
      <c r="RCF39" s="51"/>
      <c r="RCG39" s="51"/>
      <c r="RCH39" s="51"/>
      <c r="RCI39" s="51"/>
      <c r="RCJ39" s="51"/>
      <c r="RCK39" s="51"/>
      <c r="RCL39" s="51"/>
      <c r="RCM39" s="51"/>
      <c r="RCN39" s="51"/>
      <c r="RCO39" s="51"/>
      <c r="RCP39" s="51"/>
      <c r="RCQ39" s="51"/>
      <c r="RCR39" s="51"/>
      <c r="RCS39" s="51"/>
      <c r="RCT39" s="51"/>
      <c r="RCU39" s="51"/>
      <c r="RCV39" s="51"/>
      <c r="RCW39" s="51"/>
      <c r="RCX39" s="51"/>
      <c r="RCY39" s="51"/>
      <c r="RCZ39" s="51"/>
      <c r="RDA39" s="51"/>
      <c r="RDB39" s="51"/>
      <c r="RDC39" s="51"/>
      <c r="RDD39" s="51"/>
      <c r="RDE39" s="51"/>
      <c r="RDF39" s="51"/>
      <c r="RDG39" s="51"/>
      <c r="RDH39" s="51"/>
      <c r="RDI39" s="51"/>
      <c r="RDJ39" s="51"/>
      <c r="RDK39" s="51"/>
      <c r="RDL39" s="51"/>
      <c r="RDM39" s="51"/>
      <c r="RDN39" s="51"/>
      <c r="RDO39" s="51"/>
      <c r="RDP39" s="51"/>
      <c r="RDQ39" s="51"/>
      <c r="RDR39" s="51"/>
      <c r="RDS39" s="51"/>
      <c r="RDT39" s="51"/>
      <c r="RDU39" s="51"/>
      <c r="RDV39" s="51"/>
      <c r="RDW39" s="51"/>
      <c r="RDX39" s="51"/>
      <c r="RDY39" s="51"/>
      <c r="RDZ39" s="51"/>
      <c r="REA39" s="51"/>
      <c r="REB39" s="51"/>
      <c r="REC39" s="51"/>
      <c r="RED39" s="51"/>
      <c r="REE39" s="51"/>
      <c r="REF39" s="51"/>
      <c r="REG39" s="51"/>
      <c r="REH39" s="51"/>
      <c r="REI39" s="51"/>
      <c r="REJ39" s="51"/>
      <c r="REK39" s="51"/>
      <c r="REL39" s="51"/>
      <c r="REM39" s="51"/>
      <c r="REN39" s="51"/>
      <c r="REO39" s="51"/>
      <c r="REP39" s="51"/>
      <c r="REQ39" s="51"/>
      <c r="RER39" s="51"/>
      <c r="RES39" s="51"/>
      <c r="RET39" s="51"/>
      <c r="REU39" s="51"/>
      <c r="REV39" s="51"/>
      <c r="REW39" s="51"/>
      <c r="REX39" s="51"/>
      <c r="REY39" s="51"/>
      <c r="REZ39" s="51"/>
      <c r="RFA39" s="51"/>
      <c r="RFB39" s="51"/>
      <c r="RFC39" s="51"/>
      <c r="RFD39" s="51"/>
      <c r="RFE39" s="51"/>
      <c r="RFF39" s="51"/>
      <c r="RFG39" s="51"/>
      <c r="RFH39" s="51"/>
      <c r="RFI39" s="51"/>
      <c r="RFJ39" s="51"/>
      <c r="RFK39" s="51"/>
      <c r="RFL39" s="51"/>
      <c r="RFM39" s="51"/>
      <c r="RFN39" s="51"/>
      <c r="RFO39" s="51"/>
      <c r="RFP39" s="51"/>
      <c r="RFQ39" s="51"/>
      <c r="RFR39" s="51"/>
      <c r="RFS39" s="51"/>
      <c r="RFT39" s="51"/>
      <c r="RFU39" s="51"/>
      <c r="RFV39" s="51"/>
      <c r="RFW39" s="51"/>
      <c r="RFX39" s="51"/>
      <c r="RFY39" s="51"/>
      <c r="RFZ39" s="51"/>
      <c r="RGA39" s="51"/>
      <c r="RGB39" s="51"/>
      <c r="RGC39" s="51"/>
      <c r="RGD39" s="51"/>
      <c r="RGE39" s="51"/>
      <c r="RGF39" s="51"/>
      <c r="RGG39" s="51"/>
      <c r="RGH39" s="51"/>
      <c r="RGI39" s="51"/>
      <c r="RGJ39" s="51"/>
      <c r="RGK39" s="51"/>
      <c r="RGL39" s="51"/>
      <c r="RGM39" s="51"/>
      <c r="RGN39" s="51"/>
      <c r="RGO39" s="51"/>
      <c r="RGP39" s="51"/>
      <c r="RGQ39" s="51"/>
      <c r="RGR39" s="51"/>
      <c r="RGS39" s="51"/>
      <c r="RGT39" s="51"/>
      <c r="RGU39" s="51"/>
      <c r="RGV39" s="51"/>
      <c r="RGW39" s="51"/>
      <c r="RGX39" s="51"/>
      <c r="RGY39" s="51"/>
      <c r="RGZ39" s="51"/>
      <c r="RHA39" s="51"/>
      <c r="RHB39" s="51"/>
      <c r="RHC39" s="51"/>
      <c r="RHD39" s="51"/>
      <c r="RHE39" s="51"/>
      <c r="RHF39" s="51"/>
      <c r="RHG39" s="51"/>
      <c r="RHH39" s="51"/>
      <c r="RHI39" s="51"/>
      <c r="RHJ39" s="51"/>
      <c r="RHK39" s="51"/>
      <c r="RHL39" s="51"/>
      <c r="RHM39" s="51"/>
      <c r="RHN39" s="51"/>
      <c r="RHO39" s="51"/>
      <c r="RHP39" s="51"/>
      <c r="RHQ39" s="51"/>
      <c r="RHR39" s="51"/>
      <c r="RHS39" s="51"/>
      <c r="RHT39" s="51"/>
      <c r="RHU39" s="51"/>
      <c r="RHV39" s="51"/>
      <c r="RHW39" s="51"/>
      <c r="RHX39" s="51"/>
      <c r="RHY39" s="51"/>
      <c r="RHZ39" s="51"/>
      <c r="RIA39" s="51"/>
      <c r="RIB39" s="51"/>
      <c r="RIC39" s="51"/>
      <c r="RID39" s="51"/>
      <c r="RIE39" s="51"/>
      <c r="RIF39" s="51"/>
      <c r="RIG39" s="51"/>
      <c r="RIH39" s="51"/>
      <c r="RII39" s="51"/>
      <c r="RIJ39" s="51"/>
      <c r="RIK39" s="51"/>
      <c r="RIL39" s="51"/>
      <c r="RIM39" s="51"/>
      <c r="RIN39" s="51"/>
      <c r="RIO39" s="51"/>
      <c r="RIP39" s="51"/>
      <c r="RIQ39" s="51"/>
      <c r="RIR39" s="51"/>
      <c r="RIS39" s="51"/>
      <c r="RIT39" s="51"/>
      <c r="RIU39" s="51"/>
      <c r="RIV39" s="51"/>
      <c r="RIW39" s="51"/>
      <c r="RIX39" s="51"/>
      <c r="RIY39" s="51"/>
      <c r="RIZ39" s="51"/>
      <c r="RJA39" s="51"/>
      <c r="RJB39" s="51"/>
      <c r="RJC39" s="51"/>
      <c r="RJD39" s="51"/>
      <c r="RJE39" s="51"/>
      <c r="RJF39" s="51"/>
      <c r="RJG39" s="51"/>
      <c r="RJH39" s="51"/>
      <c r="RJI39" s="51"/>
      <c r="RJJ39" s="51"/>
      <c r="RJK39" s="51"/>
      <c r="RJL39" s="51"/>
      <c r="RJM39" s="51"/>
      <c r="RJN39" s="51"/>
      <c r="RJO39" s="51"/>
      <c r="RJP39" s="51"/>
      <c r="RJQ39" s="51"/>
      <c r="RJR39" s="51"/>
      <c r="RJS39" s="51"/>
      <c r="RJT39" s="51"/>
      <c r="RJU39" s="51"/>
      <c r="RJV39" s="51"/>
      <c r="RJW39" s="51"/>
      <c r="RJX39" s="51"/>
      <c r="RJY39" s="51"/>
      <c r="RJZ39" s="51"/>
      <c r="RKA39" s="51"/>
      <c r="RKB39" s="51"/>
      <c r="RKC39" s="51"/>
      <c r="RKD39" s="51"/>
      <c r="RKE39" s="51"/>
      <c r="RKF39" s="51"/>
      <c r="RKG39" s="51"/>
      <c r="RKH39" s="51"/>
      <c r="RKI39" s="51"/>
      <c r="RKJ39" s="51"/>
      <c r="RKK39" s="51"/>
      <c r="RKL39" s="51"/>
      <c r="RKM39" s="51"/>
      <c r="RKN39" s="51"/>
      <c r="RKO39" s="51"/>
      <c r="RKP39" s="51"/>
      <c r="RKQ39" s="51"/>
      <c r="RKR39" s="51"/>
      <c r="RKS39" s="51"/>
      <c r="RKT39" s="51"/>
      <c r="RKU39" s="51"/>
      <c r="RKV39" s="51"/>
      <c r="RKW39" s="51"/>
      <c r="RKX39" s="51"/>
      <c r="RKY39" s="51"/>
      <c r="RKZ39" s="51"/>
      <c r="RLA39" s="51"/>
      <c r="RLB39" s="51"/>
      <c r="RLC39" s="51"/>
      <c r="RLD39" s="51"/>
      <c r="RLE39" s="51"/>
      <c r="RLF39" s="51"/>
      <c r="RLG39" s="51"/>
      <c r="RLH39" s="51"/>
      <c r="RLI39" s="51"/>
      <c r="RLJ39" s="51"/>
      <c r="RLK39" s="51"/>
      <c r="RLL39" s="51"/>
      <c r="RLM39" s="51"/>
      <c r="RLN39" s="51"/>
      <c r="RLO39" s="51"/>
      <c r="RLP39" s="51"/>
      <c r="RLQ39" s="51"/>
      <c r="RLR39" s="51"/>
      <c r="RLS39" s="51"/>
      <c r="RLT39" s="51"/>
      <c r="RLU39" s="51"/>
      <c r="RLV39" s="51"/>
      <c r="RLW39" s="51"/>
      <c r="RLX39" s="51"/>
      <c r="RLY39" s="51"/>
      <c r="RLZ39" s="51"/>
      <c r="RMA39" s="51"/>
      <c r="RMB39" s="51"/>
      <c r="RMC39" s="51"/>
      <c r="RMD39" s="51"/>
      <c r="RME39" s="51"/>
      <c r="RMF39" s="51"/>
      <c r="RMG39" s="51"/>
      <c r="RMH39" s="51"/>
      <c r="RMI39" s="51"/>
      <c r="RMJ39" s="51"/>
      <c r="RMK39" s="51"/>
      <c r="RML39" s="51"/>
      <c r="RMM39" s="51"/>
      <c r="RMN39" s="51"/>
      <c r="RMO39" s="51"/>
      <c r="RMP39" s="51"/>
      <c r="RMQ39" s="51"/>
      <c r="RMR39" s="51"/>
      <c r="RMS39" s="51"/>
      <c r="RMT39" s="51"/>
      <c r="RMU39" s="51"/>
      <c r="RMV39" s="51"/>
      <c r="RMW39" s="51"/>
      <c r="RMX39" s="51"/>
      <c r="RMY39" s="51"/>
      <c r="RMZ39" s="51"/>
      <c r="RNA39" s="51"/>
      <c r="RNB39" s="51"/>
      <c r="RNC39" s="51"/>
      <c r="RND39" s="51"/>
      <c r="RNE39" s="51"/>
      <c r="RNF39" s="51"/>
      <c r="RNG39" s="51"/>
      <c r="RNH39" s="51"/>
      <c r="RNI39" s="51"/>
      <c r="RNJ39" s="51"/>
      <c r="RNK39" s="51"/>
      <c r="RNL39" s="51"/>
      <c r="RNM39" s="51"/>
      <c r="RNN39" s="51"/>
      <c r="RNO39" s="51"/>
      <c r="RNP39" s="51"/>
      <c r="RNQ39" s="51"/>
      <c r="RNR39" s="51"/>
      <c r="RNS39" s="51"/>
      <c r="RNT39" s="51"/>
      <c r="RNU39" s="51"/>
      <c r="RNV39" s="51"/>
      <c r="RNW39" s="51"/>
      <c r="RNX39" s="51"/>
      <c r="RNY39" s="51"/>
      <c r="RNZ39" s="51"/>
      <c r="ROA39" s="51"/>
      <c r="ROB39" s="51"/>
      <c r="ROC39" s="51"/>
      <c r="ROD39" s="51"/>
      <c r="ROE39" s="51"/>
      <c r="ROF39" s="51"/>
      <c r="ROG39" s="51"/>
      <c r="ROH39" s="51"/>
      <c r="ROI39" s="51"/>
      <c r="ROJ39" s="51"/>
      <c r="ROK39" s="51"/>
      <c r="ROL39" s="51"/>
      <c r="ROM39" s="51"/>
      <c r="RON39" s="51"/>
      <c r="ROO39" s="51"/>
      <c r="ROP39" s="51"/>
      <c r="ROQ39" s="51"/>
      <c r="ROR39" s="51"/>
      <c r="ROS39" s="51"/>
      <c r="ROT39" s="51"/>
      <c r="ROU39" s="51"/>
      <c r="ROV39" s="51"/>
      <c r="ROW39" s="51"/>
      <c r="ROX39" s="51"/>
      <c r="ROY39" s="51"/>
      <c r="ROZ39" s="51"/>
      <c r="RPA39" s="51"/>
      <c r="RPB39" s="51"/>
      <c r="RPC39" s="51"/>
      <c r="RPD39" s="51"/>
      <c r="RPE39" s="51"/>
      <c r="RPF39" s="51"/>
      <c r="RPG39" s="51"/>
      <c r="RPH39" s="51"/>
      <c r="RPI39" s="51"/>
      <c r="RPJ39" s="51"/>
      <c r="RPK39" s="51"/>
      <c r="RPL39" s="51"/>
      <c r="RPM39" s="51"/>
      <c r="RPN39" s="51"/>
      <c r="RPO39" s="51"/>
      <c r="RPP39" s="51"/>
      <c r="RPQ39" s="51"/>
      <c r="RPR39" s="51"/>
      <c r="RPS39" s="51"/>
      <c r="RPT39" s="51"/>
      <c r="RPU39" s="51"/>
      <c r="RPV39" s="51"/>
      <c r="RPW39" s="51"/>
      <c r="RPX39" s="51"/>
      <c r="RPY39" s="51"/>
      <c r="RPZ39" s="51"/>
      <c r="RQA39" s="51"/>
      <c r="RQB39" s="51"/>
      <c r="RQC39" s="51"/>
      <c r="RQD39" s="51"/>
      <c r="RQE39" s="51"/>
      <c r="RQF39" s="51"/>
      <c r="RQG39" s="51"/>
      <c r="RQH39" s="51"/>
      <c r="RQI39" s="51"/>
      <c r="RQJ39" s="51"/>
      <c r="RQK39" s="51"/>
      <c r="RQL39" s="51"/>
      <c r="RQM39" s="51"/>
      <c r="RQN39" s="51"/>
      <c r="RQO39" s="51"/>
      <c r="RQP39" s="51"/>
      <c r="RQQ39" s="51"/>
      <c r="RQR39" s="51"/>
      <c r="RQS39" s="51"/>
      <c r="RQT39" s="51"/>
      <c r="RQU39" s="51"/>
      <c r="RQV39" s="51"/>
      <c r="RQW39" s="51"/>
      <c r="RQX39" s="51"/>
      <c r="RQY39" s="51"/>
      <c r="RQZ39" s="51"/>
      <c r="RRA39" s="51"/>
      <c r="RRB39" s="51"/>
      <c r="RRC39" s="51"/>
      <c r="RRD39" s="51"/>
      <c r="RRE39" s="51"/>
      <c r="RRF39" s="51"/>
      <c r="RRG39" s="51"/>
      <c r="RRH39" s="51"/>
      <c r="RRI39" s="51"/>
      <c r="RRJ39" s="51"/>
      <c r="RRK39" s="51"/>
      <c r="RRL39" s="51"/>
      <c r="RRM39" s="51"/>
      <c r="RRN39" s="51"/>
      <c r="RRO39" s="51"/>
      <c r="RRP39" s="51"/>
      <c r="RRQ39" s="51"/>
      <c r="RRR39" s="51"/>
      <c r="RRS39" s="51"/>
      <c r="RRT39" s="51"/>
      <c r="RRU39" s="51"/>
      <c r="RRV39" s="51"/>
      <c r="RRW39" s="51"/>
      <c r="RRX39" s="51"/>
      <c r="RRY39" s="51"/>
      <c r="RRZ39" s="51"/>
      <c r="RSA39" s="51"/>
      <c r="RSB39" s="51"/>
      <c r="RSC39" s="51"/>
      <c r="RSD39" s="51"/>
      <c r="RSE39" s="51"/>
      <c r="RSF39" s="51"/>
      <c r="RSG39" s="51"/>
      <c r="RSH39" s="51"/>
      <c r="RSI39" s="51"/>
      <c r="RSJ39" s="51"/>
      <c r="RSK39" s="51"/>
      <c r="RSL39" s="51"/>
      <c r="RSM39" s="51"/>
      <c r="RSN39" s="51"/>
      <c r="RSO39" s="51"/>
      <c r="RSP39" s="51"/>
      <c r="RSQ39" s="51"/>
      <c r="RSR39" s="51"/>
      <c r="RSS39" s="51"/>
      <c r="RST39" s="51"/>
      <c r="RSU39" s="51"/>
      <c r="RSV39" s="51"/>
      <c r="RSW39" s="51"/>
      <c r="RSX39" s="51"/>
      <c r="RSY39" s="51"/>
      <c r="RSZ39" s="51"/>
      <c r="RTA39" s="51"/>
      <c r="RTB39" s="51"/>
      <c r="RTC39" s="51"/>
      <c r="RTD39" s="51"/>
      <c r="RTE39" s="51"/>
      <c r="RTF39" s="51"/>
      <c r="RTG39" s="51"/>
      <c r="RTH39" s="51"/>
      <c r="RTI39" s="51"/>
      <c r="RTJ39" s="51"/>
      <c r="RTK39" s="51"/>
      <c r="RTL39" s="51"/>
      <c r="RTM39" s="51"/>
      <c r="RTN39" s="51"/>
      <c r="RTO39" s="51"/>
      <c r="RTP39" s="51"/>
      <c r="RTQ39" s="51"/>
      <c r="RTR39" s="51"/>
      <c r="RTS39" s="51"/>
      <c r="RTT39" s="51"/>
      <c r="RTU39" s="51"/>
      <c r="RTV39" s="51"/>
      <c r="RTW39" s="51"/>
      <c r="RTX39" s="51"/>
      <c r="RTY39" s="51"/>
      <c r="RTZ39" s="51"/>
      <c r="RUA39" s="51"/>
      <c r="RUB39" s="51"/>
      <c r="RUC39" s="51"/>
      <c r="RUD39" s="51"/>
      <c r="RUE39" s="51"/>
      <c r="RUF39" s="51"/>
      <c r="RUG39" s="51"/>
      <c r="RUH39" s="51"/>
      <c r="RUI39" s="51"/>
      <c r="RUJ39" s="51"/>
      <c r="RUK39" s="51"/>
      <c r="RUL39" s="51"/>
      <c r="RUM39" s="51"/>
      <c r="RUN39" s="51"/>
      <c r="RUO39" s="51"/>
      <c r="RUP39" s="51"/>
      <c r="RUQ39" s="51"/>
      <c r="RUR39" s="51"/>
      <c r="RUS39" s="51"/>
      <c r="RUT39" s="51"/>
      <c r="RUU39" s="51"/>
      <c r="RUV39" s="51"/>
      <c r="RUW39" s="51"/>
      <c r="RUX39" s="51"/>
      <c r="RUY39" s="51"/>
      <c r="RUZ39" s="51"/>
      <c r="RVA39" s="51"/>
      <c r="RVB39" s="51"/>
      <c r="RVC39" s="51"/>
      <c r="RVD39" s="51"/>
      <c r="RVE39" s="51"/>
      <c r="RVF39" s="51"/>
      <c r="RVG39" s="51"/>
      <c r="RVH39" s="51"/>
      <c r="RVI39" s="51"/>
      <c r="RVJ39" s="51"/>
      <c r="RVK39" s="51"/>
      <c r="RVL39" s="51"/>
      <c r="RVM39" s="51"/>
      <c r="RVN39" s="51"/>
      <c r="RVO39" s="51"/>
      <c r="RVP39" s="51"/>
      <c r="RVQ39" s="51"/>
      <c r="RVR39" s="51"/>
      <c r="RVS39" s="51"/>
      <c r="RVT39" s="51"/>
      <c r="RVU39" s="51"/>
      <c r="RVV39" s="51"/>
      <c r="RVW39" s="51"/>
      <c r="RVX39" s="51"/>
      <c r="RVY39" s="51"/>
      <c r="RVZ39" s="51"/>
      <c r="RWA39" s="51"/>
      <c r="RWB39" s="51"/>
      <c r="RWC39" s="51"/>
      <c r="RWD39" s="51"/>
      <c r="RWE39" s="51"/>
      <c r="RWF39" s="51"/>
      <c r="RWG39" s="51"/>
      <c r="RWH39" s="51"/>
      <c r="RWI39" s="51"/>
      <c r="RWJ39" s="51"/>
      <c r="RWK39" s="51"/>
      <c r="RWL39" s="51"/>
      <c r="RWM39" s="51"/>
      <c r="RWN39" s="51"/>
      <c r="RWO39" s="51"/>
      <c r="RWP39" s="51"/>
      <c r="RWQ39" s="51"/>
      <c r="RWR39" s="51"/>
      <c r="RWS39" s="51"/>
      <c r="RWT39" s="51"/>
      <c r="RWU39" s="51"/>
      <c r="RWV39" s="51"/>
      <c r="RWW39" s="51"/>
      <c r="RWX39" s="51"/>
      <c r="RWY39" s="51"/>
      <c r="RWZ39" s="51"/>
      <c r="RXA39" s="51"/>
      <c r="RXB39" s="51"/>
      <c r="RXC39" s="51"/>
      <c r="RXD39" s="51"/>
      <c r="RXE39" s="51"/>
      <c r="RXF39" s="51"/>
      <c r="RXG39" s="51"/>
      <c r="RXH39" s="51"/>
      <c r="RXI39" s="51"/>
      <c r="RXJ39" s="51"/>
      <c r="RXK39" s="51"/>
      <c r="RXL39" s="51"/>
      <c r="RXM39" s="51"/>
      <c r="RXN39" s="51"/>
      <c r="RXO39" s="51"/>
      <c r="RXP39" s="51"/>
      <c r="RXQ39" s="51"/>
      <c r="RXR39" s="51"/>
      <c r="RXS39" s="51"/>
      <c r="RXT39" s="51"/>
      <c r="RXU39" s="51"/>
      <c r="RXV39" s="51"/>
      <c r="RXW39" s="51"/>
      <c r="RXX39" s="51"/>
      <c r="RXY39" s="51"/>
      <c r="RXZ39" s="51"/>
      <c r="RYA39" s="51"/>
      <c r="RYB39" s="51"/>
      <c r="RYC39" s="51"/>
      <c r="RYD39" s="51"/>
      <c r="RYE39" s="51"/>
      <c r="RYF39" s="51"/>
      <c r="RYG39" s="51"/>
      <c r="RYH39" s="51"/>
      <c r="RYI39" s="51"/>
      <c r="RYJ39" s="51"/>
      <c r="RYK39" s="51"/>
      <c r="RYL39" s="51"/>
      <c r="RYM39" s="51"/>
      <c r="RYN39" s="51"/>
      <c r="RYO39" s="51"/>
      <c r="RYP39" s="51"/>
      <c r="RYQ39" s="51"/>
      <c r="RYR39" s="51"/>
      <c r="RYS39" s="51"/>
      <c r="RYT39" s="51"/>
      <c r="RYU39" s="51"/>
      <c r="RYV39" s="51"/>
      <c r="RYW39" s="51"/>
      <c r="RYX39" s="51"/>
      <c r="RYY39" s="51"/>
      <c r="RYZ39" s="51"/>
      <c r="RZA39" s="51"/>
      <c r="RZB39" s="51"/>
      <c r="RZC39" s="51"/>
      <c r="RZD39" s="51"/>
      <c r="RZE39" s="51"/>
      <c r="RZF39" s="51"/>
      <c r="RZG39" s="51"/>
      <c r="RZH39" s="51"/>
      <c r="RZI39" s="51"/>
      <c r="RZJ39" s="51"/>
      <c r="RZK39" s="51"/>
      <c r="RZL39" s="51"/>
      <c r="RZM39" s="51"/>
      <c r="RZN39" s="51"/>
      <c r="RZO39" s="51"/>
      <c r="RZP39" s="51"/>
      <c r="RZQ39" s="51"/>
      <c r="RZR39" s="51"/>
      <c r="RZS39" s="51"/>
      <c r="RZT39" s="51"/>
      <c r="RZU39" s="51"/>
      <c r="RZV39" s="51"/>
      <c r="RZW39" s="51"/>
      <c r="RZX39" s="51"/>
      <c r="RZY39" s="51"/>
      <c r="RZZ39" s="51"/>
      <c r="SAA39" s="51"/>
      <c r="SAB39" s="51"/>
      <c r="SAC39" s="51"/>
      <c r="SAD39" s="51"/>
      <c r="SAE39" s="51"/>
      <c r="SAF39" s="51"/>
      <c r="SAG39" s="51"/>
      <c r="SAH39" s="51"/>
      <c r="SAI39" s="51"/>
      <c r="SAJ39" s="51"/>
      <c r="SAK39" s="51"/>
      <c r="SAL39" s="51"/>
      <c r="SAM39" s="51"/>
      <c r="SAN39" s="51"/>
      <c r="SAO39" s="51"/>
      <c r="SAP39" s="51"/>
      <c r="SAQ39" s="51"/>
      <c r="SAR39" s="51"/>
      <c r="SAS39" s="51"/>
      <c r="SAT39" s="51"/>
      <c r="SAU39" s="51"/>
      <c r="SAV39" s="51"/>
      <c r="SAW39" s="51"/>
      <c r="SAX39" s="51"/>
      <c r="SAY39" s="51"/>
      <c r="SAZ39" s="51"/>
      <c r="SBA39" s="51"/>
      <c r="SBB39" s="51"/>
      <c r="SBC39" s="51"/>
      <c r="SBD39" s="51"/>
      <c r="SBE39" s="51"/>
      <c r="SBF39" s="51"/>
      <c r="SBG39" s="51"/>
      <c r="SBH39" s="51"/>
      <c r="SBI39" s="51"/>
      <c r="SBJ39" s="51"/>
      <c r="SBK39" s="51"/>
      <c r="SBL39" s="51"/>
      <c r="SBM39" s="51"/>
      <c r="SBN39" s="51"/>
      <c r="SBO39" s="51"/>
      <c r="SBP39" s="51"/>
      <c r="SBQ39" s="51"/>
      <c r="SBR39" s="51"/>
      <c r="SBS39" s="51"/>
      <c r="SBT39" s="51"/>
      <c r="SBU39" s="51"/>
      <c r="SBV39" s="51"/>
      <c r="SBW39" s="51"/>
      <c r="SBX39" s="51"/>
      <c r="SBY39" s="51"/>
      <c r="SBZ39" s="51"/>
      <c r="SCA39" s="51"/>
      <c r="SCB39" s="51"/>
      <c r="SCC39" s="51"/>
      <c r="SCD39" s="51"/>
      <c r="SCE39" s="51"/>
      <c r="SCF39" s="51"/>
      <c r="SCG39" s="51"/>
      <c r="SCH39" s="51"/>
      <c r="SCI39" s="51"/>
      <c r="SCJ39" s="51"/>
      <c r="SCK39" s="51"/>
      <c r="SCL39" s="51"/>
      <c r="SCM39" s="51"/>
      <c r="SCN39" s="51"/>
      <c r="SCO39" s="51"/>
      <c r="SCP39" s="51"/>
      <c r="SCQ39" s="51"/>
      <c r="SCR39" s="51"/>
      <c r="SCS39" s="51"/>
      <c r="SCT39" s="51"/>
      <c r="SCU39" s="51"/>
      <c r="SCV39" s="51"/>
      <c r="SCW39" s="51"/>
      <c r="SCX39" s="51"/>
      <c r="SCY39" s="51"/>
      <c r="SCZ39" s="51"/>
      <c r="SDA39" s="51"/>
      <c r="SDB39" s="51"/>
      <c r="SDC39" s="51"/>
      <c r="SDD39" s="51"/>
      <c r="SDE39" s="51"/>
      <c r="SDF39" s="51"/>
      <c r="SDG39" s="51"/>
      <c r="SDH39" s="51"/>
      <c r="SDI39" s="51"/>
      <c r="SDJ39" s="51"/>
      <c r="SDK39" s="51"/>
      <c r="SDL39" s="51"/>
      <c r="SDM39" s="51"/>
      <c r="SDN39" s="51"/>
      <c r="SDO39" s="51"/>
      <c r="SDP39" s="51"/>
      <c r="SDQ39" s="51"/>
      <c r="SDR39" s="51"/>
      <c r="SDS39" s="51"/>
      <c r="SDT39" s="51"/>
      <c r="SDU39" s="51"/>
      <c r="SDV39" s="51"/>
      <c r="SDW39" s="51"/>
      <c r="SDX39" s="51"/>
      <c r="SDY39" s="51"/>
      <c r="SDZ39" s="51"/>
      <c r="SEA39" s="51"/>
      <c r="SEB39" s="51"/>
      <c r="SEC39" s="51"/>
      <c r="SED39" s="51"/>
      <c r="SEE39" s="51"/>
      <c r="SEF39" s="51"/>
      <c r="SEG39" s="51"/>
      <c r="SEH39" s="51"/>
      <c r="SEI39" s="51"/>
      <c r="SEJ39" s="51"/>
      <c r="SEK39" s="51"/>
      <c r="SEL39" s="51"/>
      <c r="SEM39" s="51"/>
      <c r="SEN39" s="51"/>
      <c r="SEO39" s="51"/>
      <c r="SEP39" s="51"/>
      <c r="SEQ39" s="51"/>
      <c r="SER39" s="51"/>
      <c r="SES39" s="51"/>
      <c r="SET39" s="51"/>
      <c r="SEU39" s="51"/>
      <c r="SEV39" s="51"/>
      <c r="SEW39" s="51"/>
      <c r="SEX39" s="51"/>
      <c r="SEY39" s="51"/>
      <c r="SEZ39" s="51"/>
      <c r="SFA39" s="51"/>
      <c r="SFB39" s="51"/>
      <c r="SFC39" s="51"/>
      <c r="SFD39" s="51"/>
      <c r="SFE39" s="51"/>
      <c r="SFF39" s="51"/>
      <c r="SFG39" s="51"/>
      <c r="SFH39" s="51"/>
      <c r="SFI39" s="51"/>
      <c r="SFJ39" s="51"/>
      <c r="SFK39" s="51"/>
      <c r="SFL39" s="51"/>
      <c r="SFM39" s="51"/>
      <c r="SFN39" s="51"/>
      <c r="SFO39" s="51"/>
      <c r="SFP39" s="51"/>
      <c r="SFQ39" s="51"/>
      <c r="SFR39" s="51"/>
      <c r="SFS39" s="51"/>
      <c r="SFT39" s="51"/>
      <c r="SFU39" s="51"/>
      <c r="SFV39" s="51"/>
      <c r="SFW39" s="51"/>
      <c r="SFX39" s="51"/>
      <c r="SFY39" s="51"/>
      <c r="SFZ39" s="51"/>
      <c r="SGA39" s="51"/>
      <c r="SGB39" s="51"/>
      <c r="SGC39" s="51"/>
      <c r="SGD39" s="51"/>
      <c r="SGE39" s="51"/>
      <c r="SGF39" s="51"/>
      <c r="SGG39" s="51"/>
      <c r="SGH39" s="51"/>
      <c r="SGI39" s="51"/>
      <c r="SGJ39" s="51"/>
      <c r="SGK39" s="51"/>
      <c r="SGL39" s="51"/>
      <c r="SGM39" s="51"/>
      <c r="SGN39" s="51"/>
      <c r="SGO39" s="51"/>
      <c r="SGP39" s="51"/>
      <c r="SGQ39" s="51"/>
      <c r="SGR39" s="51"/>
      <c r="SGS39" s="51"/>
      <c r="SGT39" s="51"/>
      <c r="SGU39" s="51"/>
      <c r="SGV39" s="51"/>
      <c r="SGW39" s="51"/>
      <c r="SGX39" s="51"/>
      <c r="SGY39" s="51"/>
      <c r="SGZ39" s="51"/>
      <c r="SHA39" s="51"/>
      <c r="SHB39" s="51"/>
      <c r="SHC39" s="51"/>
      <c r="SHD39" s="51"/>
      <c r="SHE39" s="51"/>
      <c r="SHF39" s="51"/>
      <c r="SHG39" s="51"/>
      <c r="SHH39" s="51"/>
      <c r="SHI39" s="51"/>
      <c r="SHJ39" s="51"/>
      <c r="SHK39" s="51"/>
      <c r="SHL39" s="51"/>
      <c r="SHM39" s="51"/>
      <c r="SHN39" s="51"/>
      <c r="SHO39" s="51"/>
      <c r="SHP39" s="51"/>
      <c r="SHQ39" s="51"/>
      <c r="SHR39" s="51"/>
      <c r="SHS39" s="51"/>
      <c r="SHT39" s="51"/>
      <c r="SHU39" s="51"/>
      <c r="SHV39" s="51"/>
      <c r="SHW39" s="51"/>
      <c r="SHX39" s="51"/>
      <c r="SHY39" s="51"/>
      <c r="SHZ39" s="51"/>
      <c r="SIA39" s="51"/>
      <c r="SIB39" s="51"/>
      <c r="SIC39" s="51"/>
      <c r="SID39" s="51"/>
      <c r="SIE39" s="51"/>
      <c r="SIF39" s="51"/>
      <c r="SIG39" s="51"/>
      <c r="SIH39" s="51"/>
      <c r="SII39" s="51"/>
      <c r="SIJ39" s="51"/>
      <c r="SIK39" s="51"/>
      <c r="SIL39" s="51"/>
      <c r="SIM39" s="51"/>
      <c r="SIN39" s="51"/>
      <c r="SIO39" s="51"/>
      <c r="SIP39" s="51"/>
      <c r="SIQ39" s="51"/>
      <c r="SIR39" s="51"/>
      <c r="SIS39" s="51"/>
      <c r="SIT39" s="51"/>
      <c r="SIU39" s="51"/>
      <c r="SIV39" s="51"/>
      <c r="SIW39" s="51"/>
      <c r="SIX39" s="51"/>
      <c r="SIY39" s="51"/>
      <c r="SIZ39" s="51"/>
      <c r="SJA39" s="51"/>
      <c r="SJB39" s="51"/>
      <c r="SJC39" s="51"/>
      <c r="SJD39" s="51"/>
      <c r="SJE39" s="51"/>
      <c r="SJF39" s="51"/>
      <c r="SJG39" s="51"/>
      <c r="SJH39" s="51"/>
      <c r="SJI39" s="51"/>
      <c r="SJJ39" s="51"/>
      <c r="SJK39" s="51"/>
      <c r="SJL39" s="51"/>
      <c r="SJM39" s="51"/>
      <c r="SJN39" s="51"/>
      <c r="SJO39" s="51"/>
      <c r="SJP39" s="51"/>
      <c r="SJQ39" s="51"/>
      <c r="SJR39" s="51"/>
      <c r="SJS39" s="51"/>
      <c r="SJT39" s="51"/>
      <c r="SJU39" s="51"/>
      <c r="SJV39" s="51"/>
      <c r="SJW39" s="51"/>
      <c r="SJX39" s="51"/>
      <c r="SJY39" s="51"/>
      <c r="SJZ39" s="51"/>
      <c r="SKA39" s="51"/>
      <c r="SKB39" s="51"/>
      <c r="SKC39" s="51"/>
      <c r="SKD39" s="51"/>
      <c r="SKE39" s="51"/>
      <c r="SKF39" s="51"/>
      <c r="SKG39" s="51"/>
      <c r="SKH39" s="51"/>
      <c r="SKI39" s="51"/>
      <c r="SKJ39" s="51"/>
      <c r="SKK39" s="51"/>
      <c r="SKL39" s="51"/>
      <c r="SKM39" s="51"/>
      <c r="SKN39" s="51"/>
      <c r="SKO39" s="51"/>
      <c r="SKP39" s="51"/>
      <c r="SKQ39" s="51"/>
      <c r="SKR39" s="51"/>
      <c r="SKS39" s="51"/>
      <c r="SKT39" s="51"/>
      <c r="SKU39" s="51"/>
      <c r="SKV39" s="51"/>
      <c r="SKW39" s="51"/>
      <c r="SKX39" s="51"/>
      <c r="SKY39" s="51"/>
      <c r="SKZ39" s="51"/>
      <c r="SLA39" s="51"/>
      <c r="SLB39" s="51"/>
      <c r="SLC39" s="51"/>
      <c r="SLD39" s="51"/>
      <c r="SLE39" s="51"/>
      <c r="SLF39" s="51"/>
      <c r="SLG39" s="51"/>
      <c r="SLH39" s="51"/>
      <c r="SLI39" s="51"/>
      <c r="SLJ39" s="51"/>
      <c r="SLK39" s="51"/>
      <c r="SLL39" s="51"/>
      <c r="SLM39" s="51"/>
      <c r="SLN39" s="51"/>
      <c r="SLO39" s="51"/>
      <c r="SLP39" s="51"/>
      <c r="SLQ39" s="51"/>
      <c r="SLR39" s="51"/>
      <c r="SLS39" s="51"/>
      <c r="SLT39" s="51"/>
      <c r="SLU39" s="51"/>
      <c r="SLV39" s="51"/>
      <c r="SLW39" s="51"/>
      <c r="SLX39" s="51"/>
      <c r="SLY39" s="51"/>
      <c r="SLZ39" s="51"/>
      <c r="SMA39" s="51"/>
      <c r="SMB39" s="51"/>
      <c r="SMC39" s="51"/>
      <c r="SMD39" s="51"/>
      <c r="SME39" s="51"/>
      <c r="SMF39" s="51"/>
      <c r="SMG39" s="51"/>
      <c r="SMH39" s="51"/>
      <c r="SMI39" s="51"/>
      <c r="SMJ39" s="51"/>
      <c r="SMK39" s="51"/>
      <c r="SML39" s="51"/>
      <c r="SMM39" s="51"/>
      <c r="SMN39" s="51"/>
      <c r="SMO39" s="51"/>
      <c r="SMP39" s="51"/>
      <c r="SMQ39" s="51"/>
      <c r="SMR39" s="51"/>
      <c r="SMS39" s="51"/>
      <c r="SMT39" s="51"/>
      <c r="SMU39" s="51"/>
      <c r="SMV39" s="51"/>
      <c r="SMW39" s="51"/>
      <c r="SMX39" s="51"/>
      <c r="SMY39" s="51"/>
      <c r="SMZ39" s="51"/>
      <c r="SNA39" s="51"/>
      <c r="SNB39" s="51"/>
      <c r="SNC39" s="51"/>
      <c r="SND39" s="51"/>
      <c r="SNE39" s="51"/>
      <c r="SNF39" s="51"/>
      <c r="SNG39" s="51"/>
      <c r="SNH39" s="51"/>
      <c r="SNI39" s="51"/>
      <c r="SNJ39" s="51"/>
      <c r="SNK39" s="51"/>
      <c r="SNL39" s="51"/>
      <c r="SNM39" s="51"/>
      <c r="SNN39" s="51"/>
      <c r="SNO39" s="51"/>
      <c r="SNP39" s="51"/>
      <c r="SNQ39" s="51"/>
      <c r="SNR39" s="51"/>
      <c r="SNS39" s="51"/>
      <c r="SNT39" s="51"/>
      <c r="SNU39" s="51"/>
      <c r="SNV39" s="51"/>
      <c r="SNW39" s="51"/>
      <c r="SNX39" s="51"/>
      <c r="SNY39" s="51"/>
      <c r="SNZ39" s="51"/>
      <c r="SOA39" s="51"/>
      <c r="SOB39" s="51"/>
      <c r="SOC39" s="51"/>
      <c r="SOD39" s="51"/>
      <c r="SOE39" s="51"/>
      <c r="SOF39" s="51"/>
      <c r="SOG39" s="51"/>
      <c r="SOH39" s="51"/>
      <c r="SOI39" s="51"/>
      <c r="SOJ39" s="51"/>
      <c r="SOK39" s="51"/>
      <c r="SOL39" s="51"/>
      <c r="SOM39" s="51"/>
      <c r="SON39" s="51"/>
      <c r="SOO39" s="51"/>
      <c r="SOP39" s="51"/>
      <c r="SOQ39" s="51"/>
      <c r="SOR39" s="51"/>
      <c r="SOS39" s="51"/>
      <c r="SOT39" s="51"/>
      <c r="SOU39" s="51"/>
      <c r="SOV39" s="51"/>
      <c r="SOW39" s="51"/>
      <c r="SOX39" s="51"/>
      <c r="SOY39" s="51"/>
      <c r="SOZ39" s="51"/>
      <c r="SPA39" s="51"/>
      <c r="SPB39" s="51"/>
      <c r="SPC39" s="51"/>
      <c r="SPD39" s="51"/>
      <c r="SPE39" s="51"/>
      <c r="SPF39" s="51"/>
      <c r="SPG39" s="51"/>
      <c r="SPH39" s="51"/>
      <c r="SPI39" s="51"/>
      <c r="SPJ39" s="51"/>
      <c r="SPK39" s="51"/>
      <c r="SPL39" s="51"/>
      <c r="SPM39" s="51"/>
      <c r="SPN39" s="51"/>
      <c r="SPO39" s="51"/>
      <c r="SPP39" s="51"/>
      <c r="SPQ39" s="51"/>
      <c r="SPR39" s="51"/>
      <c r="SPS39" s="51"/>
      <c r="SPT39" s="51"/>
      <c r="SPU39" s="51"/>
      <c r="SPV39" s="51"/>
      <c r="SPW39" s="51"/>
      <c r="SPX39" s="51"/>
      <c r="SPY39" s="51"/>
      <c r="SPZ39" s="51"/>
      <c r="SQA39" s="51"/>
      <c r="SQB39" s="51"/>
      <c r="SQC39" s="51"/>
      <c r="SQD39" s="51"/>
      <c r="SQE39" s="51"/>
      <c r="SQF39" s="51"/>
      <c r="SQG39" s="51"/>
      <c r="SQH39" s="51"/>
      <c r="SQI39" s="51"/>
      <c r="SQJ39" s="51"/>
      <c r="SQK39" s="51"/>
      <c r="SQL39" s="51"/>
      <c r="SQM39" s="51"/>
      <c r="SQN39" s="51"/>
      <c r="SQO39" s="51"/>
      <c r="SQP39" s="51"/>
      <c r="SQQ39" s="51"/>
      <c r="SQR39" s="51"/>
      <c r="SQS39" s="51"/>
      <c r="SQT39" s="51"/>
      <c r="SQU39" s="51"/>
      <c r="SQV39" s="51"/>
      <c r="SQW39" s="51"/>
      <c r="SQX39" s="51"/>
      <c r="SQY39" s="51"/>
      <c r="SQZ39" s="51"/>
      <c r="SRA39" s="51"/>
      <c r="SRB39" s="51"/>
      <c r="SRC39" s="51"/>
      <c r="SRD39" s="51"/>
      <c r="SRE39" s="51"/>
      <c r="SRF39" s="51"/>
      <c r="SRG39" s="51"/>
      <c r="SRH39" s="51"/>
      <c r="SRI39" s="51"/>
      <c r="SRJ39" s="51"/>
      <c r="SRK39" s="51"/>
      <c r="SRL39" s="51"/>
      <c r="SRM39" s="51"/>
      <c r="SRN39" s="51"/>
      <c r="SRO39" s="51"/>
      <c r="SRP39" s="51"/>
      <c r="SRQ39" s="51"/>
      <c r="SRR39" s="51"/>
      <c r="SRS39" s="51"/>
      <c r="SRT39" s="51"/>
      <c r="SRU39" s="51"/>
      <c r="SRV39" s="51"/>
      <c r="SRW39" s="51"/>
      <c r="SRX39" s="51"/>
      <c r="SRY39" s="51"/>
      <c r="SRZ39" s="51"/>
      <c r="SSA39" s="51"/>
      <c r="SSB39" s="51"/>
      <c r="SSC39" s="51"/>
      <c r="SSD39" s="51"/>
      <c r="SSE39" s="51"/>
      <c r="SSF39" s="51"/>
      <c r="SSG39" s="51"/>
      <c r="SSH39" s="51"/>
      <c r="SSI39" s="51"/>
      <c r="SSJ39" s="51"/>
      <c r="SSK39" s="51"/>
      <c r="SSL39" s="51"/>
      <c r="SSM39" s="51"/>
      <c r="SSN39" s="51"/>
      <c r="SSO39" s="51"/>
      <c r="SSP39" s="51"/>
      <c r="SSQ39" s="51"/>
      <c r="SSR39" s="51"/>
      <c r="SSS39" s="51"/>
      <c r="SST39" s="51"/>
      <c r="SSU39" s="51"/>
      <c r="SSV39" s="51"/>
      <c r="SSW39" s="51"/>
      <c r="SSX39" s="51"/>
      <c r="SSY39" s="51"/>
      <c r="SSZ39" s="51"/>
      <c r="STA39" s="51"/>
      <c r="STB39" s="51"/>
      <c r="STC39" s="51"/>
      <c r="STD39" s="51"/>
      <c r="STE39" s="51"/>
      <c r="STF39" s="51"/>
      <c r="STG39" s="51"/>
      <c r="STH39" s="51"/>
      <c r="STI39" s="51"/>
      <c r="STJ39" s="51"/>
      <c r="STK39" s="51"/>
      <c r="STL39" s="51"/>
      <c r="STM39" s="51"/>
      <c r="STN39" s="51"/>
      <c r="STO39" s="51"/>
      <c r="STP39" s="51"/>
      <c r="STQ39" s="51"/>
      <c r="STR39" s="51"/>
      <c r="STS39" s="51"/>
      <c r="STT39" s="51"/>
      <c r="STU39" s="51"/>
      <c r="STV39" s="51"/>
      <c r="STW39" s="51"/>
      <c r="STX39" s="51"/>
      <c r="STY39" s="51"/>
      <c r="STZ39" s="51"/>
      <c r="SUA39" s="51"/>
      <c r="SUB39" s="51"/>
      <c r="SUC39" s="51"/>
      <c r="SUD39" s="51"/>
      <c r="SUE39" s="51"/>
      <c r="SUF39" s="51"/>
      <c r="SUG39" s="51"/>
      <c r="SUH39" s="51"/>
      <c r="SUI39" s="51"/>
      <c r="SUJ39" s="51"/>
      <c r="SUK39" s="51"/>
      <c r="SUL39" s="51"/>
      <c r="SUM39" s="51"/>
      <c r="SUN39" s="51"/>
      <c r="SUO39" s="51"/>
      <c r="SUP39" s="51"/>
      <c r="SUQ39" s="51"/>
      <c r="SUR39" s="51"/>
      <c r="SUS39" s="51"/>
      <c r="SUT39" s="51"/>
      <c r="SUU39" s="51"/>
      <c r="SUV39" s="51"/>
      <c r="SUW39" s="51"/>
      <c r="SUX39" s="51"/>
      <c r="SUY39" s="51"/>
      <c r="SUZ39" s="51"/>
      <c r="SVA39" s="51"/>
      <c r="SVB39" s="51"/>
      <c r="SVC39" s="51"/>
      <c r="SVD39" s="51"/>
      <c r="SVE39" s="51"/>
      <c r="SVF39" s="51"/>
      <c r="SVG39" s="51"/>
      <c r="SVH39" s="51"/>
      <c r="SVI39" s="51"/>
      <c r="SVJ39" s="51"/>
      <c r="SVK39" s="51"/>
      <c r="SVL39" s="51"/>
      <c r="SVM39" s="51"/>
      <c r="SVN39" s="51"/>
      <c r="SVO39" s="51"/>
      <c r="SVP39" s="51"/>
      <c r="SVQ39" s="51"/>
      <c r="SVR39" s="51"/>
      <c r="SVS39" s="51"/>
      <c r="SVT39" s="51"/>
      <c r="SVU39" s="51"/>
      <c r="SVV39" s="51"/>
      <c r="SVW39" s="51"/>
      <c r="SVX39" s="51"/>
      <c r="SVY39" s="51"/>
      <c r="SVZ39" s="51"/>
      <c r="SWA39" s="51"/>
      <c r="SWB39" s="51"/>
      <c r="SWC39" s="51"/>
      <c r="SWD39" s="51"/>
      <c r="SWE39" s="51"/>
      <c r="SWF39" s="51"/>
      <c r="SWG39" s="51"/>
      <c r="SWH39" s="51"/>
      <c r="SWI39" s="51"/>
      <c r="SWJ39" s="51"/>
      <c r="SWK39" s="51"/>
      <c r="SWL39" s="51"/>
      <c r="SWM39" s="51"/>
      <c r="SWN39" s="51"/>
      <c r="SWO39" s="51"/>
      <c r="SWP39" s="51"/>
      <c r="SWQ39" s="51"/>
      <c r="SWR39" s="51"/>
      <c r="SWS39" s="51"/>
      <c r="SWT39" s="51"/>
      <c r="SWU39" s="51"/>
      <c r="SWV39" s="51"/>
      <c r="SWW39" s="51"/>
      <c r="SWX39" s="51"/>
      <c r="SWY39" s="51"/>
      <c r="SWZ39" s="51"/>
      <c r="SXA39" s="51"/>
      <c r="SXB39" s="51"/>
      <c r="SXC39" s="51"/>
      <c r="SXD39" s="51"/>
      <c r="SXE39" s="51"/>
      <c r="SXF39" s="51"/>
      <c r="SXG39" s="51"/>
      <c r="SXH39" s="51"/>
      <c r="SXI39" s="51"/>
      <c r="SXJ39" s="51"/>
      <c r="SXK39" s="51"/>
      <c r="SXL39" s="51"/>
      <c r="SXM39" s="51"/>
      <c r="SXN39" s="51"/>
      <c r="SXO39" s="51"/>
      <c r="SXP39" s="51"/>
      <c r="SXQ39" s="51"/>
      <c r="SXR39" s="51"/>
      <c r="SXS39" s="51"/>
      <c r="SXT39" s="51"/>
      <c r="SXU39" s="51"/>
      <c r="SXV39" s="51"/>
      <c r="SXW39" s="51"/>
      <c r="SXX39" s="51"/>
      <c r="SXY39" s="51"/>
      <c r="SXZ39" s="51"/>
      <c r="SYA39" s="51"/>
      <c r="SYB39" s="51"/>
      <c r="SYC39" s="51"/>
      <c r="SYD39" s="51"/>
      <c r="SYE39" s="51"/>
      <c r="SYF39" s="51"/>
      <c r="SYG39" s="51"/>
      <c r="SYH39" s="51"/>
      <c r="SYI39" s="51"/>
      <c r="SYJ39" s="51"/>
      <c r="SYK39" s="51"/>
      <c r="SYL39" s="51"/>
      <c r="SYM39" s="51"/>
      <c r="SYN39" s="51"/>
      <c r="SYO39" s="51"/>
      <c r="SYP39" s="51"/>
      <c r="SYQ39" s="51"/>
      <c r="SYR39" s="51"/>
      <c r="SYS39" s="51"/>
      <c r="SYT39" s="51"/>
      <c r="SYU39" s="51"/>
      <c r="SYV39" s="51"/>
      <c r="SYW39" s="51"/>
      <c r="SYX39" s="51"/>
      <c r="SYY39" s="51"/>
      <c r="SYZ39" s="51"/>
      <c r="SZA39" s="51"/>
      <c r="SZB39" s="51"/>
      <c r="SZC39" s="51"/>
      <c r="SZD39" s="51"/>
      <c r="SZE39" s="51"/>
      <c r="SZF39" s="51"/>
      <c r="SZG39" s="51"/>
      <c r="SZH39" s="51"/>
      <c r="SZI39" s="51"/>
      <c r="SZJ39" s="51"/>
      <c r="SZK39" s="51"/>
      <c r="SZL39" s="51"/>
      <c r="SZM39" s="51"/>
      <c r="SZN39" s="51"/>
      <c r="SZO39" s="51"/>
      <c r="SZP39" s="51"/>
      <c r="SZQ39" s="51"/>
      <c r="SZR39" s="51"/>
      <c r="SZS39" s="51"/>
      <c r="SZT39" s="51"/>
      <c r="SZU39" s="51"/>
      <c r="SZV39" s="51"/>
      <c r="SZW39" s="51"/>
      <c r="SZX39" s="51"/>
      <c r="SZY39" s="51"/>
      <c r="SZZ39" s="51"/>
      <c r="TAA39" s="51"/>
      <c r="TAB39" s="51"/>
      <c r="TAC39" s="51"/>
      <c r="TAD39" s="51"/>
      <c r="TAE39" s="51"/>
      <c r="TAF39" s="51"/>
      <c r="TAG39" s="51"/>
      <c r="TAH39" s="51"/>
      <c r="TAI39" s="51"/>
      <c r="TAJ39" s="51"/>
      <c r="TAK39" s="51"/>
      <c r="TAL39" s="51"/>
      <c r="TAM39" s="51"/>
      <c r="TAN39" s="51"/>
      <c r="TAO39" s="51"/>
      <c r="TAP39" s="51"/>
      <c r="TAQ39" s="51"/>
      <c r="TAR39" s="51"/>
      <c r="TAS39" s="51"/>
      <c r="TAT39" s="51"/>
      <c r="TAU39" s="51"/>
      <c r="TAV39" s="51"/>
      <c r="TAW39" s="51"/>
      <c r="TAX39" s="51"/>
      <c r="TAY39" s="51"/>
      <c r="TAZ39" s="51"/>
      <c r="TBA39" s="51"/>
      <c r="TBB39" s="51"/>
      <c r="TBC39" s="51"/>
      <c r="TBD39" s="51"/>
      <c r="TBE39" s="51"/>
      <c r="TBF39" s="51"/>
      <c r="TBG39" s="51"/>
      <c r="TBH39" s="51"/>
      <c r="TBI39" s="51"/>
      <c r="TBJ39" s="51"/>
      <c r="TBK39" s="51"/>
      <c r="TBL39" s="51"/>
      <c r="TBM39" s="51"/>
      <c r="TBN39" s="51"/>
      <c r="TBO39" s="51"/>
      <c r="TBP39" s="51"/>
      <c r="TBQ39" s="51"/>
      <c r="TBR39" s="51"/>
      <c r="TBS39" s="51"/>
      <c r="TBT39" s="51"/>
      <c r="TBU39" s="51"/>
      <c r="TBV39" s="51"/>
      <c r="TBW39" s="51"/>
      <c r="TBX39" s="51"/>
      <c r="TBY39" s="51"/>
      <c r="TBZ39" s="51"/>
      <c r="TCA39" s="51"/>
      <c r="TCB39" s="51"/>
      <c r="TCC39" s="51"/>
      <c r="TCD39" s="51"/>
      <c r="TCE39" s="51"/>
      <c r="TCF39" s="51"/>
      <c r="TCG39" s="51"/>
      <c r="TCH39" s="51"/>
      <c r="TCI39" s="51"/>
      <c r="TCJ39" s="51"/>
      <c r="TCK39" s="51"/>
      <c r="TCL39" s="51"/>
      <c r="TCM39" s="51"/>
      <c r="TCN39" s="51"/>
      <c r="TCO39" s="51"/>
      <c r="TCP39" s="51"/>
      <c r="TCQ39" s="51"/>
      <c r="TCR39" s="51"/>
      <c r="TCS39" s="51"/>
      <c r="TCT39" s="51"/>
      <c r="TCU39" s="51"/>
      <c r="TCV39" s="51"/>
      <c r="TCW39" s="51"/>
      <c r="TCX39" s="51"/>
      <c r="TCY39" s="51"/>
      <c r="TCZ39" s="51"/>
      <c r="TDA39" s="51"/>
      <c r="TDB39" s="51"/>
      <c r="TDC39" s="51"/>
      <c r="TDD39" s="51"/>
      <c r="TDE39" s="51"/>
      <c r="TDF39" s="51"/>
      <c r="TDG39" s="51"/>
      <c r="TDH39" s="51"/>
      <c r="TDI39" s="51"/>
      <c r="TDJ39" s="51"/>
      <c r="TDK39" s="51"/>
      <c r="TDL39" s="51"/>
      <c r="TDM39" s="51"/>
      <c r="TDN39" s="51"/>
      <c r="TDO39" s="51"/>
      <c r="TDP39" s="51"/>
      <c r="TDQ39" s="51"/>
      <c r="TDR39" s="51"/>
      <c r="TDS39" s="51"/>
      <c r="TDT39" s="51"/>
      <c r="TDU39" s="51"/>
      <c r="TDV39" s="51"/>
      <c r="TDW39" s="51"/>
      <c r="TDX39" s="51"/>
      <c r="TDY39" s="51"/>
      <c r="TDZ39" s="51"/>
      <c r="TEA39" s="51"/>
      <c r="TEB39" s="51"/>
      <c r="TEC39" s="51"/>
      <c r="TED39" s="51"/>
      <c r="TEE39" s="51"/>
      <c r="TEF39" s="51"/>
      <c r="TEG39" s="51"/>
      <c r="TEH39" s="51"/>
      <c r="TEI39" s="51"/>
      <c r="TEJ39" s="51"/>
      <c r="TEK39" s="51"/>
      <c r="TEL39" s="51"/>
      <c r="TEM39" s="51"/>
      <c r="TEN39" s="51"/>
      <c r="TEO39" s="51"/>
      <c r="TEP39" s="51"/>
      <c r="TEQ39" s="51"/>
      <c r="TER39" s="51"/>
      <c r="TES39" s="51"/>
      <c r="TET39" s="51"/>
      <c r="TEU39" s="51"/>
      <c r="TEV39" s="51"/>
      <c r="TEW39" s="51"/>
      <c r="TEX39" s="51"/>
      <c r="TEY39" s="51"/>
      <c r="TEZ39" s="51"/>
      <c r="TFA39" s="51"/>
      <c r="TFB39" s="51"/>
      <c r="TFC39" s="51"/>
      <c r="TFD39" s="51"/>
      <c r="TFE39" s="51"/>
      <c r="TFF39" s="51"/>
      <c r="TFG39" s="51"/>
      <c r="TFH39" s="51"/>
      <c r="TFI39" s="51"/>
      <c r="TFJ39" s="51"/>
      <c r="TFK39" s="51"/>
      <c r="TFL39" s="51"/>
      <c r="TFM39" s="51"/>
      <c r="TFN39" s="51"/>
      <c r="TFO39" s="51"/>
      <c r="TFP39" s="51"/>
      <c r="TFQ39" s="51"/>
      <c r="TFR39" s="51"/>
      <c r="TFS39" s="51"/>
      <c r="TFT39" s="51"/>
      <c r="TFU39" s="51"/>
      <c r="TFV39" s="51"/>
      <c r="TFW39" s="51"/>
      <c r="TFX39" s="51"/>
      <c r="TFY39" s="51"/>
      <c r="TFZ39" s="51"/>
      <c r="TGA39" s="51"/>
      <c r="TGB39" s="51"/>
      <c r="TGC39" s="51"/>
      <c r="TGD39" s="51"/>
      <c r="TGE39" s="51"/>
      <c r="TGF39" s="51"/>
      <c r="TGG39" s="51"/>
      <c r="TGH39" s="51"/>
      <c r="TGI39" s="51"/>
      <c r="TGJ39" s="51"/>
      <c r="TGK39" s="51"/>
      <c r="TGL39" s="51"/>
      <c r="TGM39" s="51"/>
      <c r="TGN39" s="51"/>
      <c r="TGO39" s="51"/>
      <c r="TGP39" s="51"/>
      <c r="TGQ39" s="51"/>
      <c r="TGR39" s="51"/>
      <c r="TGS39" s="51"/>
      <c r="TGT39" s="51"/>
      <c r="TGU39" s="51"/>
      <c r="TGV39" s="51"/>
      <c r="TGW39" s="51"/>
      <c r="TGX39" s="51"/>
      <c r="TGY39" s="51"/>
      <c r="TGZ39" s="51"/>
      <c r="THA39" s="51"/>
      <c r="THB39" s="51"/>
      <c r="THC39" s="51"/>
      <c r="THD39" s="51"/>
      <c r="THE39" s="51"/>
      <c r="THF39" s="51"/>
      <c r="THG39" s="51"/>
      <c r="THH39" s="51"/>
      <c r="THI39" s="51"/>
      <c r="THJ39" s="51"/>
      <c r="THK39" s="51"/>
      <c r="THL39" s="51"/>
      <c r="THM39" s="51"/>
      <c r="THN39" s="51"/>
      <c r="THO39" s="51"/>
      <c r="THP39" s="51"/>
      <c r="THQ39" s="51"/>
      <c r="THR39" s="51"/>
      <c r="THS39" s="51"/>
      <c r="THT39" s="51"/>
      <c r="THU39" s="51"/>
      <c r="THV39" s="51"/>
      <c r="THW39" s="51"/>
      <c r="THX39" s="51"/>
      <c r="THY39" s="51"/>
      <c r="THZ39" s="51"/>
      <c r="TIA39" s="51"/>
      <c r="TIB39" s="51"/>
      <c r="TIC39" s="51"/>
      <c r="TID39" s="51"/>
      <c r="TIE39" s="51"/>
      <c r="TIF39" s="51"/>
      <c r="TIG39" s="51"/>
      <c r="TIH39" s="51"/>
      <c r="TII39" s="51"/>
      <c r="TIJ39" s="51"/>
      <c r="TIK39" s="51"/>
      <c r="TIL39" s="51"/>
      <c r="TIM39" s="51"/>
      <c r="TIN39" s="51"/>
      <c r="TIO39" s="51"/>
      <c r="TIP39" s="51"/>
      <c r="TIQ39" s="51"/>
      <c r="TIR39" s="51"/>
      <c r="TIS39" s="51"/>
      <c r="TIT39" s="51"/>
      <c r="TIU39" s="51"/>
      <c r="TIV39" s="51"/>
      <c r="TIW39" s="51"/>
      <c r="TIX39" s="51"/>
      <c r="TIY39" s="51"/>
      <c r="TIZ39" s="51"/>
      <c r="TJA39" s="51"/>
      <c r="TJB39" s="51"/>
      <c r="TJC39" s="51"/>
      <c r="TJD39" s="51"/>
      <c r="TJE39" s="51"/>
      <c r="TJF39" s="51"/>
      <c r="TJG39" s="51"/>
      <c r="TJH39" s="51"/>
      <c r="TJI39" s="51"/>
      <c r="TJJ39" s="51"/>
      <c r="TJK39" s="51"/>
      <c r="TJL39" s="51"/>
      <c r="TJM39" s="51"/>
      <c r="TJN39" s="51"/>
      <c r="TJO39" s="51"/>
      <c r="TJP39" s="51"/>
      <c r="TJQ39" s="51"/>
      <c r="TJR39" s="51"/>
      <c r="TJS39" s="51"/>
      <c r="TJT39" s="51"/>
      <c r="TJU39" s="51"/>
      <c r="TJV39" s="51"/>
      <c r="TJW39" s="51"/>
      <c r="TJX39" s="51"/>
      <c r="TJY39" s="51"/>
      <c r="TJZ39" s="51"/>
      <c r="TKA39" s="51"/>
      <c r="TKB39" s="51"/>
      <c r="TKC39" s="51"/>
      <c r="TKD39" s="51"/>
      <c r="TKE39" s="51"/>
      <c r="TKF39" s="51"/>
      <c r="TKG39" s="51"/>
      <c r="TKH39" s="51"/>
      <c r="TKI39" s="51"/>
      <c r="TKJ39" s="51"/>
      <c r="TKK39" s="51"/>
      <c r="TKL39" s="51"/>
      <c r="TKM39" s="51"/>
      <c r="TKN39" s="51"/>
      <c r="TKO39" s="51"/>
      <c r="TKP39" s="51"/>
      <c r="TKQ39" s="51"/>
      <c r="TKR39" s="51"/>
      <c r="TKS39" s="51"/>
      <c r="TKT39" s="51"/>
      <c r="TKU39" s="51"/>
      <c r="TKV39" s="51"/>
      <c r="TKW39" s="51"/>
      <c r="TKX39" s="51"/>
      <c r="TKY39" s="51"/>
      <c r="TKZ39" s="51"/>
      <c r="TLA39" s="51"/>
      <c r="TLB39" s="51"/>
      <c r="TLC39" s="51"/>
      <c r="TLD39" s="51"/>
      <c r="TLE39" s="51"/>
      <c r="TLF39" s="51"/>
      <c r="TLG39" s="51"/>
      <c r="TLH39" s="51"/>
      <c r="TLI39" s="51"/>
      <c r="TLJ39" s="51"/>
      <c r="TLK39" s="51"/>
      <c r="TLL39" s="51"/>
      <c r="TLM39" s="51"/>
      <c r="TLN39" s="51"/>
      <c r="TLO39" s="51"/>
      <c r="TLP39" s="51"/>
      <c r="TLQ39" s="51"/>
      <c r="TLR39" s="51"/>
      <c r="TLS39" s="51"/>
      <c r="TLT39" s="51"/>
      <c r="TLU39" s="51"/>
      <c r="TLV39" s="51"/>
      <c r="TLW39" s="51"/>
      <c r="TLX39" s="51"/>
      <c r="TLY39" s="51"/>
      <c r="TLZ39" s="51"/>
      <c r="TMA39" s="51"/>
      <c r="TMB39" s="51"/>
      <c r="TMC39" s="51"/>
      <c r="TMD39" s="51"/>
      <c r="TME39" s="51"/>
      <c r="TMF39" s="51"/>
      <c r="TMG39" s="51"/>
      <c r="TMH39" s="51"/>
      <c r="TMI39" s="51"/>
      <c r="TMJ39" s="51"/>
      <c r="TMK39" s="51"/>
      <c r="TML39" s="51"/>
      <c r="TMM39" s="51"/>
      <c r="TMN39" s="51"/>
      <c r="TMO39" s="51"/>
      <c r="TMP39" s="51"/>
      <c r="TMQ39" s="51"/>
      <c r="TMR39" s="51"/>
      <c r="TMS39" s="51"/>
      <c r="TMT39" s="51"/>
      <c r="TMU39" s="51"/>
      <c r="TMV39" s="51"/>
      <c r="TMW39" s="51"/>
      <c r="TMX39" s="51"/>
      <c r="TMY39" s="51"/>
      <c r="TMZ39" s="51"/>
      <c r="TNA39" s="51"/>
      <c r="TNB39" s="51"/>
      <c r="TNC39" s="51"/>
      <c r="TND39" s="51"/>
      <c r="TNE39" s="51"/>
      <c r="TNF39" s="51"/>
      <c r="TNG39" s="51"/>
      <c r="TNH39" s="51"/>
      <c r="TNI39" s="51"/>
      <c r="TNJ39" s="51"/>
      <c r="TNK39" s="51"/>
      <c r="TNL39" s="51"/>
      <c r="TNM39" s="51"/>
      <c r="TNN39" s="51"/>
      <c r="TNO39" s="51"/>
      <c r="TNP39" s="51"/>
      <c r="TNQ39" s="51"/>
      <c r="TNR39" s="51"/>
      <c r="TNS39" s="51"/>
      <c r="TNT39" s="51"/>
      <c r="TNU39" s="51"/>
      <c r="TNV39" s="51"/>
      <c r="TNW39" s="51"/>
      <c r="TNX39" s="51"/>
      <c r="TNY39" s="51"/>
      <c r="TNZ39" s="51"/>
      <c r="TOA39" s="51"/>
      <c r="TOB39" s="51"/>
      <c r="TOC39" s="51"/>
      <c r="TOD39" s="51"/>
      <c r="TOE39" s="51"/>
      <c r="TOF39" s="51"/>
      <c r="TOG39" s="51"/>
      <c r="TOH39" s="51"/>
      <c r="TOI39" s="51"/>
      <c r="TOJ39" s="51"/>
      <c r="TOK39" s="51"/>
      <c r="TOL39" s="51"/>
      <c r="TOM39" s="51"/>
      <c r="TON39" s="51"/>
      <c r="TOO39" s="51"/>
      <c r="TOP39" s="51"/>
      <c r="TOQ39" s="51"/>
      <c r="TOR39" s="51"/>
      <c r="TOS39" s="51"/>
      <c r="TOT39" s="51"/>
      <c r="TOU39" s="51"/>
      <c r="TOV39" s="51"/>
      <c r="TOW39" s="51"/>
      <c r="TOX39" s="51"/>
      <c r="TOY39" s="51"/>
      <c r="TOZ39" s="51"/>
      <c r="TPA39" s="51"/>
      <c r="TPB39" s="51"/>
      <c r="TPC39" s="51"/>
      <c r="TPD39" s="51"/>
      <c r="TPE39" s="51"/>
      <c r="TPF39" s="51"/>
      <c r="TPG39" s="51"/>
      <c r="TPH39" s="51"/>
      <c r="TPI39" s="51"/>
      <c r="TPJ39" s="51"/>
      <c r="TPK39" s="51"/>
      <c r="TPL39" s="51"/>
      <c r="TPM39" s="51"/>
      <c r="TPN39" s="51"/>
      <c r="TPO39" s="51"/>
      <c r="TPP39" s="51"/>
      <c r="TPQ39" s="51"/>
      <c r="TPR39" s="51"/>
      <c r="TPS39" s="51"/>
      <c r="TPT39" s="51"/>
      <c r="TPU39" s="51"/>
      <c r="TPV39" s="51"/>
      <c r="TPW39" s="51"/>
      <c r="TPX39" s="51"/>
      <c r="TPY39" s="51"/>
      <c r="TPZ39" s="51"/>
      <c r="TQA39" s="51"/>
      <c r="TQB39" s="51"/>
      <c r="TQC39" s="51"/>
      <c r="TQD39" s="51"/>
      <c r="TQE39" s="51"/>
      <c r="TQF39" s="51"/>
      <c r="TQG39" s="51"/>
      <c r="TQH39" s="51"/>
      <c r="TQI39" s="51"/>
      <c r="TQJ39" s="51"/>
      <c r="TQK39" s="51"/>
      <c r="TQL39" s="51"/>
      <c r="TQM39" s="51"/>
      <c r="TQN39" s="51"/>
      <c r="TQO39" s="51"/>
      <c r="TQP39" s="51"/>
      <c r="TQQ39" s="51"/>
      <c r="TQR39" s="51"/>
      <c r="TQS39" s="51"/>
      <c r="TQT39" s="51"/>
      <c r="TQU39" s="51"/>
      <c r="TQV39" s="51"/>
      <c r="TQW39" s="51"/>
      <c r="TQX39" s="51"/>
      <c r="TQY39" s="51"/>
      <c r="TQZ39" s="51"/>
      <c r="TRA39" s="51"/>
      <c r="TRB39" s="51"/>
      <c r="TRC39" s="51"/>
      <c r="TRD39" s="51"/>
      <c r="TRE39" s="51"/>
      <c r="TRF39" s="51"/>
      <c r="TRG39" s="51"/>
      <c r="TRH39" s="51"/>
      <c r="TRI39" s="51"/>
      <c r="TRJ39" s="51"/>
      <c r="TRK39" s="51"/>
      <c r="TRL39" s="51"/>
      <c r="TRM39" s="51"/>
      <c r="TRN39" s="51"/>
      <c r="TRO39" s="51"/>
      <c r="TRP39" s="51"/>
      <c r="TRQ39" s="51"/>
      <c r="TRR39" s="51"/>
      <c r="TRS39" s="51"/>
      <c r="TRT39" s="51"/>
      <c r="TRU39" s="51"/>
      <c r="TRV39" s="51"/>
      <c r="TRW39" s="51"/>
      <c r="TRX39" s="51"/>
      <c r="TRY39" s="51"/>
      <c r="TRZ39" s="51"/>
      <c r="TSA39" s="51"/>
      <c r="TSB39" s="51"/>
      <c r="TSC39" s="51"/>
      <c r="TSD39" s="51"/>
      <c r="TSE39" s="51"/>
      <c r="TSF39" s="51"/>
      <c r="TSG39" s="51"/>
      <c r="TSH39" s="51"/>
      <c r="TSI39" s="51"/>
      <c r="TSJ39" s="51"/>
      <c r="TSK39" s="51"/>
      <c r="TSL39" s="51"/>
      <c r="TSM39" s="51"/>
      <c r="TSN39" s="51"/>
      <c r="TSO39" s="51"/>
      <c r="TSP39" s="51"/>
      <c r="TSQ39" s="51"/>
      <c r="TSR39" s="51"/>
      <c r="TSS39" s="51"/>
      <c r="TST39" s="51"/>
      <c r="TSU39" s="51"/>
      <c r="TSV39" s="51"/>
      <c r="TSW39" s="51"/>
      <c r="TSX39" s="51"/>
      <c r="TSY39" s="51"/>
      <c r="TSZ39" s="51"/>
      <c r="TTA39" s="51"/>
      <c r="TTB39" s="51"/>
      <c r="TTC39" s="51"/>
      <c r="TTD39" s="51"/>
      <c r="TTE39" s="51"/>
      <c r="TTF39" s="51"/>
      <c r="TTG39" s="51"/>
      <c r="TTH39" s="51"/>
      <c r="TTI39" s="51"/>
      <c r="TTJ39" s="51"/>
      <c r="TTK39" s="51"/>
      <c r="TTL39" s="51"/>
      <c r="TTM39" s="51"/>
      <c r="TTN39" s="51"/>
      <c r="TTO39" s="51"/>
      <c r="TTP39" s="51"/>
      <c r="TTQ39" s="51"/>
      <c r="TTR39" s="51"/>
      <c r="TTS39" s="51"/>
      <c r="TTT39" s="51"/>
      <c r="TTU39" s="51"/>
      <c r="TTV39" s="51"/>
      <c r="TTW39" s="51"/>
      <c r="TTX39" s="51"/>
      <c r="TTY39" s="51"/>
      <c r="TTZ39" s="51"/>
      <c r="TUA39" s="51"/>
      <c r="TUB39" s="51"/>
      <c r="TUC39" s="51"/>
      <c r="TUD39" s="51"/>
      <c r="TUE39" s="51"/>
      <c r="TUF39" s="51"/>
      <c r="TUG39" s="51"/>
      <c r="TUH39" s="51"/>
      <c r="TUI39" s="51"/>
      <c r="TUJ39" s="51"/>
      <c r="TUK39" s="51"/>
      <c r="TUL39" s="51"/>
      <c r="TUM39" s="51"/>
      <c r="TUN39" s="51"/>
      <c r="TUO39" s="51"/>
      <c r="TUP39" s="51"/>
      <c r="TUQ39" s="51"/>
      <c r="TUR39" s="51"/>
      <c r="TUS39" s="51"/>
      <c r="TUT39" s="51"/>
      <c r="TUU39" s="51"/>
      <c r="TUV39" s="51"/>
      <c r="TUW39" s="51"/>
      <c r="TUX39" s="51"/>
      <c r="TUY39" s="51"/>
      <c r="TUZ39" s="51"/>
      <c r="TVA39" s="51"/>
      <c r="TVB39" s="51"/>
      <c r="TVC39" s="51"/>
      <c r="TVD39" s="51"/>
      <c r="TVE39" s="51"/>
      <c r="TVF39" s="51"/>
      <c r="TVG39" s="51"/>
      <c r="TVH39" s="51"/>
      <c r="TVI39" s="51"/>
      <c r="TVJ39" s="51"/>
      <c r="TVK39" s="51"/>
      <c r="TVL39" s="51"/>
      <c r="TVM39" s="51"/>
      <c r="TVN39" s="51"/>
      <c r="TVO39" s="51"/>
      <c r="TVP39" s="51"/>
      <c r="TVQ39" s="51"/>
      <c r="TVR39" s="51"/>
      <c r="TVS39" s="51"/>
      <c r="TVT39" s="51"/>
      <c r="TVU39" s="51"/>
      <c r="TVV39" s="51"/>
      <c r="TVW39" s="51"/>
      <c r="TVX39" s="51"/>
      <c r="TVY39" s="51"/>
      <c r="TVZ39" s="51"/>
      <c r="TWA39" s="51"/>
      <c r="TWB39" s="51"/>
      <c r="TWC39" s="51"/>
      <c r="TWD39" s="51"/>
      <c r="TWE39" s="51"/>
      <c r="TWF39" s="51"/>
      <c r="TWG39" s="51"/>
      <c r="TWH39" s="51"/>
      <c r="TWI39" s="51"/>
      <c r="TWJ39" s="51"/>
      <c r="TWK39" s="51"/>
      <c r="TWL39" s="51"/>
      <c r="TWM39" s="51"/>
      <c r="TWN39" s="51"/>
      <c r="TWO39" s="51"/>
      <c r="TWP39" s="51"/>
      <c r="TWQ39" s="51"/>
      <c r="TWR39" s="51"/>
      <c r="TWS39" s="51"/>
      <c r="TWT39" s="51"/>
      <c r="TWU39" s="51"/>
      <c r="TWV39" s="51"/>
      <c r="TWW39" s="51"/>
      <c r="TWX39" s="51"/>
      <c r="TWY39" s="51"/>
      <c r="TWZ39" s="51"/>
      <c r="TXA39" s="51"/>
      <c r="TXB39" s="51"/>
      <c r="TXC39" s="51"/>
      <c r="TXD39" s="51"/>
      <c r="TXE39" s="51"/>
      <c r="TXF39" s="51"/>
      <c r="TXG39" s="51"/>
      <c r="TXH39" s="51"/>
      <c r="TXI39" s="51"/>
      <c r="TXJ39" s="51"/>
      <c r="TXK39" s="51"/>
      <c r="TXL39" s="51"/>
      <c r="TXM39" s="51"/>
      <c r="TXN39" s="51"/>
      <c r="TXO39" s="51"/>
      <c r="TXP39" s="51"/>
      <c r="TXQ39" s="51"/>
      <c r="TXR39" s="51"/>
      <c r="TXS39" s="51"/>
      <c r="TXT39" s="51"/>
      <c r="TXU39" s="51"/>
      <c r="TXV39" s="51"/>
      <c r="TXW39" s="51"/>
      <c r="TXX39" s="51"/>
      <c r="TXY39" s="51"/>
      <c r="TXZ39" s="51"/>
      <c r="TYA39" s="51"/>
      <c r="TYB39" s="51"/>
      <c r="TYC39" s="51"/>
      <c r="TYD39" s="51"/>
      <c r="TYE39" s="51"/>
      <c r="TYF39" s="51"/>
      <c r="TYG39" s="51"/>
      <c r="TYH39" s="51"/>
      <c r="TYI39" s="51"/>
      <c r="TYJ39" s="51"/>
      <c r="TYK39" s="51"/>
      <c r="TYL39" s="51"/>
      <c r="TYM39" s="51"/>
      <c r="TYN39" s="51"/>
      <c r="TYO39" s="51"/>
      <c r="TYP39" s="51"/>
      <c r="TYQ39" s="51"/>
      <c r="TYR39" s="51"/>
      <c r="TYS39" s="51"/>
      <c r="TYT39" s="51"/>
      <c r="TYU39" s="51"/>
      <c r="TYV39" s="51"/>
      <c r="TYW39" s="51"/>
      <c r="TYX39" s="51"/>
      <c r="TYY39" s="51"/>
      <c r="TYZ39" s="51"/>
      <c r="TZA39" s="51"/>
      <c r="TZB39" s="51"/>
      <c r="TZC39" s="51"/>
      <c r="TZD39" s="51"/>
      <c r="TZE39" s="51"/>
      <c r="TZF39" s="51"/>
      <c r="TZG39" s="51"/>
      <c r="TZH39" s="51"/>
      <c r="TZI39" s="51"/>
      <c r="TZJ39" s="51"/>
      <c r="TZK39" s="51"/>
      <c r="TZL39" s="51"/>
      <c r="TZM39" s="51"/>
      <c r="TZN39" s="51"/>
      <c r="TZO39" s="51"/>
      <c r="TZP39" s="51"/>
      <c r="TZQ39" s="51"/>
      <c r="TZR39" s="51"/>
      <c r="TZS39" s="51"/>
      <c r="TZT39" s="51"/>
      <c r="TZU39" s="51"/>
      <c r="TZV39" s="51"/>
      <c r="TZW39" s="51"/>
      <c r="TZX39" s="51"/>
      <c r="TZY39" s="51"/>
      <c r="TZZ39" s="51"/>
      <c r="UAA39" s="51"/>
      <c r="UAB39" s="51"/>
      <c r="UAC39" s="51"/>
      <c r="UAD39" s="51"/>
      <c r="UAE39" s="51"/>
      <c r="UAF39" s="51"/>
      <c r="UAG39" s="51"/>
      <c r="UAH39" s="51"/>
      <c r="UAI39" s="51"/>
      <c r="UAJ39" s="51"/>
      <c r="UAK39" s="51"/>
      <c r="UAL39" s="51"/>
      <c r="UAM39" s="51"/>
      <c r="UAN39" s="51"/>
      <c r="UAO39" s="51"/>
      <c r="UAP39" s="51"/>
      <c r="UAQ39" s="51"/>
      <c r="UAR39" s="51"/>
      <c r="UAS39" s="51"/>
      <c r="UAT39" s="51"/>
      <c r="UAU39" s="51"/>
      <c r="UAV39" s="51"/>
      <c r="UAW39" s="51"/>
      <c r="UAX39" s="51"/>
      <c r="UAY39" s="51"/>
      <c r="UAZ39" s="51"/>
      <c r="UBA39" s="51"/>
      <c r="UBB39" s="51"/>
      <c r="UBC39" s="51"/>
      <c r="UBD39" s="51"/>
      <c r="UBE39" s="51"/>
      <c r="UBF39" s="51"/>
      <c r="UBG39" s="51"/>
      <c r="UBH39" s="51"/>
      <c r="UBI39" s="51"/>
      <c r="UBJ39" s="51"/>
      <c r="UBK39" s="51"/>
      <c r="UBL39" s="51"/>
      <c r="UBM39" s="51"/>
      <c r="UBN39" s="51"/>
      <c r="UBO39" s="51"/>
      <c r="UBP39" s="51"/>
      <c r="UBQ39" s="51"/>
      <c r="UBR39" s="51"/>
      <c r="UBS39" s="51"/>
      <c r="UBT39" s="51"/>
      <c r="UBU39" s="51"/>
      <c r="UBV39" s="51"/>
      <c r="UBW39" s="51"/>
      <c r="UBX39" s="51"/>
      <c r="UBY39" s="51"/>
      <c r="UBZ39" s="51"/>
      <c r="UCA39" s="51"/>
      <c r="UCB39" s="51"/>
      <c r="UCC39" s="51"/>
      <c r="UCD39" s="51"/>
      <c r="UCE39" s="51"/>
      <c r="UCF39" s="51"/>
      <c r="UCG39" s="51"/>
      <c r="UCH39" s="51"/>
      <c r="UCI39" s="51"/>
      <c r="UCJ39" s="51"/>
      <c r="UCK39" s="51"/>
      <c r="UCL39" s="51"/>
      <c r="UCM39" s="51"/>
      <c r="UCN39" s="51"/>
      <c r="UCO39" s="51"/>
      <c r="UCP39" s="51"/>
      <c r="UCQ39" s="51"/>
      <c r="UCR39" s="51"/>
      <c r="UCS39" s="51"/>
      <c r="UCT39" s="51"/>
      <c r="UCU39" s="51"/>
      <c r="UCV39" s="51"/>
      <c r="UCW39" s="51"/>
      <c r="UCX39" s="51"/>
      <c r="UCY39" s="51"/>
      <c r="UCZ39" s="51"/>
      <c r="UDA39" s="51"/>
      <c r="UDB39" s="51"/>
      <c r="UDC39" s="51"/>
      <c r="UDD39" s="51"/>
      <c r="UDE39" s="51"/>
      <c r="UDF39" s="51"/>
      <c r="UDG39" s="51"/>
      <c r="UDH39" s="51"/>
      <c r="UDI39" s="51"/>
      <c r="UDJ39" s="51"/>
      <c r="UDK39" s="51"/>
      <c r="UDL39" s="51"/>
      <c r="UDM39" s="51"/>
      <c r="UDN39" s="51"/>
      <c r="UDO39" s="51"/>
      <c r="UDP39" s="51"/>
      <c r="UDQ39" s="51"/>
      <c r="UDR39" s="51"/>
      <c r="UDS39" s="51"/>
      <c r="UDT39" s="51"/>
      <c r="UDU39" s="51"/>
      <c r="UDV39" s="51"/>
      <c r="UDW39" s="51"/>
      <c r="UDX39" s="51"/>
      <c r="UDY39" s="51"/>
      <c r="UDZ39" s="51"/>
      <c r="UEA39" s="51"/>
      <c r="UEB39" s="51"/>
      <c r="UEC39" s="51"/>
      <c r="UED39" s="51"/>
      <c r="UEE39" s="51"/>
      <c r="UEF39" s="51"/>
      <c r="UEG39" s="51"/>
      <c r="UEH39" s="51"/>
      <c r="UEI39" s="51"/>
      <c r="UEJ39" s="51"/>
      <c r="UEK39" s="51"/>
      <c r="UEL39" s="51"/>
      <c r="UEM39" s="51"/>
      <c r="UEN39" s="51"/>
      <c r="UEO39" s="51"/>
      <c r="UEP39" s="51"/>
      <c r="UEQ39" s="51"/>
      <c r="UER39" s="51"/>
      <c r="UES39" s="51"/>
      <c r="UET39" s="51"/>
      <c r="UEU39" s="51"/>
      <c r="UEV39" s="51"/>
      <c r="UEW39" s="51"/>
      <c r="UEX39" s="51"/>
      <c r="UEY39" s="51"/>
      <c r="UEZ39" s="51"/>
      <c r="UFA39" s="51"/>
      <c r="UFB39" s="51"/>
      <c r="UFC39" s="51"/>
      <c r="UFD39" s="51"/>
      <c r="UFE39" s="51"/>
      <c r="UFF39" s="51"/>
      <c r="UFG39" s="51"/>
      <c r="UFH39" s="51"/>
      <c r="UFI39" s="51"/>
      <c r="UFJ39" s="51"/>
      <c r="UFK39" s="51"/>
      <c r="UFL39" s="51"/>
      <c r="UFM39" s="51"/>
      <c r="UFN39" s="51"/>
      <c r="UFO39" s="51"/>
      <c r="UFP39" s="51"/>
      <c r="UFQ39" s="51"/>
      <c r="UFR39" s="51"/>
      <c r="UFS39" s="51"/>
      <c r="UFT39" s="51"/>
      <c r="UFU39" s="51"/>
      <c r="UFV39" s="51"/>
      <c r="UFW39" s="51"/>
      <c r="UFX39" s="51"/>
      <c r="UFY39" s="51"/>
      <c r="UFZ39" s="51"/>
      <c r="UGA39" s="51"/>
      <c r="UGB39" s="51"/>
      <c r="UGC39" s="51"/>
      <c r="UGD39" s="51"/>
      <c r="UGE39" s="51"/>
      <c r="UGF39" s="51"/>
      <c r="UGG39" s="51"/>
      <c r="UGH39" s="51"/>
      <c r="UGI39" s="51"/>
      <c r="UGJ39" s="51"/>
      <c r="UGK39" s="51"/>
      <c r="UGL39" s="51"/>
      <c r="UGM39" s="51"/>
      <c r="UGN39" s="51"/>
      <c r="UGO39" s="51"/>
      <c r="UGP39" s="51"/>
      <c r="UGQ39" s="51"/>
      <c r="UGR39" s="51"/>
      <c r="UGS39" s="51"/>
      <c r="UGT39" s="51"/>
      <c r="UGU39" s="51"/>
      <c r="UGV39" s="51"/>
      <c r="UGW39" s="51"/>
      <c r="UGX39" s="51"/>
      <c r="UGY39" s="51"/>
      <c r="UGZ39" s="51"/>
      <c r="UHA39" s="51"/>
      <c r="UHB39" s="51"/>
      <c r="UHC39" s="51"/>
      <c r="UHD39" s="51"/>
      <c r="UHE39" s="51"/>
      <c r="UHF39" s="51"/>
      <c r="UHG39" s="51"/>
      <c r="UHH39" s="51"/>
      <c r="UHI39" s="51"/>
      <c r="UHJ39" s="51"/>
      <c r="UHK39" s="51"/>
      <c r="UHL39" s="51"/>
      <c r="UHM39" s="51"/>
      <c r="UHN39" s="51"/>
      <c r="UHO39" s="51"/>
      <c r="UHP39" s="51"/>
      <c r="UHQ39" s="51"/>
      <c r="UHR39" s="51"/>
      <c r="UHS39" s="51"/>
      <c r="UHT39" s="51"/>
      <c r="UHU39" s="51"/>
      <c r="UHV39" s="51"/>
      <c r="UHW39" s="51"/>
      <c r="UHX39" s="51"/>
      <c r="UHY39" s="51"/>
      <c r="UHZ39" s="51"/>
      <c r="UIA39" s="51"/>
      <c r="UIB39" s="51"/>
      <c r="UIC39" s="51"/>
      <c r="UID39" s="51"/>
      <c r="UIE39" s="51"/>
      <c r="UIF39" s="51"/>
      <c r="UIG39" s="51"/>
      <c r="UIH39" s="51"/>
      <c r="UII39" s="51"/>
      <c r="UIJ39" s="51"/>
      <c r="UIK39" s="51"/>
      <c r="UIL39" s="51"/>
      <c r="UIM39" s="51"/>
      <c r="UIN39" s="51"/>
      <c r="UIO39" s="51"/>
      <c r="UIP39" s="51"/>
      <c r="UIQ39" s="51"/>
      <c r="UIR39" s="51"/>
      <c r="UIS39" s="51"/>
      <c r="UIT39" s="51"/>
      <c r="UIU39" s="51"/>
      <c r="UIV39" s="51"/>
      <c r="UIW39" s="51"/>
      <c r="UIX39" s="51"/>
      <c r="UIY39" s="51"/>
      <c r="UIZ39" s="51"/>
      <c r="UJA39" s="51"/>
      <c r="UJB39" s="51"/>
      <c r="UJC39" s="51"/>
      <c r="UJD39" s="51"/>
      <c r="UJE39" s="51"/>
      <c r="UJF39" s="51"/>
      <c r="UJG39" s="51"/>
      <c r="UJH39" s="51"/>
      <c r="UJI39" s="51"/>
      <c r="UJJ39" s="51"/>
      <c r="UJK39" s="51"/>
      <c r="UJL39" s="51"/>
      <c r="UJM39" s="51"/>
      <c r="UJN39" s="51"/>
      <c r="UJO39" s="51"/>
      <c r="UJP39" s="51"/>
      <c r="UJQ39" s="51"/>
      <c r="UJR39" s="51"/>
      <c r="UJS39" s="51"/>
      <c r="UJT39" s="51"/>
      <c r="UJU39" s="51"/>
      <c r="UJV39" s="51"/>
      <c r="UJW39" s="51"/>
      <c r="UJX39" s="51"/>
      <c r="UJY39" s="51"/>
      <c r="UJZ39" s="51"/>
      <c r="UKA39" s="51"/>
      <c r="UKB39" s="51"/>
      <c r="UKC39" s="51"/>
      <c r="UKD39" s="51"/>
      <c r="UKE39" s="51"/>
      <c r="UKF39" s="51"/>
      <c r="UKG39" s="51"/>
      <c r="UKH39" s="51"/>
      <c r="UKI39" s="51"/>
      <c r="UKJ39" s="51"/>
      <c r="UKK39" s="51"/>
      <c r="UKL39" s="51"/>
      <c r="UKM39" s="51"/>
      <c r="UKN39" s="51"/>
      <c r="UKO39" s="51"/>
      <c r="UKP39" s="51"/>
      <c r="UKQ39" s="51"/>
      <c r="UKR39" s="51"/>
      <c r="UKS39" s="51"/>
      <c r="UKT39" s="51"/>
      <c r="UKU39" s="51"/>
      <c r="UKV39" s="51"/>
      <c r="UKW39" s="51"/>
      <c r="UKX39" s="51"/>
      <c r="UKY39" s="51"/>
      <c r="UKZ39" s="51"/>
      <c r="ULA39" s="51"/>
      <c r="ULB39" s="51"/>
      <c r="ULC39" s="51"/>
      <c r="ULD39" s="51"/>
      <c r="ULE39" s="51"/>
      <c r="ULF39" s="51"/>
      <c r="ULG39" s="51"/>
      <c r="ULH39" s="51"/>
      <c r="ULI39" s="51"/>
      <c r="ULJ39" s="51"/>
      <c r="ULK39" s="51"/>
      <c r="ULL39" s="51"/>
      <c r="ULM39" s="51"/>
      <c r="ULN39" s="51"/>
      <c r="ULO39" s="51"/>
      <c r="ULP39" s="51"/>
      <c r="ULQ39" s="51"/>
      <c r="ULR39" s="51"/>
      <c r="ULS39" s="51"/>
      <c r="ULT39" s="51"/>
      <c r="ULU39" s="51"/>
      <c r="ULV39" s="51"/>
      <c r="ULW39" s="51"/>
      <c r="ULX39" s="51"/>
      <c r="ULY39" s="51"/>
      <c r="ULZ39" s="51"/>
      <c r="UMA39" s="51"/>
      <c r="UMB39" s="51"/>
      <c r="UMC39" s="51"/>
      <c r="UMD39" s="51"/>
      <c r="UME39" s="51"/>
      <c r="UMF39" s="51"/>
      <c r="UMG39" s="51"/>
      <c r="UMH39" s="51"/>
      <c r="UMI39" s="51"/>
      <c r="UMJ39" s="51"/>
      <c r="UMK39" s="51"/>
      <c r="UML39" s="51"/>
      <c r="UMM39" s="51"/>
      <c r="UMN39" s="51"/>
      <c r="UMO39" s="51"/>
      <c r="UMP39" s="51"/>
      <c r="UMQ39" s="51"/>
      <c r="UMR39" s="51"/>
      <c r="UMS39" s="51"/>
      <c r="UMT39" s="51"/>
      <c r="UMU39" s="51"/>
      <c r="UMV39" s="51"/>
      <c r="UMW39" s="51"/>
      <c r="UMX39" s="51"/>
      <c r="UMY39" s="51"/>
      <c r="UMZ39" s="51"/>
      <c r="UNA39" s="51"/>
      <c r="UNB39" s="51"/>
      <c r="UNC39" s="51"/>
      <c r="UND39" s="51"/>
      <c r="UNE39" s="51"/>
      <c r="UNF39" s="51"/>
      <c r="UNG39" s="51"/>
      <c r="UNH39" s="51"/>
      <c r="UNI39" s="51"/>
      <c r="UNJ39" s="51"/>
      <c r="UNK39" s="51"/>
      <c r="UNL39" s="51"/>
      <c r="UNM39" s="51"/>
      <c r="UNN39" s="51"/>
      <c r="UNO39" s="51"/>
      <c r="UNP39" s="51"/>
      <c r="UNQ39" s="51"/>
      <c r="UNR39" s="51"/>
      <c r="UNS39" s="51"/>
      <c r="UNT39" s="51"/>
      <c r="UNU39" s="51"/>
      <c r="UNV39" s="51"/>
      <c r="UNW39" s="51"/>
      <c r="UNX39" s="51"/>
      <c r="UNY39" s="51"/>
      <c r="UNZ39" s="51"/>
      <c r="UOA39" s="51"/>
      <c r="UOB39" s="51"/>
      <c r="UOC39" s="51"/>
      <c r="UOD39" s="51"/>
      <c r="UOE39" s="51"/>
      <c r="UOF39" s="51"/>
      <c r="UOG39" s="51"/>
      <c r="UOH39" s="51"/>
      <c r="UOI39" s="51"/>
      <c r="UOJ39" s="51"/>
      <c r="UOK39" s="51"/>
      <c r="UOL39" s="51"/>
      <c r="UOM39" s="51"/>
      <c r="UON39" s="51"/>
      <c r="UOO39" s="51"/>
      <c r="UOP39" s="51"/>
      <c r="UOQ39" s="51"/>
      <c r="UOR39" s="51"/>
      <c r="UOS39" s="51"/>
      <c r="UOT39" s="51"/>
      <c r="UOU39" s="51"/>
      <c r="UOV39" s="51"/>
      <c r="UOW39" s="51"/>
      <c r="UOX39" s="51"/>
      <c r="UOY39" s="51"/>
      <c r="UOZ39" s="51"/>
      <c r="UPA39" s="51"/>
      <c r="UPB39" s="51"/>
      <c r="UPC39" s="51"/>
      <c r="UPD39" s="51"/>
      <c r="UPE39" s="51"/>
      <c r="UPF39" s="51"/>
      <c r="UPG39" s="51"/>
      <c r="UPH39" s="51"/>
      <c r="UPI39" s="51"/>
      <c r="UPJ39" s="51"/>
      <c r="UPK39" s="51"/>
      <c r="UPL39" s="51"/>
      <c r="UPM39" s="51"/>
      <c r="UPN39" s="51"/>
      <c r="UPO39" s="51"/>
      <c r="UPP39" s="51"/>
      <c r="UPQ39" s="51"/>
      <c r="UPR39" s="51"/>
      <c r="UPS39" s="51"/>
      <c r="UPT39" s="51"/>
      <c r="UPU39" s="51"/>
      <c r="UPV39" s="51"/>
      <c r="UPW39" s="51"/>
      <c r="UPX39" s="51"/>
      <c r="UPY39" s="51"/>
      <c r="UPZ39" s="51"/>
      <c r="UQA39" s="51"/>
      <c r="UQB39" s="51"/>
      <c r="UQC39" s="51"/>
      <c r="UQD39" s="51"/>
      <c r="UQE39" s="51"/>
      <c r="UQF39" s="51"/>
      <c r="UQG39" s="51"/>
      <c r="UQH39" s="51"/>
      <c r="UQI39" s="51"/>
      <c r="UQJ39" s="51"/>
      <c r="UQK39" s="51"/>
      <c r="UQL39" s="51"/>
      <c r="UQM39" s="51"/>
      <c r="UQN39" s="51"/>
      <c r="UQO39" s="51"/>
      <c r="UQP39" s="51"/>
      <c r="UQQ39" s="51"/>
      <c r="UQR39" s="51"/>
      <c r="UQS39" s="51"/>
      <c r="UQT39" s="51"/>
      <c r="UQU39" s="51"/>
      <c r="UQV39" s="51"/>
      <c r="UQW39" s="51"/>
      <c r="UQX39" s="51"/>
      <c r="UQY39" s="51"/>
      <c r="UQZ39" s="51"/>
      <c r="URA39" s="51"/>
      <c r="URB39" s="51"/>
      <c r="URC39" s="51"/>
      <c r="URD39" s="51"/>
      <c r="URE39" s="51"/>
      <c r="URF39" s="51"/>
      <c r="URG39" s="51"/>
      <c r="URH39" s="51"/>
      <c r="URI39" s="51"/>
      <c r="URJ39" s="51"/>
      <c r="URK39" s="51"/>
      <c r="URL39" s="51"/>
      <c r="URM39" s="51"/>
      <c r="URN39" s="51"/>
      <c r="URO39" s="51"/>
      <c r="URP39" s="51"/>
      <c r="URQ39" s="51"/>
      <c r="URR39" s="51"/>
      <c r="URS39" s="51"/>
      <c r="URT39" s="51"/>
      <c r="URU39" s="51"/>
      <c r="URV39" s="51"/>
      <c r="URW39" s="51"/>
      <c r="URX39" s="51"/>
      <c r="URY39" s="51"/>
      <c r="URZ39" s="51"/>
      <c r="USA39" s="51"/>
      <c r="USB39" s="51"/>
      <c r="USC39" s="51"/>
      <c r="USD39" s="51"/>
      <c r="USE39" s="51"/>
      <c r="USF39" s="51"/>
      <c r="USG39" s="51"/>
      <c r="USH39" s="51"/>
      <c r="USI39" s="51"/>
      <c r="USJ39" s="51"/>
      <c r="USK39" s="51"/>
      <c r="USL39" s="51"/>
      <c r="USM39" s="51"/>
      <c r="USN39" s="51"/>
      <c r="USO39" s="51"/>
      <c r="USP39" s="51"/>
      <c r="USQ39" s="51"/>
      <c r="USR39" s="51"/>
      <c r="USS39" s="51"/>
      <c r="UST39" s="51"/>
      <c r="USU39" s="51"/>
      <c r="USV39" s="51"/>
      <c r="USW39" s="51"/>
      <c r="USX39" s="51"/>
      <c r="USY39" s="51"/>
      <c r="USZ39" s="51"/>
      <c r="UTA39" s="51"/>
      <c r="UTB39" s="51"/>
      <c r="UTC39" s="51"/>
      <c r="UTD39" s="51"/>
      <c r="UTE39" s="51"/>
      <c r="UTF39" s="51"/>
      <c r="UTG39" s="51"/>
      <c r="UTH39" s="51"/>
      <c r="UTI39" s="51"/>
      <c r="UTJ39" s="51"/>
      <c r="UTK39" s="51"/>
      <c r="UTL39" s="51"/>
      <c r="UTM39" s="51"/>
      <c r="UTN39" s="51"/>
      <c r="UTO39" s="51"/>
      <c r="UTP39" s="51"/>
      <c r="UTQ39" s="51"/>
      <c r="UTR39" s="51"/>
      <c r="UTS39" s="51"/>
      <c r="UTT39" s="51"/>
      <c r="UTU39" s="51"/>
      <c r="UTV39" s="51"/>
      <c r="UTW39" s="51"/>
      <c r="UTX39" s="51"/>
      <c r="UTY39" s="51"/>
      <c r="UTZ39" s="51"/>
      <c r="UUA39" s="51"/>
      <c r="UUB39" s="51"/>
      <c r="UUC39" s="51"/>
      <c r="UUD39" s="51"/>
      <c r="UUE39" s="51"/>
      <c r="UUF39" s="51"/>
      <c r="UUG39" s="51"/>
      <c r="UUH39" s="51"/>
      <c r="UUI39" s="51"/>
      <c r="UUJ39" s="51"/>
      <c r="UUK39" s="51"/>
      <c r="UUL39" s="51"/>
      <c r="UUM39" s="51"/>
      <c r="UUN39" s="51"/>
      <c r="UUO39" s="51"/>
      <c r="UUP39" s="51"/>
      <c r="UUQ39" s="51"/>
      <c r="UUR39" s="51"/>
      <c r="UUS39" s="51"/>
      <c r="UUT39" s="51"/>
      <c r="UUU39" s="51"/>
      <c r="UUV39" s="51"/>
      <c r="UUW39" s="51"/>
      <c r="UUX39" s="51"/>
      <c r="UUY39" s="51"/>
      <c r="UUZ39" s="51"/>
      <c r="UVA39" s="51"/>
      <c r="UVB39" s="51"/>
      <c r="UVC39" s="51"/>
      <c r="UVD39" s="51"/>
      <c r="UVE39" s="51"/>
      <c r="UVF39" s="51"/>
      <c r="UVG39" s="51"/>
      <c r="UVH39" s="51"/>
      <c r="UVI39" s="51"/>
      <c r="UVJ39" s="51"/>
      <c r="UVK39" s="51"/>
      <c r="UVL39" s="51"/>
      <c r="UVM39" s="51"/>
      <c r="UVN39" s="51"/>
      <c r="UVO39" s="51"/>
      <c r="UVP39" s="51"/>
      <c r="UVQ39" s="51"/>
      <c r="UVR39" s="51"/>
      <c r="UVS39" s="51"/>
      <c r="UVT39" s="51"/>
      <c r="UVU39" s="51"/>
      <c r="UVV39" s="51"/>
      <c r="UVW39" s="51"/>
      <c r="UVX39" s="51"/>
      <c r="UVY39" s="51"/>
      <c r="UVZ39" s="51"/>
      <c r="UWA39" s="51"/>
      <c r="UWB39" s="51"/>
      <c r="UWC39" s="51"/>
      <c r="UWD39" s="51"/>
      <c r="UWE39" s="51"/>
      <c r="UWF39" s="51"/>
      <c r="UWG39" s="51"/>
      <c r="UWH39" s="51"/>
      <c r="UWI39" s="51"/>
      <c r="UWJ39" s="51"/>
      <c r="UWK39" s="51"/>
      <c r="UWL39" s="51"/>
      <c r="UWM39" s="51"/>
      <c r="UWN39" s="51"/>
      <c r="UWO39" s="51"/>
      <c r="UWP39" s="51"/>
      <c r="UWQ39" s="51"/>
      <c r="UWR39" s="51"/>
      <c r="UWS39" s="51"/>
      <c r="UWT39" s="51"/>
      <c r="UWU39" s="51"/>
      <c r="UWV39" s="51"/>
      <c r="UWW39" s="51"/>
      <c r="UWX39" s="51"/>
      <c r="UWY39" s="51"/>
      <c r="UWZ39" s="51"/>
      <c r="UXA39" s="51"/>
      <c r="UXB39" s="51"/>
      <c r="UXC39" s="51"/>
      <c r="UXD39" s="51"/>
      <c r="UXE39" s="51"/>
      <c r="UXF39" s="51"/>
      <c r="UXG39" s="51"/>
      <c r="UXH39" s="51"/>
      <c r="UXI39" s="51"/>
      <c r="UXJ39" s="51"/>
      <c r="UXK39" s="51"/>
      <c r="UXL39" s="51"/>
      <c r="UXM39" s="51"/>
      <c r="UXN39" s="51"/>
      <c r="UXO39" s="51"/>
      <c r="UXP39" s="51"/>
      <c r="UXQ39" s="51"/>
      <c r="UXR39" s="51"/>
      <c r="UXS39" s="51"/>
      <c r="UXT39" s="51"/>
      <c r="UXU39" s="51"/>
      <c r="UXV39" s="51"/>
      <c r="UXW39" s="51"/>
      <c r="UXX39" s="51"/>
      <c r="UXY39" s="51"/>
      <c r="UXZ39" s="51"/>
      <c r="UYA39" s="51"/>
      <c r="UYB39" s="51"/>
      <c r="UYC39" s="51"/>
      <c r="UYD39" s="51"/>
      <c r="UYE39" s="51"/>
      <c r="UYF39" s="51"/>
      <c r="UYG39" s="51"/>
      <c r="UYH39" s="51"/>
      <c r="UYI39" s="51"/>
      <c r="UYJ39" s="51"/>
      <c r="UYK39" s="51"/>
      <c r="UYL39" s="51"/>
      <c r="UYM39" s="51"/>
      <c r="UYN39" s="51"/>
      <c r="UYO39" s="51"/>
      <c r="UYP39" s="51"/>
      <c r="UYQ39" s="51"/>
      <c r="UYR39" s="51"/>
      <c r="UYS39" s="51"/>
      <c r="UYT39" s="51"/>
      <c r="UYU39" s="51"/>
      <c r="UYV39" s="51"/>
      <c r="UYW39" s="51"/>
      <c r="UYX39" s="51"/>
      <c r="UYY39" s="51"/>
      <c r="UYZ39" s="51"/>
      <c r="UZA39" s="51"/>
      <c r="UZB39" s="51"/>
      <c r="UZC39" s="51"/>
      <c r="UZD39" s="51"/>
      <c r="UZE39" s="51"/>
      <c r="UZF39" s="51"/>
      <c r="UZG39" s="51"/>
      <c r="UZH39" s="51"/>
      <c r="UZI39" s="51"/>
      <c r="UZJ39" s="51"/>
      <c r="UZK39" s="51"/>
      <c r="UZL39" s="51"/>
      <c r="UZM39" s="51"/>
      <c r="UZN39" s="51"/>
      <c r="UZO39" s="51"/>
      <c r="UZP39" s="51"/>
      <c r="UZQ39" s="51"/>
      <c r="UZR39" s="51"/>
      <c r="UZS39" s="51"/>
      <c r="UZT39" s="51"/>
      <c r="UZU39" s="51"/>
      <c r="UZV39" s="51"/>
      <c r="UZW39" s="51"/>
      <c r="UZX39" s="51"/>
      <c r="UZY39" s="51"/>
      <c r="UZZ39" s="51"/>
      <c r="VAA39" s="51"/>
      <c r="VAB39" s="51"/>
      <c r="VAC39" s="51"/>
      <c r="VAD39" s="51"/>
      <c r="VAE39" s="51"/>
      <c r="VAF39" s="51"/>
      <c r="VAG39" s="51"/>
      <c r="VAH39" s="51"/>
      <c r="VAI39" s="51"/>
      <c r="VAJ39" s="51"/>
      <c r="VAK39" s="51"/>
      <c r="VAL39" s="51"/>
      <c r="VAM39" s="51"/>
      <c r="VAN39" s="51"/>
      <c r="VAO39" s="51"/>
      <c r="VAP39" s="51"/>
      <c r="VAQ39" s="51"/>
      <c r="VAR39" s="51"/>
      <c r="VAS39" s="51"/>
      <c r="VAT39" s="51"/>
      <c r="VAU39" s="51"/>
      <c r="VAV39" s="51"/>
      <c r="VAW39" s="51"/>
      <c r="VAX39" s="51"/>
      <c r="VAY39" s="51"/>
      <c r="VAZ39" s="51"/>
      <c r="VBA39" s="51"/>
      <c r="VBB39" s="51"/>
      <c r="VBC39" s="51"/>
      <c r="VBD39" s="51"/>
      <c r="VBE39" s="51"/>
      <c r="VBF39" s="51"/>
      <c r="VBG39" s="51"/>
      <c r="VBH39" s="51"/>
      <c r="VBI39" s="51"/>
      <c r="VBJ39" s="51"/>
      <c r="VBK39" s="51"/>
      <c r="VBL39" s="51"/>
      <c r="VBM39" s="51"/>
      <c r="VBN39" s="51"/>
      <c r="VBO39" s="51"/>
      <c r="VBP39" s="51"/>
      <c r="VBQ39" s="51"/>
      <c r="VBR39" s="51"/>
      <c r="VBS39" s="51"/>
      <c r="VBT39" s="51"/>
      <c r="VBU39" s="51"/>
      <c r="VBV39" s="51"/>
      <c r="VBW39" s="51"/>
      <c r="VBX39" s="51"/>
      <c r="VBY39" s="51"/>
      <c r="VBZ39" s="51"/>
      <c r="VCA39" s="51"/>
      <c r="VCB39" s="51"/>
      <c r="VCC39" s="51"/>
      <c r="VCD39" s="51"/>
      <c r="VCE39" s="51"/>
      <c r="VCF39" s="51"/>
      <c r="VCG39" s="51"/>
      <c r="VCH39" s="51"/>
      <c r="VCI39" s="51"/>
      <c r="VCJ39" s="51"/>
      <c r="VCK39" s="51"/>
      <c r="VCL39" s="51"/>
      <c r="VCM39" s="51"/>
      <c r="VCN39" s="51"/>
      <c r="VCO39" s="51"/>
      <c r="VCP39" s="51"/>
      <c r="VCQ39" s="51"/>
      <c r="VCR39" s="51"/>
      <c r="VCS39" s="51"/>
      <c r="VCT39" s="51"/>
      <c r="VCU39" s="51"/>
      <c r="VCV39" s="51"/>
      <c r="VCW39" s="51"/>
      <c r="VCX39" s="51"/>
      <c r="VCY39" s="51"/>
      <c r="VCZ39" s="51"/>
      <c r="VDA39" s="51"/>
      <c r="VDB39" s="51"/>
      <c r="VDC39" s="51"/>
      <c r="VDD39" s="51"/>
      <c r="VDE39" s="51"/>
      <c r="VDF39" s="51"/>
      <c r="VDG39" s="51"/>
      <c r="VDH39" s="51"/>
      <c r="VDI39" s="51"/>
      <c r="VDJ39" s="51"/>
      <c r="VDK39" s="51"/>
      <c r="VDL39" s="51"/>
      <c r="VDM39" s="51"/>
      <c r="VDN39" s="51"/>
      <c r="VDO39" s="51"/>
      <c r="VDP39" s="51"/>
      <c r="VDQ39" s="51"/>
      <c r="VDR39" s="51"/>
      <c r="VDS39" s="51"/>
      <c r="VDT39" s="51"/>
      <c r="VDU39" s="51"/>
      <c r="VDV39" s="51"/>
      <c r="VDW39" s="51"/>
      <c r="VDX39" s="51"/>
      <c r="VDY39" s="51"/>
      <c r="VDZ39" s="51"/>
      <c r="VEA39" s="51"/>
      <c r="VEB39" s="51"/>
      <c r="VEC39" s="51"/>
      <c r="VED39" s="51"/>
      <c r="VEE39" s="51"/>
      <c r="VEF39" s="51"/>
      <c r="VEG39" s="51"/>
      <c r="VEH39" s="51"/>
      <c r="VEI39" s="51"/>
      <c r="VEJ39" s="51"/>
      <c r="VEK39" s="51"/>
      <c r="VEL39" s="51"/>
      <c r="VEM39" s="51"/>
      <c r="VEN39" s="51"/>
      <c r="VEO39" s="51"/>
      <c r="VEP39" s="51"/>
      <c r="VEQ39" s="51"/>
      <c r="VER39" s="51"/>
      <c r="VES39" s="51"/>
      <c r="VET39" s="51"/>
      <c r="VEU39" s="51"/>
      <c r="VEV39" s="51"/>
      <c r="VEW39" s="51"/>
      <c r="VEX39" s="51"/>
      <c r="VEY39" s="51"/>
      <c r="VEZ39" s="51"/>
      <c r="VFA39" s="51"/>
      <c r="VFB39" s="51"/>
      <c r="VFC39" s="51"/>
      <c r="VFD39" s="51"/>
      <c r="VFE39" s="51"/>
      <c r="VFF39" s="51"/>
      <c r="VFG39" s="51"/>
      <c r="VFH39" s="51"/>
      <c r="VFI39" s="51"/>
      <c r="VFJ39" s="51"/>
      <c r="VFK39" s="51"/>
      <c r="VFL39" s="51"/>
      <c r="VFM39" s="51"/>
      <c r="VFN39" s="51"/>
      <c r="VFO39" s="51"/>
      <c r="VFP39" s="51"/>
      <c r="VFQ39" s="51"/>
      <c r="VFR39" s="51"/>
      <c r="VFS39" s="51"/>
      <c r="VFT39" s="51"/>
      <c r="VFU39" s="51"/>
      <c r="VFV39" s="51"/>
      <c r="VFW39" s="51"/>
      <c r="VFX39" s="51"/>
      <c r="VFY39" s="51"/>
      <c r="VFZ39" s="51"/>
      <c r="VGA39" s="51"/>
      <c r="VGB39" s="51"/>
      <c r="VGC39" s="51"/>
      <c r="VGD39" s="51"/>
      <c r="VGE39" s="51"/>
      <c r="VGF39" s="51"/>
      <c r="VGG39" s="51"/>
      <c r="VGH39" s="51"/>
      <c r="VGI39" s="51"/>
      <c r="VGJ39" s="51"/>
      <c r="VGK39" s="51"/>
      <c r="VGL39" s="51"/>
      <c r="VGM39" s="51"/>
      <c r="VGN39" s="51"/>
      <c r="VGO39" s="51"/>
      <c r="VGP39" s="51"/>
      <c r="VGQ39" s="51"/>
      <c r="VGR39" s="51"/>
      <c r="VGS39" s="51"/>
      <c r="VGT39" s="51"/>
      <c r="VGU39" s="51"/>
      <c r="VGV39" s="51"/>
      <c r="VGW39" s="51"/>
      <c r="VGX39" s="51"/>
      <c r="VGY39" s="51"/>
      <c r="VGZ39" s="51"/>
      <c r="VHA39" s="51"/>
      <c r="VHB39" s="51"/>
      <c r="VHC39" s="51"/>
      <c r="VHD39" s="51"/>
      <c r="VHE39" s="51"/>
      <c r="VHF39" s="51"/>
      <c r="VHG39" s="51"/>
      <c r="VHH39" s="51"/>
      <c r="VHI39" s="51"/>
      <c r="VHJ39" s="51"/>
      <c r="VHK39" s="51"/>
      <c r="VHL39" s="51"/>
      <c r="VHM39" s="51"/>
      <c r="VHN39" s="51"/>
      <c r="VHO39" s="51"/>
      <c r="VHP39" s="51"/>
      <c r="VHQ39" s="51"/>
      <c r="VHR39" s="51"/>
      <c r="VHS39" s="51"/>
      <c r="VHT39" s="51"/>
      <c r="VHU39" s="51"/>
      <c r="VHV39" s="51"/>
      <c r="VHW39" s="51"/>
      <c r="VHX39" s="51"/>
      <c r="VHY39" s="51"/>
      <c r="VHZ39" s="51"/>
      <c r="VIA39" s="51"/>
      <c r="VIB39" s="51"/>
      <c r="VIC39" s="51"/>
      <c r="VID39" s="51"/>
      <c r="VIE39" s="51"/>
      <c r="VIF39" s="51"/>
      <c r="VIG39" s="51"/>
      <c r="VIH39" s="51"/>
      <c r="VII39" s="51"/>
      <c r="VIJ39" s="51"/>
      <c r="VIK39" s="51"/>
      <c r="VIL39" s="51"/>
      <c r="VIM39" s="51"/>
      <c r="VIN39" s="51"/>
      <c r="VIO39" s="51"/>
      <c r="VIP39" s="51"/>
      <c r="VIQ39" s="51"/>
      <c r="VIR39" s="51"/>
      <c r="VIS39" s="51"/>
      <c r="VIT39" s="51"/>
      <c r="VIU39" s="51"/>
      <c r="VIV39" s="51"/>
      <c r="VIW39" s="51"/>
      <c r="VIX39" s="51"/>
      <c r="VIY39" s="51"/>
      <c r="VIZ39" s="51"/>
      <c r="VJA39" s="51"/>
      <c r="VJB39" s="51"/>
      <c r="VJC39" s="51"/>
      <c r="VJD39" s="51"/>
      <c r="VJE39" s="51"/>
      <c r="VJF39" s="51"/>
      <c r="VJG39" s="51"/>
      <c r="VJH39" s="51"/>
      <c r="VJI39" s="51"/>
      <c r="VJJ39" s="51"/>
      <c r="VJK39" s="51"/>
      <c r="VJL39" s="51"/>
      <c r="VJM39" s="51"/>
      <c r="VJN39" s="51"/>
      <c r="VJO39" s="51"/>
      <c r="VJP39" s="51"/>
      <c r="VJQ39" s="51"/>
      <c r="VJR39" s="51"/>
      <c r="VJS39" s="51"/>
      <c r="VJT39" s="51"/>
      <c r="VJU39" s="51"/>
      <c r="VJV39" s="51"/>
      <c r="VJW39" s="51"/>
      <c r="VJX39" s="51"/>
      <c r="VJY39" s="51"/>
      <c r="VJZ39" s="51"/>
      <c r="VKA39" s="51"/>
      <c r="VKB39" s="51"/>
      <c r="VKC39" s="51"/>
      <c r="VKD39" s="51"/>
      <c r="VKE39" s="51"/>
      <c r="VKF39" s="51"/>
      <c r="VKG39" s="51"/>
      <c r="VKH39" s="51"/>
      <c r="VKI39" s="51"/>
      <c r="VKJ39" s="51"/>
      <c r="VKK39" s="51"/>
      <c r="VKL39" s="51"/>
      <c r="VKM39" s="51"/>
      <c r="VKN39" s="51"/>
      <c r="VKO39" s="51"/>
      <c r="VKP39" s="51"/>
      <c r="VKQ39" s="51"/>
      <c r="VKR39" s="51"/>
      <c r="VKS39" s="51"/>
      <c r="VKT39" s="51"/>
      <c r="VKU39" s="51"/>
      <c r="VKV39" s="51"/>
      <c r="VKW39" s="51"/>
      <c r="VKX39" s="51"/>
      <c r="VKY39" s="51"/>
      <c r="VKZ39" s="51"/>
      <c r="VLA39" s="51"/>
      <c r="VLB39" s="51"/>
      <c r="VLC39" s="51"/>
      <c r="VLD39" s="51"/>
      <c r="VLE39" s="51"/>
      <c r="VLF39" s="51"/>
      <c r="VLG39" s="51"/>
      <c r="VLH39" s="51"/>
      <c r="VLI39" s="51"/>
      <c r="VLJ39" s="51"/>
      <c r="VLK39" s="51"/>
      <c r="VLL39" s="51"/>
      <c r="VLM39" s="51"/>
      <c r="VLN39" s="51"/>
      <c r="VLO39" s="51"/>
      <c r="VLP39" s="51"/>
      <c r="VLQ39" s="51"/>
      <c r="VLR39" s="51"/>
      <c r="VLS39" s="51"/>
      <c r="VLT39" s="51"/>
      <c r="VLU39" s="51"/>
      <c r="VLV39" s="51"/>
      <c r="VLW39" s="51"/>
      <c r="VLX39" s="51"/>
      <c r="VLY39" s="51"/>
      <c r="VLZ39" s="51"/>
      <c r="VMA39" s="51"/>
      <c r="VMB39" s="51"/>
      <c r="VMC39" s="51"/>
      <c r="VMD39" s="51"/>
      <c r="VME39" s="51"/>
      <c r="VMF39" s="51"/>
      <c r="VMG39" s="51"/>
      <c r="VMH39" s="51"/>
      <c r="VMI39" s="51"/>
      <c r="VMJ39" s="51"/>
      <c r="VMK39" s="51"/>
      <c r="VML39" s="51"/>
      <c r="VMM39" s="51"/>
      <c r="VMN39" s="51"/>
      <c r="VMO39" s="51"/>
      <c r="VMP39" s="51"/>
      <c r="VMQ39" s="51"/>
      <c r="VMR39" s="51"/>
      <c r="VMS39" s="51"/>
      <c r="VMT39" s="51"/>
      <c r="VMU39" s="51"/>
      <c r="VMV39" s="51"/>
      <c r="VMW39" s="51"/>
      <c r="VMX39" s="51"/>
      <c r="VMY39" s="51"/>
      <c r="VMZ39" s="51"/>
      <c r="VNA39" s="51"/>
      <c r="VNB39" s="51"/>
      <c r="VNC39" s="51"/>
      <c r="VND39" s="51"/>
      <c r="VNE39" s="51"/>
      <c r="VNF39" s="51"/>
      <c r="VNG39" s="51"/>
      <c r="VNH39" s="51"/>
      <c r="VNI39" s="51"/>
      <c r="VNJ39" s="51"/>
      <c r="VNK39" s="51"/>
      <c r="VNL39" s="51"/>
      <c r="VNM39" s="51"/>
      <c r="VNN39" s="51"/>
      <c r="VNO39" s="51"/>
      <c r="VNP39" s="51"/>
      <c r="VNQ39" s="51"/>
      <c r="VNR39" s="51"/>
      <c r="VNS39" s="51"/>
      <c r="VNT39" s="51"/>
      <c r="VNU39" s="51"/>
      <c r="VNV39" s="51"/>
      <c r="VNW39" s="51"/>
      <c r="VNX39" s="51"/>
      <c r="VNY39" s="51"/>
      <c r="VNZ39" s="51"/>
      <c r="VOA39" s="51"/>
      <c r="VOB39" s="51"/>
      <c r="VOC39" s="51"/>
      <c r="VOD39" s="51"/>
      <c r="VOE39" s="51"/>
      <c r="VOF39" s="51"/>
      <c r="VOG39" s="51"/>
      <c r="VOH39" s="51"/>
      <c r="VOI39" s="51"/>
      <c r="VOJ39" s="51"/>
      <c r="VOK39" s="51"/>
      <c r="VOL39" s="51"/>
      <c r="VOM39" s="51"/>
      <c r="VON39" s="51"/>
      <c r="VOO39" s="51"/>
      <c r="VOP39" s="51"/>
      <c r="VOQ39" s="51"/>
      <c r="VOR39" s="51"/>
      <c r="VOS39" s="51"/>
      <c r="VOT39" s="51"/>
      <c r="VOU39" s="51"/>
      <c r="VOV39" s="51"/>
      <c r="VOW39" s="51"/>
      <c r="VOX39" s="51"/>
      <c r="VOY39" s="51"/>
      <c r="VOZ39" s="51"/>
      <c r="VPA39" s="51"/>
      <c r="VPB39" s="51"/>
      <c r="VPC39" s="51"/>
      <c r="VPD39" s="51"/>
      <c r="VPE39" s="51"/>
      <c r="VPF39" s="51"/>
      <c r="VPG39" s="51"/>
      <c r="VPH39" s="51"/>
      <c r="VPI39" s="51"/>
      <c r="VPJ39" s="51"/>
      <c r="VPK39" s="51"/>
      <c r="VPL39" s="51"/>
      <c r="VPM39" s="51"/>
      <c r="VPN39" s="51"/>
      <c r="VPO39" s="51"/>
      <c r="VPP39" s="51"/>
      <c r="VPQ39" s="51"/>
      <c r="VPR39" s="51"/>
      <c r="VPS39" s="51"/>
      <c r="VPT39" s="51"/>
      <c r="VPU39" s="51"/>
      <c r="VPV39" s="51"/>
      <c r="VPW39" s="51"/>
      <c r="VPX39" s="51"/>
      <c r="VPY39" s="51"/>
      <c r="VPZ39" s="51"/>
      <c r="VQA39" s="51"/>
      <c r="VQB39" s="51"/>
      <c r="VQC39" s="51"/>
      <c r="VQD39" s="51"/>
      <c r="VQE39" s="51"/>
      <c r="VQF39" s="51"/>
      <c r="VQG39" s="51"/>
      <c r="VQH39" s="51"/>
      <c r="VQI39" s="51"/>
      <c r="VQJ39" s="51"/>
      <c r="VQK39" s="51"/>
      <c r="VQL39" s="51"/>
      <c r="VQM39" s="51"/>
      <c r="VQN39" s="51"/>
      <c r="VQO39" s="51"/>
      <c r="VQP39" s="51"/>
      <c r="VQQ39" s="51"/>
      <c r="VQR39" s="51"/>
      <c r="VQS39" s="51"/>
      <c r="VQT39" s="51"/>
      <c r="VQU39" s="51"/>
      <c r="VQV39" s="51"/>
      <c r="VQW39" s="51"/>
      <c r="VQX39" s="51"/>
      <c r="VQY39" s="51"/>
      <c r="VQZ39" s="51"/>
      <c r="VRA39" s="51"/>
      <c r="VRB39" s="51"/>
      <c r="VRC39" s="51"/>
      <c r="VRD39" s="51"/>
      <c r="VRE39" s="51"/>
      <c r="VRF39" s="51"/>
      <c r="VRG39" s="51"/>
      <c r="VRH39" s="51"/>
      <c r="VRI39" s="51"/>
      <c r="VRJ39" s="51"/>
      <c r="VRK39" s="51"/>
      <c r="VRL39" s="51"/>
      <c r="VRM39" s="51"/>
      <c r="VRN39" s="51"/>
      <c r="VRO39" s="51"/>
      <c r="VRP39" s="51"/>
      <c r="VRQ39" s="51"/>
      <c r="VRR39" s="51"/>
      <c r="VRS39" s="51"/>
      <c r="VRT39" s="51"/>
      <c r="VRU39" s="51"/>
      <c r="VRV39" s="51"/>
      <c r="VRW39" s="51"/>
      <c r="VRX39" s="51"/>
      <c r="VRY39" s="51"/>
      <c r="VRZ39" s="51"/>
      <c r="VSA39" s="51"/>
      <c r="VSB39" s="51"/>
      <c r="VSC39" s="51"/>
      <c r="VSD39" s="51"/>
      <c r="VSE39" s="51"/>
      <c r="VSF39" s="51"/>
      <c r="VSG39" s="51"/>
      <c r="VSH39" s="51"/>
      <c r="VSI39" s="51"/>
      <c r="VSJ39" s="51"/>
      <c r="VSK39" s="51"/>
      <c r="VSL39" s="51"/>
      <c r="VSM39" s="51"/>
      <c r="VSN39" s="51"/>
      <c r="VSO39" s="51"/>
      <c r="VSP39" s="51"/>
      <c r="VSQ39" s="51"/>
      <c r="VSR39" s="51"/>
      <c r="VSS39" s="51"/>
      <c r="VST39" s="51"/>
      <c r="VSU39" s="51"/>
      <c r="VSV39" s="51"/>
      <c r="VSW39" s="51"/>
      <c r="VSX39" s="51"/>
      <c r="VSY39" s="51"/>
      <c r="VSZ39" s="51"/>
      <c r="VTA39" s="51"/>
      <c r="VTB39" s="51"/>
      <c r="VTC39" s="51"/>
      <c r="VTD39" s="51"/>
      <c r="VTE39" s="51"/>
      <c r="VTF39" s="51"/>
      <c r="VTG39" s="51"/>
      <c r="VTH39" s="51"/>
      <c r="VTI39" s="51"/>
      <c r="VTJ39" s="51"/>
      <c r="VTK39" s="51"/>
      <c r="VTL39" s="51"/>
      <c r="VTM39" s="51"/>
      <c r="VTN39" s="51"/>
      <c r="VTO39" s="51"/>
      <c r="VTP39" s="51"/>
      <c r="VTQ39" s="51"/>
      <c r="VTR39" s="51"/>
      <c r="VTS39" s="51"/>
      <c r="VTT39" s="51"/>
      <c r="VTU39" s="51"/>
      <c r="VTV39" s="51"/>
      <c r="VTW39" s="51"/>
      <c r="VTX39" s="51"/>
      <c r="VTY39" s="51"/>
      <c r="VTZ39" s="51"/>
      <c r="VUA39" s="51"/>
      <c r="VUB39" s="51"/>
      <c r="VUC39" s="51"/>
      <c r="VUD39" s="51"/>
      <c r="VUE39" s="51"/>
      <c r="VUF39" s="51"/>
      <c r="VUG39" s="51"/>
      <c r="VUH39" s="51"/>
      <c r="VUI39" s="51"/>
      <c r="VUJ39" s="51"/>
      <c r="VUK39" s="51"/>
      <c r="VUL39" s="51"/>
      <c r="VUM39" s="51"/>
      <c r="VUN39" s="51"/>
      <c r="VUO39" s="51"/>
      <c r="VUP39" s="51"/>
      <c r="VUQ39" s="51"/>
      <c r="VUR39" s="51"/>
      <c r="VUS39" s="51"/>
      <c r="VUT39" s="51"/>
      <c r="VUU39" s="51"/>
      <c r="VUV39" s="51"/>
      <c r="VUW39" s="51"/>
      <c r="VUX39" s="51"/>
      <c r="VUY39" s="51"/>
      <c r="VUZ39" s="51"/>
      <c r="VVA39" s="51"/>
      <c r="VVB39" s="51"/>
      <c r="VVC39" s="51"/>
      <c r="VVD39" s="51"/>
      <c r="VVE39" s="51"/>
      <c r="VVF39" s="51"/>
      <c r="VVG39" s="51"/>
      <c r="VVH39" s="51"/>
      <c r="VVI39" s="51"/>
      <c r="VVJ39" s="51"/>
      <c r="VVK39" s="51"/>
      <c r="VVL39" s="51"/>
      <c r="VVM39" s="51"/>
      <c r="VVN39" s="51"/>
      <c r="VVO39" s="51"/>
      <c r="VVP39" s="51"/>
      <c r="VVQ39" s="51"/>
      <c r="VVR39" s="51"/>
      <c r="VVS39" s="51"/>
      <c r="VVT39" s="51"/>
      <c r="VVU39" s="51"/>
      <c r="VVV39" s="51"/>
      <c r="VVW39" s="51"/>
      <c r="VVX39" s="51"/>
      <c r="VVY39" s="51"/>
      <c r="VVZ39" s="51"/>
      <c r="VWA39" s="51"/>
      <c r="VWB39" s="51"/>
      <c r="VWC39" s="51"/>
      <c r="VWD39" s="51"/>
      <c r="VWE39" s="51"/>
      <c r="VWF39" s="51"/>
      <c r="VWG39" s="51"/>
      <c r="VWH39" s="51"/>
      <c r="VWI39" s="51"/>
      <c r="VWJ39" s="51"/>
      <c r="VWK39" s="51"/>
      <c r="VWL39" s="51"/>
      <c r="VWM39" s="51"/>
      <c r="VWN39" s="51"/>
      <c r="VWO39" s="51"/>
      <c r="VWP39" s="51"/>
      <c r="VWQ39" s="51"/>
      <c r="VWR39" s="51"/>
      <c r="VWS39" s="51"/>
      <c r="VWT39" s="51"/>
      <c r="VWU39" s="51"/>
      <c r="VWV39" s="51"/>
      <c r="VWW39" s="51"/>
      <c r="VWX39" s="51"/>
      <c r="VWY39" s="51"/>
      <c r="VWZ39" s="51"/>
      <c r="VXA39" s="51"/>
      <c r="VXB39" s="51"/>
      <c r="VXC39" s="51"/>
      <c r="VXD39" s="51"/>
      <c r="VXE39" s="51"/>
      <c r="VXF39" s="51"/>
      <c r="VXG39" s="51"/>
      <c r="VXH39" s="51"/>
      <c r="VXI39" s="51"/>
      <c r="VXJ39" s="51"/>
      <c r="VXK39" s="51"/>
      <c r="VXL39" s="51"/>
      <c r="VXM39" s="51"/>
      <c r="VXN39" s="51"/>
      <c r="VXO39" s="51"/>
      <c r="VXP39" s="51"/>
      <c r="VXQ39" s="51"/>
      <c r="VXR39" s="51"/>
      <c r="VXS39" s="51"/>
      <c r="VXT39" s="51"/>
      <c r="VXU39" s="51"/>
      <c r="VXV39" s="51"/>
      <c r="VXW39" s="51"/>
      <c r="VXX39" s="51"/>
      <c r="VXY39" s="51"/>
      <c r="VXZ39" s="51"/>
      <c r="VYA39" s="51"/>
      <c r="VYB39" s="51"/>
      <c r="VYC39" s="51"/>
      <c r="VYD39" s="51"/>
      <c r="VYE39" s="51"/>
      <c r="VYF39" s="51"/>
      <c r="VYG39" s="51"/>
      <c r="VYH39" s="51"/>
      <c r="VYI39" s="51"/>
      <c r="VYJ39" s="51"/>
      <c r="VYK39" s="51"/>
      <c r="VYL39" s="51"/>
      <c r="VYM39" s="51"/>
      <c r="VYN39" s="51"/>
      <c r="VYO39" s="51"/>
      <c r="VYP39" s="51"/>
      <c r="VYQ39" s="51"/>
      <c r="VYR39" s="51"/>
      <c r="VYS39" s="51"/>
      <c r="VYT39" s="51"/>
      <c r="VYU39" s="51"/>
      <c r="VYV39" s="51"/>
      <c r="VYW39" s="51"/>
      <c r="VYX39" s="51"/>
      <c r="VYY39" s="51"/>
      <c r="VYZ39" s="51"/>
      <c r="VZA39" s="51"/>
      <c r="VZB39" s="51"/>
      <c r="VZC39" s="51"/>
      <c r="VZD39" s="51"/>
      <c r="VZE39" s="51"/>
      <c r="VZF39" s="51"/>
      <c r="VZG39" s="51"/>
      <c r="VZH39" s="51"/>
      <c r="VZI39" s="51"/>
      <c r="VZJ39" s="51"/>
      <c r="VZK39" s="51"/>
      <c r="VZL39" s="51"/>
      <c r="VZM39" s="51"/>
      <c r="VZN39" s="51"/>
      <c r="VZO39" s="51"/>
      <c r="VZP39" s="51"/>
      <c r="VZQ39" s="51"/>
      <c r="VZR39" s="51"/>
      <c r="VZS39" s="51"/>
      <c r="VZT39" s="51"/>
      <c r="VZU39" s="51"/>
      <c r="VZV39" s="51"/>
      <c r="VZW39" s="51"/>
      <c r="VZX39" s="51"/>
      <c r="VZY39" s="51"/>
      <c r="VZZ39" s="51"/>
      <c r="WAA39" s="51"/>
      <c r="WAB39" s="51"/>
      <c r="WAC39" s="51"/>
      <c r="WAD39" s="51"/>
      <c r="WAE39" s="51"/>
      <c r="WAF39" s="51"/>
      <c r="WAG39" s="51"/>
      <c r="WAH39" s="51"/>
      <c r="WAI39" s="51"/>
      <c r="WAJ39" s="51"/>
      <c r="WAK39" s="51"/>
      <c r="WAL39" s="51"/>
      <c r="WAM39" s="51"/>
      <c r="WAN39" s="51"/>
      <c r="WAO39" s="51"/>
      <c r="WAP39" s="51"/>
      <c r="WAQ39" s="51"/>
      <c r="WAR39" s="51"/>
      <c r="WAS39" s="51"/>
      <c r="WAT39" s="51"/>
      <c r="WAU39" s="51"/>
      <c r="WAV39" s="51"/>
      <c r="WAW39" s="51"/>
      <c r="WAX39" s="51"/>
      <c r="WAY39" s="51"/>
      <c r="WAZ39" s="51"/>
      <c r="WBA39" s="51"/>
      <c r="WBB39" s="51"/>
      <c r="WBC39" s="51"/>
      <c r="WBD39" s="51"/>
      <c r="WBE39" s="51"/>
      <c r="WBF39" s="51"/>
      <c r="WBG39" s="51"/>
      <c r="WBH39" s="51"/>
      <c r="WBI39" s="51"/>
      <c r="WBJ39" s="51"/>
      <c r="WBK39" s="51"/>
      <c r="WBL39" s="51"/>
      <c r="WBM39" s="51"/>
      <c r="WBN39" s="51"/>
      <c r="WBO39" s="51"/>
      <c r="WBP39" s="51"/>
      <c r="WBQ39" s="51"/>
      <c r="WBR39" s="51"/>
      <c r="WBS39" s="51"/>
      <c r="WBT39" s="51"/>
      <c r="WBU39" s="51"/>
      <c r="WBV39" s="51"/>
      <c r="WBW39" s="51"/>
      <c r="WBX39" s="51"/>
      <c r="WBY39" s="51"/>
      <c r="WBZ39" s="51"/>
      <c r="WCA39" s="51"/>
      <c r="WCB39" s="51"/>
      <c r="WCC39" s="51"/>
      <c r="WCD39" s="51"/>
      <c r="WCE39" s="51"/>
      <c r="WCF39" s="51"/>
      <c r="WCG39" s="51"/>
      <c r="WCH39" s="51"/>
      <c r="WCI39" s="51"/>
      <c r="WCJ39" s="51"/>
      <c r="WCK39" s="51"/>
      <c r="WCL39" s="51"/>
      <c r="WCM39" s="51"/>
      <c r="WCN39" s="51"/>
      <c r="WCO39" s="51"/>
      <c r="WCP39" s="51"/>
      <c r="WCQ39" s="51"/>
      <c r="WCR39" s="51"/>
      <c r="WCS39" s="51"/>
      <c r="WCT39" s="51"/>
      <c r="WCU39" s="51"/>
      <c r="WCV39" s="51"/>
      <c r="WCW39" s="51"/>
      <c r="WCX39" s="51"/>
      <c r="WCY39" s="51"/>
      <c r="WCZ39" s="51"/>
      <c r="WDA39" s="51"/>
      <c r="WDB39" s="51"/>
      <c r="WDC39" s="51"/>
      <c r="WDD39" s="51"/>
      <c r="WDE39" s="51"/>
      <c r="WDF39" s="51"/>
      <c r="WDG39" s="51"/>
      <c r="WDH39" s="51"/>
      <c r="WDI39" s="51"/>
      <c r="WDJ39" s="51"/>
      <c r="WDK39" s="51"/>
      <c r="WDL39" s="51"/>
      <c r="WDM39" s="51"/>
      <c r="WDN39" s="51"/>
      <c r="WDO39" s="51"/>
      <c r="WDP39" s="51"/>
      <c r="WDQ39" s="51"/>
      <c r="WDR39" s="51"/>
      <c r="WDS39" s="51"/>
      <c r="WDT39" s="51"/>
      <c r="WDU39" s="51"/>
      <c r="WDV39" s="51"/>
      <c r="WDW39" s="51"/>
      <c r="WDX39" s="51"/>
      <c r="WDY39" s="51"/>
      <c r="WDZ39" s="51"/>
      <c r="WEA39" s="51"/>
      <c r="WEB39" s="51"/>
      <c r="WEC39" s="51"/>
      <c r="WED39" s="51"/>
      <c r="WEE39" s="51"/>
      <c r="WEF39" s="51"/>
      <c r="WEG39" s="51"/>
      <c r="WEH39" s="51"/>
      <c r="WEI39" s="51"/>
      <c r="WEJ39" s="51"/>
      <c r="WEK39" s="51"/>
      <c r="WEL39" s="51"/>
      <c r="WEM39" s="51"/>
      <c r="WEN39" s="51"/>
      <c r="WEO39" s="51"/>
      <c r="WEP39" s="51"/>
      <c r="WEQ39" s="51"/>
      <c r="WER39" s="51"/>
      <c r="WES39" s="51"/>
      <c r="WET39" s="51"/>
      <c r="WEU39" s="51"/>
      <c r="WEV39" s="51"/>
      <c r="WEW39" s="51"/>
      <c r="WEX39" s="51"/>
      <c r="WEY39" s="51"/>
      <c r="WEZ39" s="51"/>
      <c r="WFA39" s="51"/>
      <c r="WFB39" s="51"/>
      <c r="WFC39" s="51"/>
      <c r="WFD39" s="51"/>
      <c r="WFE39" s="51"/>
      <c r="WFF39" s="51"/>
      <c r="WFG39" s="51"/>
      <c r="WFH39" s="51"/>
      <c r="WFI39" s="51"/>
      <c r="WFJ39" s="51"/>
      <c r="WFK39" s="51"/>
      <c r="WFL39" s="51"/>
      <c r="WFM39" s="51"/>
      <c r="WFN39" s="51"/>
      <c r="WFO39" s="51"/>
      <c r="WFP39" s="51"/>
      <c r="WFQ39" s="51"/>
      <c r="WFR39" s="51"/>
      <c r="WFS39" s="51"/>
      <c r="WFT39" s="51"/>
      <c r="WFU39" s="51"/>
      <c r="WFV39" s="51"/>
      <c r="WFW39" s="51"/>
      <c r="WFX39" s="51"/>
      <c r="WFY39" s="51"/>
      <c r="WFZ39" s="51"/>
      <c r="WGA39" s="51"/>
      <c r="WGB39" s="51"/>
      <c r="WGC39" s="51"/>
      <c r="WGD39" s="51"/>
      <c r="WGE39" s="51"/>
      <c r="WGF39" s="51"/>
      <c r="WGG39" s="51"/>
      <c r="WGH39" s="51"/>
      <c r="WGI39" s="51"/>
      <c r="WGJ39" s="51"/>
      <c r="WGK39" s="51"/>
      <c r="WGL39" s="51"/>
      <c r="WGM39" s="51"/>
      <c r="WGN39" s="51"/>
      <c r="WGO39" s="51"/>
      <c r="WGP39" s="51"/>
      <c r="WGQ39" s="51"/>
      <c r="WGR39" s="51"/>
      <c r="WGS39" s="51"/>
      <c r="WGT39" s="51"/>
      <c r="WGU39" s="51"/>
      <c r="WGV39" s="51"/>
      <c r="WGW39" s="51"/>
      <c r="WGX39" s="51"/>
      <c r="WGY39" s="51"/>
      <c r="WGZ39" s="51"/>
      <c r="WHA39" s="51"/>
      <c r="WHB39" s="51"/>
      <c r="WHC39" s="51"/>
      <c r="WHD39" s="51"/>
      <c r="WHE39" s="51"/>
      <c r="WHF39" s="51"/>
      <c r="WHG39" s="51"/>
      <c r="WHH39" s="51"/>
      <c r="WHI39" s="51"/>
      <c r="WHJ39" s="51"/>
      <c r="WHK39" s="51"/>
      <c r="WHL39" s="51"/>
      <c r="WHM39" s="51"/>
      <c r="WHN39" s="51"/>
      <c r="WHO39" s="51"/>
      <c r="WHP39" s="51"/>
      <c r="WHQ39" s="51"/>
      <c r="WHR39" s="51"/>
      <c r="WHS39" s="51"/>
      <c r="WHT39" s="51"/>
      <c r="WHU39" s="51"/>
      <c r="WHV39" s="51"/>
      <c r="WHW39" s="51"/>
      <c r="WHX39" s="51"/>
      <c r="WHY39" s="51"/>
      <c r="WHZ39" s="51"/>
      <c r="WIA39" s="51"/>
      <c r="WIB39" s="51"/>
      <c r="WIC39" s="51"/>
      <c r="WID39" s="51"/>
      <c r="WIE39" s="51"/>
      <c r="WIF39" s="51"/>
      <c r="WIG39" s="51"/>
      <c r="WIH39" s="51"/>
      <c r="WII39" s="51"/>
      <c r="WIJ39" s="51"/>
      <c r="WIK39" s="51"/>
      <c r="WIL39" s="51"/>
      <c r="WIM39" s="51"/>
      <c r="WIN39" s="51"/>
      <c r="WIO39" s="51"/>
      <c r="WIP39" s="51"/>
      <c r="WIQ39" s="51"/>
      <c r="WIR39" s="51"/>
      <c r="WIS39" s="51"/>
      <c r="WIT39" s="51"/>
      <c r="WIU39" s="51"/>
      <c r="WIV39" s="51"/>
      <c r="WIW39" s="51"/>
      <c r="WIX39" s="51"/>
      <c r="WIY39" s="51"/>
      <c r="WIZ39" s="51"/>
      <c r="WJA39" s="51"/>
      <c r="WJB39" s="51"/>
      <c r="WJC39" s="51"/>
      <c r="WJD39" s="51"/>
      <c r="WJE39" s="51"/>
      <c r="WJF39" s="51"/>
      <c r="WJG39" s="51"/>
      <c r="WJH39" s="51"/>
      <c r="WJI39" s="51"/>
      <c r="WJJ39" s="51"/>
      <c r="WJK39" s="51"/>
      <c r="WJL39" s="51"/>
      <c r="WJM39" s="51"/>
      <c r="WJN39" s="51"/>
      <c r="WJO39" s="51"/>
      <c r="WJP39" s="51"/>
      <c r="WJQ39" s="51"/>
      <c r="WJR39" s="51"/>
      <c r="WJS39" s="51"/>
      <c r="WJT39" s="51"/>
      <c r="WJU39" s="51"/>
      <c r="WJV39" s="51"/>
      <c r="WJW39" s="51"/>
      <c r="WJX39" s="51"/>
      <c r="WJY39" s="51"/>
      <c r="WJZ39" s="51"/>
      <c r="WKA39" s="51"/>
      <c r="WKB39" s="51"/>
      <c r="WKC39" s="51"/>
      <c r="WKD39" s="51"/>
      <c r="WKE39" s="51"/>
      <c r="WKF39" s="51"/>
      <c r="WKG39" s="51"/>
      <c r="WKH39" s="51"/>
      <c r="WKI39" s="51"/>
      <c r="WKJ39" s="51"/>
      <c r="WKK39" s="51"/>
      <c r="WKL39" s="51"/>
      <c r="WKM39" s="51"/>
      <c r="WKN39" s="51"/>
      <c r="WKO39" s="51"/>
      <c r="WKP39" s="51"/>
      <c r="WKQ39" s="51"/>
      <c r="WKR39" s="51"/>
      <c r="WKS39" s="51"/>
      <c r="WKT39" s="51"/>
      <c r="WKU39" s="51"/>
      <c r="WKV39" s="51"/>
      <c r="WKW39" s="51"/>
      <c r="WKX39" s="51"/>
      <c r="WKY39" s="51"/>
      <c r="WKZ39" s="51"/>
      <c r="WLA39" s="51"/>
      <c r="WLB39" s="51"/>
      <c r="WLC39" s="51"/>
      <c r="WLD39" s="51"/>
      <c r="WLE39" s="51"/>
      <c r="WLF39" s="51"/>
      <c r="WLG39" s="51"/>
      <c r="WLH39" s="51"/>
      <c r="WLI39" s="51"/>
      <c r="WLJ39" s="51"/>
      <c r="WLK39" s="51"/>
      <c r="WLL39" s="51"/>
      <c r="WLM39" s="51"/>
      <c r="WLN39" s="51"/>
      <c r="WLO39" s="51"/>
      <c r="WLP39" s="51"/>
      <c r="WLQ39" s="51"/>
      <c r="WLR39" s="51"/>
      <c r="WLS39" s="51"/>
      <c r="WLT39" s="51"/>
      <c r="WLU39" s="51"/>
      <c r="WLV39" s="51"/>
      <c r="WLW39" s="51"/>
      <c r="WLX39" s="51"/>
      <c r="WLY39" s="51"/>
      <c r="WLZ39" s="51"/>
      <c r="WMA39" s="51"/>
      <c r="WMB39" s="51"/>
      <c r="WMC39" s="51"/>
      <c r="WMD39" s="51"/>
      <c r="WME39" s="51"/>
      <c r="WMF39" s="51"/>
      <c r="WMG39" s="51"/>
      <c r="WMH39" s="51"/>
      <c r="WMI39" s="51"/>
      <c r="WMJ39" s="51"/>
      <c r="WMK39" s="51"/>
      <c r="WML39" s="51"/>
      <c r="WMM39" s="51"/>
      <c r="WMN39" s="51"/>
      <c r="WMO39" s="51"/>
      <c r="WMP39" s="51"/>
      <c r="WMQ39" s="51"/>
      <c r="WMR39" s="51"/>
      <c r="WMS39" s="51"/>
      <c r="WMT39" s="51"/>
      <c r="WMU39" s="51"/>
      <c r="WMV39" s="51"/>
      <c r="WMW39" s="51"/>
      <c r="WMX39" s="51"/>
      <c r="WMY39" s="51"/>
      <c r="WMZ39" s="51"/>
      <c r="WNA39" s="51"/>
      <c r="WNB39" s="51"/>
      <c r="WNC39" s="51"/>
      <c r="WND39" s="51"/>
      <c r="WNE39" s="51"/>
      <c r="WNF39" s="51"/>
      <c r="WNG39" s="51"/>
      <c r="WNH39" s="51"/>
      <c r="WNI39" s="51"/>
      <c r="WNJ39" s="51"/>
      <c r="WNK39" s="51"/>
      <c r="WNL39" s="51"/>
      <c r="WNM39" s="51"/>
      <c r="WNN39" s="51"/>
      <c r="WNO39" s="51"/>
      <c r="WNP39" s="51"/>
      <c r="WNQ39" s="51"/>
      <c r="WNR39" s="51"/>
      <c r="WNS39" s="51"/>
      <c r="WNT39" s="51"/>
      <c r="WNU39" s="51"/>
      <c r="WNV39" s="51"/>
      <c r="WNW39" s="51"/>
      <c r="WNX39" s="51"/>
      <c r="WNY39" s="51"/>
      <c r="WNZ39" s="51"/>
      <c r="WOA39" s="51"/>
      <c r="WOB39" s="51"/>
      <c r="WOC39" s="51"/>
      <c r="WOD39" s="51"/>
      <c r="WOE39" s="51"/>
      <c r="WOF39" s="51"/>
      <c r="WOG39" s="51"/>
      <c r="WOH39" s="51"/>
      <c r="WOI39" s="51"/>
      <c r="WOJ39" s="51"/>
      <c r="WOK39" s="51"/>
      <c r="WOL39" s="51"/>
      <c r="WOM39" s="51"/>
      <c r="WON39" s="51"/>
      <c r="WOO39" s="51"/>
      <c r="WOP39" s="51"/>
      <c r="WOQ39" s="51"/>
      <c r="WOR39" s="51"/>
      <c r="WOS39" s="51"/>
      <c r="WOT39" s="51"/>
      <c r="WOU39" s="51"/>
      <c r="WOV39" s="51"/>
      <c r="WOW39" s="51"/>
      <c r="WOX39" s="51"/>
      <c r="WOY39" s="51"/>
      <c r="WOZ39" s="51"/>
      <c r="WPA39" s="51"/>
      <c r="WPB39" s="51"/>
      <c r="WPC39" s="51"/>
      <c r="WPD39" s="51"/>
      <c r="WPE39" s="51"/>
      <c r="WPF39" s="51"/>
      <c r="WPG39" s="51"/>
      <c r="WPH39" s="51"/>
      <c r="WPI39" s="51"/>
      <c r="WPJ39" s="51"/>
      <c r="WPK39" s="51"/>
      <c r="WPL39" s="51"/>
      <c r="WPM39" s="51"/>
      <c r="WPN39" s="51"/>
      <c r="WPO39" s="51"/>
      <c r="WPP39" s="51"/>
      <c r="WPQ39" s="51"/>
      <c r="WPR39" s="51"/>
      <c r="WPS39" s="51"/>
      <c r="WPT39" s="51"/>
      <c r="WPU39" s="51"/>
      <c r="WPV39" s="51"/>
      <c r="WPW39" s="51"/>
      <c r="WPX39" s="51"/>
      <c r="WPY39" s="51"/>
      <c r="WPZ39" s="51"/>
      <c r="WQA39" s="51"/>
      <c r="WQB39" s="51"/>
      <c r="WQC39" s="51"/>
      <c r="WQD39" s="51"/>
      <c r="WQE39" s="51"/>
      <c r="WQF39" s="51"/>
      <c r="WQG39" s="51"/>
      <c r="WQH39" s="51"/>
      <c r="WQI39" s="51"/>
      <c r="WQJ39" s="51"/>
      <c r="WQK39" s="51"/>
      <c r="WQL39" s="51"/>
      <c r="WQM39" s="51"/>
      <c r="WQN39" s="51"/>
      <c r="WQO39" s="51"/>
      <c r="WQP39" s="51"/>
      <c r="WQQ39" s="51"/>
      <c r="WQR39" s="51"/>
      <c r="WQS39" s="51"/>
      <c r="WQT39" s="51"/>
      <c r="WQU39" s="51"/>
      <c r="WQV39" s="51"/>
      <c r="WQW39" s="51"/>
      <c r="WQX39" s="51"/>
      <c r="WQY39" s="51"/>
      <c r="WQZ39" s="51"/>
      <c r="WRA39" s="51"/>
      <c r="WRB39" s="51"/>
      <c r="WRC39" s="51"/>
      <c r="WRD39" s="51"/>
      <c r="WRE39" s="51"/>
      <c r="WRF39" s="51"/>
      <c r="WRG39" s="51"/>
      <c r="WRH39" s="51"/>
      <c r="WRI39" s="51"/>
      <c r="WRJ39" s="51"/>
      <c r="WRK39" s="51"/>
      <c r="WRL39" s="51"/>
      <c r="WRM39" s="51"/>
      <c r="WRN39" s="51"/>
      <c r="WRO39" s="51"/>
      <c r="WRP39" s="51"/>
      <c r="WRQ39" s="51"/>
      <c r="WRR39" s="51"/>
      <c r="WRS39" s="51"/>
      <c r="WRT39" s="51"/>
      <c r="WRU39" s="51"/>
      <c r="WRV39" s="51"/>
      <c r="WRW39" s="51"/>
      <c r="WRX39" s="51"/>
      <c r="WRY39" s="51"/>
      <c r="WRZ39" s="51"/>
      <c r="WSA39" s="51"/>
      <c r="WSB39" s="51"/>
      <c r="WSC39" s="51"/>
      <c r="WSD39" s="51"/>
      <c r="WSE39" s="51"/>
      <c r="WSF39" s="51"/>
      <c r="WSG39" s="51"/>
      <c r="WSH39" s="51"/>
      <c r="WSI39" s="51"/>
      <c r="WSJ39" s="51"/>
      <c r="WSK39" s="51"/>
      <c r="WSL39" s="51"/>
      <c r="WSM39" s="51"/>
      <c r="WSN39" s="51"/>
      <c r="WSO39" s="51"/>
      <c r="WSP39" s="51"/>
      <c r="WSQ39" s="51"/>
      <c r="WSR39" s="51"/>
      <c r="WSS39" s="51"/>
      <c r="WST39" s="51"/>
      <c r="WSU39" s="51"/>
      <c r="WSV39" s="51"/>
      <c r="WSW39" s="51"/>
      <c r="WSX39" s="51"/>
      <c r="WSY39" s="51"/>
      <c r="WSZ39" s="51"/>
      <c r="WTA39" s="51"/>
      <c r="WTB39" s="51"/>
      <c r="WTC39" s="51"/>
      <c r="WTD39" s="51"/>
      <c r="WTE39" s="51"/>
      <c r="WTF39" s="51"/>
      <c r="WTG39" s="51"/>
      <c r="WTH39" s="51"/>
      <c r="WTI39" s="51"/>
      <c r="WTJ39" s="51"/>
      <c r="WTK39" s="51"/>
      <c r="WTL39" s="51"/>
      <c r="WTM39" s="51"/>
      <c r="WTN39" s="51"/>
      <c r="WTO39" s="51"/>
      <c r="WTP39" s="51"/>
      <c r="WTQ39" s="51"/>
      <c r="WTR39" s="51"/>
      <c r="WTS39" s="51"/>
      <c r="WTT39" s="51"/>
      <c r="WTU39" s="51"/>
      <c r="WTV39" s="51"/>
      <c r="WTW39" s="51"/>
      <c r="WTX39" s="51"/>
      <c r="WTY39" s="51"/>
      <c r="WTZ39" s="51"/>
      <c r="WUA39" s="51"/>
      <c r="WUB39" s="51"/>
      <c r="WUC39" s="51"/>
      <c r="WUD39" s="51"/>
      <c r="WUE39" s="51"/>
      <c r="WUF39" s="51"/>
      <c r="WUG39" s="51"/>
      <c r="WUH39" s="51"/>
      <c r="WUI39" s="51"/>
      <c r="WUJ39" s="51"/>
      <c r="WUK39" s="51"/>
      <c r="WUL39" s="51"/>
      <c r="WUM39" s="51"/>
      <c r="WUN39" s="51"/>
      <c r="WUO39" s="51"/>
      <c r="WUP39" s="51"/>
      <c r="WUQ39" s="51"/>
      <c r="WUR39" s="51"/>
      <c r="WUS39" s="51"/>
      <c r="WUT39" s="51"/>
      <c r="WUU39" s="51"/>
      <c r="WUV39" s="51"/>
      <c r="WUW39" s="51"/>
      <c r="WUX39" s="51"/>
      <c r="WUY39" s="51"/>
      <c r="WUZ39" s="51"/>
      <c r="WVA39" s="51"/>
      <c r="WVB39" s="51"/>
      <c r="WVC39" s="51"/>
      <c r="WVD39" s="51"/>
      <c r="WVE39" s="51"/>
      <c r="WVF39" s="51"/>
      <c r="WVG39" s="51"/>
      <c r="WVH39" s="51"/>
      <c r="WVI39" s="51"/>
      <c r="WVJ39" s="51"/>
      <c r="WVK39" s="51"/>
      <c r="WVL39" s="51"/>
      <c r="WVM39" s="51"/>
      <c r="WVN39" s="51"/>
      <c r="WVO39" s="51"/>
      <c r="WVP39" s="51"/>
      <c r="WVQ39" s="51"/>
      <c r="WVR39" s="51"/>
      <c r="WVS39" s="51"/>
      <c r="WVT39" s="51"/>
      <c r="WVU39" s="51"/>
      <c r="WVV39" s="51"/>
      <c r="WVW39" s="51"/>
      <c r="WVX39" s="51"/>
      <c r="WVY39" s="51"/>
      <c r="WVZ39" s="51"/>
      <c r="WWA39" s="51"/>
      <c r="WWB39" s="51"/>
      <c r="WWC39" s="51"/>
      <c r="WWD39" s="51"/>
      <c r="WWE39" s="51"/>
      <c r="WWF39" s="51"/>
      <c r="WWG39" s="51"/>
      <c r="WWH39" s="51"/>
      <c r="WWI39" s="51"/>
      <c r="WWJ39" s="51"/>
      <c r="WWK39" s="51"/>
      <c r="WWL39" s="51"/>
      <c r="WWM39" s="51"/>
      <c r="WWN39" s="51"/>
      <c r="WWO39" s="51"/>
      <c r="WWP39" s="51"/>
      <c r="WWQ39" s="51"/>
      <c r="WWR39" s="51"/>
      <c r="WWS39" s="51"/>
      <c r="WWT39" s="51"/>
      <c r="WWU39" s="51"/>
      <c r="WWV39" s="51"/>
      <c r="WWW39" s="51"/>
      <c r="WWX39" s="51"/>
      <c r="WWY39" s="51"/>
      <c r="WWZ39" s="51"/>
      <c r="WXA39" s="51"/>
      <c r="WXB39" s="51"/>
      <c r="WXC39" s="51"/>
      <c r="WXD39" s="51"/>
      <c r="WXE39" s="51"/>
      <c r="WXF39" s="51"/>
      <c r="WXG39" s="51"/>
      <c r="WXH39" s="51"/>
      <c r="WXI39" s="51"/>
      <c r="WXJ39" s="51"/>
      <c r="WXK39" s="51"/>
      <c r="WXL39" s="51"/>
      <c r="WXM39" s="51"/>
      <c r="WXN39" s="51"/>
      <c r="WXO39" s="51"/>
      <c r="WXP39" s="51"/>
      <c r="WXQ39" s="51"/>
      <c r="WXR39" s="51"/>
      <c r="WXS39" s="51"/>
      <c r="WXT39" s="51"/>
      <c r="WXU39" s="51"/>
      <c r="WXV39" s="51"/>
      <c r="WXW39" s="51"/>
      <c r="WXX39" s="51"/>
      <c r="WXY39" s="51"/>
      <c r="WXZ39" s="51"/>
      <c r="WYA39" s="51"/>
      <c r="WYB39" s="51"/>
      <c r="WYC39" s="51"/>
      <c r="WYD39" s="51"/>
      <c r="WYE39" s="51"/>
      <c r="WYF39" s="51"/>
      <c r="WYG39" s="51"/>
      <c r="WYH39" s="51"/>
      <c r="WYI39" s="51"/>
      <c r="WYJ39" s="51"/>
      <c r="WYK39" s="51"/>
      <c r="WYL39" s="51"/>
      <c r="WYM39" s="51"/>
      <c r="WYN39" s="51"/>
      <c r="WYO39" s="51"/>
      <c r="WYP39" s="51"/>
      <c r="WYQ39" s="51"/>
      <c r="WYR39" s="51"/>
      <c r="WYS39" s="51"/>
      <c r="WYT39" s="51"/>
      <c r="WYU39" s="51"/>
      <c r="WYV39" s="51"/>
      <c r="WYW39" s="51"/>
      <c r="WYX39" s="51"/>
      <c r="WYY39" s="51"/>
      <c r="WYZ39" s="51"/>
      <c r="WZA39" s="51"/>
      <c r="WZB39" s="51"/>
      <c r="WZC39" s="51"/>
      <c r="WZD39" s="51"/>
      <c r="WZE39" s="51"/>
      <c r="WZF39" s="51"/>
      <c r="WZG39" s="51"/>
      <c r="WZH39" s="51"/>
      <c r="WZI39" s="51"/>
      <c r="WZJ39" s="51"/>
      <c r="WZK39" s="51"/>
      <c r="WZL39" s="51"/>
      <c r="WZM39" s="51"/>
      <c r="WZN39" s="51"/>
      <c r="WZO39" s="51"/>
      <c r="WZP39" s="51"/>
      <c r="WZQ39" s="51"/>
      <c r="WZR39" s="51"/>
      <c r="WZS39" s="51"/>
      <c r="WZT39" s="51"/>
      <c r="WZU39" s="51"/>
      <c r="WZV39" s="51"/>
      <c r="WZW39" s="51"/>
      <c r="WZX39" s="51"/>
      <c r="WZY39" s="51"/>
      <c r="WZZ39" s="51"/>
      <c r="XAA39" s="51"/>
      <c r="XAB39" s="51"/>
      <c r="XAC39" s="51"/>
      <c r="XAD39" s="51"/>
      <c r="XAE39" s="51"/>
      <c r="XAF39" s="51"/>
      <c r="XAG39" s="51"/>
      <c r="XAH39" s="51"/>
      <c r="XAI39" s="51"/>
      <c r="XAJ39" s="51"/>
      <c r="XAK39" s="51"/>
      <c r="XAL39" s="51"/>
      <c r="XAM39" s="51"/>
      <c r="XAN39" s="51"/>
      <c r="XAO39" s="51"/>
      <c r="XAP39" s="51"/>
      <c r="XAQ39" s="51"/>
      <c r="XAR39" s="51"/>
      <c r="XAS39" s="51"/>
      <c r="XAT39" s="51"/>
      <c r="XAU39" s="51"/>
      <c r="XAV39" s="51"/>
      <c r="XAW39" s="51"/>
      <c r="XAX39" s="51"/>
      <c r="XAY39" s="51"/>
      <c r="XAZ39" s="51"/>
      <c r="XBA39" s="51"/>
      <c r="XBB39" s="51"/>
      <c r="XBC39" s="51"/>
      <c r="XBD39" s="51"/>
      <c r="XBE39" s="51"/>
      <c r="XBF39" s="51"/>
      <c r="XBG39" s="51"/>
      <c r="XBH39" s="51"/>
      <c r="XBI39" s="51"/>
      <c r="XBJ39" s="51"/>
      <c r="XBK39" s="51"/>
      <c r="XBL39" s="51"/>
      <c r="XBM39" s="51"/>
      <c r="XBN39" s="51"/>
      <c r="XBO39" s="51"/>
      <c r="XBP39" s="51"/>
      <c r="XBQ39" s="51"/>
      <c r="XBR39" s="51"/>
      <c r="XBS39" s="51"/>
      <c r="XBT39" s="51"/>
      <c r="XBU39" s="51"/>
      <c r="XBV39" s="51"/>
      <c r="XBW39" s="51"/>
      <c r="XBX39" s="51"/>
      <c r="XBY39" s="51"/>
      <c r="XBZ39" s="51"/>
      <c r="XCA39" s="51"/>
      <c r="XCB39" s="51"/>
      <c r="XCC39" s="51"/>
      <c r="XCD39" s="51"/>
      <c r="XCE39" s="51"/>
      <c r="XCF39" s="51"/>
      <c r="XCG39" s="51"/>
      <c r="XCH39" s="51"/>
      <c r="XCI39" s="51"/>
      <c r="XCJ39" s="51"/>
      <c r="XCK39" s="51"/>
      <c r="XCL39" s="51"/>
      <c r="XCM39" s="51"/>
      <c r="XCN39" s="51"/>
      <c r="XCO39" s="51"/>
      <c r="XCP39" s="51"/>
      <c r="XCQ39" s="51"/>
      <c r="XCR39" s="51"/>
      <c r="XCS39" s="51"/>
      <c r="XCT39" s="51"/>
      <c r="XCU39" s="51"/>
      <c r="XCV39" s="51"/>
      <c r="XCW39" s="51"/>
      <c r="XCX39" s="51"/>
      <c r="XCY39" s="51"/>
      <c r="XCZ39" s="51"/>
      <c r="XDA39" s="51"/>
      <c r="XDB39" s="51"/>
      <c r="XDC39" s="51"/>
      <c r="XDD39" s="51"/>
      <c r="XDE39" s="51"/>
      <c r="XDF39" s="51"/>
      <c r="XDG39" s="51"/>
      <c r="XDH39" s="51"/>
      <c r="XDI39" s="51"/>
      <c r="XDJ39" s="51"/>
      <c r="XDK39" s="51"/>
      <c r="XDL39" s="51"/>
      <c r="XDM39" s="51"/>
      <c r="XDN39" s="51"/>
      <c r="XDO39" s="51"/>
      <c r="XDP39" s="51"/>
      <c r="XDQ39" s="51"/>
      <c r="XDR39" s="51"/>
      <c r="XDS39" s="51"/>
      <c r="XDT39" s="51"/>
      <c r="XDU39" s="51"/>
      <c r="XDV39" s="51"/>
      <c r="XDW39" s="51"/>
      <c r="XDX39" s="51"/>
      <c r="XDY39" s="51"/>
      <c r="XDZ39" s="51"/>
      <c r="XEA39" s="51"/>
      <c r="XEB39" s="51"/>
      <c r="XEC39" s="51"/>
      <c r="XED39" s="51"/>
      <c r="XEE39" s="51"/>
      <c r="XEF39" s="51"/>
      <c r="XEG39" s="51"/>
      <c r="XEH39" s="51"/>
      <c r="XEI39" s="51"/>
      <c r="XEJ39" s="51"/>
      <c r="XEK39" s="51"/>
      <c r="XEL39" s="51"/>
      <c r="XEM39" s="51"/>
      <c r="XEN39" s="51"/>
      <c r="XEO39" s="51"/>
      <c r="XEP39" s="51"/>
      <c r="XEQ39" s="51"/>
      <c r="XER39" s="51"/>
      <c r="XES39" s="51"/>
      <c r="XET39" s="51"/>
      <c r="XEU39" s="51"/>
      <c r="XEV39" s="51"/>
      <c r="XEW39" s="51"/>
      <c r="XEX39" s="51"/>
      <c r="XEY39" s="51"/>
      <c r="XEZ39" s="51"/>
      <c r="XFA39" s="51"/>
      <c r="XFB39" s="51"/>
      <c r="XFC39" s="51"/>
      <c r="XFD39" s="51"/>
    </row>
    <row r="40" spans="1:16384" s="258" customFormat="1">
      <c r="A40" s="51"/>
      <c r="B40" s="51" t="s">
        <v>1028</v>
      </c>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c r="EK40" s="51"/>
      <c r="EL40" s="51"/>
      <c r="EM40" s="51"/>
      <c r="EN40" s="51"/>
      <c r="EO40" s="51"/>
      <c r="EP40" s="51"/>
      <c r="EQ40" s="51"/>
      <c r="ER40" s="51"/>
      <c r="ES40" s="51"/>
      <c r="ET40" s="51"/>
      <c r="EU40" s="51"/>
      <c r="EV40" s="51"/>
      <c r="EW40" s="51"/>
      <c r="EX40" s="51"/>
      <c r="EY40" s="51"/>
      <c r="EZ40" s="51"/>
      <c r="FA40" s="51"/>
      <c r="FB40" s="51"/>
      <c r="FC40" s="51"/>
      <c r="FD40" s="51"/>
      <c r="FE40" s="51"/>
      <c r="FF40" s="51"/>
      <c r="FG40" s="51"/>
      <c r="FH40" s="51"/>
      <c r="FI40" s="51"/>
      <c r="FJ40" s="51"/>
      <c r="FK40" s="51"/>
      <c r="FL40" s="51"/>
      <c r="FM40" s="51"/>
      <c r="FN40" s="51"/>
      <c r="FO40" s="51"/>
      <c r="FP40" s="51"/>
      <c r="FQ40" s="51"/>
      <c r="FR40" s="51"/>
      <c r="FS40" s="51"/>
      <c r="FT40" s="51"/>
      <c r="FU40" s="51"/>
      <c r="FV40" s="51"/>
      <c r="FW40" s="51"/>
      <c r="FX40" s="51"/>
      <c r="FY40" s="51"/>
      <c r="FZ40" s="51"/>
      <c r="GA40" s="51"/>
      <c r="GB40" s="51"/>
      <c r="GC40" s="51"/>
      <c r="GD40" s="51"/>
      <c r="GE40" s="51"/>
      <c r="GF40" s="51"/>
      <c r="GG40" s="51"/>
      <c r="GH40" s="51"/>
      <c r="GI40" s="51"/>
      <c r="GJ40" s="51"/>
      <c r="GK40" s="51"/>
      <c r="GL40" s="51"/>
      <c r="GM40" s="51"/>
      <c r="GN40" s="51"/>
      <c r="GO40" s="51"/>
      <c r="GP40" s="51"/>
      <c r="GQ40" s="51"/>
      <c r="GR40" s="51"/>
      <c r="GS40" s="51"/>
      <c r="GT40" s="51"/>
      <c r="GU40" s="51"/>
      <c r="GV40" s="51"/>
      <c r="GW40" s="51"/>
      <c r="GX40" s="51"/>
      <c r="GY40" s="51"/>
      <c r="GZ40" s="51"/>
      <c r="HA40" s="51"/>
      <c r="HB40" s="51"/>
      <c r="HC40" s="51"/>
      <c r="HD40" s="51"/>
      <c r="HE40" s="51"/>
      <c r="HF40" s="51"/>
      <c r="HG40" s="51"/>
      <c r="HH40" s="51"/>
      <c r="HI40" s="51"/>
      <c r="HJ40" s="51"/>
      <c r="HK40" s="51"/>
      <c r="HL40" s="51"/>
      <c r="HM40" s="51"/>
      <c r="HN40" s="51"/>
      <c r="HO40" s="51"/>
      <c r="HP40" s="51"/>
      <c r="HQ40" s="51"/>
      <c r="HR40" s="51"/>
      <c r="HS40" s="51"/>
      <c r="HT40" s="51"/>
      <c r="HU40" s="51"/>
      <c r="HV40" s="51"/>
      <c r="HW40" s="51"/>
      <c r="HX40" s="51"/>
      <c r="HY40" s="51"/>
      <c r="HZ40" s="51"/>
      <c r="IA40" s="51"/>
      <c r="IB40" s="51"/>
      <c r="IC40" s="51"/>
      <c r="ID40" s="51"/>
      <c r="IE40" s="51"/>
      <c r="IF40" s="51"/>
      <c r="IG40" s="51"/>
      <c r="IH40" s="51"/>
      <c r="II40" s="51"/>
      <c r="IJ40" s="51"/>
      <c r="IK40" s="51"/>
      <c r="IL40" s="51"/>
      <c r="IM40" s="51"/>
      <c r="IN40" s="51"/>
      <c r="IO40" s="51"/>
      <c r="IP40" s="51"/>
      <c r="IQ40" s="51"/>
      <c r="IR40" s="51"/>
      <c r="IS40" s="51"/>
      <c r="IT40" s="51"/>
      <c r="IU40" s="51"/>
      <c r="IV40" s="51"/>
      <c r="IW40" s="51"/>
      <c r="IX40" s="51"/>
      <c r="IY40" s="51"/>
      <c r="IZ40" s="51"/>
      <c r="JA40" s="51"/>
      <c r="JB40" s="51"/>
      <c r="JC40" s="51"/>
      <c r="JD40" s="51"/>
      <c r="JE40" s="51"/>
      <c r="JF40" s="51"/>
      <c r="JG40" s="51"/>
      <c r="JH40" s="51"/>
      <c r="JI40" s="51"/>
      <c r="JJ40" s="51"/>
      <c r="JK40" s="51"/>
      <c r="JL40" s="51"/>
      <c r="JM40" s="51"/>
      <c r="JN40" s="51"/>
      <c r="JO40" s="51"/>
      <c r="JP40" s="51"/>
      <c r="JQ40" s="51"/>
      <c r="JR40" s="51"/>
      <c r="JS40" s="51"/>
      <c r="JT40" s="51"/>
      <c r="JU40" s="51"/>
      <c r="JV40" s="51"/>
      <c r="JW40" s="51"/>
      <c r="JX40" s="51"/>
      <c r="JY40" s="51"/>
      <c r="JZ40" s="51"/>
      <c r="KA40" s="51"/>
      <c r="KB40" s="51"/>
      <c r="KC40" s="51"/>
      <c r="KD40" s="51"/>
      <c r="KE40" s="51"/>
      <c r="KF40" s="51"/>
      <c r="KG40" s="51"/>
      <c r="KH40" s="51"/>
      <c r="KI40" s="51"/>
      <c r="KJ40" s="51"/>
      <c r="KK40" s="51"/>
      <c r="KL40" s="51"/>
      <c r="KM40" s="51"/>
      <c r="KN40" s="51"/>
      <c r="KO40" s="51"/>
      <c r="KP40" s="51"/>
      <c r="KQ40" s="51"/>
      <c r="KR40" s="51"/>
      <c r="KS40" s="51"/>
      <c r="KT40" s="51"/>
      <c r="KU40" s="51"/>
      <c r="KV40" s="51"/>
      <c r="KW40" s="51"/>
      <c r="KX40" s="51"/>
      <c r="KY40" s="51"/>
      <c r="KZ40" s="51"/>
      <c r="LA40" s="51"/>
      <c r="LB40" s="51"/>
      <c r="LC40" s="51"/>
      <c r="LD40" s="51"/>
      <c r="LE40" s="51"/>
      <c r="LF40" s="51"/>
      <c r="LG40" s="51"/>
      <c r="LH40" s="51"/>
      <c r="LI40" s="51"/>
      <c r="LJ40" s="51"/>
      <c r="LK40" s="51"/>
      <c r="LL40" s="51"/>
      <c r="LM40" s="51"/>
      <c r="LN40" s="51"/>
      <c r="LO40" s="51"/>
      <c r="LP40" s="51"/>
      <c r="LQ40" s="51"/>
      <c r="LR40" s="51"/>
      <c r="LS40" s="51"/>
      <c r="LT40" s="51"/>
      <c r="LU40" s="51"/>
      <c r="LV40" s="51"/>
      <c r="LW40" s="51"/>
      <c r="LX40" s="51"/>
      <c r="LY40" s="51"/>
      <c r="LZ40" s="51"/>
      <c r="MA40" s="51"/>
      <c r="MB40" s="51"/>
      <c r="MC40" s="51"/>
      <c r="MD40" s="51"/>
      <c r="ME40" s="51"/>
      <c r="MF40" s="51"/>
      <c r="MG40" s="51"/>
      <c r="MH40" s="51"/>
      <c r="MI40" s="51"/>
      <c r="MJ40" s="51"/>
      <c r="MK40" s="51"/>
      <c r="ML40" s="51"/>
      <c r="MM40" s="51"/>
      <c r="MN40" s="51"/>
      <c r="MO40" s="51"/>
      <c r="MP40" s="51"/>
      <c r="MQ40" s="51"/>
      <c r="MR40" s="51"/>
      <c r="MS40" s="51"/>
      <c r="MT40" s="51"/>
      <c r="MU40" s="51"/>
      <c r="MV40" s="51"/>
      <c r="MW40" s="51"/>
      <c r="MX40" s="51"/>
      <c r="MY40" s="51"/>
      <c r="MZ40" s="51"/>
      <c r="NA40" s="51"/>
      <c r="NB40" s="51"/>
      <c r="NC40" s="51"/>
      <c r="ND40" s="51"/>
      <c r="NE40" s="51"/>
      <c r="NF40" s="51"/>
      <c r="NG40" s="51"/>
      <c r="NH40" s="51"/>
      <c r="NI40" s="51"/>
      <c r="NJ40" s="51"/>
      <c r="NK40" s="51"/>
      <c r="NL40" s="51"/>
      <c r="NM40" s="51"/>
      <c r="NN40" s="51"/>
      <c r="NO40" s="51"/>
      <c r="NP40" s="51"/>
      <c r="NQ40" s="51"/>
      <c r="NR40" s="51"/>
      <c r="NS40" s="51"/>
      <c r="NT40" s="51"/>
      <c r="NU40" s="51"/>
      <c r="NV40" s="51"/>
      <c r="NW40" s="51"/>
      <c r="NX40" s="51"/>
      <c r="NY40" s="51"/>
      <c r="NZ40" s="51"/>
      <c r="OA40" s="51"/>
      <c r="OB40" s="51"/>
      <c r="OC40" s="51"/>
      <c r="OD40" s="51"/>
      <c r="OE40" s="51"/>
      <c r="OF40" s="51"/>
      <c r="OG40" s="51"/>
      <c r="OH40" s="51"/>
      <c r="OI40" s="51"/>
      <c r="OJ40" s="51"/>
      <c r="OK40" s="51"/>
      <c r="OL40" s="51"/>
      <c r="OM40" s="51"/>
      <c r="ON40" s="51"/>
      <c r="OO40" s="51"/>
      <c r="OP40" s="51"/>
      <c r="OQ40" s="51"/>
      <c r="OR40" s="51"/>
      <c r="OS40" s="51"/>
      <c r="OT40" s="51"/>
      <c r="OU40" s="51"/>
      <c r="OV40" s="51"/>
      <c r="OW40" s="51"/>
      <c r="OX40" s="51"/>
      <c r="OY40" s="51"/>
      <c r="OZ40" s="51"/>
      <c r="PA40" s="51"/>
      <c r="PB40" s="51"/>
      <c r="PC40" s="51"/>
      <c r="PD40" s="51"/>
      <c r="PE40" s="51"/>
      <c r="PF40" s="51"/>
      <c r="PG40" s="51"/>
      <c r="PH40" s="51"/>
      <c r="PI40" s="51"/>
      <c r="PJ40" s="51"/>
      <c r="PK40" s="51"/>
      <c r="PL40" s="51"/>
      <c r="PM40" s="51"/>
      <c r="PN40" s="51"/>
      <c r="PO40" s="51"/>
      <c r="PP40" s="51"/>
      <c r="PQ40" s="51"/>
      <c r="PR40" s="51"/>
      <c r="PS40" s="51"/>
      <c r="PT40" s="51"/>
      <c r="PU40" s="51"/>
      <c r="PV40" s="51"/>
      <c r="PW40" s="51"/>
      <c r="PX40" s="51"/>
      <c r="PY40" s="51"/>
      <c r="PZ40" s="51"/>
      <c r="QA40" s="51"/>
      <c r="QB40" s="51"/>
      <c r="QC40" s="51"/>
      <c r="QD40" s="51"/>
      <c r="QE40" s="51"/>
      <c r="QF40" s="51"/>
      <c r="QG40" s="51"/>
      <c r="QH40" s="51"/>
      <c r="QI40" s="51"/>
      <c r="QJ40" s="51"/>
      <c r="QK40" s="51"/>
      <c r="QL40" s="51"/>
      <c r="QM40" s="51"/>
      <c r="QN40" s="51"/>
      <c r="QO40" s="51"/>
      <c r="QP40" s="51"/>
      <c r="QQ40" s="51"/>
      <c r="QR40" s="51"/>
      <c r="QS40" s="51"/>
      <c r="QT40" s="51"/>
      <c r="QU40" s="51"/>
      <c r="QV40" s="51"/>
      <c r="QW40" s="51"/>
      <c r="QX40" s="51"/>
      <c r="QY40" s="51"/>
      <c r="QZ40" s="51"/>
      <c r="RA40" s="51"/>
      <c r="RB40" s="51"/>
      <c r="RC40" s="51"/>
      <c r="RD40" s="51"/>
      <c r="RE40" s="51"/>
      <c r="RF40" s="51"/>
      <c r="RG40" s="51"/>
      <c r="RH40" s="51"/>
      <c r="RI40" s="51"/>
      <c r="RJ40" s="51"/>
      <c r="RK40" s="51"/>
      <c r="RL40" s="51"/>
      <c r="RM40" s="51"/>
      <c r="RN40" s="51"/>
      <c r="RO40" s="51"/>
      <c r="RP40" s="51"/>
      <c r="RQ40" s="51"/>
      <c r="RR40" s="51"/>
      <c r="RS40" s="51"/>
      <c r="RT40" s="51"/>
      <c r="RU40" s="51"/>
      <c r="RV40" s="51"/>
      <c r="RW40" s="51"/>
      <c r="RX40" s="51"/>
      <c r="RY40" s="51"/>
      <c r="RZ40" s="51"/>
      <c r="SA40" s="51"/>
      <c r="SB40" s="51"/>
      <c r="SC40" s="51"/>
      <c r="SD40" s="51"/>
      <c r="SE40" s="51"/>
      <c r="SF40" s="51"/>
      <c r="SG40" s="51"/>
      <c r="SH40" s="51"/>
      <c r="SI40" s="51"/>
      <c r="SJ40" s="51"/>
      <c r="SK40" s="51"/>
      <c r="SL40" s="51"/>
      <c r="SM40" s="51"/>
      <c r="SN40" s="51"/>
      <c r="SO40" s="51"/>
      <c r="SP40" s="51"/>
      <c r="SQ40" s="51"/>
      <c r="SR40" s="51"/>
      <c r="SS40" s="51"/>
      <c r="ST40" s="51"/>
      <c r="SU40" s="51"/>
      <c r="SV40" s="51"/>
      <c r="SW40" s="51"/>
      <c r="SX40" s="51"/>
      <c r="SY40" s="51"/>
      <c r="SZ40" s="51"/>
      <c r="TA40" s="51"/>
      <c r="TB40" s="51"/>
      <c r="TC40" s="51"/>
      <c r="TD40" s="51"/>
      <c r="TE40" s="51"/>
      <c r="TF40" s="51"/>
      <c r="TG40" s="51"/>
      <c r="TH40" s="51"/>
      <c r="TI40" s="51"/>
      <c r="TJ40" s="51"/>
      <c r="TK40" s="51"/>
      <c r="TL40" s="51"/>
      <c r="TM40" s="51"/>
      <c r="TN40" s="51"/>
      <c r="TO40" s="51"/>
      <c r="TP40" s="51"/>
      <c r="TQ40" s="51"/>
      <c r="TR40" s="51"/>
      <c r="TS40" s="51"/>
      <c r="TT40" s="51"/>
      <c r="TU40" s="51"/>
      <c r="TV40" s="51"/>
      <c r="TW40" s="51"/>
      <c r="TX40" s="51"/>
      <c r="TY40" s="51"/>
      <c r="TZ40" s="51"/>
      <c r="UA40" s="51"/>
      <c r="UB40" s="51"/>
      <c r="UC40" s="51"/>
      <c r="UD40" s="51"/>
      <c r="UE40" s="51"/>
      <c r="UF40" s="51"/>
      <c r="UG40" s="51"/>
      <c r="UH40" s="51"/>
      <c r="UI40" s="51"/>
      <c r="UJ40" s="51"/>
      <c r="UK40" s="51"/>
      <c r="UL40" s="51"/>
      <c r="UM40" s="51"/>
      <c r="UN40" s="51"/>
      <c r="UO40" s="51"/>
      <c r="UP40" s="51"/>
      <c r="UQ40" s="51"/>
      <c r="UR40" s="51"/>
      <c r="US40" s="51"/>
      <c r="UT40" s="51"/>
      <c r="UU40" s="51"/>
      <c r="UV40" s="51"/>
      <c r="UW40" s="51"/>
      <c r="UX40" s="51"/>
      <c r="UY40" s="51"/>
      <c r="UZ40" s="51"/>
      <c r="VA40" s="51"/>
      <c r="VB40" s="51"/>
      <c r="VC40" s="51"/>
      <c r="VD40" s="51"/>
      <c r="VE40" s="51"/>
      <c r="VF40" s="51"/>
      <c r="VG40" s="51"/>
      <c r="VH40" s="51"/>
      <c r="VI40" s="51"/>
      <c r="VJ40" s="51"/>
      <c r="VK40" s="51"/>
      <c r="VL40" s="51"/>
      <c r="VM40" s="51"/>
      <c r="VN40" s="51"/>
      <c r="VO40" s="51"/>
      <c r="VP40" s="51"/>
      <c r="VQ40" s="51"/>
      <c r="VR40" s="51"/>
      <c r="VS40" s="51"/>
      <c r="VT40" s="51"/>
      <c r="VU40" s="51"/>
      <c r="VV40" s="51"/>
      <c r="VW40" s="51"/>
      <c r="VX40" s="51"/>
      <c r="VY40" s="51"/>
      <c r="VZ40" s="51"/>
      <c r="WA40" s="51"/>
      <c r="WB40" s="51"/>
      <c r="WC40" s="51"/>
      <c r="WD40" s="51"/>
      <c r="WE40" s="51"/>
      <c r="WF40" s="51"/>
      <c r="WG40" s="51"/>
      <c r="WH40" s="51"/>
      <c r="WI40" s="51"/>
      <c r="WJ40" s="51"/>
      <c r="WK40" s="51"/>
      <c r="WL40" s="51"/>
      <c r="WM40" s="51"/>
      <c r="WN40" s="51"/>
      <c r="WO40" s="51"/>
      <c r="WP40" s="51"/>
      <c r="WQ40" s="51"/>
      <c r="WR40" s="51"/>
      <c r="WS40" s="51"/>
      <c r="WT40" s="51"/>
      <c r="WU40" s="51"/>
      <c r="WV40" s="51"/>
      <c r="WW40" s="51"/>
      <c r="WX40" s="51"/>
      <c r="WY40" s="51"/>
      <c r="WZ40" s="51"/>
      <c r="XA40" s="51"/>
      <c r="XB40" s="51"/>
      <c r="XC40" s="51"/>
      <c r="XD40" s="51"/>
      <c r="XE40" s="51"/>
      <c r="XF40" s="51"/>
      <c r="XG40" s="51"/>
      <c r="XH40" s="51"/>
      <c r="XI40" s="51"/>
      <c r="XJ40" s="51"/>
      <c r="XK40" s="51"/>
      <c r="XL40" s="51"/>
      <c r="XM40" s="51"/>
      <c r="XN40" s="51"/>
      <c r="XO40" s="51"/>
      <c r="XP40" s="51"/>
      <c r="XQ40" s="51"/>
      <c r="XR40" s="51"/>
      <c r="XS40" s="51"/>
      <c r="XT40" s="51"/>
      <c r="XU40" s="51"/>
      <c r="XV40" s="51"/>
      <c r="XW40" s="51"/>
      <c r="XX40" s="51"/>
      <c r="XY40" s="51"/>
      <c r="XZ40" s="51"/>
      <c r="YA40" s="51"/>
      <c r="YB40" s="51"/>
      <c r="YC40" s="51"/>
      <c r="YD40" s="51"/>
      <c r="YE40" s="51"/>
      <c r="YF40" s="51"/>
      <c r="YG40" s="51"/>
      <c r="YH40" s="51"/>
      <c r="YI40" s="51"/>
      <c r="YJ40" s="51"/>
      <c r="YK40" s="51"/>
      <c r="YL40" s="51"/>
      <c r="YM40" s="51"/>
      <c r="YN40" s="51"/>
      <c r="YO40" s="51"/>
      <c r="YP40" s="51"/>
      <c r="YQ40" s="51"/>
      <c r="YR40" s="51"/>
      <c r="YS40" s="51"/>
      <c r="YT40" s="51"/>
      <c r="YU40" s="51"/>
      <c r="YV40" s="51"/>
      <c r="YW40" s="51"/>
      <c r="YX40" s="51"/>
      <c r="YY40" s="51"/>
      <c r="YZ40" s="51"/>
      <c r="ZA40" s="51"/>
      <c r="ZB40" s="51"/>
      <c r="ZC40" s="51"/>
      <c r="ZD40" s="51"/>
      <c r="ZE40" s="51"/>
      <c r="ZF40" s="51"/>
      <c r="ZG40" s="51"/>
      <c r="ZH40" s="51"/>
      <c r="ZI40" s="51"/>
      <c r="ZJ40" s="51"/>
      <c r="ZK40" s="51"/>
      <c r="ZL40" s="51"/>
      <c r="ZM40" s="51"/>
      <c r="ZN40" s="51"/>
      <c r="ZO40" s="51"/>
      <c r="ZP40" s="51"/>
      <c r="ZQ40" s="51"/>
      <c r="ZR40" s="51"/>
      <c r="ZS40" s="51"/>
      <c r="ZT40" s="51"/>
      <c r="ZU40" s="51"/>
      <c r="ZV40" s="51"/>
      <c r="ZW40" s="51"/>
      <c r="ZX40" s="51"/>
      <c r="ZY40" s="51"/>
      <c r="ZZ40" s="51"/>
      <c r="AAA40" s="51"/>
      <c r="AAB40" s="51"/>
      <c r="AAC40" s="51"/>
      <c r="AAD40" s="51"/>
      <c r="AAE40" s="51"/>
      <c r="AAF40" s="51"/>
      <c r="AAG40" s="51"/>
      <c r="AAH40" s="51"/>
      <c r="AAI40" s="51"/>
      <c r="AAJ40" s="51"/>
      <c r="AAK40" s="51"/>
      <c r="AAL40" s="51"/>
      <c r="AAM40" s="51"/>
      <c r="AAN40" s="51"/>
      <c r="AAO40" s="51"/>
      <c r="AAP40" s="51"/>
      <c r="AAQ40" s="51"/>
      <c r="AAR40" s="51"/>
      <c r="AAS40" s="51"/>
      <c r="AAT40" s="51"/>
      <c r="AAU40" s="51"/>
      <c r="AAV40" s="51"/>
      <c r="AAW40" s="51"/>
      <c r="AAX40" s="51"/>
      <c r="AAY40" s="51"/>
      <c r="AAZ40" s="51"/>
      <c r="ABA40" s="51"/>
      <c r="ABB40" s="51"/>
      <c r="ABC40" s="51"/>
      <c r="ABD40" s="51"/>
      <c r="ABE40" s="51"/>
      <c r="ABF40" s="51"/>
      <c r="ABG40" s="51"/>
      <c r="ABH40" s="51"/>
      <c r="ABI40" s="51"/>
      <c r="ABJ40" s="51"/>
      <c r="ABK40" s="51"/>
      <c r="ABL40" s="51"/>
      <c r="ABM40" s="51"/>
      <c r="ABN40" s="51"/>
      <c r="ABO40" s="51"/>
      <c r="ABP40" s="51"/>
      <c r="ABQ40" s="51"/>
      <c r="ABR40" s="51"/>
      <c r="ABS40" s="51"/>
      <c r="ABT40" s="51"/>
      <c r="ABU40" s="51"/>
      <c r="ABV40" s="51"/>
      <c r="ABW40" s="51"/>
      <c r="ABX40" s="51"/>
      <c r="ABY40" s="51"/>
      <c r="ABZ40" s="51"/>
      <c r="ACA40" s="51"/>
      <c r="ACB40" s="51"/>
      <c r="ACC40" s="51"/>
      <c r="ACD40" s="51"/>
      <c r="ACE40" s="51"/>
      <c r="ACF40" s="51"/>
      <c r="ACG40" s="51"/>
      <c r="ACH40" s="51"/>
      <c r="ACI40" s="51"/>
      <c r="ACJ40" s="51"/>
      <c r="ACK40" s="51"/>
      <c r="ACL40" s="51"/>
      <c r="ACM40" s="51"/>
      <c r="ACN40" s="51"/>
      <c r="ACO40" s="51"/>
      <c r="ACP40" s="51"/>
      <c r="ACQ40" s="51"/>
      <c r="ACR40" s="51"/>
      <c r="ACS40" s="51"/>
      <c r="ACT40" s="51"/>
      <c r="ACU40" s="51"/>
      <c r="ACV40" s="51"/>
      <c r="ACW40" s="51"/>
      <c r="ACX40" s="51"/>
      <c r="ACY40" s="51"/>
      <c r="ACZ40" s="51"/>
      <c r="ADA40" s="51"/>
      <c r="ADB40" s="51"/>
      <c r="ADC40" s="51"/>
      <c r="ADD40" s="51"/>
      <c r="ADE40" s="51"/>
      <c r="ADF40" s="51"/>
      <c r="ADG40" s="51"/>
      <c r="ADH40" s="51"/>
      <c r="ADI40" s="51"/>
      <c r="ADJ40" s="51"/>
      <c r="ADK40" s="51"/>
      <c r="ADL40" s="51"/>
      <c r="ADM40" s="51"/>
      <c r="ADN40" s="51"/>
      <c r="ADO40" s="51"/>
      <c r="ADP40" s="51"/>
      <c r="ADQ40" s="51"/>
      <c r="ADR40" s="51"/>
      <c r="ADS40" s="51"/>
      <c r="ADT40" s="51"/>
      <c r="ADU40" s="51"/>
      <c r="ADV40" s="51"/>
      <c r="ADW40" s="51"/>
      <c r="ADX40" s="51"/>
      <c r="ADY40" s="51"/>
      <c r="ADZ40" s="51"/>
      <c r="AEA40" s="51"/>
      <c r="AEB40" s="51"/>
      <c r="AEC40" s="51"/>
      <c r="AED40" s="51"/>
      <c r="AEE40" s="51"/>
      <c r="AEF40" s="51"/>
      <c r="AEG40" s="51"/>
      <c r="AEH40" s="51"/>
      <c r="AEI40" s="51"/>
      <c r="AEJ40" s="51"/>
      <c r="AEK40" s="51"/>
      <c r="AEL40" s="51"/>
      <c r="AEM40" s="51"/>
      <c r="AEN40" s="51"/>
      <c r="AEO40" s="51"/>
      <c r="AEP40" s="51"/>
      <c r="AEQ40" s="51"/>
      <c r="AER40" s="51"/>
      <c r="AES40" s="51"/>
      <c r="AET40" s="51"/>
      <c r="AEU40" s="51"/>
      <c r="AEV40" s="51"/>
      <c r="AEW40" s="51"/>
      <c r="AEX40" s="51"/>
      <c r="AEY40" s="51"/>
      <c r="AEZ40" s="51"/>
      <c r="AFA40" s="51"/>
      <c r="AFB40" s="51"/>
      <c r="AFC40" s="51"/>
      <c r="AFD40" s="51"/>
      <c r="AFE40" s="51"/>
      <c r="AFF40" s="51"/>
      <c r="AFG40" s="51"/>
      <c r="AFH40" s="51"/>
      <c r="AFI40" s="51"/>
      <c r="AFJ40" s="51"/>
      <c r="AFK40" s="51"/>
      <c r="AFL40" s="51"/>
      <c r="AFM40" s="51"/>
      <c r="AFN40" s="51"/>
      <c r="AFO40" s="51"/>
      <c r="AFP40" s="51"/>
      <c r="AFQ40" s="51"/>
      <c r="AFR40" s="51"/>
      <c r="AFS40" s="51"/>
      <c r="AFT40" s="51"/>
      <c r="AFU40" s="51"/>
      <c r="AFV40" s="51"/>
      <c r="AFW40" s="51"/>
      <c r="AFX40" s="51"/>
      <c r="AFY40" s="51"/>
      <c r="AFZ40" s="51"/>
      <c r="AGA40" s="51"/>
      <c r="AGB40" s="51"/>
      <c r="AGC40" s="51"/>
      <c r="AGD40" s="51"/>
      <c r="AGE40" s="51"/>
      <c r="AGF40" s="51"/>
      <c r="AGG40" s="51"/>
      <c r="AGH40" s="51"/>
      <c r="AGI40" s="51"/>
      <c r="AGJ40" s="51"/>
      <c r="AGK40" s="51"/>
      <c r="AGL40" s="51"/>
      <c r="AGM40" s="51"/>
      <c r="AGN40" s="51"/>
      <c r="AGO40" s="51"/>
      <c r="AGP40" s="51"/>
      <c r="AGQ40" s="51"/>
      <c r="AGR40" s="51"/>
      <c r="AGS40" s="51"/>
      <c r="AGT40" s="51"/>
      <c r="AGU40" s="51"/>
      <c r="AGV40" s="51"/>
      <c r="AGW40" s="51"/>
      <c r="AGX40" s="51"/>
      <c r="AGY40" s="51"/>
      <c r="AGZ40" s="51"/>
      <c r="AHA40" s="51"/>
      <c r="AHB40" s="51"/>
      <c r="AHC40" s="51"/>
      <c r="AHD40" s="51"/>
      <c r="AHE40" s="51"/>
      <c r="AHF40" s="51"/>
      <c r="AHG40" s="51"/>
      <c r="AHH40" s="51"/>
      <c r="AHI40" s="51"/>
      <c r="AHJ40" s="51"/>
      <c r="AHK40" s="51"/>
      <c r="AHL40" s="51"/>
      <c r="AHM40" s="51"/>
      <c r="AHN40" s="51"/>
      <c r="AHO40" s="51"/>
      <c r="AHP40" s="51"/>
      <c r="AHQ40" s="51"/>
      <c r="AHR40" s="51"/>
      <c r="AHS40" s="51"/>
      <c r="AHT40" s="51"/>
      <c r="AHU40" s="51"/>
      <c r="AHV40" s="51"/>
      <c r="AHW40" s="51"/>
      <c r="AHX40" s="51"/>
      <c r="AHY40" s="51"/>
      <c r="AHZ40" s="51"/>
      <c r="AIA40" s="51"/>
      <c r="AIB40" s="51"/>
      <c r="AIC40" s="51"/>
      <c r="AID40" s="51"/>
      <c r="AIE40" s="51"/>
      <c r="AIF40" s="51"/>
      <c r="AIG40" s="51"/>
      <c r="AIH40" s="51"/>
      <c r="AII40" s="51"/>
      <c r="AIJ40" s="51"/>
      <c r="AIK40" s="51"/>
      <c r="AIL40" s="51"/>
      <c r="AIM40" s="51"/>
      <c r="AIN40" s="51"/>
      <c r="AIO40" s="51"/>
      <c r="AIP40" s="51"/>
      <c r="AIQ40" s="51"/>
      <c r="AIR40" s="51"/>
      <c r="AIS40" s="51"/>
      <c r="AIT40" s="51"/>
      <c r="AIU40" s="51"/>
      <c r="AIV40" s="51"/>
      <c r="AIW40" s="51"/>
      <c r="AIX40" s="51"/>
      <c r="AIY40" s="51"/>
      <c r="AIZ40" s="51"/>
      <c r="AJA40" s="51"/>
      <c r="AJB40" s="51"/>
      <c r="AJC40" s="51"/>
      <c r="AJD40" s="51"/>
      <c r="AJE40" s="51"/>
      <c r="AJF40" s="51"/>
      <c r="AJG40" s="51"/>
      <c r="AJH40" s="51"/>
      <c r="AJI40" s="51"/>
      <c r="AJJ40" s="51"/>
      <c r="AJK40" s="51"/>
      <c r="AJL40" s="51"/>
      <c r="AJM40" s="51"/>
      <c r="AJN40" s="51"/>
      <c r="AJO40" s="51"/>
      <c r="AJP40" s="51"/>
      <c r="AJQ40" s="51"/>
      <c r="AJR40" s="51"/>
      <c r="AJS40" s="51"/>
      <c r="AJT40" s="51"/>
      <c r="AJU40" s="51"/>
      <c r="AJV40" s="51"/>
      <c r="AJW40" s="51"/>
      <c r="AJX40" s="51"/>
      <c r="AJY40" s="51"/>
      <c r="AJZ40" s="51"/>
      <c r="AKA40" s="51"/>
      <c r="AKB40" s="51"/>
      <c r="AKC40" s="51"/>
      <c r="AKD40" s="51"/>
      <c r="AKE40" s="51"/>
      <c r="AKF40" s="51"/>
      <c r="AKG40" s="51"/>
      <c r="AKH40" s="51"/>
      <c r="AKI40" s="51"/>
      <c r="AKJ40" s="51"/>
      <c r="AKK40" s="51"/>
      <c r="AKL40" s="51"/>
      <c r="AKM40" s="51"/>
      <c r="AKN40" s="51"/>
      <c r="AKO40" s="51"/>
      <c r="AKP40" s="51"/>
      <c r="AKQ40" s="51"/>
      <c r="AKR40" s="51"/>
      <c r="AKS40" s="51"/>
      <c r="AKT40" s="51"/>
      <c r="AKU40" s="51"/>
      <c r="AKV40" s="51"/>
      <c r="AKW40" s="51"/>
      <c r="AKX40" s="51"/>
      <c r="AKY40" s="51"/>
      <c r="AKZ40" s="51"/>
      <c r="ALA40" s="51"/>
      <c r="ALB40" s="51"/>
      <c r="ALC40" s="51"/>
      <c r="ALD40" s="51"/>
      <c r="ALE40" s="51"/>
      <c r="ALF40" s="51"/>
      <c r="ALG40" s="51"/>
      <c r="ALH40" s="51"/>
      <c r="ALI40" s="51"/>
      <c r="ALJ40" s="51"/>
      <c r="ALK40" s="51"/>
      <c r="ALL40" s="51"/>
      <c r="ALM40" s="51"/>
      <c r="ALN40" s="51"/>
      <c r="ALO40" s="51"/>
      <c r="ALP40" s="51"/>
      <c r="ALQ40" s="51"/>
      <c r="ALR40" s="51"/>
      <c r="ALS40" s="51"/>
      <c r="ALT40" s="51"/>
      <c r="ALU40" s="51"/>
      <c r="ALV40" s="51"/>
      <c r="ALW40" s="51"/>
      <c r="ALX40" s="51"/>
      <c r="ALY40" s="51"/>
      <c r="ALZ40" s="51"/>
      <c r="AMA40" s="51"/>
      <c r="AMB40" s="51"/>
      <c r="AMC40" s="51"/>
      <c r="AMD40" s="51"/>
      <c r="AME40" s="51"/>
      <c r="AMF40" s="51"/>
      <c r="AMG40" s="51"/>
      <c r="AMH40" s="51"/>
      <c r="AMI40" s="51"/>
      <c r="AMJ40" s="51"/>
      <c r="AMK40" s="51"/>
      <c r="AML40" s="51"/>
      <c r="AMM40" s="51"/>
      <c r="AMN40" s="51"/>
      <c r="AMO40" s="51"/>
      <c r="AMP40" s="51"/>
      <c r="AMQ40" s="51"/>
      <c r="AMR40" s="51"/>
      <c r="AMS40" s="51"/>
      <c r="AMT40" s="51"/>
      <c r="AMU40" s="51"/>
      <c r="AMV40" s="51"/>
      <c r="AMW40" s="51"/>
      <c r="AMX40" s="51"/>
      <c r="AMY40" s="51"/>
      <c r="AMZ40" s="51"/>
      <c r="ANA40" s="51"/>
      <c r="ANB40" s="51"/>
      <c r="ANC40" s="51"/>
      <c r="AND40" s="51"/>
      <c r="ANE40" s="51"/>
      <c r="ANF40" s="51"/>
      <c r="ANG40" s="51"/>
      <c r="ANH40" s="51"/>
      <c r="ANI40" s="51"/>
      <c r="ANJ40" s="51"/>
      <c r="ANK40" s="51"/>
      <c r="ANL40" s="51"/>
      <c r="ANM40" s="51"/>
      <c r="ANN40" s="51"/>
      <c r="ANO40" s="51"/>
      <c r="ANP40" s="51"/>
      <c r="ANQ40" s="51"/>
      <c r="ANR40" s="51"/>
      <c r="ANS40" s="51"/>
      <c r="ANT40" s="51"/>
      <c r="ANU40" s="51"/>
      <c r="ANV40" s="51"/>
      <c r="ANW40" s="51"/>
      <c r="ANX40" s="51"/>
      <c r="ANY40" s="51"/>
      <c r="ANZ40" s="51"/>
      <c r="AOA40" s="51"/>
      <c r="AOB40" s="51"/>
      <c r="AOC40" s="51"/>
      <c r="AOD40" s="51"/>
      <c r="AOE40" s="51"/>
      <c r="AOF40" s="51"/>
      <c r="AOG40" s="51"/>
      <c r="AOH40" s="51"/>
      <c r="AOI40" s="51"/>
      <c r="AOJ40" s="51"/>
      <c r="AOK40" s="51"/>
      <c r="AOL40" s="51"/>
      <c r="AOM40" s="51"/>
      <c r="AON40" s="51"/>
      <c r="AOO40" s="51"/>
      <c r="AOP40" s="51"/>
      <c r="AOQ40" s="51"/>
      <c r="AOR40" s="51"/>
      <c r="AOS40" s="51"/>
      <c r="AOT40" s="51"/>
      <c r="AOU40" s="51"/>
      <c r="AOV40" s="51"/>
      <c r="AOW40" s="51"/>
      <c r="AOX40" s="51"/>
      <c r="AOY40" s="51"/>
      <c r="AOZ40" s="51"/>
      <c r="APA40" s="51"/>
      <c r="APB40" s="51"/>
      <c r="APC40" s="51"/>
      <c r="APD40" s="51"/>
      <c r="APE40" s="51"/>
      <c r="APF40" s="51"/>
      <c r="APG40" s="51"/>
      <c r="APH40" s="51"/>
      <c r="API40" s="51"/>
      <c r="APJ40" s="51"/>
      <c r="APK40" s="51"/>
      <c r="APL40" s="51"/>
      <c r="APM40" s="51"/>
      <c r="APN40" s="51"/>
      <c r="APO40" s="51"/>
      <c r="APP40" s="51"/>
      <c r="APQ40" s="51"/>
      <c r="APR40" s="51"/>
      <c r="APS40" s="51"/>
      <c r="APT40" s="51"/>
      <c r="APU40" s="51"/>
      <c r="APV40" s="51"/>
      <c r="APW40" s="51"/>
      <c r="APX40" s="51"/>
      <c r="APY40" s="51"/>
      <c r="APZ40" s="51"/>
      <c r="AQA40" s="51"/>
      <c r="AQB40" s="51"/>
      <c r="AQC40" s="51"/>
      <c r="AQD40" s="51"/>
      <c r="AQE40" s="51"/>
      <c r="AQF40" s="51"/>
      <c r="AQG40" s="51"/>
      <c r="AQH40" s="51"/>
      <c r="AQI40" s="51"/>
      <c r="AQJ40" s="51"/>
      <c r="AQK40" s="51"/>
      <c r="AQL40" s="51"/>
      <c r="AQM40" s="51"/>
      <c r="AQN40" s="51"/>
      <c r="AQO40" s="51"/>
      <c r="AQP40" s="51"/>
      <c r="AQQ40" s="51"/>
      <c r="AQR40" s="51"/>
      <c r="AQS40" s="51"/>
      <c r="AQT40" s="51"/>
      <c r="AQU40" s="51"/>
      <c r="AQV40" s="51"/>
      <c r="AQW40" s="51"/>
      <c r="AQX40" s="51"/>
      <c r="AQY40" s="51"/>
      <c r="AQZ40" s="51"/>
      <c r="ARA40" s="51"/>
      <c r="ARB40" s="51"/>
      <c r="ARC40" s="51"/>
      <c r="ARD40" s="51"/>
      <c r="ARE40" s="51"/>
      <c r="ARF40" s="51"/>
      <c r="ARG40" s="51"/>
      <c r="ARH40" s="51"/>
      <c r="ARI40" s="51"/>
      <c r="ARJ40" s="51"/>
      <c r="ARK40" s="51"/>
      <c r="ARL40" s="51"/>
      <c r="ARM40" s="51"/>
      <c r="ARN40" s="51"/>
      <c r="ARO40" s="51"/>
      <c r="ARP40" s="51"/>
      <c r="ARQ40" s="51"/>
      <c r="ARR40" s="51"/>
      <c r="ARS40" s="51"/>
      <c r="ART40" s="51"/>
      <c r="ARU40" s="51"/>
      <c r="ARV40" s="51"/>
      <c r="ARW40" s="51"/>
      <c r="ARX40" s="51"/>
      <c r="ARY40" s="51"/>
      <c r="ARZ40" s="51"/>
      <c r="ASA40" s="51"/>
      <c r="ASB40" s="51"/>
      <c r="ASC40" s="51"/>
      <c r="ASD40" s="51"/>
      <c r="ASE40" s="51"/>
      <c r="ASF40" s="51"/>
      <c r="ASG40" s="51"/>
      <c r="ASH40" s="51"/>
      <c r="ASI40" s="51"/>
      <c r="ASJ40" s="51"/>
      <c r="ASK40" s="51"/>
      <c r="ASL40" s="51"/>
      <c r="ASM40" s="51"/>
      <c r="ASN40" s="51"/>
      <c r="ASO40" s="51"/>
      <c r="ASP40" s="51"/>
      <c r="ASQ40" s="51"/>
      <c r="ASR40" s="51"/>
      <c r="ASS40" s="51"/>
      <c r="AST40" s="51"/>
      <c r="ASU40" s="51"/>
      <c r="ASV40" s="51"/>
      <c r="ASW40" s="51"/>
      <c r="ASX40" s="51"/>
      <c r="ASY40" s="51"/>
      <c r="ASZ40" s="51"/>
      <c r="ATA40" s="51"/>
      <c r="ATB40" s="51"/>
      <c r="ATC40" s="51"/>
      <c r="ATD40" s="51"/>
      <c r="ATE40" s="51"/>
      <c r="ATF40" s="51"/>
      <c r="ATG40" s="51"/>
      <c r="ATH40" s="51"/>
      <c r="ATI40" s="51"/>
      <c r="ATJ40" s="51"/>
      <c r="ATK40" s="51"/>
      <c r="ATL40" s="51"/>
      <c r="ATM40" s="51"/>
      <c r="ATN40" s="51"/>
      <c r="ATO40" s="51"/>
      <c r="ATP40" s="51"/>
      <c r="ATQ40" s="51"/>
      <c r="ATR40" s="51"/>
      <c r="ATS40" s="51"/>
      <c r="ATT40" s="51"/>
      <c r="ATU40" s="51"/>
      <c r="ATV40" s="51"/>
      <c r="ATW40" s="51"/>
      <c r="ATX40" s="51"/>
      <c r="ATY40" s="51"/>
      <c r="ATZ40" s="51"/>
      <c r="AUA40" s="51"/>
      <c r="AUB40" s="51"/>
      <c r="AUC40" s="51"/>
      <c r="AUD40" s="51"/>
      <c r="AUE40" s="51"/>
      <c r="AUF40" s="51"/>
      <c r="AUG40" s="51"/>
      <c r="AUH40" s="51"/>
      <c r="AUI40" s="51"/>
      <c r="AUJ40" s="51"/>
      <c r="AUK40" s="51"/>
      <c r="AUL40" s="51"/>
      <c r="AUM40" s="51"/>
      <c r="AUN40" s="51"/>
      <c r="AUO40" s="51"/>
      <c r="AUP40" s="51"/>
      <c r="AUQ40" s="51"/>
      <c r="AUR40" s="51"/>
      <c r="AUS40" s="51"/>
      <c r="AUT40" s="51"/>
      <c r="AUU40" s="51"/>
      <c r="AUV40" s="51"/>
      <c r="AUW40" s="51"/>
      <c r="AUX40" s="51"/>
      <c r="AUY40" s="51"/>
      <c r="AUZ40" s="51"/>
      <c r="AVA40" s="51"/>
      <c r="AVB40" s="51"/>
      <c r="AVC40" s="51"/>
      <c r="AVD40" s="51"/>
      <c r="AVE40" s="51"/>
      <c r="AVF40" s="51"/>
      <c r="AVG40" s="51"/>
      <c r="AVH40" s="51"/>
      <c r="AVI40" s="51"/>
      <c r="AVJ40" s="51"/>
      <c r="AVK40" s="51"/>
      <c r="AVL40" s="51"/>
      <c r="AVM40" s="51"/>
      <c r="AVN40" s="51"/>
      <c r="AVO40" s="51"/>
      <c r="AVP40" s="51"/>
      <c r="AVQ40" s="51"/>
      <c r="AVR40" s="51"/>
      <c r="AVS40" s="51"/>
      <c r="AVT40" s="51"/>
      <c r="AVU40" s="51"/>
      <c r="AVV40" s="51"/>
      <c r="AVW40" s="51"/>
      <c r="AVX40" s="51"/>
      <c r="AVY40" s="51"/>
      <c r="AVZ40" s="51"/>
      <c r="AWA40" s="51"/>
      <c r="AWB40" s="51"/>
      <c r="AWC40" s="51"/>
      <c r="AWD40" s="51"/>
      <c r="AWE40" s="51"/>
      <c r="AWF40" s="51"/>
      <c r="AWG40" s="51"/>
      <c r="AWH40" s="51"/>
      <c r="AWI40" s="51"/>
      <c r="AWJ40" s="51"/>
      <c r="AWK40" s="51"/>
      <c r="AWL40" s="51"/>
      <c r="AWM40" s="51"/>
      <c r="AWN40" s="51"/>
      <c r="AWO40" s="51"/>
      <c r="AWP40" s="51"/>
      <c r="AWQ40" s="51"/>
      <c r="AWR40" s="51"/>
      <c r="AWS40" s="51"/>
      <c r="AWT40" s="51"/>
      <c r="AWU40" s="51"/>
      <c r="AWV40" s="51"/>
      <c r="AWW40" s="51"/>
      <c r="AWX40" s="51"/>
      <c r="AWY40" s="51"/>
      <c r="AWZ40" s="51"/>
      <c r="AXA40" s="51"/>
      <c r="AXB40" s="51"/>
      <c r="AXC40" s="51"/>
      <c r="AXD40" s="51"/>
      <c r="AXE40" s="51"/>
      <c r="AXF40" s="51"/>
      <c r="AXG40" s="51"/>
      <c r="AXH40" s="51"/>
      <c r="AXI40" s="51"/>
      <c r="AXJ40" s="51"/>
      <c r="AXK40" s="51"/>
      <c r="AXL40" s="51"/>
      <c r="AXM40" s="51"/>
      <c r="AXN40" s="51"/>
      <c r="AXO40" s="51"/>
      <c r="AXP40" s="51"/>
      <c r="AXQ40" s="51"/>
      <c r="AXR40" s="51"/>
      <c r="AXS40" s="51"/>
      <c r="AXT40" s="51"/>
      <c r="AXU40" s="51"/>
      <c r="AXV40" s="51"/>
      <c r="AXW40" s="51"/>
      <c r="AXX40" s="51"/>
      <c r="AXY40" s="51"/>
      <c r="AXZ40" s="51"/>
      <c r="AYA40" s="51"/>
      <c r="AYB40" s="51"/>
      <c r="AYC40" s="51"/>
      <c r="AYD40" s="51"/>
      <c r="AYE40" s="51"/>
      <c r="AYF40" s="51"/>
      <c r="AYG40" s="51"/>
      <c r="AYH40" s="51"/>
      <c r="AYI40" s="51"/>
      <c r="AYJ40" s="51"/>
      <c r="AYK40" s="51"/>
      <c r="AYL40" s="51"/>
      <c r="AYM40" s="51"/>
      <c r="AYN40" s="51"/>
      <c r="AYO40" s="51"/>
      <c r="AYP40" s="51"/>
      <c r="AYQ40" s="51"/>
      <c r="AYR40" s="51"/>
      <c r="AYS40" s="51"/>
      <c r="AYT40" s="51"/>
      <c r="AYU40" s="51"/>
      <c r="AYV40" s="51"/>
      <c r="AYW40" s="51"/>
      <c r="AYX40" s="51"/>
      <c r="AYY40" s="51"/>
      <c r="AYZ40" s="51"/>
      <c r="AZA40" s="51"/>
      <c r="AZB40" s="51"/>
      <c r="AZC40" s="51"/>
      <c r="AZD40" s="51"/>
      <c r="AZE40" s="51"/>
      <c r="AZF40" s="51"/>
      <c r="AZG40" s="51"/>
      <c r="AZH40" s="51"/>
      <c r="AZI40" s="51"/>
      <c r="AZJ40" s="51"/>
      <c r="AZK40" s="51"/>
      <c r="AZL40" s="51"/>
      <c r="AZM40" s="51"/>
      <c r="AZN40" s="51"/>
      <c r="AZO40" s="51"/>
      <c r="AZP40" s="51"/>
      <c r="AZQ40" s="51"/>
      <c r="AZR40" s="51"/>
      <c r="AZS40" s="51"/>
      <c r="AZT40" s="51"/>
      <c r="AZU40" s="51"/>
      <c r="AZV40" s="51"/>
      <c r="AZW40" s="51"/>
      <c r="AZX40" s="51"/>
      <c r="AZY40" s="51"/>
      <c r="AZZ40" s="51"/>
      <c r="BAA40" s="51"/>
      <c r="BAB40" s="51"/>
      <c r="BAC40" s="51"/>
      <c r="BAD40" s="51"/>
      <c r="BAE40" s="51"/>
      <c r="BAF40" s="51"/>
      <c r="BAG40" s="51"/>
      <c r="BAH40" s="51"/>
      <c r="BAI40" s="51"/>
      <c r="BAJ40" s="51"/>
      <c r="BAK40" s="51"/>
      <c r="BAL40" s="51"/>
      <c r="BAM40" s="51"/>
      <c r="BAN40" s="51"/>
      <c r="BAO40" s="51"/>
      <c r="BAP40" s="51"/>
      <c r="BAQ40" s="51"/>
      <c r="BAR40" s="51"/>
      <c r="BAS40" s="51"/>
      <c r="BAT40" s="51"/>
      <c r="BAU40" s="51"/>
      <c r="BAV40" s="51"/>
      <c r="BAW40" s="51"/>
      <c r="BAX40" s="51"/>
      <c r="BAY40" s="51"/>
      <c r="BAZ40" s="51"/>
      <c r="BBA40" s="51"/>
      <c r="BBB40" s="51"/>
      <c r="BBC40" s="51"/>
      <c r="BBD40" s="51"/>
      <c r="BBE40" s="51"/>
      <c r="BBF40" s="51"/>
      <c r="BBG40" s="51"/>
      <c r="BBH40" s="51"/>
      <c r="BBI40" s="51"/>
      <c r="BBJ40" s="51"/>
      <c r="BBK40" s="51"/>
      <c r="BBL40" s="51"/>
      <c r="BBM40" s="51"/>
      <c r="BBN40" s="51"/>
      <c r="BBO40" s="51"/>
      <c r="BBP40" s="51"/>
      <c r="BBQ40" s="51"/>
      <c r="BBR40" s="51"/>
      <c r="BBS40" s="51"/>
      <c r="BBT40" s="51"/>
      <c r="BBU40" s="51"/>
      <c r="BBV40" s="51"/>
      <c r="BBW40" s="51"/>
      <c r="BBX40" s="51"/>
      <c r="BBY40" s="51"/>
      <c r="BBZ40" s="51"/>
      <c r="BCA40" s="51"/>
      <c r="BCB40" s="51"/>
      <c r="BCC40" s="51"/>
      <c r="BCD40" s="51"/>
      <c r="BCE40" s="51"/>
      <c r="BCF40" s="51"/>
      <c r="BCG40" s="51"/>
      <c r="BCH40" s="51"/>
      <c r="BCI40" s="51"/>
      <c r="BCJ40" s="51"/>
      <c r="BCK40" s="51"/>
      <c r="BCL40" s="51"/>
      <c r="BCM40" s="51"/>
      <c r="BCN40" s="51"/>
      <c r="BCO40" s="51"/>
      <c r="BCP40" s="51"/>
      <c r="BCQ40" s="51"/>
      <c r="BCR40" s="51"/>
      <c r="BCS40" s="51"/>
      <c r="BCT40" s="51"/>
      <c r="BCU40" s="51"/>
      <c r="BCV40" s="51"/>
      <c r="BCW40" s="51"/>
      <c r="BCX40" s="51"/>
      <c r="BCY40" s="51"/>
      <c r="BCZ40" s="51"/>
      <c r="BDA40" s="51"/>
      <c r="BDB40" s="51"/>
      <c r="BDC40" s="51"/>
      <c r="BDD40" s="51"/>
      <c r="BDE40" s="51"/>
      <c r="BDF40" s="51"/>
      <c r="BDG40" s="51"/>
      <c r="BDH40" s="51"/>
      <c r="BDI40" s="51"/>
      <c r="BDJ40" s="51"/>
      <c r="BDK40" s="51"/>
      <c r="BDL40" s="51"/>
      <c r="BDM40" s="51"/>
      <c r="BDN40" s="51"/>
      <c r="BDO40" s="51"/>
      <c r="BDP40" s="51"/>
      <c r="BDQ40" s="51"/>
      <c r="BDR40" s="51"/>
      <c r="BDS40" s="51"/>
      <c r="BDT40" s="51"/>
      <c r="BDU40" s="51"/>
      <c r="BDV40" s="51"/>
      <c r="BDW40" s="51"/>
      <c r="BDX40" s="51"/>
      <c r="BDY40" s="51"/>
      <c r="BDZ40" s="51"/>
      <c r="BEA40" s="51"/>
      <c r="BEB40" s="51"/>
      <c r="BEC40" s="51"/>
      <c r="BED40" s="51"/>
      <c r="BEE40" s="51"/>
      <c r="BEF40" s="51"/>
      <c r="BEG40" s="51"/>
      <c r="BEH40" s="51"/>
      <c r="BEI40" s="51"/>
      <c r="BEJ40" s="51"/>
      <c r="BEK40" s="51"/>
      <c r="BEL40" s="51"/>
      <c r="BEM40" s="51"/>
      <c r="BEN40" s="51"/>
      <c r="BEO40" s="51"/>
      <c r="BEP40" s="51"/>
      <c r="BEQ40" s="51"/>
      <c r="BER40" s="51"/>
      <c r="BES40" s="51"/>
      <c r="BET40" s="51"/>
      <c r="BEU40" s="51"/>
      <c r="BEV40" s="51"/>
      <c r="BEW40" s="51"/>
      <c r="BEX40" s="51"/>
      <c r="BEY40" s="51"/>
      <c r="BEZ40" s="51"/>
      <c r="BFA40" s="51"/>
      <c r="BFB40" s="51"/>
      <c r="BFC40" s="51"/>
      <c r="BFD40" s="51"/>
      <c r="BFE40" s="51"/>
      <c r="BFF40" s="51"/>
      <c r="BFG40" s="51"/>
      <c r="BFH40" s="51"/>
      <c r="BFI40" s="51"/>
      <c r="BFJ40" s="51"/>
      <c r="BFK40" s="51"/>
      <c r="BFL40" s="51"/>
      <c r="BFM40" s="51"/>
      <c r="BFN40" s="51"/>
      <c r="BFO40" s="51"/>
      <c r="BFP40" s="51"/>
      <c r="BFQ40" s="51"/>
      <c r="BFR40" s="51"/>
      <c r="BFS40" s="51"/>
      <c r="BFT40" s="51"/>
      <c r="BFU40" s="51"/>
      <c r="BFV40" s="51"/>
      <c r="BFW40" s="51"/>
      <c r="BFX40" s="51"/>
      <c r="BFY40" s="51"/>
      <c r="BFZ40" s="51"/>
      <c r="BGA40" s="51"/>
      <c r="BGB40" s="51"/>
      <c r="BGC40" s="51"/>
      <c r="BGD40" s="51"/>
      <c r="BGE40" s="51"/>
      <c r="BGF40" s="51"/>
      <c r="BGG40" s="51"/>
      <c r="BGH40" s="51"/>
      <c r="BGI40" s="51"/>
      <c r="BGJ40" s="51"/>
      <c r="BGK40" s="51"/>
      <c r="BGL40" s="51"/>
      <c r="BGM40" s="51"/>
      <c r="BGN40" s="51"/>
      <c r="BGO40" s="51"/>
      <c r="BGP40" s="51"/>
      <c r="BGQ40" s="51"/>
      <c r="BGR40" s="51"/>
      <c r="BGS40" s="51"/>
      <c r="BGT40" s="51"/>
      <c r="BGU40" s="51"/>
      <c r="BGV40" s="51"/>
      <c r="BGW40" s="51"/>
      <c r="BGX40" s="51"/>
      <c r="BGY40" s="51"/>
      <c r="BGZ40" s="51"/>
      <c r="BHA40" s="51"/>
      <c r="BHB40" s="51"/>
      <c r="BHC40" s="51"/>
      <c r="BHD40" s="51"/>
      <c r="BHE40" s="51"/>
      <c r="BHF40" s="51"/>
      <c r="BHG40" s="51"/>
      <c r="BHH40" s="51"/>
      <c r="BHI40" s="51"/>
      <c r="BHJ40" s="51"/>
      <c r="BHK40" s="51"/>
      <c r="BHL40" s="51"/>
      <c r="BHM40" s="51"/>
      <c r="BHN40" s="51"/>
      <c r="BHO40" s="51"/>
      <c r="BHP40" s="51"/>
      <c r="BHQ40" s="51"/>
      <c r="BHR40" s="51"/>
      <c r="BHS40" s="51"/>
      <c r="BHT40" s="51"/>
      <c r="BHU40" s="51"/>
      <c r="BHV40" s="51"/>
      <c r="BHW40" s="51"/>
      <c r="BHX40" s="51"/>
      <c r="BHY40" s="51"/>
      <c r="BHZ40" s="51"/>
      <c r="BIA40" s="51"/>
      <c r="BIB40" s="51"/>
      <c r="BIC40" s="51"/>
      <c r="BID40" s="51"/>
      <c r="BIE40" s="51"/>
      <c r="BIF40" s="51"/>
      <c r="BIG40" s="51"/>
      <c r="BIH40" s="51"/>
      <c r="BII40" s="51"/>
      <c r="BIJ40" s="51"/>
      <c r="BIK40" s="51"/>
      <c r="BIL40" s="51"/>
      <c r="BIM40" s="51"/>
      <c r="BIN40" s="51"/>
      <c r="BIO40" s="51"/>
      <c r="BIP40" s="51"/>
      <c r="BIQ40" s="51"/>
      <c r="BIR40" s="51"/>
      <c r="BIS40" s="51"/>
      <c r="BIT40" s="51"/>
      <c r="BIU40" s="51"/>
      <c r="BIV40" s="51"/>
      <c r="BIW40" s="51"/>
      <c r="BIX40" s="51"/>
      <c r="BIY40" s="51"/>
      <c r="BIZ40" s="51"/>
      <c r="BJA40" s="51"/>
      <c r="BJB40" s="51"/>
      <c r="BJC40" s="51"/>
      <c r="BJD40" s="51"/>
      <c r="BJE40" s="51"/>
      <c r="BJF40" s="51"/>
      <c r="BJG40" s="51"/>
      <c r="BJH40" s="51"/>
      <c r="BJI40" s="51"/>
      <c r="BJJ40" s="51"/>
      <c r="BJK40" s="51"/>
      <c r="BJL40" s="51"/>
      <c r="BJM40" s="51"/>
      <c r="BJN40" s="51"/>
      <c r="BJO40" s="51"/>
      <c r="BJP40" s="51"/>
      <c r="BJQ40" s="51"/>
      <c r="BJR40" s="51"/>
      <c r="BJS40" s="51"/>
      <c r="BJT40" s="51"/>
      <c r="BJU40" s="51"/>
      <c r="BJV40" s="51"/>
      <c r="BJW40" s="51"/>
      <c r="BJX40" s="51"/>
      <c r="BJY40" s="51"/>
      <c r="BJZ40" s="51"/>
      <c r="BKA40" s="51"/>
      <c r="BKB40" s="51"/>
      <c r="BKC40" s="51"/>
      <c r="BKD40" s="51"/>
      <c r="BKE40" s="51"/>
      <c r="BKF40" s="51"/>
      <c r="BKG40" s="51"/>
      <c r="BKH40" s="51"/>
      <c r="BKI40" s="51"/>
      <c r="BKJ40" s="51"/>
      <c r="BKK40" s="51"/>
      <c r="BKL40" s="51"/>
      <c r="BKM40" s="51"/>
      <c r="BKN40" s="51"/>
      <c r="BKO40" s="51"/>
      <c r="BKP40" s="51"/>
      <c r="BKQ40" s="51"/>
      <c r="BKR40" s="51"/>
      <c r="BKS40" s="51"/>
      <c r="BKT40" s="51"/>
      <c r="BKU40" s="51"/>
      <c r="BKV40" s="51"/>
      <c r="BKW40" s="51"/>
      <c r="BKX40" s="51"/>
      <c r="BKY40" s="51"/>
      <c r="BKZ40" s="51"/>
      <c r="BLA40" s="51"/>
      <c r="BLB40" s="51"/>
      <c r="BLC40" s="51"/>
      <c r="BLD40" s="51"/>
      <c r="BLE40" s="51"/>
      <c r="BLF40" s="51"/>
      <c r="BLG40" s="51"/>
      <c r="BLH40" s="51"/>
      <c r="BLI40" s="51"/>
      <c r="BLJ40" s="51"/>
      <c r="BLK40" s="51"/>
      <c r="BLL40" s="51"/>
      <c r="BLM40" s="51"/>
      <c r="BLN40" s="51"/>
      <c r="BLO40" s="51"/>
      <c r="BLP40" s="51"/>
      <c r="BLQ40" s="51"/>
      <c r="BLR40" s="51"/>
      <c r="BLS40" s="51"/>
      <c r="BLT40" s="51"/>
      <c r="BLU40" s="51"/>
      <c r="BLV40" s="51"/>
      <c r="BLW40" s="51"/>
      <c r="BLX40" s="51"/>
      <c r="BLY40" s="51"/>
      <c r="BLZ40" s="51"/>
      <c r="BMA40" s="51"/>
      <c r="BMB40" s="51"/>
      <c r="BMC40" s="51"/>
      <c r="BMD40" s="51"/>
      <c r="BME40" s="51"/>
      <c r="BMF40" s="51"/>
      <c r="BMG40" s="51"/>
      <c r="BMH40" s="51"/>
      <c r="BMI40" s="51"/>
      <c r="BMJ40" s="51"/>
      <c r="BMK40" s="51"/>
      <c r="BML40" s="51"/>
      <c r="BMM40" s="51"/>
      <c r="BMN40" s="51"/>
      <c r="BMO40" s="51"/>
      <c r="BMP40" s="51"/>
      <c r="BMQ40" s="51"/>
      <c r="BMR40" s="51"/>
      <c r="BMS40" s="51"/>
      <c r="BMT40" s="51"/>
      <c r="BMU40" s="51"/>
      <c r="BMV40" s="51"/>
      <c r="BMW40" s="51"/>
      <c r="BMX40" s="51"/>
      <c r="BMY40" s="51"/>
      <c r="BMZ40" s="51"/>
      <c r="BNA40" s="51"/>
      <c r="BNB40" s="51"/>
      <c r="BNC40" s="51"/>
      <c r="BND40" s="51"/>
      <c r="BNE40" s="51"/>
      <c r="BNF40" s="51"/>
      <c r="BNG40" s="51"/>
      <c r="BNH40" s="51"/>
      <c r="BNI40" s="51"/>
      <c r="BNJ40" s="51"/>
      <c r="BNK40" s="51"/>
      <c r="BNL40" s="51"/>
      <c r="BNM40" s="51"/>
      <c r="BNN40" s="51"/>
      <c r="BNO40" s="51"/>
      <c r="BNP40" s="51"/>
      <c r="BNQ40" s="51"/>
      <c r="BNR40" s="51"/>
      <c r="BNS40" s="51"/>
      <c r="BNT40" s="51"/>
      <c r="BNU40" s="51"/>
      <c r="BNV40" s="51"/>
      <c r="BNW40" s="51"/>
      <c r="BNX40" s="51"/>
      <c r="BNY40" s="51"/>
      <c r="BNZ40" s="51"/>
      <c r="BOA40" s="51"/>
      <c r="BOB40" s="51"/>
      <c r="BOC40" s="51"/>
      <c r="BOD40" s="51"/>
      <c r="BOE40" s="51"/>
      <c r="BOF40" s="51"/>
      <c r="BOG40" s="51"/>
      <c r="BOH40" s="51"/>
      <c r="BOI40" s="51"/>
      <c r="BOJ40" s="51"/>
      <c r="BOK40" s="51"/>
      <c r="BOL40" s="51"/>
      <c r="BOM40" s="51"/>
      <c r="BON40" s="51"/>
      <c r="BOO40" s="51"/>
      <c r="BOP40" s="51"/>
      <c r="BOQ40" s="51"/>
      <c r="BOR40" s="51"/>
      <c r="BOS40" s="51"/>
      <c r="BOT40" s="51"/>
      <c r="BOU40" s="51"/>
      <c r="BOV40" s="51"/>
      <c r="BOW40" s="51"/>
      <c r="BOX40" s="51"/>
      <c r="BOY40" s="51"/>
      <c r="BOZ40" s="51"/>
      <c r="BPA40" s="51"/>
      <c r="BPB40" s="51"/>
      <c r="BPC40" s="51"/>
      <c r="BPD40" s="51"/>
      <c r="BPE40" s="51"/>
      <c r="BPF40" s="51"/>
      <c r="BPG40" s="51"/>
      <c r="BPH40" s="51"/>
      <c r="BPI40" s="51"/>
      <c r="BPJ40" s="51"/>
      <c r="BPK40" s="51"/>
      <c r="BPL40" s="51"/>
      <c r="BPM40" s="51"/>
      <c r="BPN40" s="51"/>
      <c r="BPO40" s="51"/>
      <c r="BPP40" s="51"/>
      <c r="BPQ40" s="51"/>
      <c r="BPR40" s="51"/>
      <c r="BPS40" s="51"/>
      <c r="BPT40" s="51"/>
      <c r="BPU40" s="51"/>
      <c r="BPV40" s="51"/>
      <c r="BPW40" s="51"/>
      <c r="BPX40" s="51"/>
      <c r="BPY40" s="51"/>
      <c r="BPZ40" s="51"/>
      <c r="BQA40" s="51"/>
      <c r="BQB40" s="51"/>
      <c r="BQC40" s="51"/>
      <c r="BQD40" s="51"/>
      <c r="BQE40" s="51"/>
      <c r="BQF40" s="51"/>
      <c r="BQG40" s="51"/>
      <c r="BQH40" s="51"/>
      <c r="BQI40" s="51"/>
      <c r="BQJ40" s="51"/>
      <c r="BQK40" s="51"/>
      <c r="BQL40" s="51"/>
      <c r="BQM40" s="51"/>
      <c r="BQN40" s="51"/>
      <c r="BQO40" s="51"/>
      <c r="BQP40" s="51"/>
      <c r="BQQ40" s="51"/>
      <c r="BQR40" s="51"/>
      <c r="BQS40" s="51"/>
      <c r="BQT40" s="51"/>
      <c r="BQU40" s="51"/>
      <c r="BQV40" s="51"/>
      <c r="BQW40" s="51"/>
      <c r="BQX40" s="51"/>
      <c r="BQY40" s="51"/>
      <c r="BQZ40" s="51"/>
      <c r="BRA40" s="51"/>
      <c r="BRB40" s="51"/>
      <c r="BRC40" s="51"/>
      <c r="BRD40" s="51"/>
      <c r="BRE40" s="51"/>
      <c r="BRF40" s="51"/>
      <c r="BRG40" s="51"/>
      <c r="BRH40" s="51"/>
      <c r="BRI40" s="51"/>
      <c r="BRJ40" s="51"/>
      <c r="BRK40" s="51"/>
      <c r="BRL40" s="51"/>
      <c r="BRM40" s="51"/>
      <c r="BRN40" s="51"/>
      <c r="BRO40" s="51"/>
      <c r="BRP40" s="51"/>
      <c r="BRQ40" s="51"/>
      <c r="BRR40" s="51"/>
      <c r="BRS40" s="51"/>
      <c r="BRT40" s="51"/>
      <c r="BRU40" s="51"/>
      <c r="BRV40" s="51"/>
      <c r="BRW40" s="51"/>
      <c r="BRX40" s="51"/>
      <c r="BRY40" s="51"/>
      <c r="BRZ40" s="51"/>
      <c r="BSA40" s="51"/>
      <c r="BSB40" s="51"/>
      <c r="BSC40" s="51"/>
      <c r="BSD40" s="51"/>
      <c r="BSE40" s="51"/>
      <c r="BSF40" s="51"/>
      <c r="BSG40" s="51"/>
      <c r="BSH40" s="51"/>
      <c r="BSI40" s="51"/>
      <c r="BSJ40" s="51"/>
      <c r="BSK40" s="51"/>
      <c r="BSL40" s="51"/>
      <c r="BSM40" s="51"/>
      <c r="BSN40" s="51"/>
      <c r="BSO40" s="51"/>
      <c r="BSP40" s="51"/>
      <c r="BSQ40" s="51"/>
      <c r="BSR40" s="51"/>
      <c r="BSS40" s="51"/>
      <c r="BST40" s="51"/>
      <c r="BSU40" s="51"/>
      <c r="BSV40" s="51"/>
      <c r="BSW40" s="51"/>
      <c r="BSX40" s="51"/>
      <c r="BSY40" s="51"/>
      <c r="BSZ40" s="51"/>
      <c r="BTA40" s="51"/>
      <c r="BTB40" s="51"/>
      <c r="BTC40" s="51"/>
      <c r="BTD40" s="51"/>
      <c r="BTE40" s="51"/>
      <c r="BTF40" s="51"/>
      <c r="BTG40" s="51"/>
      <c r="BTH40" s="51"/>
      <c r="BTI40" s="51"/>
      <c r="BTJ40" s="51"/>
      <c r="BTK40" s="51"/>
      <c r="BTL40" s="51"/>
      <c r="BTM40" s="51"/>
      <c r="BTN40" s="51"/>
      <c r="BTO40" s="51"/>
      <c r="BTP40" s="51"/>
      <c r="BTQ40" s="51"/>
      <c r="BTR40" s="51"/>
      <c r="BTS40" s="51"/>
      <c r="BTT40" s="51"/>
      <c r="BTU40" s="51"/>
      <c r="BTV40" s="51"/>
      <c r="BTW40" s="51"/>
      <c r="BTX40" s="51"/>
      <c r="BTY40" s="51"/>
      <c r="BTZ40" s="51"/>
      <c r="BUA40" s="51"/>
      <c r="BUB40" s="51"/>
      <c r="BUC40" s="51"/>
      <c r="BUD40" s="51"/>
      <c r="BUE40" s="51"/>
      <c r="BUF40" s="51"/>
      <c r="BUG40" s="51"/>
      <c r="BUH40" s="51"/>
      <c r="BUI40" s="51"/>
      <c r="BUJ40" s="51"/>
      <c r="BUK40" s="51"/>
      <c r="BUL40" s="51"/>
      <c r="BUM40" s="51"/>
      <c r="BUN40" s="51"/>
      <c r="BUO40" s="51"/>
      <c r="BUP40" s="51"/>
      <c r="BUQ40" s="51"/>
      <c r="BUR40" s="51"/>
      <c r="BUS40" s="51"/>
      <c r="BUT40" s="51"/>
      <c r="BUU40" s="51"/>
      <c r="BUV40" s="51"/>
      <c r="BUW40" s="51"/>
      <c r="BUX40" s="51"/>
      <c r="BUY40" s="51"/>
      <c r="BUZ40" s="51"/>
      <c r="BVA40" s="51"/>
      <c r="BVB40" s="51"/>
      <c r="BVC40" s="51"/>
      <c r="BVD40" s="51"/>
      <c r="BVE40" s="51"/>
      <c r="BVF40" s="51"/>
      <c r="BVG40" s="51"/>
      <c r="BVH40" s="51"/>
      <c r="BVI40" s="51"/>
      <c r="BVJ40" s="51"/>
      <c r="BVK40" s="51"/>
      <c r="BVL40" s="51"/>
      <c r="BVM40" s="51"/>
      <c r="BVN40" s="51"/>
      <c r="BVO40" s="51"/>
      <c r="BVP40" s="51"/>
      <c r="BVQ40" s="51"/>
      <c r="BVR40" s="51"/>
      <c r="BVS40" s="51"/>
      <c r="BVT40" s="51"/>
      <c r="BVU40" s="51"/>
      <c r="BVV40" s="51"/>
      <c r="BVW40" s="51"/>
      <c r="BVX40" s="51"/>
      <c r="BVY40" s="51"/>
      <c r="BVZ40" s="51"/>
      <c r="BWA40" s="51"/>
      <c r="BWB40" s="51"/>
      <c r="BWC40" s="51"/>
      <c r="BWD40" s="51"/>
      <c r="BWE40" s="51"/>
      <c r="BWF40" s="51"/>
      <c r="BWG40" s="51"/>
      <c r="BWH40" s="51"/>
      <c r="BWI40" s="51"/>
      <c r="BWJ40" s="51"/>
      <c r="BWK40" s="51"/>
      <c r="BWL40" s="51"/>
      <c r="BWM40" s="51"/>
      <c r="BWN40" s="51"/>
      <c r="BWO40" s="51"/>
      <c r="BWP40" s="51"/>
      <c r="BWQ40" s="51"/>
      <c r="BWR40" s="51"/>
      <c r="BWS40" s="51"/>
      <c r="BWT40" s="51"/>
      <c r="BWU40" s="51"/>
      <c r="BWV40" s="51"/>
      <c r="BWW40" s="51"/>
      <c r="BWX40" s="51"/>
      <c r="BWY40" s="51"/>
      <c r="BWZ40" s="51"/>
      <c r="BXA40" s="51"/>
      <c r="BXB40" s="51"/>
      <c r="BXC40" s="51"/>
      <c r="BXD40" s="51"/>
      <c r="BXE40" s="51"/>
      <c r="BXF40" s="51"/>
      <c r="BXG40" s="51"/>
      <c r="BXH40" s="51"/>
      <c r="BXI40" s="51"/>
      <c r="BXJ40" s="51"/>
      <c r="BXK40" s="51"/>
      <c r="BXL40" s="51"/>
      <c r="BXM40" s="51"/>
      <c r="BXN40" s="51"/>
      <c r="BXO40" s="51"/>
      <c r="BXP40" s="51"/>
      <c r="BXQ40" s="51"/>
      <c r="BXR40" s="51"/>
      <c r="BXS40" s="51"/>
      <c r="BXT40" s="51"/>
      <c r="BXU40" s="51"/>
      <c r="BXV40" s="51"/>
      <c r="BXW40" s="51"/>
      <c r="BXX40" s="51"/>
      <c r="BXY40" s="51"/>
      <c r="BXZ40" s="51"/>
      <c r="BYA40" s="51"/>
      <c r="BYB40" s="51"/>
      <c r="BYC40" s="51"/>
      <c r="BYD40" s="51"/>
      <c r="BYE40" s="51"/>
      <c r="BYF40" s="51"/>
      <c r="BYG40" s="51"/>
      <c r="BYH40" s="51"/>
      <c r="BYI40" s="51"/>
      <c r="BYJ40" s="51"/>
      <c r="BYK40" s="51"/>
      <c r="BYL40" s="51"/>
      <c r="BYM40" s="51"/>
      <c r="BYN40" s="51"/>
      <c r="BYO40" s="51"/>
      <c r="BYP40" s="51"/>
      <c r="BYQ40" s="51"/>
      <c r="BYR40" s="51"/>
      <c r="BYS40" s="51"/>
      <c r="BYT40" s="51"/>
      <c r="BYU40" s="51"/>
      <c r="BYV40" s="51"/>
      <c r="BYW40" s="51"/>
      <c r="BYX40" s="51"/>
      <c r="BYY40" s="51"/>
      <c r="BYZ40" s="51"/>
      <c r="BZA40" s="51"/>
      <c r="BZB40" s="51"/>
      <c r="BZC40" s="51"/>
      <c r="BZD40" s="51"/>
      <c r="BZE40" s="51"/>
      <c r="BZF40" s="51"/>
      <c r="BZG40" s="51"/>
      <c r="BZH40" s="51"/>
      <c r="BZI40" s="51"/>
      <c r="BZJ40" s="51"/>
      <c r="BZK40" s="51"/>
      <c r="BZL40" s="51"/>
      <c r="BZM40" s="51"/>
      <c r="BZN40" s="51"/>
      <c r="BZO40" s="51"/>
      <c r="BZP40" s="51"/>
      <c r="BZQ40" s="51"/>
      <c r="BZR40" s="51"/>
      <c r="BZS40" s="51"/>
      <c r="BZT40" s="51"/>
      <c r="BZU40" s="51"/>
      <c r="BZV40" s="51"/>
      <c r="BZW40" s="51"/>
      <c r="BZX40" s="51"/>
      <c r="BZY40" s="51"/>
      <c r="BZZ40" s="51"/>
      <c r="CAA40" s="51"/>
      <c r="CAB40" s="51"/>
      <c r="CAC40" s="51"/>
      <c r="CAD40" s="51"/>
      <c r="CAE40" s="51"/>
      <c r="CAF40" s="51"/>
      <c r="CAG40" s="51"/>
      <c r="CAH40" s="51"/>
      <c r="CAI40" s="51"/>
      <c r="CAJ40" s="51"/>
      <c r="CAK40" s="51"/>
      <c r="CAL40" s="51"/>
      <c r="CAM40" s="51"/>
      <c r="CAN40" s="51"/>
      <c r="CAO40" s="51"/>
      <c r="CAP40" s="51"/>
      <c r="CAQ40" s="51"/>
      <c r="CAR40" s="51"/>
      <c r="CAS40" s="51"/>
      <c r="CAT40" s="51"/>
      <c r="CAU40" s="51"/>
      <c r="CAV40" s="51"/>
      <c r="CAW40" s="51"/>
      <c r="CAX40" s="51"/>
      <c r="CAY40" s="51"/>
      <c r="CAZ40" s="51"/>
      <c r="CBA40" s="51"/>
      <c r="CBB40" s="51"/>
      <c r="CBC40" s="51"/>
      <c r="CBD40" s="51"/>
      <c r="CBE40" s="51"/>
      <c r="CBF40" s="51"/>
      <c r="CBG40" s="51"/>
      <c r="CBH40" s="51"/>
      <c r="CBI40" s="51"/>
      <c r="CBJ40" s="51"/>
      <c r="CBK40" s="51"/>
      <c r="CBL40" s="51"/>
      <c r="CBM40" s="51"/>
      <c r="CBN40" s="51"/>
      <c r="CBO40" s="51"/>
      <c r="CBP40" s="51"/>
      <c r="CBQ40" s="51"/>
      <c r="CBR40" s="51"/>
      <c r="CBS40" s="51"/>
      <c r="CBT40" s="51"/>
      <c r="CBU40" s="51"/>
      <c r="CBV40" s="51"/>
      <c r="CBW40" s="51"/>
      <c r="CBX40" s="51"/>
      <c r="CBY40" s="51"/>
      <c r="CBZ40" s="51"/>
      <c r="CCA40" s="51"/>
      <c r="CCB40" s="51"/>
      <c r="CCC40" s="51"/>
      <c r="CCD40" s="51"/>
      <c r="CCE40" s="51"/>
      <c r="CCF40" s="51"/>
      <c r="CCG40" s="51"/>
      <c r="CCH40" s="51"/>
      <c r="CCI40" s="51"/>
      <c r="CCJ40" s="51"/>
      <c r="CCK40" s="51"/>
      <c r="CCL40" s="51"/>
      <c r="CCM40" s="51"/>
      <c r="CCN40" s="51"/>
      <c r="CCO40" s="51"/>
      <c r="CCP40" s="51"/>
      <c r="CCQ40" s="51"/>
      <c r="CCR40" s="51"/>
      <c r="CCS40" s="51"/>
      <c r="CCT40" s="51"/>
      <c r="CCU40" s="51"/>
      <c r="CCV40" s="51"/>
      <c r="CCW40" s="51"/>
      <c r="CCX40" s="51"/>
      <c r="CCY40" s="51"/>
      <c r="CCZ40" s="51"/>
      <c r="CDA40" s="51"/>
      <c r="CDB40" s="51"/>
      <c r="CDC40" s="51"/>
      <c r="CDD40" s="51"/>
      <c r="CDE40" s="51"/>
      <c r="CDF40" s="51"/>
      <c r="CDG40" s="51"/>
      <c r="CDH40" s="51"/>
      <c r="CDI40" s="51"/>
      <c r="CDJ40" s="51"/>
      <c r="CDK40" s="51"/>
      <c r="CDL40" s="51"/>
      <c r="CDM40" s="51"/>
      <c r="CDN40" s="51"/>
      <c r="CDO40" s="51"/>
      <c r="CDP40" s="51"/>
      <c r="CDQ40" s="51"/>
      <c r="CDR40" s="51"/>
      <c r="CDS40" s="51"/>
      <c r="CDT40" s="51"/>
      <c r="CDU40" s="51"/>
      <c r="CDV40" s="51"/>
      <c r="CDW40" s="51"/>
      <c r="CDX40" s="51"/>
      <c r="CDY40" s="51"/>
      <c r="CDZ40" s="51"/>
      <c r="CEA40" s="51"/>
      <c r="CEB40" s="51"/>
      <c r="CEC40" s="51"/>
      <c r="CED40" s="51"/>
      <c r="CEE40" s="51"/>
      <c r="CEF40" s="51"/>
      <c r="CEG40" s="51"/>
      <c r="CEH40" s="51"/>
      <c r="CEI40" s="51"/>
      <c r="CEJ40" s="51"/>
      <c r="CEK40" s="51"/>
      <c r="CEL40" s="51"/>
      <c r="CEM40" s="51"/>
      <c r="CEN40" s="51"/>
      <c r="CEO40" s="51"/>
      <c r="CEP40" s="51"/>
      <c r="CEQ40" s="51"/>
      <c r="CER40" s="51"/>
      <c r="CES40" s="51"/>
      <c r="CET40" s="51"/>
      <c r="CEU40" s="51"/>
      <c r="CEV40" s="51"/>
      <c r="CEW40" s="51"/>
      <c r="CEX40" s="51"/>
      <c r="CEY40" s="51"/>
      <c r="CEZ40" s="51"/>
      <c r="CFA40" s="51"/>
      <c r="CFB40" s="51"/>
      <c r="CFC40" s="51"/>
      <c r="CFD40" s="51"/>
      <c r="CFE40" s="51"/>
      <c r="CFF40" s="51"/>
      <c r="CFG40" s="51"/>
      <c r="CFH40" s="51"/>
      <c r="CFI40" s="51"/>
      <c r="CFJ40" s="51"/>
      <c r="CFK40" s="51"/>
      <c r="CFL40" s="51"/>
      <c r="CFM40" s="51"/>
      <c r="CFN40" s="51"/>
      <c r="CFO40" s="51"/>
      <c r="CFP40" s="51"/>
      <c r="CFQ40" s="51"/>
      <c r="CFR40" s="51"/>
      <c r="CFS40" s="51"/>
      <c r="CFT40" s="51"/>
      <c r="CFU40" s="51"/>
      <c r="CFV40" s="51"/>
      <c r="CFW40" s="51"/>
      <c r="CFX40" s="51"/>
      <c r="CFY40" s="51"/>
      <c r="CFZ40" s="51"/>
      <c r="CGA40" s="51"/>
      <c r="CGB40" s="51"/>
      <c r="CGC40" s="51"/>
      <c r="CGD40" s="51"/>
      <c r="CGE40" s="51"/>
      <c r="CGF40" s="51"/>
      <c r="CGG40" s="51"/>
      <c r="CGH40" s="51"/>
      <c r="CGI40" s="51"/>
      <c r="CGJ40" s="51"/>
      <c r="CGK40" s="51"/>
      <c r="CGL40" s="51"/>
      <c r="CGM40" s="51"/>
      <c r="CGN40" s="51"/>
      <c r="CGO40" s="51"/>
      <c r="CGP40" s="51"/>
      <c r="CGQ40" s="51"/>
      <c r="CGR40" s="51"/>
      <c r="CGS40" s="51"/>
      <c r="CGT40" s="51"/>
      <c r="CGU40" s="51"/>
      <c r="CGV40" s="51"/>
      <c r="CGW40" s="51"/>
      <c r="CGX40" s="51"/>
      <c r="CGY40" s="51"/>
      <c r="CGZ40" s="51"/>
      <c r="CHA40" s="51"/>
      <c r="CHB40" s="51"/>
      <c r="CHC40" s="51"/>
      <c r="CHD40" s="51"/>
      <c r="CHE40" s="51"/>
      <c r="CHF40" s="51"/>
      <c r="CHG40" s="51"/>
      <c r="CHH40" s="51"/>
      <c r="CHI40" s="51"/>
      <c r="CHJ40" s="51"/>
      <c r="CHK40" s="51"/>
      <c r="CHL40" s="51"/>
      <c r="CHM40" s="51"/>
      <c r="CHN40" s="51"/>
      <c r="CHO40" s="51"/>
      <c r="CHP40" s="51"/>
      <c r="CHQ40" s="51"/>
      <c r="CHR40" s="51"/>
      <c r="CHS40" s="51"/>
      <c r="CHT40" s="51"/>
      <c r="CHU40" s="51"/>
      <c r="CHV40" s="51"/>
      <c r="CHW40" s="51"/>
      <c r="CHX40" s="51"/>
      <c r="CHY40" s="51"/>
      <c r="CHZ40" s="51"/>
      <c r="CIA40" s="51"/>
      <c r="CIB40" s="51"/>
      <c r="CIC40" s="51"/>
      <c r="CID40" s="51"/>
      <c r="CIE40" s="51"/>
      <c r="CIF40" s="51"/>
      <c r="CIG40" s="51"/>
      <c r="CIH40" s="51"/>
      <c r="CII40" s="51"/>
      <c r="CIJ40" s="51"/>
      <c r="CIK40" s="51"/>
      <c r="CIL40" s="51"/>
      <c r="CIM40" s="51"/>
      <c r="CIN40" s="51"/>
      <c r="CIO40" s="51"/>
      <c r="CIP40" s="51"/>
      <c r="CIQ40" s="51"/>
      <c r="CIR40" s="51"/>
      <c r="CIS40" s="51"/>
      <c r="CIT40" s="51"/>
      <c r="CIU40" s="51"/>
      <c r="CIV40" s="51"/>
      <c r="CIW40" s="51"/>
      <c r="CIX40" s="51"/>
      <c r="CIY40" s="51"/>
      <c r="CIZ40" s="51"/>
      <c r="CJA40" s="51"/>
      <c r="CJB40" s="51"/>
      <c r="CJC40" s="51"/>
      <c r="CJD40" s="51"/>
      <c r="CJE40" s="51"/>
      <c r="CJF40" s="51"/>
      <c r="CJG40" s="51"/>
      <c r="CJH40" s="51"/>
      <c r="CJI40" s="51"/>
      <c r="CJJ40" s="51"/>
      <c r="CJK40" s="51"/>
      <c r="CJL40" s="51"/>
      <c r="CJM40" s="51"/>
      <c r="CJN40" s="51"/>
      <c r="CJO40" s="51"/>
      <c r="CJP40" s="51"/>
      <c r="CJQ40" s="51"/>
      <c r="CJR40" s="51"/>
      <c r="CJS40" s="51"/>
      <c r="CJT40" s="51"/>
      <c r="CJU40" s="51"/>
      <c r="CJV40" s="51"/>
      <c r="CJW40" s="51"/>
      <c r="CJX40" s="51"/>
      <c r="CJY40" s="51"/>
      <c r="CJZ40" s="51"/>
      <c r="CKA40" s="51"/>
      <c r="CKB40" s="51"/>
      <c r="CKC40" s="51"/>
      <c r="CKD40" s="51"/>
      <c r="CKE40" s="51"/>
      <c r="CKF40" s="51"/>
      <c r="CKG40" s="51"/>
      <c r="CKH40" s="51"/>
      <c r="CKI40" s="51"/>
      <c r="CKJ40" s="51"/>
      <c r="CKK40" s="51"/>
      <c r="CKL40" s="51"/>
      <c r="CKM40" s="51"/>
      <c r="CKN40" s="51"/>
      <c r="CKO40" s="51"/>
      <c r="CKP40" s="51"/>
      <c r="CKQ40" s="51"/>
      <c r="CKR40" s="51"/>
      <c r="CKS40" s="51"/>
      <c r="CKT40" s="51"/>
      <c r="CKU40" s="51"/>
      <c r="CKV40" s="51"/>
      <c r="CKW40" s="51"/>
      <c r="CKX40" s="51"/>
      <c r="CKY40" s="51"/>
      <c r="CKZ40" s="51"/>
      <c r="CLA40" s="51"/>
      <c r="CLB40" s="51"/>
      <c r="CLC40" s="51"/>
      <c r="CLD40" s="51"/>
      <c r="CLE40" s="51"/>
      <c r="CLF40" s="51"/>
      <c r="CLG40" s="51"/>
      <c r="CLH40" s="51"/>
      <c r="CLI40" s="51"/>
      <c r="CLJ40" s="51"/>
      <c r="CLK40" s="51"/>
      <c r="CLL40" s="51"/>
      <c r="CLM40" s="51"/>
      <c r="CLN40" s="51"/>
      <c r="CLO40" s="51"/>
      <c r="CLP40" s="51"/>
      <c r="CLQ40" s="51"/>
      <c r="CLR40" s="51"/>
      <c r="CLS40" s="51"/>
      <c r="CLT40" s="51"/>
      <c r="CLU40" s="51"/>
      <c r="CLV40" s="51"/>
      <c r="CLW40" s="51"/>
      <c r="CLX40" s="51"/>
      <c r="CLY40" s="51"/>
      <c r="CLZ40" s="51"/>
      <c r="CMA40" s="51"/>
      <c r="CMB40" s="51"/>
      <c r="CMC40" s="51"/>
      <c r="CMD40" s="51"/>
      <c r="CME40" s="51"/>
      <c r="CMF40" s="51"/>
      <c r="CMG40" s="51"/>
      <c r="CMH40" s="51"/>
      <c r="CMI40" s="51"/>
      <c r="CMJ40" s="51"/>
      <c r="CMK40" s="51"/>
      <c r="CML40" s="51"/>
      <c r="CMM40" s="51"/>
      <c r="CMN40" s="51"/>
      <c r="CMO40" s="51"/>
      <c r="CMP40" s="51"/>
      <c r="CMQ40" s="51"/>
      <c r="CMR40" s="51"/>
      <c r="CMS40" s="51"/>
      <c r="CMT40" s="51"/>
      <c r="CMU40" s="51"/>
      <c r="CMV40" s="51"/>
      <c r="CMW40" s="51"/>
      <c r="CMX40" s="51"/>
      <c r="CMY40" s="51"/>
      <c r="CMZ40" s="51"/>
      <c r="CNA40" s="51"/>
      <c r="CNB40" s="51"/>
      <c r="CNC40" s="51"/>
      <c r="CND40" s="51"/>
      <c r="CNE40" s="51"/>
      <c r="CNF40" s="51"/>
      <c r="CNG40" s="51"/>
      <c r="CNH40" s="51"/>
      <c r="CNI40" s="51"/>
      <c r="CNJ40" s="51"/>
      <c r="CNK40" s="51"/>
      <c r="CNL40" s="51"/>
      <c r="CNM40" s="51"/>
      <c r="CNN40" s="51"/>
      <c r="CNO40" s="51"/>
      <c r="CNP40" s="51"/>
      <c r="CNQ40" s="51"/>
      <c r="CNR40" s="51"/>
      <c r="CNS40" s="51"/>
      <c r="CNT40" s="51"/>
      <c r="CNU40" s="51"/>
      <c r="CNV40" s="51"/>
      <c r="CNW40" s="51"/>
      <c r="CNX40" s="51"/>
      <c r="CNY40" s="51"/>
      <c r="CNZ40" s="51"/>
      <c r="COA40" s="51"/>
      <c r="COB40" s="51"/>
      <c r="COC40" s="51"/>
      <c r="COD40" s="51"/>
      <c r="COE40" s="51"/>
      <c r="COF40" s="51"/>
      <c r="COG40" s="51"/>
      <c r="COH40" s="51"/>
      <c r="COI40" s="51"/>
      <c r="COJ40" s="51"/>
      <c r="COK40" s="51"/>
      <c r="COL40" s="51"/>
      <c r="COM40" s="51"/>
      <c r="CON40" s="51"/>
      <c r="COO40" s="51"/>
      <c r="COP40" s="51"/>
      <c r="COQ40" s="51"/>
      <c r="COR40" s="51"/>
      <c r="COS40" s="51"/>
      <c r="COT40" s="51"/>
      <c r="COU40" s="51"/>
      <c r="COV40" s="51"/>
      <c r="COW40" s="51"/>
      <c r="COX40" s="51"/>
      <c r="COY40" s="51"/>
      <c r="COZ40" s="51"/>
      <c r="CPA40" s="51"/>
      <c r="CPB40" s="51"/>
      <c r="CPC40" s="51"/>
      <c r="CPD40" s="51"/>
      <c r="CPE40" s="51"/>
      <c r="CPF40" s="51"/>
      <c r="CPG40" s="51"/>
      <c r="CPH40" s="51"/>
      <c r="CPI40" s="51"/>
      <c r="CPJ40" s="51"/>
      <c r="CPK40" s="51"/>
      <c r="CPL40" s="51"/>
      <c r="CPM40" s="51"/>
      <c r="CPN40" s="51"/>
      <c r="CPO40" s="51"/>
      <c r="CPP40" s="51"/>
      <c r="CPQ40" s="51"/>
      <c r="CPR40" s="51"/>
      <c r="CPS40" s="51"/>
      <c r="CPT40" s="51"/>
      <c r="CPU40" s="51"/>
      <c r="CPV40" s="51"/>
      <c r="CPW40" s="51"/>
      <c r="CPX40" s="51"/>
      <c r="CPY40" s="51"/>
      <c r="CPZ40" s="51"/>
      <c r="CQA40" s="51"/>
      <c r="CQB40" s="51"/>
      <c r="CQC40" s="51"/>
      <c r="CQD40" s="51"/>
      <c r="CQE40" s="51"/>
      <c r="CQF40" s="51"/>
      <c r="CQG40" s="51"/>
      <c r="CQH40" s="51"/>
      <c r="CQI40" s="51"/>
      <c r="CQJ40" s="51"/>
      <c r="CQK40" s="51"/>
      <c r="CQL40" s="51"/>
      <c r="CQM40" s="51"/>
      <c r="CQN40" s="51"/>
      <c r="CQO40" s="51"/>
      <c r="CQP40" s="51"/>
      <c r="CQQ40" s="51"/>
      <c r="CQR40" s="51"/>
      <c r="CQS40" s="51"/>
      <c r="CQT40" s="51"/>
      <c r="CQU40" s="51"/>
      <c r="CQV40" s="51"/>
      <c r="CQW40" s="51"/>
      <c r="CQX40" s="51"/>
      <c r="CQY40" s="51"/>
      <c r="CQZ40" s="51"/>
      <c r="CRA40" s="51"/>
      <c r="CRB40" s="51"/>
      <c r="CRC40" s="51"/>
      <c r="CRD40" s="51"/>
      <c r="CRE40" s="51"/>
      <c r="CRF40" s="51"/>
      <c r="CRG40" s="51"/>
      <c r="CRH40" s="51"/>
      <c r="CRI40" s="51"/>
      <c r="CRJ40" s="51"/>
      <c r="CRK40" s="51"/>
      <c r="CRL40" s="51"/>
      <c r="CRM40" s="51"/>
      <c r="CRN40" s="51"/>
      <c r="CRO40" s="51"/>
      <c r="CRP40" s="51"/>
      <c r="CRQ40" s="51"/>
      <c r="CRR40" s="51"/>
      <c r="CRS40" s="51"/>
      <c r="CRT40" s="51"/>
      <c r="CRU40" s="51"/>
      <c r="CRV40" s="51"/>
      <c r="CRW40" s="51"/>
      <c r="CRX40" s="51"/>
      <c r="CRY40" s="51"/>
      <c r="CRZ40" s="51"/>
      <c r="CSA40" s="51"/>
      <c r="CSB40" s="51"/>
      <c r="CSC40" s="51"/>
      <c r="CSD40" s="51"/>
      <c r="CSE40" s="51"/>
      <c r="CSF40" s="51"/>
      <c r="CSG40" s="51"/>
      <c r="CSH40" s="51"/>
      <c r="CSI40" s="51"/>
      <c r="CSJ40" s="51"/>
      <c r="CSK40" s="51"/>
      <c r="CSL40" s="51"/>
      <c r="CSM40" s="51"/>
      <c r="CSN40" s="51"/>
      <c r="CSO40" s="51"/>
      <c r="CSP40" s="51"/>
      <c r="CSQ40" s="51"/>
      <c r="CSR40" s="51"/>
      <c r="CSS40" s="51"/>
      <c r="CST40" s="51"/>
      <c r="CSU40" s="51"/>
      <c r="CSV40" s="51"/>
      <c r="CSW40" s="51"/>
      <c r="CSX40" s="51"/>
      <c r="CSY40" s="51"/>
      <c r="CSZ40" s="51"/>
      <c r="CTA40" s="51"/>
      <c r="CTB40" s="51"/>
      <c r="CTC40" s="51"/>
      <c r="CTD40" s="51"/>
      <c r="CTE40" s="51"/>
      <c r="CTF40" s="51"/>
      <c r="CTG40" s="51"/>
      <c r="CTH40" s="51"/>
      <c r="CTI40" s="51"/>
      <c r="CTJ40" s="51"/>
      <c r="CTK40" s="51"/>
      <c r="CTL40" s="51"/>
      <c r="CTM40" s="51"/>
      <c r="CTN40" s="51"/>
      <c r="CTO40" s="51"/>
      <c r="CTP40" s="51"/>
      <c r="CTQ40" s="51"/>
      <c r="CTR40" s="51"/>
      <c r="CTS40" s="51"/>
      <c r="CTT40" s="51"/>
      <c r="CTU40" s="51"/>
      <c r="CTV40" s="51"/>
      <c r="CTW40" s="51"/>
      <c r="CTX40" s="51"/>
      <c r="CTY40" s="51"/>
      <c r="CTZ40" s="51"/>
      <c r="CUA40" s="51"/>
      <c r="CUB40" s="51"/>
      <c r="CUC40" s="51"/>
      <c r="CUD40" s="51"/>
      <c r="CUE40" s="51"/>
      <c r="CUF40" s="51"/>
      <c r="CUG40" s="51"/>
      <c r="CUH40" s="51"/>
      <c r="CUI40" s="51"/>
      <c r="CUJ40" s="51"/>
      <c r="CUK40" s="51"/>
      <c r="CUL40" s="51"/>
      <c r="CUM40" s="51"/>
      <c r="CUN40" s="51"/>
      <c r="CUO40" s="51"/>
      <c r="CUP40" s="51"/>
      <c r="CUQ40" s="51"/>
      <c r="CUR40" s="51"/>
      <c r="CUS40" s="51"/>
      <c r="CUT40" s="51"/>
      <c r="CUU40" s="51"/>
      <c r="CUV40" s="51"/>
      <c r="CUW40" s="51"/>
      <c r="CUX40" s="51"/>
      <c r="CUY40" s="51"/>
      <c r="CUZ40" s="51"/>
      <c r="CVA40" s="51"/>
      <c r="CVB40" s="51"/>
      <c r="CVC40" s="51"/>
      <c r="CVD40" s="51"/>
      <c r="CVE40" s="51"/>
      <c r="CVF40" s="51"/>
      <c r="CVG40" s="51"/>
      <c r="CVH40" s="51"/>
      <c r="CVI40" s="51"/>
      <c r="CVJ40" s="51"/>
      <c r="CVK40" s="51"/>
      <c r="CVL40" s="51"/>
      <c r="CVM40" s="51"/>
      <c r="CVN40" s="51"/>
      <c r="CVO40" s="51"/>
      <c r="CVP40" s="51"/>
      <c r="CVQ40" s="51"/>
      <c r="CVR40" s="51"/>
      <c r="CVS40" s="51"/>
      <c r="CVT40" s="51"/>
      <c r="CVU40" s="51"/>
      <c r="CVV40" s="51"/>
      <c r="CVW40" s="51"/>
      <c r="CVX40" s="51"/>
      <c r="CVY40" s="51"/>
      <c r="CVZ40" s="51"/>
      <c r="CWA40" s="51"/>
      <c r="CWB40" s="51"/>
      <c r="CWC40" s="51"/>
      <c r="CWD40" s="51"/>
      <c r="CWE40" s="51"/>
      <c r="CWF40" s="51"/>
      <c r="CWG40" s="51"/>
      <c r="CWH40" s="51"/>
      <c r="CWI40" s="51"/>
      <c r="CWJ40" s="51"/>
      <c r="CWK40" s="51"/>
      <c r="CWL40" s="51"/>
      <c r="CWM40" s="51"/>
      <c r="CWN40" s="51"/>
      <c r="CWO40" s="51"/>
      <c r="CWP40" s="51"/>
      <c r="CWQ40" s="51"/>
      <c r="CWR40" s="51"/>
      <c r="CWS40" s="51"/>
      <c r="CWT40" s="51"/>
      <c r="CWU40" s="51"/>
      <c r="CWV40" s="51"/>
      <c r="CWW40" s="51"/>
      <c r="CWX40" s="51"/>
      <c r="CWY40" s="51"/>
      <c r="CWZ40" s="51"/>
      <c r="CXA40" s="51"/>
      <c r="CXB40" s="51"/>
      <c r="CXC40" s="51"/>
      <c r="CXD40" s="51"/>
      <c r="CXE40" s="51"/>
      <c r="CXF40" s="51"/>
      <c r="CXG40" s="51"/>
      <c r="CXH40" s="51"/>
      <c r="CXI40" s="51"/>
      <c r="CXJ40" s="51"/>
      <c r="CXK40" s="51"/>
      <c r="CXL40" s="51"/>
      <c r="CXM40" s="51"/>
      <c r="CXN40" s="51"/>
      <c r="CXO40" s="51"/>
      <c r="CXP40" s="51"/>
      <c r="CXQ40" s="51"/>
      <c r="CXR40" s="51"/>
      <c r="CXS40" s="51"/>
      <c r="CXT40" s="51"/>
      <c r="CXU40" s="51"/>
      <c r="CXV40" s="51"/>
      <c r="CXW40" s="51"/>
      <c r="CXX40" s="51"/>
      <c r="CXY40" s="51"/>
      <c r="CXZ40" s="51"/>
      <c r="CYA40" s="51"/>
      <c r="CYB40" s="51"/>
      <c r="CYC40" s="51"/>
      <c r="CYD40" s="51"/>
      <c r="CYE40" s="51"/>
      <c r="CYF40" s="51"/>
      <c r="CYG40" s="51"/>
      <c r="CYH40" s="51"/>
      <c r="CYI40" s="51"/>
      <c r="CYJ40" s="51"/>
      <c r="CYK40" s="51"/>
      <c r="CYL40" s="51"/>
      <c r="CYM40" s="51"/>
      <c r="CYN40" s="51"/>
      <c r="CYO40" s="51"/>
      <c r="CYP40" s="51"/>
      <c r="CYQ40" s="51"/>
      <c r="CYR40" s="51"/>
      <c r="CYS40" s="51"/>
      <c r="CYT40" s="51"/>
      <c r="CYU40" s="51"/>
      <c r="CYV40" s="51"/>
      <c r="CYW40" s="51"/>
      <c r="CYX40" s="51"/>
      <c r="CYY40" s="51"/>
      <c r="CYZ40" s="51"/>
      <c r="CZA40" s="51"/>
      <c r="CZB40" s="51"/>
      <c r="CZC40" s="51"/>
      <c r="CZD40" s="51"/>
      <c r="CZE40" s="51"/>
      <c r="CZF40" s="51"/>
      <c r="CZG40" s="51"/>
      <c r="CZH40" s="51"/>
      <c r="CZI40" s="51"/>
      <c r="CZJ40" s="51"/>
      <c r="CZK40" s="51"/>
      <c r="CZL40" s="51"/>
      <c r="CZM40" s="51"/>
      <c r="CZN40" s="51"/>
      <c r="CZO40" s="51"/>
      <c r="CZP40" s="51"/>
      <c r="CZQ40" s="51"/>
      <c r="CZR40" s="51"/>
      <c r="CZS40" s="51"/>
      <c r="CZT40" s="51"/>
      <c r="CZU40" s="51"/>
      <c r="CZV40" s="51"/>
      <c r="CZW40" s="51"/>
      <c r="CZX40" s="51"/>
      <c r="CZY40" s="51"/>
      <c r="CZZ40" s="51"/>
      <c r="DAA40" s="51"/>
      <c r="DAB40" s="51"/>
      <c r="DAC40" s="51"/>
      <c r="DAD40" s="51"/>
      <c r="DAE40" s="51"/>
      <c r="DAF40" s="51"/>
      <c r="DAG40" s="51"/>
      <c r="DAH40" s="51"/>
      <c r="DAI40" s="51"/>
      <c r="DAJ40" s="51"/>
      <c r="DAK40" s="51"/>
      <c r="DAL40" s="51"/>
      <c r="DAM40" s="51"/>
      <c r="DAN40" s="51"/>
      <c r="DAO40" s="51"/>
      <c r="DAP40" s="51"/>
      <c r="DAQ40" s="51"/>
      <c r="DAR40" s="51"/>
      <c r="DAS40" s="51"/>
      <c r="DAT40" s="51"/>
      <c r="DAU40" s="51"/>
      <c r="DAV40" s="51"/>
      <c r="DAW40" s="51"/>
      <c r="DAX40" s="51"/>
      <c r="DAY40" s="51"/>
      <c r="DAZ40" s="51"/>
      <c r="DBA40" s="51"/>
      <c r="DBB40" s="51"/>
      <c r="DBC40" s="51"/>
      <c r="DBD40" s="51"/>
      <c r="DBE40" s="51"/>
      <c r="DBF40" s="51"/>
      <c r="DBG40" s="51"/>
      <c r="DBH40" s="51"/>
      <c r="DBI40" s="51"/>
      <c r="DBJ40" s="51"/>
      <c r="DBK40" s="51"/>
      <c r="DBL40" s="51"/>
      <c r="DBM40" s="51"/>
      <c r="DBN40" s="51"/>
      <c r="DBO40" s="51"/>
      <c r="DBP40" s="51"/>
      <c r="DBQ40" s="51"/>
      <c r="DBR40" s="51"/>
      <c r="DBS40" s="51"/>
      <c r="DBT40" s="51"/>
      <c r="DBU40" s="51"/>
      <c r="DBV40" s="51"/>
      <c r="DBW40" s="51"/>
      <c r="DBX40" s="51"/>
      <c r="DBY40" s="51"/>
      <c r="DBZ40" s="51"/>
      <c r="DCA40" s="51"/>
      <c r="DCB40" s="51"/>
      <c r="DCC40" s="51"/>
      <c r="DCD40" s="51"/>
      <c r="DCE40" s="51"/>
      <c r="DCF40" s="51"/>
      <c r="DCG40" s="51"/>
      <c r="DCH40" s="51"/>
      <c r="DCI40" s="51"/>
      <c r="DCJ40" s="51"/>
      <c r="DCK40" s="51"/>
      <c r="DCL40" s="51"/>
      <c r="DCM40" s="51"/>
      <c r="DCN40" s="51"/>
      <c r="DCO40" s="51"/>
      <c r="DCP40" s="51"/>
      <c r="DCQ40" s="51"/>
      <c r="DCR40" s="51"/>
      <c r="DCS40" s="51"/>
      <c r="DCT40" s="51"/>
      <c r="DCU40" s="51"/>
      <c r="DCV40" s="51"/>
      <c r="DCW40" s="51"/>
      <c r="DCX40" s="51"/>
      <c r="DCY40" s="51"/>
      <c r="DCZ40" s="51"/>
      <c r="DDA40" s="51"/>
      <c r="DDB40" s="51"/>
      <c r="DDC40" s="51"/>
      <c r="DDD40" s="51"/>
      <c r="DDE40" s="51"/>
      <c r="DDF40" s="51"/>
      <c r="DDG40" s="51"/>
      <c r="DDH40" s="51"/>
      <c r="DDI40" s="51"/>
      <c r="DDJ40" s="51"/>
      <c r="DDK40" s="51"/>
      <c r="DDL40" s="51"/>
      <c r="DDM40" s="51"/>
      <c r="DDN40" s="51"/>
      <c r="DDO40" s="51"/>
      <c r="DDP40" s="51"/>
      <c r="DDQ40" s="51"/>
      <c r="DDR40" s="51"/>
      <c r="DDS40" s="51"/>
      <c r="DDT40" s="51"/>
      <c r="DDU40" s="51"/>
      <c r="DDV40" s="51"/>
      <c r="DDW40" s="51"/>
      <c r="DDX40" s="51"/>
      <c r="DDY40" s="51"/>
      <c r="DDZ40" s="51"/>
      <c r="DEA40" s="51"/>
      <c r="DEB40" s="51"/>
      <c r="DEC40" s="51"/>
      <c r="DED40" s="51"/>
      <c r="DEE40" s="51"/>
      <c r="DEF40" s="51"/>
      <c r="DEG40" s="51"/>
      <c r="DEH40" s="51"/>
      <c r="DEI40" s="51"/>
      <c r="DEJ40" s="51"/>
      <c r="DEK40" s="51"/>
      <c r="DEL40" s="51"/>
      <c r="DEM40" s="51"/>
      <c r="DEN40" s="51"/>
      <c r="DEO40" s="51"/>
      <c r="DEP40" s="51"/>
      <c r="DEQ40" s="51"/>
      <c r="DER40" s="51"/>
      <c r="DES40" s="51"/>
      <c r="DET40" s="51"/>
      <c r="DEU40" s="51"/>
      <c r="DEV40" s="51"/>
      <c r="DEW40" s="51"/>
      <c r="DEX40" s="51"/>
      <c r="DEY40" s="51"/>
      <c r="DEZ40" s="51"/>
      <c r="DFA40" s="51"/>
      <c r="DFB40" s="51"/>
      <c r="DFC40" s="51"/>
      <c r="DFD40" s="51"/>
      <c r="DFE40" s="51"/>
      <c r="DFF40" s="51"/>
      <c r="DFG40" s="51"/>
      <c r="DFH40" s="51"/>
      <c r="DFI40" s="51"/>
      <c r="DFJ40" s="51"/>
      <c r="DFK40" s="51"/>
      <c r="DFL40" s="51"/>
      <c r="DFM40" s="51"/>
      <c r="DFN40" s="51"/>
      <c r="DFO40" s="51"/>
      <c r="DFP40" s="51"/>
      <c r="DFQ40" s="51"/>
      <c r="DFR40" s="51"/>
      <c r="DFS40" s="51"/>
      <c r="DFT40" s="51"/>
      <c r="DFU40" s="51"/>
      <c r="DFV40" s="51"/>
      <c r="DFW40" s="51"/>
      <c r="DFX40" s="51"/>
      <c r="DFY40" s="51"/>
      <c r="DFZ40" s="51"/>
      <c r="DGA40" s="51"/>
      <c r="DGB40" s="51"/>
      <c r="DGC40" s="51"/>
      <c r="DGD40" s="51"/>
      <c r="DGE40" s="51"/>
      <c r="DGF40" s="51"/>
      <c r="DGG40" s="51"/>
      <c r="DGH40" s="51"/>
      <c r="DGI40" s="51"/>
      <c r="DGJ40" s="51"/>
      <c r="DGK40" s="51"/>
      <c r="DGL40" s="51"/>
      <c r="DGM40" s="51"/>
      <c r="DGN40" s="51"/>
      <c r="DGO40" s="51"/>
      <c r="DGP40" s="51"/>
      <c r="DGQ40" s="51"/>
      <c r="DGR40" s="51"/>
      <c r="DGS40" s="51"/>
      <c r="DGT40" s="51"/>
      <c r="DGU40" s="51"/>
      <c r="DGV40" s="51"/>
      <c r="DGW40" s="51"/>
      <c r="DGX40" s="51"/>
      <c r="DGY40" s="51"/>
      <c r="DGZ40" s="51"/>
      <c r="DHA40" s="51"/>
      <c r="DHB40" s="51"/>
      <c r="DHC40" s="51"/>
      <c r="DHD40" s="51"/>
      <c r="DHE40" s="51"/>
      <c r="DHF40" s="51"/>
      <c r="DHG40" s="51"/>
      <c r="DHH40" s="51"/>
      <c r="DHI40" s="51"/>
      <c r="DHJ40" s="51"/>
      <c r="DHK40" s="51"/>
      <c r="DHL40" s="51"/>
      <c r="DHM40" s="51"/>
      <c r="DHN40" s="51"/>
      <c r="DHO40" s="51"/>
      <c r="DHP40" s="51"/>
      <c r="DHQ40" s="51"/>
      <c r="DHR40" s="51"/>
      <c r="DHS40" s="51"/>
      <c r="DHT40" s="51"/>
      <c r="DHU40" s="51"/>
      <c r="DHV40" s="51"/>
      <c r="DHW40" s="51"/>
      <c r="DHX40" s="51"/>
      <c r="DHY40" s="51"/>
      <c r="DHZ40" s="51"/>
      <c r="DIA40" s="51"/>
      <c r="DIB40" s="51"/>
      <c r="DIC40" s="51"/>
      <c r="DID40" s="51"/>
      <c r="DIE40" s="51"/>
      <c r="DIF40" s="51"/>
      <c r="DIG40" s="51"/>
      <c r="DIH40" s="51"/>
      <c r="DII40" s="51"/>
      <c r="DIJ40" s="51"/>
      <c r="DIK40" s="51"/>
      <c r="DIL40" s="51"/>
      <c r="DIM40" s="51"/>
      <c r="DIN40" s="51"/>
      <c r="DIO40" s="51"/>
      <c r="DIP40" s="51"/>
      <c r="DIQ40" s="51"/>
      <c r="DIR40" s="51"/>
      <c r="DIS40" s="51"/>
      <c r="DIT40" s="51"/>
      <c r="DIU40" s="51"/>
      <c r="DIV40" s="51"/>
      <c r="DIW40" s="51"/>
      <c r="DIX40" s="51"/>
      <c r="DIY40" s="51"/>
      <c r="DIZ40" s="51"/>
      <c r="DJA40" s="51"/>
      <c r="DJB40" s="51"/>
      <c r="DJC40" s="51"/>
      <c r="DJD40" s="51"/>
      <c r="DJE40" s="51"/>
      <c r="DJF40" s="51"/>
      <c r="DJG40" s="51"/>
      <c r="DJH40" s="51"/>
      <c r="DJI40" s="51"/>
      <c r="DJJ40" s="51"/>
      <c r="DJK40" s="51"/>
      <c r="DJL40" s="51"/>
      <c r="DJM40" s="51"/>
      <c r="DJN40" s="51"/>
      <c r="DJO40" s="51"/>
      <c r="DJP40" s="51"/>
      <c r="DJQ40" s="51"/>
      <c r="DJR40" s="51"/>
      <c r="DJS40" s="51"/>
      <c r="DJT40" s="51"/>
      <c r="DJU40" s="51"/>
      <c r="DJV40" s="51"/>
      <c r="DJW40" s="51"/>
      <c r="DJX40" s="51"/>
      <c r="DJY40" s="51"/>
      <c r="DJZ40" s="51"/>
      <c r="DKA40" s="51"/>
      <c r="DKB40" s="51"/>
      <c r="DKC40" s="51"/>
      <c r="DKD40" s="51"/>
      <c r="DKE40" s="51"/>
      <c r="DKF40" s="51"/>
      <c r="DKG40" s="51"/>
      <c r="DKH40" s="51"/>
      <c r="DKI40" s="51"/>
      <c r="DKJ40" s="51"/>
      <c r="DKK40" s="51"/>
      <c r="DKL40" s="51"/>
      <c r="DKM40" s="51"/>
      <c r="DKN40" s="51"/>
      <c r="DKO40" s="51"/>
      <c r="DKP40" s="51"/>
      <c r="DKQ40" s="51"/>
      <c r="DKR40" s="51"/>
      <c r="DKS40" s="51"/>
      <c r="DKT40" s="51"/>
      <c r="DKU40" s="51"/>
      <c r="DKV40" s="51"/>
      <c r="DKW40" s="51"/>
      <c r="DKX40" s="51"/>
      <c r="DKY40" s="51"/>
      <c r="DKZ40" s="51"/>
      <c r="DLA40" s="51"/>
      <c r="DLB40" s="51"/>
      <c r="DLC40" s="51"/>
      <c r="DLD40" s="51"/>
      <c r="DLE40" s="51"/>
      <c r="DLF40" s="51"/>
      <c r="DLG40" s="51"/>
      <c r="DLH40" s="51"/>
      <c r="DLI40" s="51"/>
      <c r="DLJ40" s="51"/>
      <c r="DLK40" s="51"/>
      <c r="DLL40" s="51"/>
      <c r="DLM40" s="51"/>
      <c r="DLN40" s="51"/>
      <c r="DLO40" s="51"/>
      <c r="DLP40" s="51"/>
      <c r="DLQ40" s="51"/>
      <c r="DLR40" s="51"/>
      <c r="DLS40" s="51"/>
      <c r="DLT40" s="51"/>
      <c r="DLU40" s="51"/>
      <c r="DLV40" s="51"/>
      <c r="DLW40" s="51"/>
      <c r="DLX40" s="51"/>
      <c r="DLY40" s="51"/>
      <c r="DLZ40" s="51"/>
      <c r="DMA40" s="51"/>
      <c r="DMB40" s="51"/>
      <c r="DMC40" s="51"/>
      <c r="DMD40" s="51"/>
      <c r="DME40" s="51"/>
      <c r="DMF40" s="51"/>
      <c r="DMG40" s="51"/>
      <c r="DMH40" s="51"/>
      <c r="DMI40" s="51"/>
      <c r="DMJ40" s="51"/>
      <c r="DMK40" s="51"/>
      <c r="DML40" s="51"/>
      <c r="DMM40" s="51"/>
      <c r="DMN40" s="51"/>
      <c r="DMO40" s="51"/>
      <c r="DMP40" s="51"/>
      <c r="DMQ40" s="51"/>
      <c r="DMR40" s="51"/>
      <c r="DMS40" s="51"/>
      <c r="DMT40" s="51"/>
      <c r="DMU40" s="51"/>
      <c r="DMV40" s="51"/>
      <c r="DMW40" s="51"/>
      <c r="DMX40" s="51"/>
      <c r="DMY40" s="51"/>
      <c r="DMZ40" s="51"/>
      <c r="DNA40" s="51"/>
      <c r="DNB40" s="51"/>
      <c r="DNC40" s="51"/>
      <c r="DND40" s="51"/>
      <c r="DNE40" s="51"/>
      <c r="DNF40" s="51"/>
      <c r="DNG40" s="51"/>
      <c r="DNH40" s="51"/>
      <c r="DNI40" s="51"/>
      <c r="DNJ40" s="51"/>
      <c r="DNK40" s="51"/>
      <c r="DNL40" s="51"/>
      <c r="DNM40" s="51"/>
      <c r="DNN40" s="51"/>
      <c r="DNO40" s="51"/>
      <c r="DNP40" s="51"/>
      <c r="DNQ40" s="51"/>
      <c r="DNR40" s="51"/>
      <c r="DNS40" s="51"/>
      <c r="DNT40" s="51"/>
      <c r="DNU40" s="51"/>
      <c r="DNV40" s="51"/>
      <c r="DNW40" s="51"/>
      <c r="DNX40" s="51"/>
      <c r="DNY40" s="51"/>
      <c r="DNZ40" s="51"/>
      <c r="DOA40" s="51"/>
      <c r="DOB40" s="51"/>
      <c r="DOC40" s="51"/>
      <c r="DOD40" s="51"/>
      <c r="DOE40" s="51"/>
      <c r="DOF40" s="51"/>
      <c r="DOG40" s="51"/>
      <c r="DOH40" s="51"/>
      <c r="DOI40" s="51"/>
      <c r="DOJ40" s="51"/>
      <c r="DOK40" s="51"/>
      <c r="DOL40" s="51"/>
      <c r="DOM40" s="51"/>
      <c r="DON40" s="51"/>
      <c r="DOO40" s="51"/>
      <c r="DOP40" s="51"/>
      <c r="DOQ40" s="51"/>
      <c r="DOR40" s="51"/>
      <c r="DOS40" s="51"/>
      <c r="DOT40" s="51"/>
      <c r="DOU40" s="51"/>
      <c r="DOV40" s="51"/>
      <c r="DOW40" s="51"/>
      <c r="DOX40" s="51"/>
      <c r="DOY40" s="51"/>
      <c r="DOZ40" s="51"/>
      <c r="DPA40" s="51"/>
      <c r="DPB40" s="51"/>
      <c r="DPC40" s="51"/>
      <c r="DPD40" s="51"/>
      <c r="DPE40" s="51"/>
      <c r="DPF40" s="51"/>
      <c r="DPG40" s="51"/>
      <c r="DPH40" s="51"/>
      <c r="DPI40" s="51"/>
      <c r="DPJ40" s="51"/>
      <c r="DPK40" s="51"/>
      <c r="DPL40" s="51"/>
      <c r="DPM40" s="51"/>
      <c r="DPN40" s="51"/>
      <c r="DPO40" s="51"/>
      <c r="DPP40" s="51"/>
      <c r="DPQ40" s="51"/>
      <c r="DPR40" s="51"/>
      <c r="DPS40" s="51"/>
      <c r="DPT40" s="51"/>
      <c r="DPU40" s="51"/>
      <c r="DPV40" s="51"/>
      <c r="DPW40" s="51"/>
      <c r="DPX40" s="51"/>
      <c r="DPY40" s="51"/>
      <c r="DPZ40" s="51"/>
      <c r="DQA40" s="51"/>
      <c r="DQB40" s="51"/>
      <c r="DQC40" s="51"/>
      <c r="DQD40" s="51"/>
      <c r="DQE40" s="51"/>
      <c r="DQF40" s="51"/>
      <c r="DQG40" s="51"/>
      <c r="DQH40" s="51"/>
      <c r="DQI40" s="51"/>
      <c r="DQJ40" s="51"/>
      <c r="DQK40" s="51"/>
      <c r="DQL40" s="51"/>
      <c r="DQM40" s="51"/>
      <c r="DQN40" s="51"/>
      <c r="DQO40" s="51"/>
      <c r="DQP40" s="51"/>
      <c r="DQQ40" s="51"/>
      <c r="DQR40" s="51"/>
      <c r="DQS40" s="51"/>
      <c r="DQT40" s="51"/>
      <c r="DQU40" s="51"/>
      <c r="DQV40" s="51"/>
      <c r="DQW40" s="51"/>
      <c r="DQX40" s="51"/>
      <c r="DQY40" s="51"/>
      <c r="DQZ40" s="51"/>
      <c r="DRA40" s="51"/>
      <c r="DRB40" s="51"/>
      <c r="DRC40" s="51"/>
      <c r="DRD40" s="51"/>
      <c r="DRE40" s="51"/>
      <c r="DRF40" s="51"/>
      <c r="DRG40" s="51"/>
      <c r="DRH40" s="51"/>
      <c r="DRI40" s="51"/>
      <c r="DRJ40" s="51"/>
      <c r="DRK40" s="51"/>
      <c r="DRL40" s="51"/>
      <c r="DRM40" s="51"/>
      <c r="DRN40" s="51"/>
      <c r="DRO40" s="51"/>
      <c r="DRP40" s="51"/>
      <c r="DRQ40" s="51"/>
      <c r="DRR40" s="51"/>
      <c r="DRS40" s="51"/>
      <c r="DRT40" s="51"/>
      <c r="DRU40" s="51"/>
      <c r="DRV40" s="51"/>
      <c r="DRW40" s="51"/>
      <c r="DRX40" s="51"/>
      <c r="DRY40" s="51"/>
      <c r="DRZ40" s="51"/>
      <c r="DSA40" s="51"/>
      <c r="DSB40" s="51"/>
      <c r="DSC40" s="51"/>
      <c r="DSD40" s="51"/>
      <c r="DSE40" s="51"/>
      <c r="DSF40" s="51"/>
      <c r="DSG40" s="51"/>
      <c r="DSH40" s="51"/>
      <c r="DSI40" s="51"/>
      <c r="DSJ40" s="51"/>
      <c r="DSK40" s="51"/>
      <c r="DSL40" s="51"/>
      <c r="DSM40" s="51"/>
      <c r="DSN40" s="51"/>
      <c r="DSO40" s="51"/>
      <c r="DSP40" s="51"/>
      <c r="DSQ40" s="51"/>
      <c r="DSR40" s="51"/>
      <c r="DSS40" s="51"/>
      <c r="DST40" s="51"/>
      <c r="DSU40" s="51"/>
      <c r="DSV40" s="51"/>
      <c r="DSW40" s="51"/>
      <c r="DSX40" s="51"/>
      <c r="DSY40" s="51"/>
      <c r="DSZ40" s="51"/>
      <c r="DTA40" s="51"/>
      <c r="DTB40" s="51"/>
      <c r="DTC40" s="51"/>
      <c r="DTD40" s="51"/>
      <c r="DTE40" s="51"/>
      <c r="DTF40" s="51"/>
      <c r="DTG40" s="51"/>
      <c r="DTH40" s="51"/>
      <c r="DTI40" s="51"/>
      <c r="DTJ40" s="51"/>
      <c r="DTK40" s="51"/>
      <c r="DTL40" s="51"/>
      <c r="DTM40" s="51"/>
      <c r="DTN40" s="51"/>
      <c r="DTO40" s="51"/>
      <c r="DTP40" s="51"/>
      <c r="DTQ40" s="51"/>
      <c r="DTR40" s="51"/>
      <c r="DTS40" s="51"/>
      <c r="DTT40" s="51"/>
      <c r="DTU40" s="51"/>
      <c r="DTV40" s="51"/>
      <c r="DTW40" s="51"/>
      <c r="DTX40" s="51"/>
      <c r="DTY40" s="51"/>
      <c r="DTZ40" s="51"/>
      <c r="DUA40" s="51"/>
      <c r="DUB40" s="51"/>
      <c r="DUC40" s="51"/>
      <c r="DUD40" s="51"/>
      <c r="DUE40" s="51"/>
      <c r="DUF40" s="51"/>
      <c r="DUG40" s="51"/>
      <c r="DUH40" s="51"/>
      <c r="DUI40" s="51"/>
      <c r="DUJ40" s="51"/>
      <c r="DUK40" s="51"/>
      <c r="DUL40" s="51"/>
      <c r="DUM40" s="51"/>
      <c r="DUN40" s="51"/>
      <c r="DUO40" s="51"/>
      <c r="DUP40" s="51"/>
      <c r="DUQ40" s="51"/>
      <c r="DUR40" s="51"/>
      <c r="DUS40" s="51"/>
      <c r="DUT40" s="51"/>
      <c r="DUU40" s="51"/>
      <c r="DUV40" s="51"/>
      <c r="DUW40" s="51"/>
      <c r="DUX40" s="51"/>
      <c r="DUY40" s="51"/>
      <c r="DUZ40" s="51"/>
      <c r="DVA40" s="51"/>
      <c r="DVB40" s="51"/>
      <c r="DVC40" s="51"/>
      <c r="DVD40" s="51"/>
      <c r="DVE40" s="51"/>
      <c r="DVF40" s="51"/>
      <c r="DVG40" s="51"/>
      <c r="DVH40" s="51"/>
      <c r="DVI40" s="51"/>
      <c r="DVJ40" s="51"/>
      <c r="DVK40" s="51"/>
      <c r="DVL40" s="51"/>
      <c r="DVM40" s="51"/>
      <c r="DVN40" s="51"/>
      <c r="DVO40" s="51"/>
      <c r="DVP40" s="51"/>
      <c r="DVQ40" s="51"/>
      <c r="DVR40" s="51"/>
      <c r="DVS40" s="51"/>
      <c r="DVT40" s="51"/>
      <c r="DVU40" s="51"/>
      <c r="DVV40" s="51"/>
      <c r="DVW40" s="51"/>
      <c r="DVX40" s="51"/>
      <c r="DVY40" s="51"/>
      <c r="DVZ40" s="51"/>
      <c r="DWA40" s="51"/>
      <c r="DWB40" s="51"/>
      <c r="DWC40" s="51"/>
      <c r="DWD40" s="51"/>
      <c r="DWE40" s="51"/>
      <c r="DWF40" s="51"/>
      <c r="DWG40" s="51"/>
      <c r="DWH40" s="51"/>
      <c r="DWI40" s="51"/>
      <c r="DWJ40" s="51"/>
      <c r="DWK40" s="51"/>
      <c r="DWL40" s="51"/>
      <c r="DWM40" s="51"/>
      <c r="DWN40" s="51"/>
      <c r="DWO40" s="51"/>
      <c r="DWP40" s="51"/>
      <c r="DWQ40" s="51"/>
      <c r="DWR40" s="51"/>
      <c r="DWS40" s="51"/>
      <c r="DWT40" s="51"/>
      <c r="DWU40" s="51"/>
      <c r="DWV40" s="51"/>
      <c r="DWW40" s="51"/>
      <c r="DWX40" s="51"/>
      <c r="DWY40" s="51"/>
      <c r="DWZ40" s="51"/>
      <c r="DXA40" s="51"/>
      <c r="DXB40" s="51"/>
      <c r="DXC40" s="51"/>
      <c r="DXD40" s="51"/>
      <c r="DXE40" s="51"/>
      <c r="DXF40" s="51"/>
      <c r="DXG40" s="51"/>
      <c r="DXH40" s="51"/>
      <c r="DXI40" s="51"/>
      <c r="DXJ40" s="51"/>
      <c r="DXK40" s="51"/>
      <c r="DXL40" s="51"/>
      <c r="DXM40" s="51"/>
      <c r="DXN40" s="51"/>
      <c r="DXO40" s="51"/>
      <c r="DXP40" s="51"/>
      <c r="DXQ40" s="51"/>
      <c r="DXR40" s="51"/>
      <c r="DXS40" s="51"/>
      <c r="DXT40" s="51"/>
      <c r="DXU40" s="51"/>
      <c r="DXV40" s="51"/>
      <c r="DXW40" s="51"/>
      <c r="DXX40" s="51"/>
      <c r="DXY40" s="51"/>
      <c r="DXZ40" s="51"/>
      <c r="DYA40" s="51"/>
      <c r="DYB40" s="51"/>
      <c r="DYC40" s="51"/>
      <c r="DYD40" s="51"/>
      <c r="DYE40" s="51"/>
      <c r="DYF40" s="51"/>
      <c r="DYG40" s="51"/>
      <c r="DYH40" s="51"/>
      <c r="DYI40" s="51"/>
      <c r="DYJ40" s="51"/>
      <c r="DYK40" s="51"/>
      <c r="DYL40" s="51"/>
      <c r="DYM40" s="51"/>
      <c r="DYN40" s="51"/>
      <c r="DYO40" s="51"/>
      <c r="DYP40" s="51"/>
      <c r="DYQ40" s="51"/>
      <c r="DYR40" s="51"/>
      <c r="DYS40" s="51"/>
      <c r="DYT40" s="51"/>
      <c r="DYU40" s="51"/>
      <c r="DYV40" s="51"/>
      <c r="DYW40" s="51"/>
      <c r="DYX40" s="51"/>
      <c r="DYY40" s="51"/>
      <c r="DYZ40" s="51"/>
      <c r="DZA40" s="51"/>
      <c r="DZB40" s="51"/>
      <c r="DZC40" s="51"/>
      <c r="DZD40" s="51"/>
      <c r="DZE40" s="51"/>
      <c r="DZF40" s="51"/>
      <c r="DZG40" s="51"/>
      <c r="DZH40" s="51"/>
      <c r="DZI40" s="51"/>
      <c r="DZJ40" s="51"/>
      <c r="DZK40" s="51"/>
      <c r="DZL40" s="51"/>
      <c r="DZM40" s="51"/>
      <c r="DZN40" s="51"/>
      <c r="DZO40" s="51"/>
      <c r="DZP40" s="51"/>
      <c r="DZQ40" s="51"/>
      <c r="DZR40" s="51"/>
      <c r="DZS40" s="51"/>
      <c r="DZT40" s="51"/>
      <c r="DZU40" s="51"/>
      <c r="DZV40" s="51"/>
      <c r="DZW40" s="51"/>
      <c r="DZX40" s="51"/>
      <c r="DZY40" s="51"/>
      <c r="DZZ40" s="51"/>
      <c r="EAA40" s="51"/>
      <c r="EAB40" s="51"/>
      <c r="EAC40" s="51"/>
      <c r="EAD40" s="51"/>
      <c r="EAE40" s="51"/>
      <c r="EAF40" s="51"/>
      <c r="EAG40" s="51"/>
      <c r="EAH40" s="51"/>
      <c r="EAI40" s="51"/>
      <c r="EAJ40" s="51"/>
      <c r="EAK40" s="51"/>
      <c r="EAL40" s="51"/>
      <c r="EAM40" s="51"/>
      <c r="EAN40" s="51"/>
      <c r="EAO40" s="51"/>
      <c r="EAP40" s="51"/>
      <c r="EAQ40" s="51"/>
      <c r="EAR40" s="51"/>
      <c r="EAS40" s="51"/>
      <c r="EAT40" s="51"/>
      <c r="EAU40" s="51"/>
      <c r="EAV40" s="51"/>
      <c r="EAW40" s="51"/>
      <c r="EAX40" s="51"/>
      <c r="EAY40" s="51"/>
      <c r="EAZ40" s="51"/>
      <c r="EBA40" s="51"/>
      <c r="EBB40" s="51"/>
      <c r="EBC40" s="51"/>
      <c r="EBD40" s="51"/>
      <c r="EBE40" s="51"/>
      <c r="EBF40" s="51"/>
      <c r="EBG40" s="51"/>
      <c r="EBH40" s="51"/>
      <c r="EBI40" s="51"/>
      <c r="EBJ40" s="51"/>
      <c r="EBK40" s="51"/>
      <c r="EBL40" s="51"/>
      <c r="EBM40" s="51"/>
      <c r="EBN40" s="51"/>
      <c r="EBO40" s="51"/>
      <c r="EBP40" s="51"/>
      <c r="EBQ40" s="51"/>
      <c r="EBR40" s="51"/>
      <c r="EBS40" s="51"/>
      <c r="EBT40" s="51"/>
      <c r="EBU40" s="51"/>
      <c r="EBV40" s="51"/>
      <c r="EBW40" s="51"/>
      <c r="EBX40" s="51"/>
      <c r="EBY40" s="51"/>
      <c r="EBZ40" s="51"/>
      <c r="ECA40" s="51"/>
      <c r="ECB40" s="51"/>
      <c r="ECC40" s="51"/>
      <c r="ECD40" s="51"/>
      <c r="ECE40" s="51"/>
      <c r="ECF40" s="51"/>
      <c r="ECG40" s="51"/>
      <c r="ECH40" s="51"/>
      <c r="ECI40" s="51"/>
      <c r="ECJ40" s="51"/>
      <c r="ECK40" s="51"/>
      <c r="ECL40" s="51"/>
      <c r="ECM40" s="51"/>
      <c r="ECN40" s="51"/>
      <c r="ECO40" s="51"/>
      <c r="ECP40" s="51"/>
      <c r="ECQ40" s="51"/>
      <c r="ECR40" s="51"/>
      <c r="ECS40" s="51"/>
      <c r="ECT40" s="51"/>
      <c r="ECU40" s="51"/>
      <c r="ECV40" s="51"/>
      <c r="ECW40" s="51"/>
      <c r="ECX40" s="51"/>
      <c r="ECY40" s="51"/>
      <c r="ECZ40" s="51"/>
      <c r="EDA40" s="51"/>
      <c r="EDB40" s="51"/>
      <c r="EDC40" s="51"/>
      <c r="EDD40" s="51"/>
      <c r="EDE40" s="51"/>
      <c r="EDF40" s="51"/>
      <c r="EDG40" s="51"/>
      <c r="EDH40" s="51"/>
      <c r="EDI40" s="51"/>
      <c r="EDJ40" s="51"/>
      <c r="EDK40" s="51"/>
      <c r="EDL40" s="51"/>
      <c r="EDM40" s="51"/>
      <c r="EDN40" s="51"/>
      <c r="EDO40" s="51"/>
      <c r="EDP40" s="51"/>
      <c r="EDQ40" s="51"/>
      <c r="EDR40" s="51"/>
      <c r="EDS40" s="51"/>
      <c r="EDT40" s="51"/>
      <c r="EDU40" s="51"/>
      <c r="EDV40" s="51"/>
      <c r="EDW40" s="51"/>
      <c r="EDX40" s="51"/>
      <c r="EDY40" s="51"/>
      <c r="EDZ40" s="51"/>
      <c r="EEA40" s="51"/>
      <c r="EEB40" s="51"/>
      <c r="EEC40" s="51"/>
      <c r="EED40" s="51"/>
      <c r="EEE40" s="51"/>
      <c r="EEF40" s="51"/>
      <c r="EEG40" s="51"/>
      <c r="EEH40" s="51"/>
      <c r="EEI40" s="51"/>
      <c r="EEJ40" s="51"/>
      <c r="EEK40" s="51"/>
      <c r="EEL40" s="51"/>
      <c r="EEM40" s="51"/>
      <c r="EEN40" s="51"/>
      <c r="EEO40" s="51"/>
      <c r="EEP40" s="51"/>
      <c r="EEQ40" s="51"/>
      <c r="EER40" s="51"/>
      <c r="EES40" s="51"/>
      <c r="EET40" s="51"/>
      <c r="EEU40" s="51"/>
      <c r="EEV40" s="51"/>
      <c r="EEW40" s="51"/>
      <c r="EEX40" s="51"/>
      <c r="EEY40" s="51"/>
      <c r="EEZ40" s="51"/>
      <c r="EFA40" s="51"/>
      <c r="EFB40" s="51"/>
      <c r="EFC40" s="51"/>
      <c r="EFD40" s="51"/>
      <c r="EFE40" s="51"/>
      <c r="EFF40" s="51"/>
      <c r="EFG40" s="51"/>
      <c r="EFH40" s="51"/>
      <c r="EFI40" s="51"/>
      <c r="EFJ40" s="51"/>
      <c r="EFK40" s="51"/>
      <c r="EFL40" s="51"/>
      <c r="EFM40" s="51"/>
      <c r="EFN40" s="51"/>
      <c r="EFO40" s="51"/>
      <c r="EFP40" s="51"/>
      <c r="EFQ40" s="51"/>
      <c r="EFR40" s="51"/>
      <c r="EFS40" s="51"/>
      <c r="EFT40" s="51"/>
      <c r="EFU40" s="51"/>
      <c r="EFV40" s="51"/>
      <c r="EFW40" s="51"/>
      <c r="EFX40" s="51"/>
      <c r="EFY40" s="51"/>
      <c r="EFZ40" s="51"/>
      <c r="EGA40" s="51"/>
      <c r="EGB40" s="51"/>
      <c r="EGC40" s="51"/>
      <c r="EGD40" s="51"/>
      <c r="EGE40" s="51"/>
      <c r="EGF40" s="51"/>
      <c r="EGG40" s="51"/>
      <c r="EGH40" s="51"/>
      <c r="EGI40" s="51"/>
      <c r="EGJ40" s="51"/>
      <c r="EGK40" s="51"/>
      <c r="EGL40" s="51"/>
      <c r="EGM40" s="51"/>
      <c r="EGN40" s="51"/>
      <c r="EGO40" s="51"/>
      <c r="EGP40" s="51"/>
      <c r="EGQ40" s="51"/>
      <c r="EGR40" s="51"/>
      <c r="EGS40" s="51"/>
      <c r="EGT40" s="51"/>
      <c r="EGU40" s="51"/>
      <c r="EGV40" s="51"/>
      <c r="EGW40" s="51"/>
      <c r="EGX40" s="51"/>
      <c r="EGY40" s="51"/>
      <c r="EGZ40" s="51"/>
      <c r="EHA40" s="51"/>
      <c r="EHB40" s="51"/>
      <c r="EHC40" s="51"/>
      <c r="EHD40" s="51"/>
      <c r="EHE40" s="51"/>
      <c r="EHF40" s="51"/>
      <c r="EHG40" s="51"/>
      <c r="EHH40" s="51"/>
      <c r="EHI40" s="51"/>
      <c r="EHJ40" s="51"/>
      <c r="EHK40" s="51"/>
      <c r="EHL40" s="51"/>
      <c r="EHM40" s="51"/>
      <c r="EHN40" s="51"/>
      <c r="EHO40" s="51"/>
      <c r="EHP40" s="51"/>
      <c r="EHQ40" s="51"/>
      <c r="EHR40" s="51"/>
      <c r="EHS40" s="51"/>
      <c r="EHT40" s="51"/>
      <c r="EHU40" s="51"/>
      <c r="EHV40" s="51"/>
      <c r="EHW40" s="51"/>
      <c r="EHX40" s="51"/>
      <c r="EHY40" s="51"/>
      <c r="EHZ40" s="51"/>
      <c r="EIA40" s="51"/>
      <c r="EIB40" s="51"/>
      <c r="EIC40" s="51"/>
      <c r="EID40" s="51"/>
      <c r="EIE40" s="51"/>
      <c r="EIF40" s="51"/>
      <c r="EIG40" s="51"/>
      <c r="EIH40" s="51"/>
      <c r="EII40" s="51"/>
      <c r="EIJ40" s="51"/>
      <c r="EIK40" s="51"/>
      <c r="EIL40" s="51"/>
      <c r="EIM40" s="51"/>
      <c r="EIN40" s="51"/>
      <c r="EIO40" s="51"/>
      <c r="EIP40" s="51"/>
      <c r="EIQ40" s="51"/>
      <c r="EIR40" s="51"/>
      <c r="EIS40" s="51"/>
      <c r="EIT40" s="51"/>
      <c r="EIU40" s="51"/>
      <c r="EIV40" s="51"/>
      <c r="EIW40" s="51"/>
      <c r="EIX40" s="51"/>
      <c r="EIY40" s="51"/>
      <c r="EIZ40" s="51"/>
      <c r="EJA40" s="51"/>
      <c r="EJB40" s="51"/>
      <c r="EJC40" s="51"/>
      <c r="EJD40" s="51"/>
      <c r="EJE40" s="51"/>
      <c r="EJF40" s="51"/>
      <c r="EJG40" s="51"/>
      <c r="EJH40" s="51"/>
      <c r="EJI40" s="51"/>
      <c r="EJJ40" s="51"/>
      <c r="EJK40" s="51"/>
      <c r="EJL40" s="51"/>
      <c r="EJM40" s="51"/>
      <c r="EJN40" s="51"/>
      <c r="EJO40" s="51"/>
      <c r="EJP40" s="51"/>
      <c r="EJQ40" s="51"/>
      <c r="EJR40" s="51"/>
      <c r="EJS40" s="51"/>
      <c r="EJT40" s="51"/>
      <c r="EJU40" s="51"/>
      <c r="EJV40" s="51"/>
      <c r="EJW40" s="51"/>
      <c r="EJX40" s="51"/>
      <c r="EJY40" s="51"/>
      <c r="EJZ40" s="51"/>
      <c r="EKA40" s="51"/>
      <c r="EKB40" s="51"/>
      <c r="EKC40" s="51"/>
      <c r="EKD40" s="51"/>
      <c r="EKE40" s="51"/>
      <c r="EKF40" s="51"/>
      <c r="EKG40" s="51"/>
      <c r="EKH40" s="51"/>
      <c r="EKI40" s="51"/>
      <c r="EKJ40" s="51"/>
      <c r="EKK40" s="51"/>
      <c r="EKL40" s="51"/>
      <c r="EKM40" s="51"/>
      <c r="EKN40" s="51"/>
      <c r="EKO40" s="51"/>
      <c r="EKP40" s="51"/>
      <c r="EKQ40" s="51"/>
      <c r="EKR40" s="51"/>
      <c r="EKS40" s="51"/>
      <c r="EKT40" s="51"/>
      <c r="EKU40" s="51"/>
      <c r="EKV40" s="51"/>
      <c r="EKW40" s="51"/>
      <c r="EKX40" s="51"/>
      <c r="EKY40" s="51"/>
      <c r="EKZ40" s="51"/>
      <c r="ELA40" s="51"/>
      <c r="ELB40" s="51"/>
      <c r="ELC40" s="51"/>
      <c r="ELD40" s="51"/>
      <c r="ELE40" s="51"/>
      <c r="ELF40" s="51"/>
      <c r="ELG40" s="51"/>
      <c r="ELH40" s="51"/>
      <c r="ELI40" s="51"/>
      <c r="ELJ40" s="51"/>
      <c r="ELK40" s="51"/>
      <c r="ELL40" s="51"/>
      <c r="ELM40" s="51"/>
      <c r="ELN40" s="51"/>
      <c r="ELO40" s="51"/>
      <c r="ELP40" s="51"/>
      <c r="ELQ40" s="51"/>
      <c r="ELR40" s="51"/>
      <c r="ELS40" s="51"/>
      <c r="ELT40" s="51"/>
      <c r="ELU40" s="51"/>
      <c r="ELV40" s="51"/>
      <c r="ELW40" s="51"/>
      <c r="ELX40" s="51"/>
      <c r="ELY40" s="51"/>
      <c r="ELZ40" s="51"/>
      <c r="EMA40" s="51"/>
      <c r="EMB40" s="51"/>
      <c r="EMC40" s="51"/>
      <c r="EMD40" s="51"/>
      <c r="EME40" s="51"/>
      <c r="EMF40" s="51"/>
      <c r="EMG40" s="51"/>
      <c r="EMH40" s="51"/>
      <c r="EMI40" s="51"/>
      <c r="EMJ40" s="51"/>
      <c r="EMK40" s="51"/>
      <c r="EML40" s="51"/>
      <c r="EMM40" s="51"/>
      <c r="EMN40" s="51"/>
      <c r="EMO40" s="51"/>
      <c r="EMP40" s="51"/>
      <c r="EMQ40" s="51"/>
      <c r="EMR40" s="51"/>
      <c r="EMS40" s="51"/>
      <c r="EMT40" s="51"/>
      <c r="EMU40" s="51"/>
      <c r="EMV40" s="51"/>
      <c r="EMW40" s="51"/>
      <c r="EMX40" s="51"/>
      <c r="EMY40" s="51"/>
      <c r="EMZ40" s="51"/>
      <c r="ENA40" s="51"/>
      <c r="ENB40" s="51"/>
      <c r="ENC40" s="51"/>
      <c r="END40" s="51"/>
      <c r="ENE40" s="51"/>
      <c r="ENF40" s="51"/>
      <c r="ENG40" s="51"/>
      <c r="ENH40" s="51"/>
      <c r="ENI40" s="51"/>
      <c r="ENJ40" s="51"/>
      <c r="ENK40" s="51"/>
      <c r="ENL40" s="51"/>
      <c r="ENM40" s="51"/>
      <c r="ENN40" s="51"/>
      <c r="ENO40" s="51"/>
      <c r="ENP40" s="51"/>
      <c r="ENQ40" s="51"/>
      <c r="ENR40" s="51"/>
      <c r="ENS40" s="51"/>
      <c r="ENT40" s="51"/>
      <c r="ENU40" s="51"/>
      <c r="ENV40" s="51"/>
      <c r="ENW40" s="51"/>
      <c r="ENX40" s="51"/>
      <c r="ENY40" s="51"/>
      <c r="ENZ40" s="51"/>
      <c r="EOA40" s="51"/>
      <c r="EOB40" s="51"/>
      <c r="EOC40" s="51"/>
      <c r="EOD40" s="51"/>
      <c r="EOE40" s="51"/>
      <c r="EOF40" s="51"/>
      <c r="EOG40" s="51"/>
      <c r="EOH40" s="51"/>
      <c r="EOI40" s="51"/>
      <c r="EOJ40" s="51"/>
      <c r="EOK40" s="51"/>
      <c r="EOL40" s="51"/>
      <c r="EOM40" s="51"/>
      <c r="EON40" s="51"/>
      <c r="EOO40" s="51"/>
      <c r="EOP40" s="51"/>
      <c r="EOQ40" s="51"/>
      <c r="EOR40" s="51"/>
      <c r="EOS40" s="51"/>
      <c r="EOT40" s="51"/>
      <c r="EOU40" s="51"/>
      <c r="EOV40" s="51"/>
      <c r="EOW40" s="51"/>
      <c r="EOX40" s="51"/>
      <c r="EOY40" s="51"/>
      <c r="EOZ40" s="51"/>
      <c r="EPA40" s="51"/>
      <c r="EPB40" s="51"/>
      <c r="EPC40" s="51"/>
      <c r="EPD40" s="51"/>
      <c r="EPE40" s="51"/>
      <c r="EPF40" s="51"/>
      <c r="EPG40" s="51"/>
      <c r="EPH40" s="51"/>
      <c r="EPI40" s="51"/>
      <c r="EPJ40" s="51"/>
      <c r="EPK40" s="51"/>
      <c r="EPL40" s="51"/>
      <c r="EPM40" s="51"/>
      <c r="EPN40" s="51"/>
      <c r="EPO40" s="51"/>
      <c r="EPP40" s="51"/>
      <c r="EPQ40" s="51"/>
      <c r="EPR40" s="51"/>
      <c r="EPS40" s="51"/>
      <c r="EPT40" s="51"/>
      <c r="EPU40" s="51"/>
      <c r="EPV40" s="51"/>
      <c r="EPW40" s="51"/>
      <c r="EPX40" s="51"/>
      <c r="EPY40" s="51"/>
      <c r="EPZ40" s="51"/>
      <c r="EQA40" s="51"/>
      <c r="EQB40" s="51"/>
      <c r="EQC40" s="51"/>
      <c r="EQD40" s="51"/>
      <c r="EQE40" s="51"/>
      <c r="EQF40" s="51"/>
      <c r="EQG40" s="51"/>
      <c r="EQH40" s="51"/>
      <c r="EQI40" s="51"/>
      <c r="EQJ40" s="51"/>
      <c r="EQK40" s="51"/>
      <c r="EQL40" s="51"/>
      <c r="EQM40" s="51"/>
      <c r="EQN40" s="51"/>
      <c r="EQO40" s="51"/>
      <c r="EQP40" s="51"/>
      <c r="EQQ40" s="51"/>
      <c r="EQR40" s="51"/>
      <c r="EQS40" s="51"/>
      <c r="EQT40" s="51"/>
      <c r="EQU40" s="51"/>
      <c r="EQV40" s="51"/>
      <c r="EQW40" s="51"/>
      <c r="EQX40" s="51"/>
      <c r="EQY40" s="51"/>
      <c r="EQZ40" s="51"/>
      <c r="ERA40" s="51"/>
      <c r="ERB40" s="51"/>
      <c r="ERC40" s="51"/>
      <c r="ERD40" s="51"/>
      <c r="ERE40" s="51"/>
      <c r="ERF40" s="51"/>
      <c r="ERG40" s="51"/>
      <c r="ERH40" s="51"/>
      <c r="ERI40" s="51"/>
      <c r="ERJ40" s="51"/>
      <c r="ERK40" s="51"/>
      <c r="ERL40" s="51"/>
      <c r="ERM40" s="51"/>
      <c r="ERN40" s="51"/>
      <c r="ERO40" s="51"/>
      <c r="ERP40" s="51"/>
      <c r="ERQ40" s="51"/>
      <c r="ERR40" s="51"/>
      <c r="ERS40" s="51"/>
      <c r="ERT40" s="51"/>
      <c r="ERU40" s="51"/>
      <c r="ERV40" s="51"/>
      <c r="ERW40" s="51"/>
      <c r="ERX40" s="51"/>
      <c r="ERY40" s="51"/>
      <c r="ERZ40" s="51"/>
      <c r="ESA40" s="51"/>
      <c r="ESB40" s="51"/>
      <c r="ESC40" s="51"/>
      <c r="ESD40" s="51"/>
      <c r="ESE40" s="51"/>
      <c r="ESF40" s="51"/>
      <c r="ESG40" s="51"/>
      <c r="ESH40" s="51"/>
      <c r="ESI40" s="51"/>
      <c r="ESJ40" s="51"/>
      <c r="ESK40" s="51"/>
      <c r="ESL40" s="51"/>
      <c r="ESM40" s="51"/>
      <c r="ESN40" s="51"/>
      <c r="ESO40" s="51"/>
      <c r="ESP40" s="51"/>
      <c r="ESQ40" s="51"/>
      <c r="ESR40" s="51"/>
      <c r="ESS40" s="51"/>
      <c r="EST40" s="51"/>
      <c r="ESU40" s="51"/>
      <c r="ESV40" s="51"/>
      <c r="ESW40" s="51"/>
      <c r="ESX40" s="51"/>
      <c r="ESY40" s="51"/>
      <c r="ESZ40" s="51"/>
      <c r="ETA40" s="51"/>
      <c r="ETB40" s="51"/>
      <c r="ETC40" s="51"/>
      <c r="ETD40" s="51"/>
      <c r="ETE40" s="51"/>
      <c r="ETF40" s="51"/>
      <c r="ETG40" s="51"/>
      <c r="ETH40" s="51"/>
      <c r="ETI40" s="51"/>
      <c r="ETJ40" s="51"/>
      <c r="ETK40" s="51"/>
      <c r="ETL40" s="51"/>
      <c r="ETM40" s="51"/>
      <c r="ETN40" s="51"/>
      <c r="ETO40" s="51"/>
      <c r="ETP40" s="51"/>
      <c r="ETQ40" s="51"/>
      <c r="ETR40" s="51"/>
      <c r="ETS40" s="51"/>
      <c r="ETT40" s="51"/>
      <c r="ETU40" s="51"/>
      <c r="ETV40" s="51"/>
      <c r="ETW40" s="51"/>
      <c r="ETX40" s="51"/>
      <c r="ETY40" s="51"/>
      <c r="ETZ40" s="51"/>
      <c r="EUA40" s="51"/>
      <c r="EUB40" s="51"/>
      <c r="EUC40" s="51"/>
      <c r="EUD40" s="51"/>
      <c r="EUE40" s="51"/>
      <c r="EUF40" s="51"/>
      <c r="EUG40" s="51"/>
      <c r="EUH40" s="51"/>
      <c r="EUI40" s="51"/>
      <c r="EUJ40" s="51"/>
      <c r="EUK40" s="51"/>
      <c r="EUL40" s="51"/>
      <c r="EUM40" s="51"/>
      <c r="EUN40" s="51"/>
      <c r="EUO40" s="51"/>
      <c r="EUP40" s="51"/>
      <c r="EUQ40" s="51"/>
      <c r="EUR40" s="51"/>
      <c r="EUS40" s="51"/>
      <c r="EUT40" s="51"/>
      <c r="EUU40" s="51"/>
      <c r="EUV40" s="51"/>
      <c r="EUW40" s="51"/>
      <c r="EUX40" s="51"/>
      <c r="EUY40" s="51"/>
      <c r="EUZ40" s="51"/>
      <c r="EVA40" s="51"/>
      <c r="EVB40" s="51"/>
      <c r="EVC40" s="51"/>
      <c r="EVD40" s="51"/>
      <c r="EVE40" s="51"/>
      <c r="EVF40" s="51"/>
      <c r="EVG40" s="51"/>
      <c r="EVH40" s="51"/>
      <c r="EVI40" s="51"/>
      <c r="EVJ40" s="51"/>
      <c r="EVK40" s="51"/>
      <c r="EVL40" s="51"/>
      <c r="EVM40" s="51"/>
      <c r="EVN40" s="51"/>
      <c r="EVO40" s="51"/>
      <c r="EVP40" s="51"/>
      <c r="EVQ40" s="51"/>
      <c r="EVR40" s="51"/>
      <c r="EVS40" s="51"/>
      <c r="EVT40" s="51"/>
      <c r="EVU40" s="51"/>
      <c r="EVV40" s="51"/>
      <c r="EVW40" s="51"/>
      <c r="EVX40" s="51"/>
      <c r="EVY40" s="51"/>
      <c r="EVZ40" s="51"/>
      <c r="EWA40" s="51"/>
      <c r="EWB40" s="51"/>
      <c r="EWC40" s="51"/>
      <c r="EWD40" s="51"/>
      <c r="EWE40" s="51"/>
      <c r="EWF40" s="51"/>
      <c r="EWG40" s="51"/>
      <c r="EWH40" s="51"/>
      <c r="EWI40" s="51"/>
      <c r="EWJ40" s="51"/>
      <c r="EWK40" s="51"/>
      <c r="EWL40" s="51"/>
      <c r="EWM40" s="51"/>
      <c r="EWN40" s="51"/>
      <c r="EWO40" s="51"/>
      <c r="EWP40" s="51"/>
      <c r="EWQ40" s="51"/>
      <c r="EWR40" s="51"/>
      <c r="EWS40" s="51"/>
      <c r="EWT40" s="51"/>
      <c r="EWU40" s="51"/>
      <c r="EWV40" s="51"/>
      <c r="EWW40" s="51"/>
      <c r="EWX40" s="51"/>
      <c r="EWY40" s="51"/>
      <c r="EWZ40" s="51"/>
      <c r="EXA40" s="51"/>
      <c r="EXB40" s="51"/>
      <c r="EXC40" s="51"/>
      <c r="EXD40" s="51"/>
      <c r="EXE40" s="51"/>
      <c r="EXF40" s="51"/>
      <c r="EXG40" s="51"/>
      <c r="EXH40" s="51"/>
      <c r="EXI40" s="51"/>
      <c r="EXJ40" s="51"/>
      <c r="EXK40" s="51"/>
      <c r="EXL40" s="51"/>
      <c r="EXM40" s="51"/>
      <c r="EXN40" s="51"/>
      <c r="EXO40" s="51"/>
      <c r="EXP40" s="51"/>
      <c r="EXQ40" s="51"/>
      <c r="EXR40" s="51"/>
      <c r="EXS40" s="51"/>
      <c r="EXT40" s="51"/>
      <c r="EXU40" s="51"/>
      <c r="EXV40" s="51"/>
      <c r="EXW40" s="51"/>
      <c r="EXX40" s="51"/>
      <c r="EXY40" s="51"/>
      <c r="EXZ40" s="51"/>
      <c r="EYA40" s="51"/>
      <c r="EYB40" s="51"/>
      <c r="EYC40" s="51"/>
      <c r="EYD40" s="51"/>
      <c r="EYE40" s="51"/>
      <c r="EYF40" s="51"/>
      <c r="EYG40" s="51"/>
      <c r="EYH40" s="51"/>
      <c r="EYI40" s="51"/>
      <c r="EYJ40" s="51"/>
      <c r="EYK40" s="51"/>
      <c r="EYL40" s="51"/>
      <c r="EYM40" s="51"/>
      <c r="EYN40" s="51"/>
      <c r="EYO40" s="51"/>
      <c r="EYP40" s="51"/>
      <c r="EYQ40" s="51"/>
      <c r="EYR40" s="51"/>
      <c r="EYS40" s="51"/>
      <c r="EYT40" s="51"/>
      <c r="EYU40" s="51"/>
      <c r="EYV40" s="51"/>
      <c r="EYW40" s="51"/>
      <c r="EYX40" s="51"/>
      <c r="EYY40" s="51"/>
      <c r="EYZ40" s="51"/>
      <c r="EZA40" s="51"/>
      <c r="EZB40" s="51"/>
      <c r="EZC40" s="51"/>
      <c r="EZD40" s="51"/>
      <c r="EZE40" s="51"/>
      <c r="EZF40" s="51"/>
      <c r="EZG40" s="51"/>
      <c r="EZH40" s="51"/>
      <c r="EZI40" s="51"/>
      <c r="EZJ40" s="51"/>
      <c r="EZK40" s="51"/>
      <c r="EZL40" s="51"/>
      <c r="EZM40" s="51"/>
      <c r="EZN40" s="51"/>
      <c r="EZO40" s="51"/>
      <c r="EZP40" s="51"/>
      <c r="EZQ40" s="51"/>
      <c r="EZR40" s="51"/>
      <c r="EZS40" s="51"/>
      <c r="EZT40" s="51"/>
      <c r="EZU40" s="51"/>
      <c r="EZV40" s="51"/>
      <c r="EZW40" s="51"/>
      <c r="EZX40" s="51"/>
      <c r="EZY40" s="51"/>
      <c r="EZZ40" s="51"/>
      <c r="FAA40" s="51"/>
      <c r="FAB40" s="51"/>
      <c r="FAC40" s="51"/>
      <c r="FAD40" s="51"/>
      <c r="FAE40" s="51"/>
      <c r="FAF40" s="51"/>
      <c r="FAG40" s="51"/>
      <c r="FAH40" s="51"/>
      <c r="FAI40" s="51"/>
      <c r="FAJ40" s="51"/>
      <c r="FAK40" s="51"/>
      <c r="FAL40" s="51"/>
      <c r="FAM40" s="51"/>
      <c r="FAN40" s="51"/>
      <c r="FAO40" s="51"/>
      <c r="FAP40" s="51"/>
      <c r="FAQ40" s="51"/>
      <c r="FAR40" s="51"/>
      <c r="FAS40" s="51"/>
      <c r="FAT40" s="51"/>
      <c r="FAU40" s="51"/>
      <c r="FAV40" s="51"/>
      <c r="FAW40" s="51"/>
      <c r="FAX40" s="51"/>
      <c r="FAY40" s="51"/>
      <c r="FAZ40" s="51"/>
      <c r="FBA40" s="51"/>
      <c r="FBB40" s="51"/>
      <c r="FBC40" s="51"/>
      <c r="FBD40" s="51"/>
      <c r="FBE40" s="51"/>
      <c r="FBF40" s="51"/>
      <c r="FBG40" s="51"/>
      <c r="FBH40" s="51"/>
      <c r="FBI40" s="51"/>
      <c r="FBJ40" s="51"/>
      <c r="FBK40" s="51"/>
      <c r="FBL40" s="51"/>
      <c r="FBM40" s="51"/>
      <c r="FBN40" s="51"/>
      <c r="FBO40" s="51"/>
      <c r="FBP40" s="51"/>
      <c r="FBQ40" s="51"/>
      <c r="FBR40" s="51"/>
      <c r="FBS40" s="51"/>
      <c r="FBT40" s="51"/>
      <c r="FBU40" s="51"/>
      <c r="FBV40" s="51"/>
      <c r="FBW40" s="51"/>
      <c r="FBX40" s="51"/>
      <c r="FBY40" s="51"/>
      <c r="FBZ40" s="51"/>
      <c r="FCA40" s="51"/>
      <c r="FCB40" s="51"/>
      <c r="FCC40" s="51"/>
      <c r="FCD40" s="51"/>
      <c r="FCE40" s="51"/>
      <c r="FCF40" s="51"/>
      <c r="FCG40" s="51"/>
      <c r="FCH40" s="51"/>
      <c r="FCI40" s="51"/>
      <c r="FCJ40" s="51"/>
      <c r="FCK40" s="51"/>
      <c r="FCL40" s="51"/>
      <c r="FCM40" s="51"/>
      <c r="FCN40" s="51"/>
      <c r="FCO40" s="51"/>
      <c r="FCP40" s="51"/>
      <c r="FCQ40" s="51"/>
      <c r="FCR40" s="51"/>
      <c r="FCS40" s="51"/>
      <c r="FCT40" s="51"/>
      <c r="FCU40" s="51"/>
      <c r="FCV40" s="51"/>
      <c r="FCW40" s="51"/>
      <c r="FCX40" s="51"/>
      <c r="FCY40" s="51"/>
      <c r="FCZ40" s="51"/>
      <c r="FDA40" s="51"/>
      <c r="FDB40" s="51"/>
      <c r="FDC40" s="51"/>
      <c r="FDD40" s="51"/>
      <c r="FDE40" s="51"/>
      <c r="FDF40" s="51"/>
      <c r="FDG40" s="51"/>
      <c r="FDH40" s="51"/>
      <c r="FDI40" s="51"/>
      <c r="FDJ40" s="51"/>
      <c r="FDK40" s="51"/>
      <c r="FDL40" s="51"/>
      <c r="FDM40" s="51"/>
      <c r="FDN40" s="51"/>
      <c r="FDO40" s="51"/>
      <c r="FDP40" s="51"/>
      <c r="FDQ40" s="51"/>
      <c r="FDR40" s="51"/>
      <c r="FDS40" s="51"/>
      <c r="FDT40" s="51"/>
      <c r="FDU40" s="51"/>
      <c r="FDV40" s="51"/>
      <c r="FDW40" s="51"/>
      <c r="FDX40" s="51"/>
      <c r="FDY40" s="51"/>
      <c r="FDZ40" s="51"/>
      <c r="FEA40" s="51"/>
      <c r="FEB40" s="51"/>
      <c r="FEC40" s="51"/>
      <c r="FED40" s="51"/>
      <c r="FEE40" s="51"/>
      <c r="FEF40" s="51"/>
      <c r="FEG40" s="51"/>
      <c r="FEH40" s="51"/>
      <c r="FEI40" s="51"/>
      <c r="FEJ40" s="51"/>
      <c r="FEK40" s="51"/>
      <c r="FEL40" s="51"/>
      <c r="FEM40" s="51"/>
      <c r="FEN40" s="51"/>
      <c r="FEO40" s="51"/>
      <c r="FEP40" s="51"/>
      <c r="FEQ40" s="51"/>
      <c r="FER40" s="51"/>
      <c r="FES40" s="51"/>
      <c r="FET40" s="51"/>
      <c r="FEU40" s="51"/>
      <c r="FEV40" s="51"/>
      <c r="FEW40" s="51"/>
      <c r="FEX40" s="51"/>
      <c r="FEY40" s="51"/>
      <c r="FEZ40" s="51"/>
      <c r="FFA40" s="51"/>
      <c r="FFB40" s="51"/>
      <c r="FFC40" s="51"/>
      <c r="FFD40" s="51"/>
      <c r="FFE40" s="51"/>
      <c r="FFF40" s="51"/>
      <c r="FFG40" s="51"/>
      <c r="FFH40" s="51"/>
      <c r="FFI40" s="51"/>
      <c r="FFJ40" s="51"/>
      <c r="FFK40" s="51"/>
      <c r="FFL40" s="51"/>
      <c r="FFM40" s="51"/>
      <c r="FFN40" s="51"/>
      <c r="FFO40" s="51"/>
      <c r="FFP40" s="51"/>
      <c r="FFQ40" s="51"/>
      <c r="FFR40" s="51"/>
      <c r="FFS40" s="51"/>
      <c r="FFT40" s="51"/>
      <c r="FFU40" s="51"/>
      <c r="FFV40" s="51"/>
      <c r="FFW40" s="51"/>
      <c r="FFX40" s="51"/>
      <c r="FFY40" s="51"/>
      <c r="FFZ40" s="51"/>
      <c r="FGA40" s="51"/>
      <c r="FGB40" s="51"/>
      <c r="FGC40" s="51"/>
      <c r="FGD40" s="51"/>
      <c r="FGE40" s="51"/>
      <c r="FGF40" s="51"/>
      <c r="FGG40" s="51"/>
      <c r="FGH40" s="51"/>
      <c r="FGI40" s="51"/>
      <c r="FGJ40" s="51"/>
      <c r="FGK40" s="51"/>
      <c r="FGL40" s="51"/>
      <c r="FGM40" s="51"/>
      <c r="FGN40" s="51"/>
      <c r="FGO40" s="51"/>
      <c r="FGP40" s="51"/>
      <c r="FGQ40" s="51"/>
      <c r="FGR40" s="51"/>
      <c r="FGS40" s="51"/>
      <c r="FGT40" s="51"/>
      <c r="FGU40" s="51"/>
      <c r="FGV40" s="51"/>
      <c r="FGW40" s="51"/>
      <c r="FGX40" s="51"/>
      <c r="FGY40" s="51"/>
      <c r="FGZ40" s="51"/>
      <c r="FHA40" s="51"/>
      <c r="FHB40" s="51"/>
      <c r="FHC40" s="51"/>
      <c r="FHD40" s="51"/>
      <c r="FHE40" s="51"/>
      <c r="FHF40" s="51"/>
      <c r="FHG40" s="51"/>
      <c r="FHH40" s="51"/>
      <c r="FHI40" s="51"/>
      <c r="FHJ40" s="51"/>
      <c r="FHK40" s="51"/>
      <c r="FHL40" s="51"/>
      <c r="FHM40" s="51"/>
      <c r="FHN40" s="51"/>
      <c r="FHO40" s="51"/>
      <c r="FHP40" s="51"/>
      <c r="FHQ40" s="51"/>
      <c r="FHR40" s="51"/>
      <c r="FHS40" s="51"/>
      <c r="FHT40" s="51"/>
      <c r="FHU40" s="51"/>
      <c r="FHV40" s="51"/>
      <c r="FHW40" s="51"/>
      <c r="FHX40" s="51"/>
      <c r="FHY40" s="51"/>
      <c r="FHZ40" s="51"/>
      <c r="FIA40" s="51"/>
      <c r="FIB40" s="51"/>
      <c r="FIC40" s="51"/>
      <c r="FID40" s="51"/>
      <c r="FIE40" s="51"/>
      <c r="FIF40" s="51"/>
      <c r="FIG40" s="51"/>
      <c r="FIH40" s="51"/>
      <c r="FII40" s="51"/>
      <c r="FIJ40" s="51"/>
      <c r="FIK40" s="51"/>
      <c r="FIL40" s="51"/>
      <c r="FIM40" s="51"/>
      <c r="FIN40" s="51"/>
      <c r="FIO40" s="51"/>
      <c r="FIP40" s="51"/>
      <c r="FIQ40" s="51"/>
      <c r="FIR40" s="51"/>
      <c r="FIS40" s="51"/>
      <c r="FIT40" s="51"/>
      <c r="FIU40" s="51"/>
      <c r="FIV40" s="51"/>
      <c r="FIW40" s="51"/>
      <c r="FIX40" s="51"/>
      <c r="FIY40" s="51"/>
      <c r="FIZ40" s="51"/>
      <c r="FJA40" s="51"/>
      <c r="FJB40" s="51"/>
      <c r="FJC40" s="51"/>
      <c r="FJD40" s="51"/>
      <c r="FJE40" s="51"/>
      <c r="FJF40" s="51"/>
      <c r="FJG40" s="51"/>
      <c r="FJH40" s="51"/>
      <c r="FJI40" s="51"/>
      <c r="FJJ40" s="51"/>
      <c r="FJK40" s="51"/>
      <c r="FJL40" s="51"/>
      <c r="FJM40" s="51"/>
      <c r="FJN40" s="51"/>
      <c r="FJO40" s="51"/>
      <c r="FJP40" s="51"/>
      <c r="FJQ40" s="51"/>
      <c r="FJR40" s="51"/>
      <c r="FJS40" s="51"/>
      <c r="FJT40" s="51"/>
      <c r="FJU40" s="51"/>
      <c r="FJV40" s="51"/>
      <c r="FJW40" s="51"/>
      <c r="FJX40" s="51"/>
      <c r="FJY40" s="51"/>
      <c r="FJZ40" s="51"/>
      <c r="FKA40" s="51"/>
      <c r="FKB40" s="51"/>
      <c r="FKC40" s="51"/>
      <c r="FKD40" s="51"/>
      <c r="FKE40" s="51"/>
      <c r="FKF40" s="51"/>
      <c r="FKG40" s="51"/>
      <c r="FKH40" s="51"/>
      <c r="FKI40" s="51"/>
      <c r="FKJ40" s="51"/>
      <c r="FKK40" s="51"/>
      <c r="FKL40" s="51"/>
      <c r="FKM40" s="51"/>
      <c r="FKN40" s="51"/>
      <c r="FKO40" s="51"/>
      <c r="FKP40" s="51"/>
      <c r="FKQ40" s="51"/>
      <c r="FKR40" s="51"/>
      <c r="FKS40" s="51"/>
      <c r="FKT40" s="51"/>
      <c r="FKU40" s="51"/>
      <c r="FKV40" s="51"/>
      <c r="FKW40" s="51"/>
      <c r="FKX40" s="51"/>
      <c r="FKY40" s="51"/>
      <c r="FKZ40" s="51"/>
      <c r="FLA40" s="51"/>
      <c r="FLB40" s="51"/>
      <c r="FLC40" s="51"/>
      <c r="FLD40" s="51"/>
      <c r="FLE40" s="51"/>
      <c r="FLF40" s="51"/>
      <c r="FLG40" s="51"/>
      <c r="FLH40" s="51"/>
      <c r="FLI40" s="51"/>
      <c r="FLJ40" s="51"/>
      <c r="FLK40" s="51"/>
      <c r="FLL40" s="51"/>
      <c r="FLM40" s="51"/>
      <c r="FLN40" s="51"/>
      <c r="FLO40" s="51"/>
      <c r="FLP40" s="51"/>
      <c r="FLQ40" s="51"/>
      <c r="FLR40" s="51"/>
      <c r="FLS40" s="51"/>
      <c r="FLT40" s="51"/>
      <c r="FLU40" s="51"/>
      <c r="FLV40" s="51"/>
      <c r="FLW40" s="51"/>
      <c r="FLX40" s="51"/>
      <c r="FLY40" s="51"/>
      <c r="FLZ40" s="51"/>
      <c r="FMA40" s="51"/>
      <c r="FMB40" s="51"/>
      <c r="FMC40" s="51"/>
      <c r="FMD40" s="51"/>
      <c r="FME40" s="51"/>
      <c r="FMF40" s="51"/>
      <c r="FMG40" s="51"/>
      <c r="FMH40" s="51"/>
      <c r="FMI40" s="51"/>
      <c r="FMJ40" s="51"/>
      <c r="FMK40" s="51"/>
      <c r="FML40" s="51"/>
      <c r="FMM40" s="51"/>
      <c r="FMN40" s="51"/>
      <c r="FMO40" s="51"/>
      <c r="FMP40" s="51"/>
      <c r="FMQ40" s="51"/>
      <c r="FMR40" s="51"/>
      <c r="FMS40" s="51"/>
      <c r="FMT40" s="51"/>
      <c r="FMU40" s="51"/>
      <c r="FMV40" s="51"/>
      <c r="FMW40" s="51"/>
      <c r="FMX40" s="51"/>
      <c r="FMY40" s="51"/>
      <c r="FMZ40" s="51"/>
      <c r="FNA40" s="51"/>
      <c r="FNB40" s="51"/>
      <c r="FNC40" s="51"/>
      <c r="FND40" s="51"/>
      <c r="FNE40" s="51"/>
      <c r="FNF40" s="51"/>
      <c r="FNG40" s="51"/>
      <c r="FNH40" s="51"/>
      <c r="FNI40" s="51"/>
      <c r="FNJ40" s="51"/>
      <c r="FNK40" s="51"/>
      <c r="FNL40" s="51"/>
      <c r="FNM40" s="51"/>
      <c r="FNN40" s="51"/>
      <c r="FNO40" s="51"/>
      <c r="FNP40" s="51"/>
      <c r="FNQ40" s="51"/>
      <c r="FNR40" s="51"/>
      <c r="FNS40" s="51"/>
      <c r="FNT40" s="51"/>
      <c r="FNU40" s="51"/>
      <c r="FNV40" s="51"/>
      <c r="FNW40" s="51"/>
      <c r="FNX40" s="51"/>
      <c r="FNY40" s="51"/>
      <c r="FNZ40" s="51"/>
      <c r="FOA40" s="51"/>
      <c r="FOB40" s="51"/>
      <c r="FOC40" s="51"/>
      <c r="FOD40" s="51"/>
      <c r="FOE40" s="51"/>
      <c r="FOF40" s="51"/>
      <c r="FOG40" s="51"/>
      <c r="FOH40" s="51"/>
      <c r="FOI40" s="51"/>
      <c r="FOJ40" s="51"/>
      <c r="FOK40" s="51"/>
      <c r="FOL40" s="51"/>
      <c r="FOM40" s="51"/>
      <c r="FON40" s="51"/>
      <c r="FOO40" s="51"/>
      <c r="FOP40" s="51"/>
      <c r="FOQ40" s="51"/>
      <c r="FOR40" s="51"/>
      <c r="FOS40" s="51"/>
      <c r="FOT40" s="51"/>
      <c r="FOU40" s="51"/>
      <c r="FOV40" s="51"/>
      <c r="FOW40" s="51"/>
      <c r="FOX40" s="51"/>
      <c r="FOY40" s="51"/>
      <c r="FOZ40" s="51"/>
      <c r="FPA40" s="51"/>
      <c r="FPB40" s="51"/>
      <c r="FPC40" s="51"/>
      <c r="FPD40" s="51"/>
      <c r="FPE40" s="51"/>
      <c r="FPF40" s="51"/>
      <c r="FPG40" s="51"/>
      <c r="FPH40" s="51"/>
      <c r="FPI40" s="51"/>
      <c r="FPJ40" s="51"/>
      <c r="FPK40" s="51"/>
      <c r="FPL40" s="51"/>
      <c r="FPM40" s="51"/>
      <c r="FPN40" s="51"/>
      <c r="FPO40" s="51"/>
      <c r="FPP40" s="51"/>
      <c r="FPQ40" s="51"/>
      <c r="FPR40" s="51"/>
      <c r="FPS40" s="51"/>
      <c r="FPT40" s="51"/>
      <c r="FPU40" s="51"/>
      <c r="FPV40" s="51"/>
      <c r="FPW40" s="51"/>
      <c r="FPX40" s="51"/>
      <c r="FPY40" s="51"/>
      <c r="FPZ40" s="51"/>
      <c r="FQA40" s="51"/>
      <c r="FQB40" s="51"/>
      <c r="FQC40" s="51"/>
      <c r="FQD40" s="51"/>
      <c r="FQE40" s="51"/>
      <c r="FQF40" s="51"/>
      <c r="FQG40" s="51"/>
      <c r="FQH40" s="51"/>
      <c r="FQI40" s="51"/>
      <c r="FQJ40" s="51"/>
      <c r="FQK40" s="51"/>
      <c r="FQL40" s="51"/>
      <c r="FQM40" s="51"/>
      <c r="FQN40" s="51"/>
      <c r="FQO40" s="51"/>
      <c r="FQP40" s="51"/>
      <c r="FQQ40" s="51"/>
      <c r="FQR40" s="51"/>
      <c r="FQS40" s="51"/>
      <c r="FQT40" s="51"/>
      <c r="FQU40" s="51"/>
      <c r="FQV40" s="51"/>
      <c r="FQW40" s="51"/>
      <c r="FQX40" s="51"/>
      <c r="FQY40" s="51"/>
      <c r="FQZ40" s="51"/>
      <c r="FRA40" s="51"/>
      <c r="FRB40" s="51"/>
      <c r="FRC40" s="51"/>
      <c r="FRD40" s="51"/>
      <c r="FRE40" s="51"/>
      <c r="FRF40" s="51"/>
      <c r="FRG40" s="51"/>
      <c r="FRH40" s="51"/>
      <c r="FRI40" s="51"/>
      <c r="FRJ40" s="51"/>
      <c r="FRK40" s="51"/>
      <c r="FRL40" s="51"/>
      <c r="FRM40" s="51"/>
      <c r="FRN40" s="51"/>
      <c r="FRO40" s="51"/>
      <c r="FRP40" s="51"/>
      <c r="FRQ40" s="51"/>
      <c r="FRR40" s="51"/>
      <c r="FRS40" s="51"/>
      <c r="FRT40" s="51"/>
      <c r="FRU40" s="51"/>
      <c r="FRV40" s="51"/>
      <c r="FRW40" s="51"/>
      <c r="FRX40" s="51"/>
      <c r="FRY40" s="51"/>
      <c r="FRZ40" s="51"/>
      <c r="FSA40" s="51"/>
      <c r="FSB40" s="51"/>
      <c r="FSC40" s="51"/>
      <c r="FSD40" s="51"/>
      <c r="FSE40" s="51"/>
      <c r="FSF40" s="51"/>
      <c r="FSG40" s="51"/>
      <c r="FSH40" s="51"/>
      <c r="FSI40" s="51"/>
      <c r="FSJ40" s="51"/>
      <c r="FSK40" s="51"/>
      <c r="FSL40" s="51"/>
      <c r="FSM40" s="51"/>
      <c r="FSN40" s="51"/>
      <c r="FSO40" s="51"/>
      <c r="FSP40" s="51"/>
      <c r="FSQ40" s="51"/>
      <c r="FSR40" s="51"/>
      <c r="FSS40" s="51"/>
      <c r="FST40" s="51"/>
      <c r="FSU40" s="51"/>
      <c r="FSV40" s="51"/>
      <c r="FSW40" s="51"/>
      <c r="FSX40" s="51"/>
      <c r="FSY40" s="51"/>
      <c r="FSZ40" s="51"/>
      <c r="FTA40" s="51"/>
      <c r="FTB40" s="51"/>
      <c r="FTC40" s="51"/>
      <c r="FTD40" s="51"/>
      <c r="FTE40" s="51"/>
      <c r="FTF40" s="51"/>
      <c r="FTG40" s="51"/>
      <c r="FTH40" s="51"/>
      <c r="FTI40" s="51"/>
      <c r="FTJ40" s="51"/>
      <c r="FTK40" s="51"/>
      <c r="FTL40" s="51"/>
      <c r="FTM40" s="51"/>
      <c r="FTN40" s="51"/>
      <c r="FTO40" s="51"/>
      <c r="FTP40" s="51"/>
      <c r="FTQ40" s="51"/>
      <c r="FTR40" s="51"/>
      <c r="FTS40" s="51"/>
      <c r="FTT40" s="51"/>
      <c r="FTU40" s="51"/>
      <c r="FTV40" s="51"/>
      <c r="FTW40" s="51"/>
      <c r="FTX40" s="51"/>
      <c r="FTY40" s="51"/>
      <c r="FTZ40" s="51"/>
      <c r="FUA40" s="51"/>
      <c r="FUB40" s="51"/>
      <c r="FUC40" s="51"/>
      <c r="FUD40" s="51"/>
      <c r="FUE40" s="51"/>
      <c r="FUF40" s="51"/>
      <c r="FUG40" s="51"/>
      <c r="FUH40" s="51"/>
      <c r="FUI40" s="51"/>
      <c r="FUJ40" s="51"/>
      <c r="FUK40" s="51"/>
      <c r="FUL40" s="51"/>
      <c r="FUM40" s="51"/>
      <c r="FUN40" s="51"/>
      <c r="FUO40" s="51"/>
      <c r="FUP40" s="51"/>
      <c r="FUQ40" s="51"/>
      <c r="FUR40" s="51"/>
      <c r="FUS40" s="51"/>
      <c r="FUT40" s="51"/>
      <c r="FUU40" s="51"/>
      <c r="FUV40" s="51"/>
      <c r="FUW40" s="51"/>
      <c r="FUX40" s="51"/>
      <c r="FUY40" s="51"/>
      <c r="FUZ40" s="51"/>
      <c r="FVA40" s="51"/>
      <c r="FVB40" s="51"/>
      <c r="FVC40" s="51"/>
      <c r="FVD40" s="51"/>
      <c r="FVE40" s="51"/>
      <c r="FVF40" s="51"/>
      <c r="FVG40" s="51"/>
      <c r="FVH40" s="51"/>
      <c r="FVI40" s="51"/>
      <c r="FVJ40" s="51"/>
      <c r="FVK40" s="51"/>
      <c r="FVL40" s="51"/>
      <c r="FVM40" s="51"/>
      <c r="FVN40" s="51"/>
      <c r="FVO40" s="51"/>
      <c r="FVP40" s="51"/>
      <c r="FVQ40" s="51"/>
      <c r="FVR40" s="51"/>
      <c r="FVS40" s="51"/>
      <c r="FVT40" s="51"/>
      <c r="FVU40" s="51"/>
      <c r="FVV40" s="51"/>
      <c r="FVW40" s="51"/>
      <c r="FVX40" s="51"/>
      <c r="FVY40" s="51"/>
      <c r="FVZ40" s="51"/>
      <c r="FWA40" s="51"/>
      <c r="FWB40" s="51"/>
      <c r="FWC40" s="51"/>
      <c r="FWD40" s="51"/>
      <c r="FWE40" s="51"/>
      <c r="FWF40" s="51"/>
      <c r="FWG40" s="51"/>
      <c r="FWH40" s="51"/>
      <c r="FWI40" s="51"/>
      <c r="FWJ40" s="51"/>
      <c r="FWK40" s="51"/>
      <c r="FWL40" s="51"/>
      <c r="FWM40" s="51"/>
      <c r="FWN40" s="51"/>
      <c r="FWO40" s="51"/>
      <c r="FWP40" s="51"/>
      <c r="FWQ40" s="51"/>
      <c r="FWR40" s="51"/>
      <c r="FWS40" s="51"/>
      <c r="FWT40" s="51"/>
      <c r="FWU40" s="51"/>
      <c r="FWV40" s="51"/>
      <c r="FWW40" s="51"/>
      <c r="FWX40" s="51"/>
      <c r="FWY40" s="51"/>
      <c r="FWZ40" s="51"/>
      <c r="FXA40" s="51"/>
      <c r="FXB40" s="51"/>
      <c r="FXC40" s="51"/>
      <c r="FXD40" s="51"/>
      <c r="FXE40" s="51"/>
      <c r="FXF40" s="51"/>
      <c r="FXG40" s="51"/>
      <c r="FXH40" s="51"/>
      <c r="FXI40" s="51"/>
      <c r="FXJ40" s="51"/>
      <c r="FXK40" s="51"/>
      <c r="FXL40" s="51"/>
      <c r="FXM40" s="51"/>
      <c r="FXN40" s="51"/>
      <c r="FXO40" s="51"/>
      <c r="FXP40" s="51"/>
      <c r="FXQ40" s="51"/>
      <c r="FXR40" s="51"/>
      <c r="FXS40" s="51"/>
      <c r="FXT40" s="51"/>
      <c r="FXU40" s="51"/>
      <c r="FXV40" s="51"/>
      <c r="FXW40" s="51"/>
      <c r="FXX40" s="51"/>
      <c r="FXY40" s="51"/>
      <c r="FXZ40" s="51"/>
      <c r="FYA40" s="51"/>
      <c r="FYB40" s="51"/>
      <c r="FYC40" s="51"/>
      <c r="FYD40" s="51"/>
      <c r="FYE40" s="51"/>
      <c r="FYF40" s="51"/>
      <c r="FYG40" s="51"/>
      <c r="FYH40" s="51"/>
      <c r="FYI40" s="51"/>
      <c r="FYJ40" s="51"/>
      <c r="FYK40" s="51"/>
      <c r="FYL40" s="51"/>
      <c r="FYM40" s="51"/>
      <c r="FYN40" s="51"/>
      <c r="FYO40" s="51"/>
      <c r="FYP40" s="51"/>
      <c r="FYQ40" s="51"/>
      <c r="FYR40" s="51"/>
      <c r="FYS40" s="51"/>
      <c r="FYT40" s="51"/>
      <c r="FYU40" s="51"/>
      <c r="FYV40" s="51"/>
      <c r="FYW40" s="51"/>
      <c r="FYX40" s="51"/>
      <c r="FYY40" s="51"/>
      <c r="FYZ40" s="51"/>
      <c r="FZA40" s="51"/>
      <c r="FZB40" s="51"/>
      <c r="FZC40" s="51"/>
      <c r="FZD40" s="51"/>
      <c r="FZE40" s="51"/>
      <c r="FZF40" s="51"/>
      <c r="FZG40" s="51"/>
      <c r="FZH40" s="51"/>
      <c r="FZI40" s="51"/>
      <c r="FZJ40" s="51"/>
      <c r="FZK40" s="51"/>
      <c r="FZL40" s="51"/>
      <c r="FZM40" s="51"/>
      <c r="FZN40" s="51"/>
      <c r="FZO40" s="51"/>
      <c r="FZP40" s="51"/>
      <c r="FZQ40" s="51"/>
      <c r="FZR40" s="51"/>
      <c r="FZS40" s="51"/>
      <c r="FZT40" s="51"/>
      <c r="FZU40" s="51"/>
      <c r="FZV40" s="51"/>
      <c r="FZW40" s="51"/>
      <c r="FZX40" s="51"/>
      <c r="FZY40" s="51"/>
      <c r="FZZ40" s="51"/>
      <c r="GAA40" s="51"/>
      <c r="GAB40" s="51"/>
      <c r="GAC40" s="51"/>
      <c r="GAD40" s="51"/>
      <c r="GAE40" s="51"/>
      <c r="GAF40" s="51"/>
      <c r="GAG40" s="51"/>
      <c r="GAH40" s="51"/>
      <c r="GAI40" s="51"/>
      <c r="GAJ40" s="51"/>
      <c r="GAK40" s="51"/>
      <c r="GAL40" s="51"/>
      <c r="GAM40" s="51"/>
      <c r="GAN40" s="51"/>
      <c r="GAO40" s="51"/>
      <c r="GAP40" s="51"/>
      <c r="GAQ40" s="51"/>
      <c r="GAR40" s="51"/>
      <c r="GAS40" s="51"/>
      <c r="GAT40" s="51"/>
      <c r="GAU40" s="51"/>
      <c r="GAV40" s="51"/>
      <c r="GAW40" s="51"/>
      <c r="GAX40" s="51"/>
      <c r="GAY40" s="51"/>
      <c r="GAZ40" s="51"/>
      <c r="GBA40" s="51"/>
      <c r="GBB40" s="51"/>
      <c r="GBC40" s="51"/>
      <c r="GBD40" s="51"/>
      <c r="GBE40" s="51"/>
      <c r="GBF40" s="51"/>
      <c r="GBG40" s="51"/>
      <c r="GBH40" s="51"/>
      <c r="GBI40" s="51"/>
      <c r="GBJ40" s="51"/>
      <c r="GBK40" s="51"/>
      <c r="GBL40" s="51"/>
      <c r="GBM40" s="51"/>
      <c r="GBN40" s="51"/>
      <c r="GBO40" s="51"/>
      <c r="GBP40" s="51"/>
      <c r="GBQ40" s="51"/>
      <c r="GBR40" s="51"/>
      <c r="GBS40" s="51"/>
      <c r="GBT40" s="51"/>
      <c r="GBU40" s="51"/>
      <c r="GBV40" s="51"/>
      <c r="GBW40" s="51"/>
      <c r="GBX40" s="51"/>
      <c r="GBY40" s="51"/>
      <c r="GBZ40" s="51"/>
      <c r="GCA40" s="51"/>
      <c r="GCB40" s="51"/>
      <c r="GCC40" s="51"/>
      <c r="GCD40" s="51"/>
      <c r="GCE40" s="51"/>
      <c r="GCF40" s="51"/>
      <c r="GCG40" s="51"/>
      <c r="GCH40" s="51"/>
      <c r="GCI40" s="51"/>
      <c r="GCJ40" s="51"/>
      <c r="GCK40" s="51"/>
      <c r="GCL40" s="51"/>
      <c r="GCM40" s="51"/>
      <c r="GCN40" s="51"/>
      <c r="GCO40" s="51"/>
      <c r="GCP40" s="51"/>
      <c r="GCQ40" s="51"/>
      <c r="GCR40" s="51"/>
      <c r="GCS40" s="51"/>
      <c r="GCT40" s="51"/>
      <c r="GCU40" s="51"/>
      <c r="GCV40" s="51"/>
      <c r="GCW40" s="51"/>
      <c r="GCX40" s="51"/>
      <c r="GCY40" s="51"/>
      <c r="GCZ40" s="51"/>
      <c r="GDA40" s="51"/>
      <c r="GDB40" s="51"/>
      <c r="GDC40" s="51"/>
      <c r="GDD40" s="51"/>
      <c r="GDE40" s="51"/>
      <c r="GDF40" s="51"/>
      <c r="GDG40" s="51"/>
      <c r="GDH40" s="51"/>
      <c r="GDI40" s="51"/>
      <c r="GDJ40" s="51"/>
      <c r="GDK40" s="51"/>
      <c r="GDL40" s="51"/>
      <c r="GDM40" s="51"/>
      <c r="GDN40" s="51"/>
      <c r="GDO40" s="51"/>
      <c r="GDP40" s="51"/>
      <c r="GDQ40" s="51"/>
      <c r="GDR40" s="51"/>
      <c r="GDS40" s="51"/>
      <c r="GDT40" s="51"/>
      <c r="GDU40" s="51"/>
      <c r="GDV40" s="51"/>
      <c r="GDW40" s="51"/>
      <c r="GDX40" s="51"/>
      <c r="GDY40" s="51"/>
      <c r="GDZ40" s="51"/>
      <c r="GEA40" s="51"/>
      <c r="GEB40" s="51"/>
      <c r="GEC40" s="51"/>
      <c r="GED40" s="51"/>
      <c r="GEE40" s="51"/>
      <c r="GEF40" s="51"/>
      <c r="GEG40" s="51"/>
      <c r="GEH40" s="51"/>
      <c r="GEI40" s="51"/>
      <c r="GEJ40" s="51"/>
      <c r="GEK40" s="51"/>
      <c r="GEL40" s="51"/>
      <c r="GEM40" s="51"/>
      <c r="GEN40" s="51"/>
      <c r="GEO40" s="51"/>
      <c r="GEP40" s="51"/>
      <c r="GEQ40" s="51"/>
      <c r="GER40" s="51"/>
      <c r="GES40" s="51"/>
      <c r="GET40" s="51"/>
      <c r="GEU40" s="51"/>
      <c r="GEV40" s="51"/>
      <c r="GEW40" s="51"/>
      <c r="GEX40" s="51"/>
      <c r="GEY40" s="51"/>
      <c r="GEZ40" s="51"/>
      <c r="GFA40" s="51"/>
      <c r="GFB40" s="51"/>
      <c r="GFC40" s="51"/>
      <c r="GFD40" s="51"/>
      <c r="GFE40" s="51"/>
      <c r="GFF40" s="51"/>
      <c r="GFG40" s="51"/>
      <c r="GFH40" s="51"/>
      <c r="GFI40" s="51"/>
      <c r="GFJ40" s="51"/>
      <c r="GFK40" s="51"/>
      <c r="GFL40" s="51"/>
      <c r="GFM40" s="51"/>
      <c r="GFN40" s="51"/>
      <c r="GFO40" s="51"/>
      <c r="GFP40" s="51"/>
      <c r="GFQ40" s="51"/>
      <c r="GFR40" s="51"/>
      <c r="GFS40" s="51"/>
      <c r="GFT40" s="51"/>
      <c r="GFU40" s="51"/>
      <c r="GFV40" s="51"/>
      <c r="GFW40" s="51"/>
      <c r="GFX40" s="51"/>
      <c r="GFY40" s="51"/>
      <c r="GFZ40" s="51"/>
      <c r="GGA40" s="51"/>
      <c r="GGB40" s="51"/>
      <c r="GGC40" s="51"/>
      <c r="GGD40" s="51"/>
      <c r="GGE40" s="51"/>
      <c r="GGF40" s="51"/>
      <c r="GGG40" s="51"/>
      <c r="GGH40" s="51"/>
      <c r="GGI40" s="51"/>
      <c r="GGJ40" s="51"/>
      <c r="GGK40" s="51"/>
      <c r="GGL40" s="51"/>
      <c r="GGM40" s="51"/>
      <c r="GGN40" s="51"/>
      <c r="GGO40" s="51"/>
      <c r="GGP40" s="51"/>
      <c r="GGQ40" s="51"/>
      <c r="GGR40" s="51"/>
      <c r="GGS40" s="51"/>
      <c r="GGT40" s="51"/>
      <c r="GGU40" s="51"/>
      <c r="GGV40" s="51"/>
      <c r="GGW40" s="51"/>
      <c r="GGX40" s="51"/>
      <c r="GGY40" s="51"/>
      <c r="GGZ40" s="51"/>
      <c r="GHA40" s="51"/>
      <c r="GHB40" s="51"/>
      <c r="GHC40" s="51"/>
      <c r="GHD40" s="51"/>
      <c r="GHE40" s="51"/>
      <c r="GHF40" s="51"/>
      <c r="GHG40" s="51"/>
      <c r="GHH40" s="51"/>
      <c r="GHI40" s="51"/>
      <c r="GHJ40" s="51"/>
      <c r="GHK40" s="51"/>
      <c r="GHL40" s="51"/>
      <c r="GHM40" s="51"/>
      <c r="GHN40" s="51"/>
      <c r="GHO40" s="51"/>
      <c r="GHP40" s="51"/>
      <c r="GHQ40" s="51"/>
      <c r="GHR40" s="51"/>
      <c r="GHS40" s="51"/>
      <c r="GHT40" s="51"/>
      <c r="GHU40" s="51"/>
      <c r="GHV40" s="51"/>
      <c r="GHW40" s="51"/>
      <c r="GHX40" s="51"/>
      <c r="GHY40" s="51"/>
      <c r="GHZ40" s="51"/>
      <c r="GIA40" s="51"/>
      <c r="GIB40" s="51"/>
      <c r="GIC40" s="51"/>
      <c r="GID40" s="51"/>
      <c r="GIE40" s="51"/>
      <c r="GIF40" s="51"/>
      <c r="GIG40" s="51"/>
      <c r="GIH40" s="51"/>
      <c r="GII40" s="51"/>
      <c r="GIJ40" s="51"/>
      <c r="GIK40" s="51"/>
      <c r="GIL40" s="51"/>
      <c r="GIM40" s="51"/>
      <c r="GIN40" s="51"/>
      <c r="GIO40" s="51"/>
      <c r="GIP40" s="51"/>
      <c r="GIQ40" s="51"/>
      <c r="GIR40" s="51"/>
      <c r="GIS40" s="51"/>
      <c r="GIT40" s="51"/>
      <c r="GIU40" s="51"/>
      <c r="GIV40" s="51"/>
      <c r="GIW40" s="51"/>
      <c r="GIX40" s="51"/>
      <c r="GIY40" s="51"/>
      <c r="GIZ40" s="51"/>
      <c r="GJA40" s="51"/>
      <c r="GJB40" s="51"/>
      <c r="GJC40" s="51"/>
      <c r="GJD40" s="51"/>
      <c r="GJE40" s="51"/>
      <c r="GJF40" s="51"/>
      <c r="GJG40" s="51"/>
      <c r="GJH40" s="51"/>
      <c r="GJI40" s="51"/>
      <c r="GJJ40" s="51"/>
      <c r="GJK40" s="51"/>
      <c r="GJL40" s="51"/>
      <c r="GJM40" s="51"/>
      <c r="GJN40" s="51"/>
      <c r="GJO40" s="51"/>
      <c r="GJP40" s="51"/>
      <c r="GJQ40" s="51"/>
      <c r="GJR40" s="51"/>
      <c r="GJS40" s="51"/>
      <c r="GJT40" s="51"/>
      <c r="GJU40" s="51"/>
      <c r="GJV40" s="51"/>
      <c r="GJW40" s="51"/>
      <c r="GJX40" s="51"/>
      <c r="GJY40" s="51"/>
      <c r="GJZ40" s="51"/>
      <c r="GKA40" s="51"/>
      <c r="GKB40" s="51"/>
      <c r="GKC40" s="51"/>
      <c r="GKD40" s="51"/>
      <c r="GKE40" s="51"/>
      <c r="GKF40" s="51"/>
      <c r="GKG40" s="51"/>
      <c r="GKH40" s="51"/>
      <c r="GKI40" s="51"/>
      <c r="GKJ40" s="51"/>
      <c r="GKK40" s="51"/>
      <c r="GKL40" s="51"/>
      <c r="GKM40" s="51"/>
      <c r="GKN40" s="51"/>
      <c r="GKO40" s="51"/>
      <c r="GKP40" s="51"/>
      <c r="GKQ40" s="51"/>
      <c r="GKR40" s="51"/>
      <c r="GKS40" s="51"/>
      <c r="GKT40" s="51"/>
      <c r="GKU40" s="51"/>
      <c r="GKV40" s="51"/>
      <c r="GKW40" s="51"/>
      <c r="GKX40" s="51"/>
      <c r="GKY40" s="51"/>
      <c r="GKZ40" s="51"/>
      <c r="GLA40" s="51"/>
      <c r="GLB40" s="51"/>
      <c r="GLC40" s="51"/>
      <c r="GLD40" s="51"/>
      <c r="GLE40" s="51"/>
      <c r="GLF40" s="51"/>
      <c r="GLG40" s="51"/>
      <c r="GLH40" s="51"/>
      <c r="GLI40" s="51"/>
      <c r="GLJ40" s="51"/>
      <c r="GLK40" s="51"/>
      <c r="GLL40" s="51"/>
      <c r="GLM40" s="51"/>
      <c r="GLN40" s="51"/>
      <c r="GLO40" s="51"/>
      <c r="GLP40" s="51"/>
      <c r="GLQ40" s="51"/>
      <c r="GLR40" s="51"/>
      <c r="GLS40" s="51"/>
      <c r="GLT40" s="51"/>
      <c r="GLU40" s="51"/>
      <c r="GLV40" s="51"/>
      <c r="GLW40" s="51"/>
      <c r="GLX40" s="51"/>
      <c r="GLY40" s="51"/>
      <c r="GLZ40" s="51"/>
      <c r="GMA40" s="51"/>
      <c r="GMB40" s="51"/>
      <c r="GMC40" s="51"/>
      <c r="GMD40" s="51"/>
      <c r="GME40" s="51"/>
      <c r="GMF40" s="51"/>
      <c r="GMG40" s="51"/>
      <c r="GMH40" s="51"/>
      <c r="GMI40" s="51"/>
      <c r="GMJ40" s="51"/>
      <c r="GMK40" s="51"/>
      <c r="GML40" s="51"/>
      <c r="GMM40" s="51"/>
      <c r="GMN40" s="51"/>
      <c r="GMO40" s="51"/>
      <c r="GMP40" s="51"/>
      <c r="GMQ40" s="51"/>
      <c r="GMR40" s="51"/>
      <c r="GMS40" s="51"/>
      <c r="GMT40" s="51"/>
      <c r="GMU40" s="51"/>
      <c r="GMV40" s="51"/>
      <c r="GMW40" s="51"/>
      <c r="GMX40" s="51"/>
      <c r="GMY40" s="51"/>
      <c r="GMZ40" s="51"/>
      <c r="GNA40" s="51"/>
      <c r="GNB40" s="51"/>
      <c r="GNC40" s="51"/>
      <c r="GND40" s="51"/>
      <c r="GNE40" s="51"/>
      <c r="GNF40" s="51"/>
      <c r="GNG40" s="51"/>
      <c r="GNH40" s="51"/>
      <c r="GNI40" s="51"/>
      <c r="GNJ40" s="51"/>
      <c r="GNK40" s="51"/>
      <c r="GNL40" s="51"/>
      <c r="GNM40" s="51"/>
      <c r="GNN40" s="51"/>
      <c r="GNO40" s="51"/>
      <c r="GNP40" s="51"/>
      <c r="GNQ40" s="51"/>
      <c r="GNR40" s="51"/>
      <c r="GNS40" s="51"/>
      <c r="GNT40" s="51"/>
      <c r="GNU40" s="51"/>
      <c r="GNV40" s="51"/>
      <c r="GNW40" s="51"/>
      <c r="GNX40" s="51"/>
      <c r="GNY40" s="51"/>
      <c r="GNZ40" s="51"/>
      <c r="GOA40" s="51"/>
      <c r="GOB40" s="51"/>
      <c r="GOC40" s="51"/>
      <c r="GOD40" s="51"/>
      <c r="GOE40" s="51"/>
      <c r="GOF40" s="51"/>
      <c r="GOG40" s="51"/>
      <c r="GOH40" s="51"/>
      <c r="GOI40" s="51"/>
      <c r="GOJ40" s="51"/>
      <c r="GOK40" s="51"/>
      <c r="GOL40" s="51"/>
      <c r="GOM40" s="51"/>
      <c r="GON40" s="51"/>
      <c r="GOO40" s="51"/>
      <c r="GOP40" s="51"/>
      <c r="GOQ40" s="51"/>
      <c r="GOR40" s="51"/>
      <c r="GOS40" s="51"/>
      <c r="GOT40" s="51"/>
      <c r="GOU40" s="51"/>
      <c r="GOV40" s="51"/>
      <c r="GOW40" s="51"/>
      <c r="GOX40" s="51"/>
      <c r="GOY40" s="51"/>
      <c r="GOZ40" s="51"/>
      <c r="GPA40" s="51"/>
      <c r="GPB40" s="51"/>
      <c r="GPC40" s="51"/>
      <c r="GPD40" s="51"/>
      <c r="GPE40" s="51"/>
      <c r="GPF40" s="51"/>
      <c r="GPG40" s="51"/>
      <c r="GPH40" s="51"/>
      <c r="GPI40" s="51"/>
      <c r="GPJ40" s="51"/>
      <c r="GPK40" s="51"/>
      <c r="GPL40" s="51"/>
      <c r="GPM40" s="51"/>
      <c r="GPN40" s="51"/>
      <c r="GPO40" s="51"/>
      <c r="GPP40" s="51"/>
      <c r="GPQ40" s="51"/>
      <c r="GPR40" s="51"/>
      <c r="GPS40" s="51"/>
      <c r="GPT40" s="51"/>
      <c r="GPU40" s="51"/>
      <c r="GPV40" s="51"/>
      <c r="GPW40" s="51"/>
      <c r="GPX40" s="51"/>
      <c r="GPY40" s="51"/>
      <c r="GPZ40" s="51"/>
      <c r="GQA40" s="51"/>
      <c r="GQB40" s="51"/>
      <c r="GQC40" s="51"/>
      <c r="GQD40" s="51"/>
      <c r="GQE40" s="51"/>
      <c r="GQF40" s="51"/>
      <c r="GQG40" s="51"/>
      <c r="GQH40" s="51"/>
      <c r="GQI40" s="51"/>
      <c r="GQJ40" s="51"/>
      <c r="GQK40" s="51"/>
      <c r="GQL40" s="51"/>
      <c r="GQM40" s="51"/>
      <c r="GQN40" s="51"/>
      <c r="GQO40" s="51"/>
      <c r="GQP40" s="51"/>
      <c r="GQQ40" s="51"/>
      <c r="GQR40" s="51"/>
      <c r="GQS40" s="51"/>
      <c r="GQT40" s="51"/>
      <c r="GQU40" s="51"/>
      <c r="GQV40" s="51"/>
      <c r="GQW40" s="51"/>
      <c r="GQX40" s="51"/>
      <c r="GQY40" s="51"/>
      <c r="GQZ40" s="51"/>
      <c r="GRA40" s="51"/>
      <c r="GRB40" s="51"/>
      <c r="GRC40" s="51"/>
      <c r="GRD40" s="51"/>
      <c r="GRE40" s="51"/>
      <c r="GRF40" s="51"/>
      <c r="GRG40" s="51"/>
      <c r="GRH40" s="51"/>
      <c r="GRI40" s="51"/>
      <c r="GRJ40" s="51"/>
      <c r="GRK40" s="51"/>
      <c r="GRL40" s="51"/>
      <c r="GRM40" s="51"/>
      <c r="GRN40" s="51"/>
      <c r="GRO40" s="51"/>
      <c r="GRP40" s="51"/>
      <c r="GRQ40" s="51"/>
      <c r="GRR40" s="51"/>
      <c r="GRS40" s="51"/>
      <c r="GRT40" s="51"/>
      <c r="GRU40" s="51"/>
      <c r="GRV40" s="51"/>
      <c r="GRW40" s="51"/>
      <c r="GRX40" s="51"/>
      <c r="GRY40" s="51"/>
      <c r="GRZ40" s="51"/>
      <c r="GSA40" s="51"/>
      <c r="GSB40" s="51"/>
      <c r="GSC40" s="51"/>
      <c r="GSD40" s="51"/>
      <c r="GSE40" s="51"/>
      <c r="GSF40" s="51"/>
      <c r="GSG40" s="51"/>
      <c r="GSH40" s="51"/>
      <c r="GSI40" s="51"/>
      <c r="GSJ40" s="51"/>
      <c r="GSK40" s="51"/>
      <c r="GSL40" s="51"/>
      <c r="GSM40" s="51"/>
      <c r="GSN40" s="51"/>
      <c r="GSO40" s="51"/>
      <c r="GSP40" s="51"/>
      <c r="GSQ40" s="51"/>
      <c r="GSR40" s="51"/>
      <c r="GSS40" s="51"/>
      <c r="GST40" s="51"/>
      <c r="GSU40" s="51"/>
      <c r="GSV40" s="51"/>
      <c r="GSW40" s="51"/>
      <c r="GSX40" s="51"/>
      <c r="GSY40" s="51"/>
      <c r="GSZ40" s="51"/>
      <c r="GTA40" s="51"/>
      <c r="GTB40" s="51"/>
      <c r="GTC40" s="51"/>
      <c r="GTD40" s="51"/>
      <c r="GTE40" s="51"/>
      <c r="GTF40" s="51"/>
      <c r="GTG40" s="51"/>
      <c r="GTH40" s="51"/>
      <c r="GTI40" s="51"/>
      <c r="GTJ40" s="51"/>
      <c r="GTK40" s="51"/>
      <c r="GTL40" s="51"/>
      <c r="GTM40" s="51"/>
      <c r="GTN40" s="51"/>
      <c r="GTO40" s="51"/>
      <c r="GTP40" s="51"/>
      <c r="GTQ40" s="51"/>
      <c r="GTR40" s="51"/>
      <c r="GTS40" s="51"/>
      <c r="GTT40" s="51"/>
      <c r="GTU40" s="51"/>
      <c r="GTV40" s="51"/>
      <c r="GTW40" s="51"/>
      <c r="GTX40" s="51"/>
      <c r="GTY40" s="51"/>
      <c r="GTZ40" s="51"/>
      <c r="GUA40" s="51"/>
      <c r="GUB40" s="51"/>
      <c r="GUC40" s="51"/>
      <c r="GUD40" s="51"/>
      <c r="GUE40" s="51"/>
      <c r="GUF40" s="51"/>
      <c r="GUG40" s="51"/>
      <c r="GUH40" s="51"/>
      <c r="GUI40" s="51"/>
      <c r="GUJ40" s="51"/>
      <c r="GUK40" s="51"/>
      <c r="GUL40" s="51"/>
      <c r="GUM40" s="51"/>
      <c r="GUN40" s="51"/>
      <c r="GUO40" s="51"/>
      <c r="GUP40" s="51"/>
      <c r="GUQ40" s="51"/>
      <c r="GUR40" s="51"/>
      <c r="GUS40" s="51"/>
      <c r="GUT40" s="51"/>
      <c r="GUU40" s="51"/>
      <c r="GUV40" s="51"/>
      <c r="GUW40" s="51"/>
      <c r="GUX40" s="51"/>
      <c r="GUY40" s="51"/>
      <c r="GUZ40" s="51"/>
      <c r="GVA40" s="51"/>
      <c r="GVB40" s="51"/>
      <c r="GVC40" s="51"/>
      <c r="GVD40" s="51"/>
      <c r="GVE40" s="51"/>
      <c r="GVF40" s="51"/>
      <c r="GVG40" s="51"/>
      <c r="GVH40" s="51"/>
      <c r="GVI40" s="51"/>
      <c r="GVJ40" s="51"/>
      <c r="GVK40" s="51"/>
      <c r="GVL40" s="51"/>
      <c r="GVM40" s="51"/>
      <c r="GVN40" s="51"/>
      <c r="GVO40" s="51"/>
      <c r="GVP40" s="51"/>
      <c r="GVQ40" s="51"/>
      <c r="GVR40" s="51"/>
      <c r="GVS40" s="51"/>
      <c r="GVT40" s="51"/>
      <c r="GVU40" s="51"/>
      <c r="GVV40" s="51"/>
      <c r="GVW40" s="51"/>
      <c r="GVX40" s="51"/>
      <c r="GVY40" s="51"/>
      <c r="GVZ40" s="51"/>
      <c r="GWA40" s="51"/>
      <c r="GWB40" s="51"/>
      <c r="GWC40" s="51"/>
      <c r="GWD40" s="51"/>
      <c r="GWE40" s="51"/>
      <c r="GWF40" s="51"/>
      <c r="GWG40" s="51"/>
      <c r="GWH40" s="51"/>
      <c r="GWI40" s="51"/>
      <c r="GWJ40" s="51"/>
      <c r="GWK40" s="51"/>
      <c r="GWL40" s="51"/>
      <c r="GWM40" s="51"/>
      <c r="GWN40" s="51"/>
      <c r="GWO40" s="51"/>
      <c r="GWP40" s="51"/>
      <c r="GWQ40" s="51"/>
      <c r="GWR40" s="51"/>
      <c r="GWS40" s="51"/>
      <c r="GWT40" s="51"/>
      <c r="GWU40" s="51"/>
      <c r="GWV40" s="51"/>
      <c r="GWW40" s="51"/>
      <c r="GWX40" s="51"/>
      <c r="GWY40" s="51"/>
      <c r="GWZ40" s="51"/>
      <c r="GXA40" s="51"/>
      <c r="GXB40" s="51"/>
      <c r="GXC40" s="51"/>
      <c r="GXD40" s="51"/>
      <c r="GXE40" s="51"/>
      <c r="GXF40" s="51"/>
      <c r="GXG40" s="51"/>
      <c r="GXH40" s="51"/>
      <c r="GXI40" s="51"/>
      <c r="GXJ40" s="51"/>
      <c r="GXK40" s="51"/>
      <c r="GXL40" s="51"/>
      <c r="GXM40" s="51"/>
      <c r="GXN40" s="51"/>
      <c r="GXO40" s="51"/>
      <c r="GXP40" s="51"/>
      <c r="GXQ40" s="51"/>
      <c r="GXR40" s="51"/>
      <c r="GXS40" s="51"/>
      <c r="GXT40" s="51"/>
      <c r="GXU40" s="51"/>
      <c r="GXV40" s="51"/>
      <c r="GXW40" s="51"/>
      <c r="GXX40" s="51"/>
      <c r="GXY40" s="51"/>
      <c r="GXZ40" s="51"/>
      <c r="GYA40" s="51"/>
      <c r="GYB40" s="51"/>
      <c r="GYC40" s="51"/>
      <c r="GYD40" s="51"/>
      <c r="GYE40" s="51"/>
      <c r="GYF40" s="51"/>
      <c r="GYG40" s="51"/>
      <c r="GYH40" s="51"/>
      <c r="GYI40" s="51"/>
      <c r="GYJ40" s="51"/>
      <c r="GYK40" s="51"/>
      <c r="GYL40" s="51"/>
      <c r="GYM40" s="51"/>
      <c r="GYN40" s="51"/>
      <c r="GYO40" s="51"/>
      <c r="GYP40" s="51"/>
      <c r="GYQ40" s="51"/>
      <c r="GYR40" s="51"/>
      <c r="GYS40" s="51"/>
      <c r="GYT40" s="51"/>
      <c r="GYU40" s="51"/>
      <c r="GYV40" s="51"/>
      <c r="GYW40" s="51"/>
      <c r="GYX40" s="51"/>
      <c r="GYY40" s="51"/>
      <c r="GYZ40" s="51"/>
      <c r="GZA40" s="51"/>
      <c r="GZB40" s="51"/>
      <c r="GZC40" s="51"/>
      <c r="GZD40" s="51"/>
      <c r="GZE40" s="51"/>
      <c r="GZF40" s="51"/>
      <c r="GZG40" s="51"/>
      <c r="GZH40" s="51"/>
      <c r="GZI40" s="51"/>
      <c r="GZJ40" s="51"/>
      <c r="GZK40" s="51"/>
      <c r="GZL40" s="51"/>
      <c r="GZM40" s="51"/>
      <c r="GZN40" s="51"/>
      <c r="GZO40" s="51"/>
      <c r="GZP40" s="51"/>
      <c r="GZQ40" s="51"/>
      <c r="GZR40" s="51"/>
      <c r="GZS40" s="51"/>
      <c r="GZT40" s="51"/>
      <c r="GZU40" s="51"/>
      <c r="GZV40" s="51"/>
      <c r="GZW40" s="51"/>
      <c r="GZX40" s="51"/>
      <c r="GZY40" s="51"/>
      <c r="GZZ40" s="51"/>
      <c r="HAA40" s="51"/>
      <c r="HAB40" s="51"/>
      <c r="HAC40" s="51"/>
      <c r="HAD40" s="51"/>
      <c r="HAE40" s="51"/>
      <c r="HAF40" s="51"/>
      <c r="HAG40" s="51"/>
      <c r="HAH40" s="51"/>
      <c r="HAI40" s="51"/>
      <c r="HAJ40" s="51"/>
      <c r="HAK40" s="51"/>
      <c r="HAL40" s="51"/>
      <c r="HAM40" s="51"/>
      <c r="HAN40" s="51"/>
      <c r="HAO40" s="51"/>
      <c r="HAP40" s="51"/>
      <c r="HAQ40" s="51"/>
      <c r="HAR40" s="51"/>
      <c r="HAS40" s="51"/>
      <c r="HAT40" s="51"/>
      <c r="HAU40" s="51"/>
      <c r="HAV40" s="51"/>
      <c r="HAW40" s="51"/>
      <c r="HAX40" s="51"/>
      <c r="HAY40" s="51"/>
      <c r="HAZ40" s="51"/>
      <c r="HBA40" s="51"/>
      <c r="HBB40" s="51"/>
      <c r="HBC40" s="51"/>
      <c r="HBD40" s="51"/>
      <c r="HBE40" s="51"/>
      <c r="HBF40" s="51"/>
      <c r="HBG40" s="51"/>
      <c r="HBH40" s="51"/>
      <c r="HBI40" s="51"/>
      <c r="HBJ40" s="51"/>
      <c r="HBK40" s="51"/>
      <c r="HBL40" s="51"/>
      <c r="HBM40" s="51"/>
      <c r="HBN40" s="51"/>
      <c r="HBO40" s="51"/>
      <c r="HBP40" s="51"/>
      <c r="HBQ40" s="51"/>
      <c r="HBR40" s="51"/>
      <c r="HBS40" s="51"/>
      <c r="HBT40" s="51"/>
      <c r="HBU40" s="51"/>
      <c r="HBV40" s="51"/>
      <c r="HBW40" s="51"/>
      <c r="HBX40" s="51"/>
      <c r="HBY40" s="51"/>
      <c r="HBZ40" s="51"/>
      <c r="HCA40" s="51"/>
      <c r="HCB40" s="51"/>
      <c r="HCC40" s="51"/>
      <c r="HCD40" s="51"/>
      <c r="HCE40" s="51"/>
      <c r="HCF40" s="51"/>
      <c r="HCG40" s="51"/>
      <c r="HCH40" s="51"/>
      <c r="HCI40" s="51"/>
      <c r="HCJ40" s="51"/>
      <c r="HCK40" s="51"/>
      <c r="HCL40" s="51"/>
      <c r="HCM40" s="51"/>
      <c r="HCN40" s="51"/>
      <c r="HCO40" s="51"/>
      <c r="HCP40" s="51"/>
      <c r="HCQ40" s="51"/>
      <c r="HCR40" s="51"/>
      <c r="HCS40" s="51"/>
      <c r="HCT40" s="51"/>
      <c r="HCU40" s="51"/>
      <c r="HCV40" s="51"/>
      <c r="HCW40" s="51"/>
      <c r="HCX40" s="51"/>
      <c r="HCY40" s="51"/>
      <c r="HCZ40" s="51"/>
      <c r="HDA40" s="51"/>
      <c r="HDB40" s="51"/>
      <c r="HDC40" s="51"/>
      <c r="HDD40" s="51"/>
      <c r="HDE40" s="51"/>
      <c r="HDF40" s="51"/>
      <c r="HDG40" s="51"/>
      <c r="HDH40" s="51"/>
      <c r="HDI40" s="51"/>
      <c r="HDJ40" s="51"/>
      <c r="HDK40" s="51"/>
      <c r="HDL40" s="51"/>
      <c r="HDM40" s="51"/>
      <c r="HDN40" s="51"/>
      <c r="HDO40" s="51"/>
      <c r="HDP40" s="51"/>
      <c r="HDQ40" s="51"/>
      <c r="HDR40" s="51"/>
      <c r="HDS40" s="51"/>
      <c r="HDT40" s="51"/>
      <c r="HDU40" s="51"/>
      <c r="HDV40" s="51"/>
      <c r="HDW40" s="51"/>
      <c r="HDX40" s="51"/>
      <c r="HDY40" s="51"/>
      <c r="HDZ40" s="51"/>
      <c r="HEA40" s="51"/>
      <c r="HEB40" s="51"/>
      <c r="HEC40" s="51"/>
      <c r="HED40" s="51"/>
      <c r="HEE40" s="51"/>
      <c r="HEF40" s="51"/>
      <c r="HEG40" s="51"/>
      <c r="HEH40" s="51"/>
      <c r="HEI40" s="51"/>
      <c r="HEJ40" s="51"/>
      <c r="HEK40" s="51"/>
      <c r="HEL40" s="51"/>
      <c r="HEM40" s="51"/>
      <c r="HEN40" s="51"/>
      <c r="HEO40" s="51"/>
      <c r="HEP40" s="51"/>
      <c r="HEQ40" s="51"/>
      <c r="HER40" s="51"/>
      <c r="HES40" s="51"/>
      <c r="HET40" s="51"/>
      <c r="HEU40" s="51"/>
      <c r="HEV40" s="51"/>
      <c r="HEW40" s="51"/>
      <c r="HEX40" s="51"/>
      <c r="HEY40" s="51"/>
      <c r="HEZ40" s="51"/>
      <c r="HFA40" s="51"/>
      <c r="HFB40" s="51"/>
      <c r="HFC40" s="51"/>
      <c r="HFD40" s="51"/>
      <c r="HFE40" s="51"/>
      <c r="HFF40" s="51"/>
      <c r="HFG40" s="51"/>
      <c r="HFH40" s="51"/>
      <c r="HFI40" s="51"/>
      <c r="HFJ40" s="51"/>
      <c r="HFK40" s="51"/>
      <c r="HFL40" s="51"/>
      <c r="HFM40" s="51"/>
      <c r="HFN40" s="51"/>
      <c r="HFO40" s="51"/>
      <c r="HFP40" s="51"/>
      <c r="HFQ40" s="51"/>
      <c r="HFR40" s="51"/>
      <c r="HFS40" s="51"/>
      <c r="HFT40" s="51"/>
      <c r="HFU40" s="51"/>
      <c r="HFV40" s="51"/>
      <c r="HFW40" s="51"/>
      <c r="HFX40" s="51"/>
      <c r="HFY40" s="51"/>
      <c r="HFZ40" s="51"/>
      <c r="HGA40" s="51"/>
      <c r="HGB40" s="51"/>
      <c r="HGC40" s="51"/>
      <c r="HGD40" s="51"/>
      <c r="HGE40" s="51"/>
      <c r="HGF40" s="51"/>
      <c r="HGG40" s="51"/>
      <c r="HGH40" s="51"/>
      <c r="HGI40" s="51"/>
      <c r="HGJ40" s="51"/>
      <c r="HGK40" s="51"/>
      <c r="HGL40" s="51"/>
      <c r="HGM40" s="51"/>
      <c r="HGN40" s="51"/>
      <c r="HGO40" s="51"/>
      <c r="HGP40" s="51"/>
      <c r="HGQ40" s="51"/>
      <c r="HGR40" s="51"/>
      <c r="HGS40" s="51"/>
      <c r="HGT40" s="51"/>
      <c r="HGU40" s="51"/>
      <c r="HGV40" s="51"/>
      <c r="HGW40" s="51"/>
      <c r="HGX40" s="51"/>
      <c r="HGY40" s="51"/>
      <c r="HGZ40" s="51"/>
      <c r="HHA40" s="51"/>
      <c r="HHB40" s="51"/>
      <c r="HHC40" s="51"/>
      <c r="HHD40" s="51"/>
      <c r="HHE40" s="51"/>
      <c r="HHF40" s="51"/>
      <c r="HHG40" s="51"/>
      <c r="HHH40" s="51"/>
      <c r="HHI40" s="51"/>
      <c r="HHJ40" s="51"/>
      <c r="HHK40" s="51"/>
      <c r="HHL40" s="51"/>
      <c r="HHM40" s="51"/>
      <c r="HHN40" s="51"/>
      <c r="HHO40" s="51"/>
      <c r="HHP40" s="51"/>
      <c r="HHQ40" s="51"/>
      <c r="HHR40" s="51"/>
      <c r="HHS40" s="51"/>
      <c r="HHT40" s="51"/>
      <c r="HHU40" s="51"/>
      <c r="HHV40" s="51"/>
      <c r="HHW40" s="51"/>
      <c r="HHX40" s="51"/>
      <c r="HHY40" s="51"/>
      <c r="HHZ40" s="51"/>
      <c r="HIA40" s="51"/>
      <c r="HIB40" s="51"/>
      <c r="HIC40" s="51"/>
      <c r="HID40" s="51"/>
      <c r="HIE40" s="51"/>
      <c r="HIF40" s="51"/>
      <c r="HIG40" s="51"/>
      <c r="HIH40" s="51"/>
      <c r="HII40" s="51"/>
      <c r="HIJ40" s="51"/>
      <c r="HIK40" s="51"/>
      <c r="HIL40" s="51"/>
      <c r="HIM40" s="51"/>
      <c r="HIN40" s="51"/>
      <c r="HIO40" s="51"/>
      <c r="HIP40" s="51"/>
      <c r="HIQ40" s="51"/>
      <c r="HIR40" s="51"/>
      <c r="HIS40" s="51"/>
      <c r="HIT40" s="51"/>
      <c r="HIU40" s="51"/>
      <c r="HIV40" s="51"/>
      <c r="HIW40" s="51"/>
      <c r="HIX40" s="51"/>
      <c r="HIY40" s="51"/>
      <c r="HIZ40" s="51"/>
      <c r="HJA40" s="51"/>
      <c r="HJB40" s="51"/>
      <c r="HJC40" s="51"/>
      <c r="HJD40" s="51"/>
      <c r="HJE40" s="51"/>
      <c r="HJF40" s="51"/>
      <c r="HJG40" s="51"/>
      <c r="HJH40" s="51"/>
      <c r="HJI40" s="51"/>
      <c r="HJJ40" s="51"/>
      <c r="HJK40" s="51"/>
      <c r="HJL40" s="51"/>
      <c r="HJM40" s="51"/>
      <c r="HJN40" s="51"/>
      <c r="HJO40" s="51"/>
      <c r="HJP40" s="51"/>
      <c r="HJQ40" s="51"/>
      <c r="HJR40" s="51"/>
      <c r="HJS40" s="51"/>
      <c r="HJT40" s="51"/>
      <c r="HJU40" s="51"/>
      <c r="HJV40" s="51"/>
      <c r="HJW40" s="51"/>
      <c r="HJX40" s="51"/>
      <c r="HJY40" s="51"/>
      <c r="HJZ40" s="51"/>
      <c r="HKA40" s="51"/>
      <c r="HKB40" s="51"/>
      <c r="HKC40" s="51"/>
      <c r="HKD40" s="51"/>
      <c r="HKE40" s="51"/>
      <c r="HKF40" s="51"/>
      <c r="HKG40" s="51"/>
      <c r="HKH40" s="51"/>
      <c r="HKI40" s="51"/>
      <c r="HKJ40" s="51"/>
      <c r="HKK40" s="51"/>
      <c r="HKL40" s="51"/>
      <c r="HKM40" s="51"/>
      <c r="HKN40" s="51"/>
      <c r="HKO40" s="51"/>
      <c r="HKP40" s="51"/>
      <c r="HKQ40" s="51"/>
      <c r="HKR40" s="51"/>
      <c r="HKS40" s="51"/>
      <c r="HKT40" s="51"/>
      <c r="HKU40" s="51"/>
      <c r="HKV40" s="51"/>
      <c r="HKW40" s="51"/>
      <c r="HKX40" s="51"/>
      <c r="HKY40" s="51"/>
      <c r="HKZ40" s="51"/>
      <c r="HLA40" s="51"/>
      <c r="HLB40" s="51"/>
      <c r="HLC40" s="51"/>
      <c r="HLD40" s="51"/>
      <c r="HLE40" s="51"/>
      <c r="HLF40" s="51"/>
      <c r="HLG40" s="51"/>
      <c r="HLH40" s="51"/>
      <c r="HLI40" s="51"/>
      <c r="HLJ40" s="51"/>
      <c r="HLK40" s="51"/>
      <c r="HLL40" s="51"/>
      <c r="HLM40" s="51"/>
      <c r="HLN40" s="51"/>
      <c r="HLO40" s="51"/>
      <c r="HLP40" s="51"/>
      <c r="HLQ40" s="51"/>
      <c r="HLR40" s="51"/>
      <c r="HLS40" s="51"/>
      <c r="HLT40" s="51"/>
      <c r="HLU40" s="51"/>
      <c r="HLV40" s="51"/>
      <c r="HLW40" s="51"/>
      <c r="HLX40" s="51"/>
      <c r="HLY40" s="51"/>
      <c r="HLZ40" s="51"/>
      <c r="HMA40" s="51"/>
      <c r="HMB40" s="51"/>
      <c r="HMC40" s="51"/>
      <c r="HMD40" s="51"/>
      <c r="HME40" s="51"/>
      <c r="HMF40" s="51"/>
      <c r="HMG40" s="51"/>
      <c r="HMH40" s="51"/>
      <c r="HMI40" s="51"/>
      <c r="HMJ40" s="51"/>
      <c r="HMK40" s="51"/>
      <c r="HML40" s="51"/>
      <c r="HMM40" s="51"/>
      <c r="HMN40" s="51"/>
      <c r="HMO40" s="51"/>
      <c r="HMP40" s="51"/>
      <c r="HMQ40" s="51"/>
      <c r="HMR40" s="51"/>
      <c r="HMS40" s="51"/>
      <c r="HMT40" s="51"/>
      <c r="HMU40" s="51"/>
      <c r="HMV40" s="51"/>
      <c r="HMW40" s="51"/>
      <c r="HMX40" s="51"/>
      <c r="HMY40" s="51"/>
      <c r="HMZ40" s="51"/>
      <c r="HNA40" s="51"/>
      <c r="HNB40" s="51"/>
      <c r="HNC40" s="51"/>
      <c r="HND40" s="51"/>
      <c r="HNE40" s="51"/>
      <c r="HNF40" s="51"/>
      <c r="HNG40" s="51"/>
      <c r="HNH40" s="51"/>
      <c r="HNI40" s="51"/>
      <c r="HNJ40" s="51"/>
      <c r="HNK40" s="51"/>
      <c r="HNL40" s="51"/>
      <c r="HNM40" s="51"/>
      <c r="HNN40" s="51"/>
      <c r="HNO40" s="51"/>
      <c r="HNP40" s="51"/>
      <c r="HNQ40" s="51"/>
      <c r="HNR40" s="51"/>
      <c r="HNS40" s="51"/>
      <c r="HNT40" s="51"/>
      <c r="HNU40" s="51"/>
      <c r="HNV40" s="51"/>
      <c r="HNW40" s="51"/>
      <c r="HNX40" s="51"/>
      <c r="HNY40" s="51"/>
      <c r="HNZ40" s="51"/>
      <c r="HOA40" s="51"/>
      <c r="HOB40" s="51"/>
      <c r="HOC40" s="51"/>
      <c r="HOD40" s="51"/>
      <c r="HOE40" s="51"/>
      <c r="HOF40" s="51"/>
      <c r="HOG40" s="51"/>
      <c r="HOH40" s="51"/>
      <c r="HOI40" s="51"/>
      <c r="HOJ40" s="51"/>
      <c r="HOK40" s="51"/>
      <c r="HOL40" s="51"/>
      <c r="HOM40" s="51"/>
      <c r="HON40" s="51"/>
      <c r="HOO40" s="51"/>
      <c r="HOP40" s="51"/>
      <c r="HOQ40" s="51"/>
      <c r="HOR40" s="51"/>
      <c r="HOS40" s="51"/>
      <c r="HOT40" s="51"/>
      <c r="HOU40" s="51"/>
      <c r="HOV40" s="51"/>
      <c r="HOW40" s="51"/>
      <c r="HOX40" s="51"/>
      <c r="HOY40" s="51"/>
      <c r="HOZ40" s="51"/>
      <c r="HPA40" s="51"/>
      <c r="HPB40" s="51"/>
      <c r="HPC40" s="51"/>
      <c r="HPD40" s="51"/>
      <c r="HPE40" s="51"/>
      <c r="HPF40" s="51"/>
      <c r="HPG40" s="51"/>
      <c r="HPH40" s="51"/>
      <c r="HPI40" s="51"/>
      <c r="HPJ40" s="51"/>
      <c r="HPK40" s="51"/>
      <c r="HPL40" s="51"/>
      <c r="HPM40" s="51"/>
      <c r="HPN40" s="51"/>
      <c r="HPO40" s="51"/>
      <c r="HPP40" s="51"/>
      <c r="HPQ40" s="51"/>
      <c r="HPR40" s="51"/>
      <c r="HPS40" s="51"/>
      <c r="HPT40" s="51"/>
      <c r="HPU40" s="51"/>
      <c r="HPV40" s="51"/>
      <c r="HPW40" s="51"/>
      <c r="HPX40" s="51"/>
      <c r="HPY40" s="51"/>
      <c r="HPZ40" s="51"/>
      <c r="HQA40" s="51"/>
      <c r="HQB40" s="51"/>
      <c r="HQC40" s="51"/>
      <c r="HQD40" s="51"/>
      <c r="HQE40" s="51"/>
      <c r="HQF40" s="51"/>
      <c r="HQG40" s="51"/>
      <c r="HQH40" s="51"/>
      <c r="HQI40" s="51"/>
      <c r="HQJ40" s="51"/>
      <c r="HQK40" s="51"/>
      <c r="HQL40" s="51"/>
      <c r="HQM40" s="51"/>
      <c r="HQN40" s="51"/>
      <c r="HQO40" s="51"/>
      <c r="HQP40" s="51"/>
      <c r="HQQ40" s="51"/>
      <c r="HQR40" s="51"/>
      <c r="HQS40" s="51"/>
      <c r="HQT40" s="51"/>
      <c r="HQU40" s="51"/>
      <c r="HQV40" s="51"/>
      <c r="HQW40" s="51"/>
      <c r="HQX40" s="51"/>
      <c r="HQY40" s="51"/>
      <c r="HQZ40" s="51"/>
      <c r="HRA40" s="51"/>
      <c r="HRB40" s="51"/>
      <c r="HRC40" s="51"/>
      <c r="HRD40" s="51"/>
      <c r="HRE40" s="51"/>
      <c r="HRF40" s="51"/>
      <c r="HRG40" s="51"/>
      <c r="HRH40" s="51"/>
      <c r="HRI40" s="51"/>
      <c r="HRJ40" s="51"/>
      <c r="HRK40" s="51"/>
      <c r="HRL40" s="51"/>
      <c r="HRM40" s="51"/>
      <c r="HRN40" s="51"/>
      <c r="HRO40" s="51"/>
      <c r="HRP40" s="51"/>
      <c r="HRQ40" s="51"/>
      <c r="HRR40" s="51"/>
      <c r="HRS40" s="51"/>
      <c r="HRT40" s="51"/>
      <c r="HRU40" s="51"/>
      <c r="HRV40" s="51"/>
      <c r="HRW40" s="51"/>
      <c r="HRX40" s="51"/>
      <c r="HRY40" s="51"/>
      <c r="HRZ40" s="51"/>
      <c r="HSA40" s="51"/>
      <c r="HSB40" s="51"/>
      <c r="HSC40" s="51"/>
      <c r="HSD40" s="51"/>
      <c r="HSE40" s="51"/>
      <c r="HSF40" s="51"/>
      <c r="HSG40" s="51"/>
      <c r="HSH40" s="51"/>
      <c r="HSI40" s="51"/>
      <c r="HSJ40" s="51"/>
      <c r="HSK40" s="51"/>
      <c r="HSL40" s="51"/>
      <c r="HSM40" s="51"/>
      <c r="HSN40" s="51"/>
      <c r="HSO40" s="51"/>
      <c r="HSP40" s="51"/>
      <c r="HSQ40" s="51"/>
      <c r="HSR40" s="51"/>
      <c r="HSS40" s="51"/>
      <c r="HST40" s="51"/>
      <c r="HSU40" s="51"/>
      <c r="HSV40" s="51"/>
      <c r="HSW40" s="51"/>
      <c r="HSX40" s="51"/>
      <c r="HSY40" s="51"/>
      <c r="HSZ40" s="51"/>
      <c r="HTA40" s="51"/>
      <c r="HTB40" s="51"/>
      <c r="HTC40" s="51"/>
      <c r="HTD40" s="51"/>
      <c r="HTE40" s="51"/>
      <c r="HTF40" s="51"/>
      <c r="HTG40" s="51"/>
      <c r="HTH40" s="51"/>
      <c r="HTI40" s="51"/>
      <c r="HTJ40" s="51"/>
      <c r="HTK40" s="51"/>
      <c r="HTL40" s="51"/>
      <c r="HTM40" s="51"/>
      <c r="HTN40" s="51"/>
      <c r="HTO40" s="51"/>
      <c r="HTP40" s="51"/>
      <c r="HTQ40" s="51"/>
      <c r="HTR40" s="51"/>
      <c r="HTS40" s="51"/>
      <c r="HTT40" s="51"/>
      <c r="HTU40" s="51"/>
      <c r="HTV40" s="51"/>
      <c r="HTW40" s="51"/>
      <c r="HTX40" s="51"/>
      <c r="HTY40" s="51"/>
      <c r="HTZ40" s="51"/>
      <c r="HUA40" s="51"/>
      <c r="HUB40" s="51"/>
      <c r="HUC40" s="51"/>
      <c r="HUD40" s="51"/>
      <c r="HUE40" s="51"/>
      <c r="HUF40" s="51"/>
      <c r="HUG40" s="51"/>
      <c r="HUH40" s="51"/>
      <c r="HUI40" s="51"/>
      <c r="HUJ40" s="51"/>
      <c r="HUK40" s="51"/>
      <c r="HUL40" s="51"/>
      <c r="HUM40" s="51"/>
      <c r="HUN40" s="51"/>
      <c r="HUO40" s="51"/>
      <c r="HUP40" s="51"/>
      <c r="HUQ40" s="51"/>
      <c r="HUR40" s="51"/>
      <c r="HUS40" s="51"/>
      <c r="HUT40" s="51"/>
      <c r="HUU40" s="51"/>
      <c r="HUV40" s="51"/>
      <c r="HUW40" s="51"/>
      <c r="HUX40" s="51"/>
      <c r="HUY40" s="51"/>
      <c r="HUZ40" s="51"/>
      <c r="HVA40" s="51"/>
      <c r="HVB40" s="51"/>
      <c r="HVC40" s="51"/>
      <c r="HVD40" s="51"/>
      <c r="HVE40" s="51"/>
      <c r="HVF40" s="51"/>
      <c r="HVG40" s="51"/>
      <c r="HVH40" s="51"/>
      <c r="HVI40" s="51"/>
      <c r="HVJ40" s="51"/>
      <c r="HVK40" s="51"/>
      <c r="HVL40" s="51"/>
      <c r="HVM40" s="51"/>
      <c r="HVN40" s="51"/>
      <c r="HVO40" s="51"/>
      <c r="HVP40" s="51"/>
      <c r="HVQ40" s="51"/>
      <c r="HVR40" s="51"/>
      <c r="HVS40" s="51"/>
      <c r="HVT40" s="51"/>
      <c r="HVU40" s="51"/>
      <c r="HVV40" s="51"/>
      <c r="HVW40" s="51"/>
      <c r="HVX40" s="51"/>
      <c r="HVY40" s="51"/>
      <c r="HVZ40" s="51"/>
      <c r="HWA40" s="51"/>
      <c r="HWB40" s="51"/>
      <c r="HWC40" s="51"/>
      <c r="HWD40" s="51"/>
      <c r="HWE40" s="51"/>
      <c r="HWF40" s="51"/>
      <c r="HWG40" s="51"/>
      <c r="HWH40" s="51"/>
      <c r="HWI40" s="51"/>
      <c r="HWJ40" s="51"/>
      <c r="HWK40" s="51"/>
      <c r="HWL40" s="51"/>
      <c r="HWM40" s="51"/>
      <c r="HWN40" s="51"/>
      <c r="HWO40" s="51"/>
      <c r="HWP40" s="51"/>
      <c r="HWQ40" s="51"/>
      <c r="HWR40" s="51"/>
      <c r="HWS40" s="51"/>
      <c r="HWT40" s="51"/>
      <c r="HWU40" s="51"/>
      <c r="HWV40" s="51"/>
      <c r="HWW40" s="51"/>
      <c r="HWX40" s="51"/>
      <c r="HWY40" s="51"/>
      <c r="HWZ40" s="51"/>
      <c r="HXA40" s="51"/>
      <c r="HXB40" s="51"/>
      <c r="HXC40" s="51"/>
      <c r="HXD40" s="51"/>
      <c r="HXE40" s="51"/>
      <c r="HXF40" s="51"/>
      <c r="HXG40" s="51"/>
      <c r="HXH40" s="51"/>
      <c r="HXI40" s="51"/>
      <c r="HXJ40" s="51"/>
      <c r="HXK40" s="51"/>
      <c r="HXL40" s="51"/>
      <c r="HXM40" s="51"/>
      <c r="HXN40" s="51"/>
      <c r="HXO40" s="51"/>
      <c r="HXP40" s="51"/>
      <c r="HXQ40" s="51"/>
      <c r="HXR40" s="51"/>
      <c r="HXS40" s="51"/>
      <c r="HXT40" s="51"/>
      <c r="HXU40" s="51"/>
      <c r="HXV40" s="51"/>
      <c r="HXW40" s="51"/>
      <c r="HXX40" s="51"/>
      <c r="HXY40" s="51"/>
      <c r="HXZ40" s="51"/>
      <c r="HYA40" s="51"/>
      <c r="HYB40" s="51"/>
      <c r="HYC40" s="51"/>
      <c r="HYD40" s="51"/>
      <c r="HYE40" s="51"/>
      <c r="HYF40" s="51"/>
      <c r="HYG40" s="51"/>
      <c r="HYH40" s="51"/>
      <c r="HYI40" s="51"/>
      <c r="HYJ40" s="51"/>
      <c r="HYK40" s="51"/>
      <c r="HYL40" s="51"/>
      <c r="HYM40" s="51"/>
      <c r="HYN40" s="51"/>
      <c r="HYO40" s="51"/>
      <c r="HYP40" s="51"/>
      <c r="HYQ40" s="51"/>
      <c r="HYR40" s="51"/>
      <c r="HYS40" s="51"/>
      <c r="HYT40" s="51"/>
      <c r="HYU40" s="51"/>
      <c r="HYV40" s="51"/>
      <c r="HYW40" s="51"/>
      <c r="HYX40" s="51"/>
      <c r="HYY40" s="51"/>
      <c r="HYZ40" s="51"/>
      <c r="HZA40" s="51"/>
      <c r="HZB40" s="51"/>
      <c r="HZC40" s="51"/>
      <c r="HZD40" s="51"/>
      <c r="HZE40" s="51"/>
      <c r="HZF40" s="51"/>
      <c r="HZG40" s="51"/>
      <c r="HZH40" s="51"/>
      <c r="HZI40" s="51"/>
      <c r="HZJ40" s="51"/>
      <c r="HZK40" s="51"/>
      <c r="HZL40" s="51"/>
      <c r="HZM40" s="51"/>
      <c r="HZN40" s="51"/>
      <c r="HZO40" s="51"/>
      <c r="HZP40" s="51"/>
      <c r="HZQ40" s="51"/>
      <c r="HZR40" s="51"/>
      <c r="HZS40" s="51"/>
      <c r="HZT40" s="51"/>
      <c r="HZU40" s="51"/>
      <c r="HZV40" s="51"/>
      <c r="HZW40" s="51"/>
      <c r="HZX40" s="51"/>
      <c r="HZY40" s="51"/>
      <c r="HZZ40" s="51"/>
      <c r="IAA40" s="51"/>
      <c r="IAB40" s="51"/>
      <c r="IAC40" s="51"/>
      <c r="IAD40" s="51"/>
      <c r="IAE40" s="51"/>
      <c r="IAF40" s="51"/>
      <c r="IAG40" s="51"/>
      <c r="IAH40" s="51"/>
      <c r="IAI40" s="51"/>
      <c r="IAJ40" s="51"/>
      <c r="IAK40" s="51"/>
      <c r="IAL40" s="51"/>
      <c r="IAM40" s="51"/>
      <c r="IAN40" s="51"/>
      <c r="IAO40" s="51"/>
      <c r="IAP40" s="51"/>
      <c r="IAQ40" s="51"/>
      <c r="IAR40" s="51"/>
      <c r="IAS40" s="51"/>
      <c r="IAT40" s="51"/>
      <c r="IAU40" s="51"/>
      <c r="IAV40" s="51"/>
      <c r="IAW40" s="51"/>
      <c r="IAX40" s="51"/>
      <c r="IAY40" s="51"/>
      <c r="IAZ40" s="51"/>
      <c r="IBA40" s="51"/>
      <c r="IBB40" s="51"/>
      <c r="IBC40" s="51"/>
      <c r="IBD40" s="51"/>
      <c r="IBE40" s="51"/>
      <c r="IBF40" s="51"/>
      <c r="IBG40" s="51"/>
      <c r="IBH40" s="51"/>
      <c r="IBI40" s="51"/>
      <c r="IBJ40" s="51"/>
      <c r="IBK40" s="51"/>
      <c r="IBL40" s="51"/>
      <c r="IBM40" s="51"/>
      <c r="IBN40" s="51"/>
      <c r="IBO40" s="51"/>
      <c r="IBP40" s="51"/>
      <c r="IBQ40" s="51"/>
      <c r="IBR40" s="51"/>
      <c r="IBS40" s="51"/>
      <c r="IBT40" s="51"/>
      <c r="IBU40" s="51"/>
      <c r="IBV40" s="51"/>
      <c r="IBW40" s="51"/>
      <c r="IBX40" s="51"/>
      <c r="IBY40" s="51"/>
      <c r="IBZ40" s="51"/>
      <c r="ICA40" s="51"/>
      <c r="ICB40" s="51"/>
      <c r="ICC40" s="51"/>
      <c r="ICD40" s="51"/>
      <c r="ICE40" s="51"/>
      <c r="ICF40" s="51"/>
      <c r="ICG40" s="51"/>
      <c r="ICH40" s="51"/>
      <c r="ICI40" s="51"/>
      <c r="ICJ40" s="51"/>
      <c r="ICK40" s="51"/>
      <c r="ICL40" s="51"/>
      <c r="ICM40" s="51"/>
      <c r="ICN40" s="51"/>
      <c r="ICO40" s="51"/>
      <c r="ICP40" s="51"/>
      <c r="ICQ40" s="51"/>
      <c r="ICR40" s="51"/>
      <c r="ICS40" s="51"/>
      <c r="ICT40" s="51"/>
      <c r="ICU40" s="51"/>
      <c r="ICV40" s="51"/>
      <c r="ICW40" s="51"/>
      <c r="ICX40" s="51"/>
      <c r="ICY40" s="51"/>
      <c r="ICZ40" s="51"/>
      <c r="IDA40" s="51"/>
      <c r="IDB40" s="51"/>
      <c r="IDC40" s="51"/>
      <c r="IDD40" s="51"/>
      <c r="IDE40" s="51"/>
      <c r="IDF40" s="51"/>
      <c r="IDG40" s="51"/>
      <c r="IDH40" s="51"/>
      <c r="IDI40" s="51"/>
      <c r="IDJ40" s="51"/>
      <c r="IDK40" s="51"/>
      <c r="IDL40" s="51"/>
      <c r="IDM40" s="51"/>
      <c r="IDN40" s="51"/>
      <c r="IDO40" s="51"/>
      <c r="IDP40" s="51"/>
      <c r="IDQ40" s="51"/>
      <c r="IDR40" s="51"/>
      <c r="IDS40" s="51"/>
      <c r="IDT40" s="51"/>
      <c r="IDU40" s="51"/>
      <c r="IDV40" s="51"/>
      <c r="IDW40" s="51"/>
      <c r="IDX40" s="51"/>
      <c r="IDY40" s="51"/>
      <c r="IDZ40" s="51"/>
      <c r="IEA40" s="51"/>
      <c r="IEB40" s="51"/>
      <c r="IEC40" s="51"/>
      <c r="IED40" s="51"/>
      <c r="IEE40" s="51"/>
      <c r="IEF40" s="51"/>
      <c r="IEG40" s="51"/>
      <c r="IEH40" s="51"/>
      <c r="IEI40" s="51"/>
      <c r="IEJ40" s="51"/>
      <c r="IEK40" s="51"/>
      <c r="IEL40" s="51"/>
      <c r="IEM40" s="51"/>
      <c r="IEN40" s="51"/>
      <c r="IEO40" s="51"/>
      <c r="IEP40" s="51"/>
      <c r="IEQ40" s="51"/>
      <c r="IER40" s="51"/>
      <c r="IES40" s="51"/>
      <c r="IET40" s="51"/>
      <c r="IEU40" s="51"/>
      <c r="IEV40" s="51"/>
      <c r="IEW40" s="51"/>
      <c r="IEX40" s="51"/>
      <c r="IEY40" s="51"/>
      <c r="IEZ40" s="51"/>
      <c r="IFA40" s="51"/>
      <c r="IFB40" s="51"/>
      <c r="IFC40" s="51"/>
      <c r="IFD40" s="51"/>
      <c r="IFE40" s="51"/>
      <c r="IFF40" s="51"/>
      <c r="IFG40" s="51"/>
      <c r="IFH40" s="51"/>
      <c r="IFI40" s="51"/>
      <c r="IFJ40" s="51"/>
      <c r="IFK40" s="51"/>
      <c r="IFL40" s="51"/>
      <c r="IFM40" s="51"/>
      <c r="IFN40" s="51"/>
      <c r="IFO40" s="51"/>
      <c r="IFP40" s="51"/>
      <c r="IFQ40" s="51"/>
      <c r="IFR40" s="51"/>
      <c r="IFS40" s="51"/>
      <c r="IFT40" s="51"/>
      <c r="IFU40" s="51"/>
      <c r="IFV40" s="51"/>
      <c r="IFW40" s="51"/>
      <c r="IFX40" s="51"/>
      <c r="IFY40" s="51"/>
      <c r="IFZ40" s="51"/>
      <c r="IGA40" s="51"/>
      <c r="IGB40" s="51"/>
      <c r="IGC40" s="51"/>
      <c r="IGD40" s="51"/>
      <c r="IGE40" s="51"/>
      <c r="IGF40" s="51"/>
      <c r="IGG40" s="51"/>
      <c r="IGH40" s="51"/>
      <c r="IGI40" s="51"/>
      <c r="IGJ40" s="51"/>
      <c r="IGK40" s="51"/>
      <c r="IGL40" s="51"/>
      <c r="IGM40" s="51"/>
      <c r="IGN40" s="51"/>
      <c r="IGO40" s="51"/>
      <c r="IGP40" s="51"/>
      <c r="IGQ40" s="51"/>
      <c r="IGR40" s="51"/>
      <c r="IGS40" s="51"/>
      <c r="IGT40" s="51"/>
      <c r="IGU40" s="51"/>
      <c r="IGV40" s="51"/>
      <c r="IGW40" s="51"/>
      <c r="IGX40" s="51"/>
      <c r="IGY40" s="51"/>
      <c r="IGZ40" s="51"/>
      <c r="IHA40" s="51"/>
      <c r="IHB40" s="51"/>
      <c r="IHC40" s="51"/>
      <c r="IHD40" s="51"/>
      <c r="IHE40" s="51"/>
      <c r="IHF40" s="51"/>
      <c r="IHG40" s="51"/>
      <c r="IHH40" s="51"/>
      <c r="IHI40" s="51"/>
      <c r="IHJ40" s="51"/>
      <c r="IHK40" s="51"/>
      <c r="IHL40" s="51"/>
      <c r="IHM40" s="51"/>
      <c r="IHN40" s="51"/>
      <c r="IHO40" s="51"/>
      <c r="IHP40" s="51"/>
      <c r="IHQ40" s="51"/>
      <c r="IHR40" s="51"/>
      <c r="IHS40" s="51"/>
      <c r="IHT40" s="51"/>
      <c r="IHU40" s="51"/>
      <c r="IHV40" s="51"/>
      <c r="IHW40" s="51"/>
      <c r="IHX40" s="51"/>
      <c r="IHY40" s="51"/>
      <c r="IHZ40" s="51"/>
      <c r="IIA40" s="51"/>
      <c r="IIB40" s="51"/>
      <c r="IIC40" s="51"/>
      <c r="IID40" s="51"/>
      <c r="IIE40" s="51"/>
      <c r="IIF40" s="51"/>
      <c r="IIG40" s="51"/>
      <c r="IIH40" s="51"/>
      <c r="III40" s="51"/>
      <c r="IIJ40" s="51"/>
      <c r="IIK40" s="51"/>
      <c r="IIL40" s="51"/>
      <c r="IIM40" s="51"/>
      <c r="IIN40" s="51"/>
      <c r="IIO40" s="51"/>
      <c r="IIP40" s="51"/>
      <c r="IIQ40" s="51"/>
      <c r="IIR40" s="51"/>
      <c r="IIS40" s="51"/>
      <c r="IIT40" s="51"/>
      <c r="IIU40" s="51"/>
      <c r="IIV40" s="51"/>
      <c r="IIW40" s="51"/>
      <c r="IIX40" s="51"/>
      <c r="IIY40" s="51"/>
      <c r="IIZ40" s="51"/>
      <c r="IJA40" s="51"/>
      <c r="IJB40" s="51"/>
      <c r="IJC40" s="51"/>
      <c r="IJD40" s="51"/>
      <c r="IJE40" s="51"/>
      <c r="IJF40" s="51"/>
      <c r="IJG40" s="51"/>
      <c r="IJH40" s="51"/>
      <c r="IJI40" s="51"/>
      <c r="IJJ40" s="51"/>
      <c r="IJK40" s="51"/>
      <c r="IJL40" s="51"/>
      <c r="IJM40" s="51"/>
      <c r="IJN40" s="51"/>
      <c r="IJO40" s="51"/>
      <c r="IJP40" s="51"/>
      <c r="IJQ40" s="51"/>
      <c r="IJR40" s="51"/>
      <c r="IJS40" s="51"/>
      <c r="IJT40" s="51"/>
      <c r="IJU40" s="51"/>
      <c r="IJV40" s="51"/>
      <c r="IJW40" s="51"/>
      <c r="IJX40" s="51"/>
      <c r="IJY40" s="51"/>
      <c r="IJZ40" s="51"/>
      <c r="IKA40" s="51"/>
      <c r="IKB40" s="51"/>
      <c r="IKC40" s="51"/>
      <c r="IKD40" s="51"/>
      <c r="IKE40" s="51"/>
      <c r="IKF40" s="51"/>
      <c r="IKG40" s="51"/>
      <c r="IKH40" s="51"/>
      <c r="IKI40" s="51"/>
      <c r="IKJ40" s="51"/>
      <c r="IKK40" s="51"/>
      <c r="IKL40" s="51"/>
      <c r="IKM40" s="51"/>
      <c r="IKN40" s="51"/>
      <c r="IKO40" s="51"/>
      <c r="IKP40" s="51"/>
      <c r="IKQ40" s="51"/>
      <c r="IKR40" s="51"/>
      <c r="IKS40" s="51"/>
      <c r="IKT40" s="51"/>
      <c r="IKU40" s="51"/>
      <c r="IKV40" s="51"/>
      <c r="IKW40" s="51"/>
      <c r="IKX40" s="51"/>
      <c r="IKY40" s="51"/>
      <c r="IKZ40" s="51"/>
      <c r="ILA40" s="51"/>
      <c r="ILB40" s="51"/>
      <c r="ILC40" s="51"/>
      <c r="ILD40" s="51"/>
      <c r="ILE40" s="51"/>
      <c r="ILF40" s="51"/>
      <c r="ILG40" s="51"/>
      <c r="ILH40" s="51"/>
      <c r="ILI40" s="51"/>
      <c r="ILJ40" s="51"/>
      <c r="ILK40" s="51"/>
      <c r="ILL40" s="51"/>
      <c r="ILM40" s="51"/>
      <c r="ILN40" s="51"/>
      <c r="ILO40" s="51"/>
      <c r="ILP40" s="51"/>
      <c r="ILQ40" s="51"/>
      <c r="ILR40" s="51"/>
      <c r="ILS40" s="51"/>
      <c r="ILT40" s="51"/>
      <c r="ILU40" s="51"/>
      <c r="ILV40" s="51"/>
      <c r="ILW40" s="51"/>
      <c r="ILX40" s="51"/>
      <c r="ILY40" s="51"/>
      <c r="ILZ40" s="51"/>
      <c r="IMA40" s="51"/>
      <c r="IMB40" s="51"/>
      <c r="IMC40" s="51"/>
      <c r="IMD40" s="51"/>
      <c r="IME40" s="51"/>
      <c r="IMF40" s="51"/>
      <c r="IMG40" s="51"/>
      <c r="IMH40" s="51"/>
      <c r="IMI40" s="51"/>
      <c r="IMJ40" s="51"/>
      <c r="IMK40" s="51"/>
      <c r="IML40" s="51"/>
      <c r="IMM40" s="51"/>
      <c r="IMN40" s="51"/>
      <c r="IMO40" s="51"/>
      <c r="IMP40" s="51"/>
      <c r="IMQ40" s="51"/>
      <c r="IMR40" s="51"/>
      <c r="IMS40" s="51"/>
      <c r="IMT40" s="51"/>
      <c r="IMU40" s="51"/>
      <c r="IMV40" s="51"/>
      <c r="IMW40" s="51"/>
      <c r="IMX40" s="51"/>
      <c r="IMY40" s="51"/>
      <c r="IMZ40" s="51"/>
      <c r="INA40" s="51"/>
      <c r="INB40" s="51"/>
      <c r="INC40" s="51"/>
      <c r="IND40" s="51"/>
      <c r="INE40" s="51"/>
      <c r="INF40" s="51"/>
      <c r="ING40" s="51"/>
      <c r="INH40" s="51"/>
      <c r="INI40" s="51"/>
      <c r="INJ40" s="51"/>
      <c r="INK40" s="51"/>
      <c r="INL40" s="51"/>
      <c r="INM40" s="51"/>
      <c r="INN40" s="51"/>
      <c r="INO40" s="51"/>
      <c r="INP40" s="51"/>
      <c r="INQ40" s="51"/>
      <c r="INR40" s="51"/>
      <c r="INS40" s="51"/>
      <c r="INT40" s="51"/>
      <c r="INU40" s="51"/>
      <c r="INV40" s="51"/>
      <c r="INW40" s="51"/>
      <c r="INX40" s="51"/>
      <c r="INY40" s="51"/>
      <c r="INZ40" s="51"/>
      <c r="IOA40" s="51"/>
      <c r="IOB40" s="51"/>
      <c r="IOC40" s="51"/>
      <c r="IOD40" s="51"/>
      <c r="IOE40" s="51"/>
      <c r="IOF40" s="51"/>
      <c r="IOG40" s="51"/>
      <c r="IOH40" s="51"/>
      <c r="IOI40" s="51"/>
      <c r="IOJ40" s="51"/>
      <c r="IOK40" s="51"/>
      <c r="IOL40" s="51"/>
      <c r="IOM40" s="51"/>
      <c r="ION40" s="51"/>
      <c r="IOO40" s="51"/>
      <c r="IOP40" s="51"/>
      <c r="IOQ40" s="51"/>
      <c r="IOR40" s="51"/>
      <c r="IOS40" s="51"/>
      <c r="IOT40" s="51"/>
      <c r="IOU40" s="51"/>
      <c r="IOV40" s="51"/>
      <c r="IOW40" s="51"/>
      <c r="IOX40" s="51"/>
      <c r="IOY40" s="51"/>
      <c r="IOZ40" s="51"/>
      <c r="IPA40" s="51"/>
      <c r="IPB40" s="51"/>
      <c r="IPC40" s="51"/>
      <c r="IPD40" s="51"/>
      <c r="IPE40" s="51"/>
      <c r="IPF40" s="51"/>
      <c r="IPG40" s="51"/>
      <c r="IPH40" s="51"/>
      <c r="IPI40" s="51"/>
      <c r="IPJ40" s="51"/>
      <c r="IPK40" s="51"/>
      <c r="IPL40" s="51"/>
      <c r="IPM40" s="51"/>
      <c r="IPN40" s="51"/>
      <c r="IPO40" s="51"/>
      <c r="IPP40" s="51"/>
      <c r="IPQ40" s="51"/>
      <c r="IPR40" s="51"/>
      <c r="IPS40" s="51"/>
      <c r="IPT40" s="51"/>
      <c r="IPU40" s="51"/>
      <c r="IPV40" s="51"/>
      <c r="IPW40" s="51"/>
      <c r="IPX40" s="51"/>
      <c r="IPY40" s="51"/>
      <c r="IPZ40" s="51"/>
      <c r="IQA40" s="51"/>
      <c r="IQB40" s="51"/>
      <c r="IQC40" s="51"/>
      <c r="IQD40" s="51"/>
      <c r="IQE40" s="51"/>
      <c r="IQF40" s="51"/>
      <c r="IQG40" s="51"/>
      <c r="IQH40" s="51"/>
      <c r="IQI40" s="51"/>
      <c r="IQJ40" s="51"/>
      <c r="IQK40" s="51"/>
      <c r="IQL40" s="51"/>
      <c r="IQM40" s="51"/>
      <c r="IQN40" s="51"/>
      <c r="IQO40" s="51"/>
      <c r="IQP40" s="51"/>
      <c r="IQQ40" s="51"/>
      <c r="IQR40" s="51"/>
      <c r="IQS40" s="51"/>
      <c r="IQT40" s="51"/>
      <c r="IQU40" s="51"/>
      <c r="IQV40" s="51"/>
      <c r="IQW40" s="51"/>
      <c r="IQX40" s="51"/>
      <c r="IQY40" s="51"/>
      <c r="IQZ40" s="51"/>
      <c r="IRA40" s="51"/>
      <c r="IRB40" s="51"/>
      <c r="IRC40" s="51"/>
      <c r="IRD40" s="51"/>
      <c r="IRE40" s="51"/>
      <c r="IRF40" s="51"/>
      <c r="IRG40" s="51"/>
      <c r="IRH40" s="51"/>
      <c r="IRI40" s="51"/>
      <c r="IRJ40" s="51"/>
      <c r="IRK40" s="51"/>
      <c r="IRL40" s="51"/>
      <c r="IRM40" s="51"/>
      <c r="IRN40" s="51"/>
      <c r="IRO40" s="51"/>
      <c r="IRP40" s="51"/>
      <c r="IRQ40" s="51"/>
      <c r="IRR40" s="51"/>
      <c r="IRS40" s="51"/>
      <c r="IRT40" s="51"/>
      <c r="IRU40" s="51"/>
      <c r="IRV40" s="51"/>
      <c r="IRW40" s="51"/>
      <c r="IRX40" s="51"/>
      <c r="IRY40" s="51"/>
      <c r="IRZ40" s="51"/>
      <c r="ISA40" s="51"/>
      <c r="ISB40" s="51"/>
      <c r="ISC40" s="51"/>
      <c r="ISD40" s="51"/>
      <c r="ISE40" s="51"/>
      <c r="ISF40" s="51"/>
      <c r="ISG40" s="51"/>
      <c r="ISH40" s="51"/>
      <c r="ISI40" s="51"/>
      <c r="ISJ40" s="51"/>
      <c r="ISK40" s="51"/>
      <c r="ISL40" s="51"/>
      <c r="ISM40" s="51"/>
      <c r="ISN40" s="51"/>
      <c r="ISO40" s="51"/>
      <c r="ISP40" s="51"/>
      <c r="ISQ40" s="51"/>
      <c r="ISR40" s="51"/>
      <c r="ISS40" s="51"/>
      <c r="IST40" s="51"/>
      <c r="ISU40" s="51"/>
      <c r="ISV40" s="51"/>
      <c r="ISW40" s="51"/>
      <c r="ISX40" s="51"/>
      <c r="ISY40" s="51"/>
      <c r="ISZ40" s="51"/>
      <c r="ITA40" s="51"/>
      <c r="ITB40" s="51"/>
      <c r="ITC40" s="51"/>
      <c r="ITD40" s="51"/>
      <c r="ITE40" s="51"/>
      <c r="ITF40" s="51"/>
      <c r="ITG40" s="51"/>
      <c r="ITH40" s="51"/>
      <c r="ITI40" s="51"/>
      <c r="ITJ40" s="51"/>
      <c r="ITK40" s="51"/>
      <c r="ITL40" s="51"/>
      <c r="ITM40" s="51"/>
      <c r="ITN40" s="51"/>
      <c r="ITO40" s="51"/>
      <c r="ITP40" s="51"/>
      <c r="ITQ40" s="51"/>
      <c r="ITR40" s="51"/>
      <c r="ITS40" s="51"/>
      <c r="ITT40" s="51"/>
      <c r="ITU40" s="51"/>
      <c r="ITV40" s="51"/>
      <c r="ITW40" s="51"/>
      <c r="ITX40" s="51"/>
      <c r="ITY40" s="51"/>
      <c r="ITZ40" s="51"/>
      <c r="IUA40" s="51"/>
      <c r="IUB40" s="51"/>
      <c r="IUC40" s="51"/>
      <c r="IUD40" s="51"/>
      <c r="IUE40" s="51"/>
      <c r="IUF40" s="51"/>
      <c r="IUG40" s="51"/>
      <c r="IUH40" s="51"/>
      <c r="IUI40" s="51"/>
      <c r="IUJ40" s="51"/>
      <c r="IUK40" s="51"/>
      <c r="IUL40" s="51"/>
      <c r="IUM40" s="51"/>
      <c r="IUN40" s="51"/>
      <c r="IUO40" s="51"/>
      <c r="IUP40" s="51"/>
      <c r="IUQ40" s="51"/>
      <c r="IUR40" s="51"/>
      <c r="IUS40" s="51"/>
      <c r="IUT40" s="51"/>
      <c r="IUU40" s="51"/>
      <c r="IUV40" s="51"/>
      <c r="IUW40" s="51"/>
      <c r="IUX40" s="51"/>
      <c r="IUY40" s="51"/>
      <c r="IUZ40" s="51"/>
      <c r="IVA40" s="51"/>
      <c r="IVB40" s="51"/>
      <c r="IVC40" s="51"/>
      <c r="IVD40" s="51"/>
      <c r="IVE40" s="51"/>
      <c r="IVF40" s="51"/>
      <c r="IVG40" s="51"/>
      <c r="IVH40" s="51"/>
      <c r="IVI40" s="51"/>
      <c r="IVJ40" s="51"/>
      <c r="IVK40" s="51"/>
      <c r="IVL40" s="51"/>
      <c r="IVM40" s="51"/>
      <c r="IVN40" s="51"/>
      <c r="IVO40" s="51"/>
      <c r="IVP40" s="51"/>
      <c r="IVQ40" s="51"/>
      <c r="IVR40" s="51"/>
      <c r="IVS40" s="51"/>
      <c r="IVT40" s="51"/>
      <c r="IVU40" s="51"/>
      <c r="IVV40" s="51"/>
      <c r="IVW40" s="51"/>
      <c r="IVX40" s="51"/>
      <c r="IVY40" s="51"/>
      <c r="IVZ40" s="51"/>
      <c r="IWA40" s="51"/>
      <c r="IWB40" s="51"/>
      <c r="IWC40" s="51"/>
      <c r="IWD40" s="51"/>
      <c r="IWE40" s="51"/>
      <c r="IWF40" s="51"/>
      <c r="IWG40" s="51"/>
      <c r="IWH40" s="51"/>
      <c r="IWI40" s="51"/>
      <c r="IWJ40" s="51"/>
      <c r="IWK40" s="51"/>
      <c r="IWL40" s="51"/>
      <c r="IWM40" s="51"/>
      <c r="IWN40" s="51"/>
      <c r="IWO40" s="51"/>
      <c r="IWP40" s="51"/>
      <c r="IWQ40" s="51"/>
      <c r="IWR40" s="51"/>
      <c r="IWS40" s="51"/>
      <c r="IWT40" s="51"/>
      <c r="IWU40" s="51"/>
      <c r="IWV40" s="51"/>
      <c r="IWW40" s="51"/>
      <c r="IWX40" s="51"/>
      <c r="IWY40" s="51"/>
      <c r="IWZ40" s="51"/>
      <c r="IXA40" s="51"/>
      <c r="IXB40" s="51"/>
      <c r="IXC40" s="51"/>
      <c r="IXD40" s="51"/>
      <c r="IXE40" s="51"/>
      <c r="IXF40" s="51"/>
      <c r="IXG40" s="51"/>
      <c r="IXH40" s="51"/>
      <c r="IXI40" s="51"/>
      <c r="IXJ40" s="51"/>
      <c r="IXK40" s="51"/>
      <c r="IXL40" s="51"/>
      <c r="IXM40" s="51"/>
      <c r="IXN40" s="51"/>
      <c r="IXO40" s="51"/>
      <c r="IXP40" s="51"/>
      <c r="IXQ40" s="51"/>
      <c r="IXR40" s="51"/>
      <c r="IXS40" s="51"/>
      <c r="IXT40" s="51"/>
      <c r="IXU40" s="51"/>
      <c r="IXV40" s="51"/>
      <c r="IXW40" s="51"/>
      <c r="IXX40" s="51"/>
      <c r="IXY40" s="51"/>
      <c r="IXZ40" s="51"/>
      <c r="IYA40" s="51"/>
      <c r="IYB40" s="51"/>
      <c r="IYC40" s="51"/>
      <c r="IYD40" s="51"/>
      <c r="IYE40" s="51"/>
      <c r="IYF40" s="51"/>
      <c r="IYG40" s="51"/>
      <c r="IYH40" s="51"/>
      <c r="IYI40" s="51"/>
      <c r="IYJ40" s="51"/>
      <c r="IYK40" s="51"/>
      <c r="IYL40" s="51"/>
      <c r="IYM40" s="51"/>
      <c r="IYN40" s="51"/>
      <c r="IYO40" s="51"/>
      <c r="IYP40" s="51"/>
      <c r="IYQ40" s="51"/>
      <c r="IYR40" s="51"/>
      <c r="IYS40" s="51"/>
      <c r="IYT40" s="51"/>
      <c r="IYU40" s="51"/>
      <c r="IYV40" s="51"/>
      <c r="IYW40" s="51"/>
      <c r="IYX40" s="51"/>
      <c r="IYY40" s="51"/>
      <c r="IYZ40" s="51"/>
      <c r="IZA40" s="51"/>
      <c r="IZB40" s="51"/>
      <c r="IZC40" s="51"/>
      <c r="IZD40" s="51"/>
      <c r="IZE40" s="51"/>
      <c r="IZF40" s="51"/>
      <c r="IZG40" s="51"/>
      <c r="IZH40" s="51"/>
      <c r="IZI40" s="51"/>
      <c r="IZJ40" s="51"/>
      <c r="IZK40" s="51"/>
      <c r="IZL40" s="51"/>
      <c r="IZM40" s="51"/>
      <c r="IZN40" s="51"/>
      <c r="IZO40" s="51"/>
      <c r="IZP40" s="51"/>
      <c r="IZQ40" s="51"/>
      <c r="IZR40" s="51"/>
      <c r="IZS40" s="51"/>
      <c r="IZT40" s="51"/>
      <c r="IZU40" s="51"/>
      <c r="IZV40" s="51"/>
      <c r="IZW40" s="51"/>
      <c r="IZX40" s="51"/>
      <c r="IZY40" s="51"/>
      <c r="IZZ40" s="51"/>
      <c r="JAA40" s="51"/>
      <c r="JAB40" s="51"/>
      <c r="JAC40" s="51"/>
      <c r="JAD40" s="51"/>
      <c r="JAE40" s="51"/>
      <c r="JAF40" s="51"/>
      <c r="JAG40" s="51"/>
      <c r="JAH40" s="51"/>
      <c r="JAI40" s="51"/>
      <c r="JAJ40" s="51"/>
      <c r="JAK40" s="51"/>
      <c r="JAL40" s="51"/>
      <c r="JAM40" s="51"/>
      <c r="JAN40" s="51"/>
      <c r="JAO40" s="51"/>
      <c r="JAP40" s="51"/>
      <c r="JAQ40" s="51"/>
      <c r="JAR40" s="51"/>
      <c r="JAS40" s="51"/>
      <c r="JAT40" s="51"/>
      <c r="JAU40" s="51"/>
      <c r="JAV40" s="51"/>
      <c r="JAW40" s="51"/>
      <c r="JAX40" s="51"/>
      <c r="JAY40" s="51"/>
      <c r="JAZ40" s="51"/>
      <c r="JBA40" s="51"/>
      <c r="JBB40" s="51"/>
      <c r="JBC40" s="51"/>
      <c r="JBD40" s="51"/>
      <c r="JBE40" s="51"/>
      <c r="JBF40" s="51"/>
      <c r="JBG40" s="51"/>
      <c r="JBH40" s="51"/>
      <c r="JBI40" s="51"/>
      <c r="JBJ40" s="51"/>
      <c r="JBK40" s="51"/>
      <c r="JBL40" s="51"/>
      <c r="JBM40" s="51"/>
      <c r="JBN40" s="51"/>
      <c r="JBO40" s="51"/>
      <c r="JBP40" s="51"/>
      <c r="JBQ40" s="51"/>
      <c r="JBR40" s="51"/>
      <c r="JBS40" s="51"/>
      <c r="JBT40" s="51"/>
      <c r="JBU40" s="51"/>
      <c r="JBV40" s="51"/>
      <c r="JBW40" s="51"/>
      <c r="JBX40" s="51"/>
      <c r="JBY40" s="51"/>
      <c r="JBZ40" s="51"/>
      <c r="JCA40" s="51"/>
      <c r="JCB40" s="51"/>
      <c r="JCC40" s="51"/>
      <c r="JCD40" s="51"/>
      <c r="JCE40" s="51"/>
      <c r="JCF40" s="51"/>
      <c r="JCG40" s="51"/>
      <c r="JCH40" s="51"/>
      <c r="JCI40" s="51"/>
      <c r="JCJ40" s="51"/>
      <c r="JCK40" s="51"/>
      <c r="JCL40" s="51"/>
      <c r="JCM40" s="51"/>
      <c r="JCN40" s="51"/>
      <c r="JCO40" s="51"/>
      <c r="JCP40" s="51"/>
      <c r="JCQ40" s="51"/>
      <c r="JCR40" s="51"/>
      <c r="JCS40" s="51"/>
      <c r="JCT40" s="51"/>
      <c r="JCU40" s="51"/>
      <c r="JCV40" s="51"/>
      <c r="JCW40" s="51"/>
      <c r="JCX40" s="51"/>
      <c r="JCY40" s="51"/>
      <c r="JCZ40" s="51"/>
      <c r="JDA40" s="51"/>
      <c r="JDB40" s="51"/>
      <c r="JDC40" s="51"/>
      <c r="JDD40" s="51"/>
      <c r="JDE40" s="51"/>
      <c r="JDF40" s="51"/>
      <c r="JDG40" s="51"/>
      <c r="JDH40" s="51"/>
      <c r="JDI40" s="51"/>
      <c r="JDJ40" s="51"/>
      <c r="JDK40" s="51"/>
      <c r="JDL40" s="51"/>
      <c r="JDM40" s="51"/>
      <c r="JDN40" s="51"/>
      <c r="JDO40" s="51"/>
      <c r="JDP40" s="51"/>
      <c r="JDQ40" s="51"/>
      <c r="JDR40" s="51"/>
      <c r="JDS40" s="51"/>
      <c r="JDT40" s="51"/>
      <c r="JDU40" s="51"/>
      <c r="JDV40" s="51"/>
      <c r="JDW40" s="51"/>
      <c r="JDX40" s="51"/>
      <c r="JDY40" s="51"/>
      <c r="JDZ40" s="51"/>
      <c r="JEA40" s="51"/>
      <c r="JEB40" s="51"/>
      <c r="JEC40" s="51"/>
      <c r="JED40" s="51"/>
      <c r="JEE40" s="51"/>
      <c r="JEF40" s="51"/>
      <c r="JEG40" s="51"/>
      <c r="JEH40" s="51"/>
      <c r="JEI40" s="51"/>
      <c r="JEJ40" s="51"/>
      <c r="JEK40" s="51"/>
      <c r="JEL40" s="51"/>
      <c r="JEM40" s="51"/>
      <c r="JEN40" s="51"/>
      <c r="JEO40" s="51"/>
      <c r="JEP40" s="51"/>
      <c r="JEQ40" s="51"/>
      <c r="JER40" s="51"/>
      <c r="JES40" s="51"/>
      <c r="JET40" s="51"/>
      <c r="JEU40" s="51"/>
      <c r="JEV40" s="51"/>
      <c r="JEW40" s="51"/>
      <c r="JEX40" s="51"/>
      <c r="JEY40" s="51"/>
      <c r="JEZ40" s="51"/>
      <c r="JFA40" s="51"/>
      <c r="JFB40" s="51"/>
      <c r="JFC40" s="51"/>
      <c r="JFD40" s="51"/>
      <c r="JFE40" s="51"/>
      <c r="JFF40" s="51"/>
      <c r="JFG40" s="51"/>
      <c r="JFH40" s="51"/>
      <c r="JFI40" s="51"/>
      <c r="JFJ40" s="51"/>
      <c r="JFK40" s="51"/>
      <c r="JFL40" s="51"/>
      <c r="JFM40" s="51"/>
      <c r="JFN40" s="51"/>
      <c r="JFO40" s="51"/>
      <c r="JFP40" s="51"/>
      <c r="JFQ40" s="51"/>
      <c r="JFR40" s="51"/>
      <c r="JFS40" s="51"/>
      <c r="JFT40" s="51"/>
      <c r="JFU40" s="51"/>
      <c r="JFV40" s="51"/>
      <c r="JFW40" s="51"/>
      <c r="JFX40" s="51"/>
      <c r="JFY40" s="51"/>
      <c r="JFZ40" s="51"/>
      <c r="JGA40" s="51"/>
      <c r="JGB40" s="51"/>
      <c r="JGC40" s="51"/>
      <c r="JGD40" s="51"/>
      <c r="JGE40" s="51"/>
      <c r="JGF40" s="51"/>
      <c r="JGG40" s="51"/>
      <c r="JGH40" s="51"/>
      <c r="JGI40" s="51"/>
      <c r="JGJ40" s="51"/>
      <c r="JGK40" s="51"/>
      <c r="JGL40" s="51"/>
      <c r="JGM40" s="51"/>
      <c r="JGN40" s="51"/>
      <c r="JGO40" s="51"/>
      <c r="JGP40" s="51"/>
      <c r="JGQ40" s="51"/>
      <c r="JGR40" s="51"/>
      <c r="JGS40" s="51"/>
      <c r="JGT40" s="51"/>
      <c r="JGU40" s="51"/>
      <c r="JGV40" s="51"/>
      <c r="JGW40" s="51"/>
      <c r="JGX40" s="51"/>
      <c r="JGY40" s="51"/>
      <c r="JGZ40" s="51"/>
      <c r="JHA40" s="51"/>
      <c r="JHB40" s="51"/>
      <c r="JHC40" s="51"/>
      <c r="JHD40" s="51"/>
      <c r="JHE40" s="51"/>
      <c r="JHF40" s="51"/>
      <c r="JHG40" s="51"/>
      <c r="JHH40" s="51"/>
      <c r="JHI40" s="51"/>
      <c r="JHJ40" s="51"/>
      <c r="JHK40" s="51"/>
      <c r="JHL40" s="51"/>
      <c r="JHM40" s="51"/>
      <c r="JHN40" s="51"/>
      <c r="JHO40" s="51"/>
      <c r="JHP40" s="51"/>
      <c r="JHQ40" s="51"/>
      <c r="JHR40" s="51"/>
      <c r="JHS40" s="51"/>
      <c r="JHT40" s="51"/>
      <c r="JHU40" s="51"/>
      <c r="JHV40" s="51"/>
      <c r="JHW40" s="51"/>
      <c r="JHX40" s="51"/>
      <c r="JHY40" s="51"/>
      <c r="JHZ40" s="51"/>
      <c r="JIA40" s="51"/>
      <c r="JIB40" s="51"/>
      <c r="JIC40" s="51"/>
      <c r="JID40" s="51"/>
      <c r="JIE40" s="51"/>
      <c r="JIF40" s="51"/>
      <c r="JIG40" s="51"/>
      <c r="JIH40" s="51"/>
      <c r="JII40" s="51"/>
      <c r="JIJ40" s="51"/>
      <c r="JIK40" s="51"/>
      <c r="JIL40" s="51"/>
      <c r="JIM40" s="51"/>
      <c r="JIN40" s="51"/>
      <c r="JIO40" s="51"/>
      <c r="JIP40" s="51"/>
      <c r="JIQ40" s="51"/>
      <c r="JIR40" s="51"/>
      <c r="JIS40" s="51"/>
      <c r="JIT40" s="51"/>
      <c r="JIU40" s="51"/>
      <c r="JIV40" s="51"/>
      <c r="JIW40" s="51"/>
      <c r="JIX40" s="51"/>
      <c r="JIY40" s="51"/>
      <c r="JIZ40" s="51"/>
      <c r="JJA40" s="51"/>
      <c r="JJB40" s="51"/>
      <c r="JJC40" s="51"/>
      <c r="JJD40" s="51"/>
      <c r="JJE40" s="51"/>
      <c r="JJF40" s="51"/>
      <c r="JJG40" s="51"/>
      <c r="JJH40" s="51"/>
      <c r="JJI40" s="51"/>
      <c r="JJJ40" s="51"/>
      <c r="JJK40" s="51"/>
      <c r="JJL40" s="51"/>
      <c r="JJM40" s="51"/>
      <c r="JJN40" s="51"/>
      <c r="JJO40" s="51"/>
      <c r="JJP40" s="51"/>
      <c r="JJQ40" s="51"/>
      <c r="JJR40" s="51"/>
      <c r="JJS40" s="51"/>
      <c r="JJT40" s="51"/>
      <c r="JJU40" s="51"/>
      <c r="JJV40" s="51"/>
      <c r="JJW40" s="51"/>
      <c r="JJX40" s="51"/>
      <c r="JJY40" s="51"/>
      <c r="JJZ40" s="51"/>
      <c r="JKA40" s="51"/>
      <c r="JKB40" s="51"/>
      <c r="JKC40" s="51"/>
      <c r="JKD40" s="51"/>
      <c r="JKE40" s="51"/>
      <c r="JKF40" s="51"/>
      <c r="JKG40" s="51"/>
      <c r="JKH40" s="51"/>
      <c r="JKI40" s="51"/>
      <c r="JKJ40" s="51"/>
      <c r="JKK40" s="51"/>
      <c r="JKL40" s="51"/>
      <c r="JKM40" s="51"/>
      <c r="JKN40" s="51"/>
      <c r="JKO40" s="51"/>
      <c r="JKP40" s="51"/>
      <c r="JKQ40" s="51"/>
      <c r="JKR40" s="51"/>
      <c r="JKS40" s="51"/>
      <c r="JKT40" s="51"/>
      <c r="JKU40" s="51"/>
      <c r="JKV40" s="51"/>
      <c r="JKW40" s="51"/>
      <c r="JKX40" s="51"/>
      <c r="JKY40" s="51"/>
      <c r="JKZ40" s="51"/>
      <c r="JLA40" s="51"/>
      <c r="JLB40" s="51"/>
      <c r="JLC40" s="51"/>
      <c r="JLD40" s="51"/>
      <c r="JLE40" s="51"/>
      <c r="JLF40" s="51"/>
      <c r="JLG40" s="51"/>
      <c r="JLH40" s="51"/>
      <c r="JLI40" s="51"/>
      <c r="JLJ40" s="51"/>
      <c r="JLK40" s="51"/>
      <c r="JLL40" s="51"/>
      <c r="JLM40" s="51"/>
      <c r="JLN40" s="51"/>
      <c r="JLO40" s="51"/>
      <c r="JLP40" s="51"/>
      <c r="JLQ40" s="51"/>
      <c r="JLR40" s="51"/>
      <c r="JLS40" s="51"/>
      <c r="JLT40" s="51"/>
      <c r="JLU40" s="51"/>
      <c r="JLV40" s="51"/>
      <c r="JLW40" s="51"/>
      <c r="JLX40" s="51"/>
      <c r="JLY40" s="51"/>
      <c r="JLZ40" s="51"/>
      <c r="JMA40" s="51"/>
      <c r="JMB40" s="51"/>
      <c r="JMC40" s="51"/>
      <c r="JMD40" s="51"/>
      <c r="JME40" s="51"/>
      <c r="JMF40" s="51"/>
      <c r="JMG40" s="51"/>
      <c r="JMH40" s="51"/>
      <c r="JMI40" s="51"/>
      <c r="JMJ40" s="51"/>
      <c r="JMK40" s="51"/>
      <c r="JML40" s="51"/>
      <c r="JMM40" s="51"/>
      <c r="JMN40" s="51"/>
      <c r="JMO40" s="51"/>
      <c r="JMP40" s="51"/>
      <c r="JMQ40" s="51"/>
      <c r="JMR40" s="51"/>
      <c r="JMS40" s="51"/>
      <c r="JMT40" s="51"/>
      <c r="JMU40" s="51"/>
      <c r="JMV40" s="51"/>
      <c r="JMW40" s="51"/>
      <c r="JMX40" s="51"/>
      <c r="JMY40" s="51"/>
      <c r="JMZ40" s="51"/>
      <c r="JNA40" s="51"/>
      <c r="JNB40" s="51"/>
      <c r="JNC40" s="51"/>
      <c r="JND40" s="51"/>
      <c r="JNE40" s="51"/>
      <c r="JNF40" s="51"/>
      <c r="JNG40" s="51"/>
      <c r="JNH40" s="51"/>
      <c r="JNI40" s="51"/>
      <c r="JNJ40" s="51"/>
      <c r="JNK40" s="51"/>
      <c r="JNL40" s="51"/>
      <c r="JNM40" s="51"/>
      <c r="JNN40" s="51"/>
      <c r="JNO40" s="51"/>
      <c r="JNP40" s="51"/>
      <c r="JNQ40" s="51"/>
      <c r="JNR40" s="51"/>
      <c r="JNS40" s="51"/>
      <c r="JNT40" s="51"/>
      <c r="JNU40" s="51"/>
      <c r="JNV40" s="51"/>
      <c r="JNW40" s="51"/>
      <c r="JNX40" s="51"/>
      <c r="JNY40" s="51"/>
      <c r="JNZ40" s="51"/>
      <c r="JOA40" s="51"/>
      <c r="JOB40" s="51"/>
      <c r="JOC40" s="51"/>
      <c r="JOD40" s="51"/>
      <c r="JOE40" s="51"/>
      <c r="JOF40" s="51"/>
      <c r="JOG40" s="51"/>
      <c r="JOH40" s="51"/>
      <c r="JOI40" s="51"/>
      <c r="JOJ40" s="51"/>
      <c r="JOK40" s="51"/>
      <c r="JOL40" s="51"/>
      <c r="JOM40" s="51"/>
      <c r="JON40" s="51"/>
      <c r="JOO40" s="51"/>
      <c r="JOP40" s="51"/>
      <c r="JOQ40" s="51"/>
      <c r="JOR40" s="51"/>
      <c r="JOS40" s="51"/>
      <c r="JOT40" s="51"/>
      <c r="JOU40" s="51"/>
      <c r="JOV40" s="51"/>
      <c r="JOW40" s="51"/>
      <c r="JOX40" s="51"/>
      <c r="JOY40" s="51"/>
      <c r="JOZ40" s="51"/>
      <c r="JPA40" s="51"/>
      <c r="JPB40" s="51"/>
      <c r="JPC40" s="51"/>
      <c r="JPD40" s="51"/>
      <c r="JPE40" s="51"/>
      <c r="JPF40" s="51"/>
      <c r="JPG40" s="51"/>
      <c r="JPH40" s="51"/>
      <c r="JPI40" s="51"/>
      <c r="JPJ40" s="51"/>
      <c r="JPK40" s="51"/>
      <c r="JPL40" s="51"/>
      <c r="JPM40" s="51"/>
      <c r="JPN40" s="51"/>
      <c r="JPO40" s="51"/>
      <c r="JPP40" s="51"/>
      <c r="JPQ40" s="51"/>
      <c r="JPR40" s="51"/>
      <c r="JPS40" s="51"/>
      <c r="JPT40" s="51"/>
      <c r="JPU40" s="51"/>
      <c r="JPV40" s="51"/>
      <c r="JPW40" s="51"/>
      <c r="JPX40" s="51"/>
      <c r="JPY40" s="51"/>
      <c r="JPZ40" s="51"/>
      <c r="JQA40" s="51"/>
      <c r="JQB40" s="51"/>
      <c r="JQC40" s="51"/>
      <c r="JQD40" s="51"/>
      <c r="JQE40" s="51"/>
      <c r="JQF40" s="51"/>
      <c r="JQG40" s="51"/>
      <c r="JQH40" s="51"/>
      <c r="JQI40" s="51"/>
      <c r="JQJ40" s="51"/>
      <c r="JQK40" s="51"/>
      <c r="JQL40" s="51"/>
      <c r="JQM40" s="51"/>
      <c r="JQN40" s="51"/>
      <c r="JQO40" s="51"/>
      <c r="JQP40" s="51"/>
      <c r="JQQ40" s="51"/>
      <c r="JQR40" s="51"/>
      <c r="JQS40" s="51"/>
      <c r="JQT40" s="51"/>
      <c r="JQU40" s="51"/>
      <c r="JQV40" s="51"/>
      <c r="JQW40" s="51"/>
      <c r="JQX40" s="51"/>
      <c r="JQY40" s="51"/>
      <c r="JQZ40" s="51"/>
      <c r="JRA40" s="51"/>
      <c r="JRB40" s="51"/>
      <c r="JRC40" s="51"/>
      <c r="JRD40" s="51"/>
      <c r="JRE40" s="51"/>
      <c r="JRF40" s="51"/>
      <c r="JRG40" s="51"/>
      <c r="JRH40" s="51"/>
      <c r="JRI40" s="51"/>
      <c r="JRJ40" s="51"/>
      <c r="JRK40" s="51"/>
      <c r="JRL40" s="51"/>
      <c r="JRM40" s="51"/>
      <c r="JRN40" s="51"/>
      <c r="JRO40" s="51"/>
      <c r="JRP40" s="51"/>
      <c r="JRQ40" s="51"/>
      <c r="JRR40" s="51"/>
      <c r="JRS40" s="51"/>
      <c r="JRT40" s="51"/>
      <c r="JRU40" s="51"/>
      <c r="JRV40" s="51"/>
      <c r="JRW40" s="51"/>
      <c r="JRX40" s="51"/>
      <c r="JRY40" s="51"/>
      <c r="JRZ40" s="51"/>
      <c r="JSA40" s="51"/>
      <c r="JSB40" s="51"/>
      <c r="JSC40" s="51"/>
      <c r="JSD40" s="51"/>
      <c r="JSE40" s="51"/>
      <c r="JSF40" s="51"/>
      <c r="JSG40" s="51"/>
      <c r="JSH40" s="51"/>
      <c r="JSI40" s="51"/>
      <c r="JSJ40" s="51"/>
      <c r="JSK40" s="51"/>
      <c r="JSL40" s="51"/>
      <c r="JSM40" s="51"/>
      <c r="JSN40" s="51"/>
      <c r="JSO40" s="51"/>
      <c r="JSP40" s="51"/>
      <c r="JSQ40" s="51"/>
      <c r="JSR40" s="51"/>
      <c r="JSS40" s="51"/>
      <c r="JST40" s="51"/>
      <c r="JSU40" s="51"/>
      <c r="JSV40" s="51"/>
      <c r="JSW40" s="51"/>
      <c r="JSX40" s="51"/>
      <c r="JSY40" s="51"/>
      <c r="JSZ40" s="51"/>
      <c r="JTA40" s="51"/>
      <c r="JTB40" s="51"/>
      <c r="JTC40" s="51"/>
      <c r="JTD40" s="51"/>
      <c r="JTE40" s="51"/>
      <c r="JTF40" s="51"/>
      <c r="JTG40" s="51"/>
      <c r="JTH40" s="51"/>
      <c r="JTI40" s="51"/>
      <c r="JTJ40" s="51"/>
      <c r="JTK40" s="51"/>
      <c r="JTL40" s="51"/>
      <c r="JTM40" s="51"/>
      <c r="JTN40" s="51"/>
      <c r="JTO40" s="51"/>
      <c r="JTP40" s="51"/>
      <c r="JTQ40" s="51"/>
      <c r="JTR40" s="51"/>
      <c r="JTS40" s="51"/>
      <c r="JTT40" s="51"/>
      <c r="JTU40" s="51"/>
      <c r="JTV40" s="51"/>
      <c r="JTW40" s="51"/>
      <c r="JTX40" s="51"/>
      <c r="JTY40" s="51"/>
      <c r="JTZ40" s="51"/>
      <c r="JUA40" s="51"/>
      <c r="JUB40" s="51"/>
      <c r="JUC40" s="51"/>
      <c r="JUD40" s="51"/>
      <c r="JUE40" s="51"/>
      <c r="JUF40" s="51"/>
      <c r="JUG40" s="51"/>
      <c r="JUH40" s="51"/>
      <c r="JUI40" s="51"/>
      <c r="JUJ40" s="51"/>
      <c r="JUK40" s="51"/>
      <c r="JUL40" s="51"/>
      <c r="JUM40" s="51"/>
      <c r="JUN40" s="51"/>
      <c r="JUO40" s="51"/>
      <c r="JUP40" s="51"/>
      <c r="JUQ40" s="51"/>
      <c r="JUR40" s="51"/>
      <c r="JUS40" s="51"/>
      <c r="JUT40" s="51"/>
      <c r="JUU40" s="51"/>
      <c r="JUV40" s="51"/>
      <c r="JUW40" s="51"/>
      <c r="JUX40" s="51"/>
      <c r="JUY40" s="51"/>
      <c r="JUZ40" s="51"/>
      <c r="JVA40" s="51"/>
      <c r="JVB40" s="51"/>
      <c r="JVC40" s="51"/>
      <c r="JVD40" s="51"/>
      <c r="JVE40" s="51"/>
      <c r="JVF40" s="51"/>
      <c r="JVG40" s="51"/>
      <c r="JVH40" s="51"/>
      <c r="JVI40" s="51"/>
      <c r="JVJ40" s="51"/>
      <c r="JVK40" s="51"/>
      <c r="JVL40" s="51"/>
      <c r="JVM40" s="51"/>
      <c r="JVN40" s="51"/>
      <c r="JVO40" s="51"/>
      <c r="JVP40" s="51"/>
      <c r="JVQ40" s="51"/>
      <c r="JVR40" s="51"/>
      <c r="JVS40" s="51"/>
      <c r="JVT40" s="51"/>
      <c r="JVU40" s="51"/>
      <c r="JVV40" s="51"/>
      <c r="JVW40" s="51"/>
      <c r="JVX40" s="51"/>
      <c r="JVY40" s="51"/>
      <c r="JVZ40" s="51"/>
      <c r="JWA40" s="51"/>
      <c r="JWB40" s="51"/>
      <c r="JWC40" s="51"/>
      <c r="JWD40" s="51"/>
      <c r="JWE40" s="51"/>
      <c r="JWF40" s="51"/>
      <c r="JWG40" s="51"/>
      <c r="JWH40" s="51"/>
      <c r="JWI40" s="51"/>
      <c r="JWJ40" s="51"/>
      <c r="JWK40" s="51"/>
      <c r="JWL40" s="51"/>
      <c r="JWM40" s="51"/>
      <c r="JWN40" s="51"/>
      <c r="JWO40" s="51"/>
      <c r="JWP40" s="51"/>
      <c r="JWQ40" s="51"/>
      <c r="JWR40" s="51"/>
      <c r="JWS40" s="51"/>
      <c r="JWT40" s="51"/>
      <c r="JWU40" s="51"/>
      <c r="JWV40" s="51"/>
      <c r="JWW40" s="51"/>
      <c r="JWX40" s="51"/>
      <c r="JWY40" s="51"/>
      <c r="JWZ40" s="51"/>
      <c r="JXA40" s="51"/>
      <c r="JXB40" s="51"/>
      <c r="JXC40" s="51"/>
      <c r="JXD40" s="51"/>
      <c r="JXE40" s="51"/>
      <c r="JXF40" s="51"/>
      <c r="JXG40" s="51"/>
      <c r="JXH40" s="51"/>
      <c r="JXI40" s="51"/>
      <c r="JXJ40" s="51"/>
      <c r="JXK40" s="51"/>
      <c r="JXL40" s="51"/>
      <c r="JXM40" s="51"/>
      <c r="JXN40" s="51"/>
      <c r="JXO40" s="51"/>
      <c r="JXP40" s="51"/>
      <c r="JXQ40" s="51"/>
      <c r="JXR40" s="51"/>
      <c r="JXS40" s="51"/>
      <c r="JXT40" s="51"/>
      <c r="JXU40" s="51"/>
      <c r="JXV40" s="51"/>
      <c r="JXW40" s="51"/>
      <c r="JXX40" s="51"/>
      <c r="JXY40" s="51"/>
      <c r="JXZ40" s="51"/>
      <c r="JYA40" s="51"/>
      <c r="JYB40" s="51"/>
      <c r="JYC40" s="51"/>
      <c r="JYD40" s="51"/>
      <c r="JYE40" s="51"/>
      <c r="JYF40" s="51"/>
      <c r="JYG40" s="51"/>
      <c r="JYH40" s="51"/>
      <c r="JYI40" s="51"/>
      <c r="JYJ40" s="51"/>
      <c r="JYK40" s="51"/>
      <c r="JYL40" s="51"/>
      <c r="JYM40" s="51"/>
      <c r="JYN40" s="51"/>
      <c r="JYO40" s="51"/>
      <c r="JYP40" s="51"/>
      <c r="JYQ40" s="51"/>
      <c r="JYR40" s="51"/>
      <c r="JYS40" s="51"/>
      <c r="JYT40" s="51"/>
      <c r="JYU40" s="51"/>
      <c r="JYV40" s="51"/>
      <c r="JYW40" s="51"/>
      <c r="JYX40" s="51"/>
      <c r="JYY40" s="51"/>
      <c r="JYZ40" s="51"/>
      <c r="JZA40" s="51"/>
      <c r="JZB40" s="51"/>
      <c r="JZC40" s="51"/>
      <c r="JZD40" s="51"/>
      <c r="JZE40" s="51"/>
      <c r="JZF40" s="51"/>
      <c r="JZG40" s="51"/>
      <c r="JZH40" s="51"/>
      <c r="JZI40" s="51"/>
      <c r="JZJ40" s="51"/>
      <c r="JZK40" s="51"/>
      <c r="JZL40" s="51"/>
      <c r="JZM40" s="51"/>
      <c r="JZN40" s="51"/>
      <c r="JZO40" s="51"/>
      <c r="JZP40" s="51"/>
      <c r="JZQ40" s="51"/>
      <c r="JZR40" s="51"/>
      <c r="JZS40" s="51"/>
      <c r="JZT40" s="51"/>
      <c r="JZU40" s="51"/>
      <c r="JZV40" s="51"/>
      <c r="JZW40" s="51"/>
      <c r="JZX40" s="51"/>
      <c r="JZY40" s="51"/>
      <c r="JZZ40" s="51"/>
      <c r="KAA40" s="51"/>
      <c r="KAB40" s="51"/>
      <c r="KAC40" s="51"/>
      <c r="KAD40" s="51"/>
      <c r="KAE40" s="51"/>
      <c r="KAF40" s="51"/>
      <c r="KAG40" s="51"/>
      <c r="KAH40" s="51"/>
      <c r="KAI40" s="51"/>
      <c r="KAJ40" s="51"/>
      <c r="KAK40" s="51"/>
      <c r="KAL40" s="51"/>
      <c r="KAM40" s="51"/>
      <c r="KAN40" s="51"/>
      <c r="KAO40" s="51"/>
      <c r="KAP40" s="51"/>
      <c r="KAQ40" s="51"/>
      <c r="KAR40" s="51"/>
      <c r="KAS40" s="51"/>
      <c r="KAT40" s="51"/>
      <c r="KAU40" s="51"/>
      <c r="KAV40" s="51"/>
      <c r="KAW40" s="51"/>
      <c r="KAX40" s="51"/>
      <c r="KAY40" s="51"/>
      <c r="KAZ40" s="51"/>
      <c r="KBA40" s="51"/>
      <c r="KBB40" s="51"/>
      <c r="KBC40" s="51"/>
      <c r="KBD40" s="51"/>
      <c r="KBE40" s="51"/>
      <c r="KBF40" s="51"/>
      <c r="KBG40" s="51"/>
      <c r="KBH40" s="51"/>
      <c r="KBI40" s="51"/>
      <c r="KBJ40" s="51"/>
      <c r="KBK40" s="51"/>
      <c r="KBL40" s="51"/>
      <c r="KBM40" s="51"/>
      <c r="KBN40" s="51"/>
      <c r="KBO40" s="51"/>
      <c r="KBP40" s="51"/>
      <c r="KBQ40" s="51"/>
      <c r="KBR40" s="51"/>
      <c r="KBS40" s="51"/>
      <c r="KBT40" s="51"/>
      <c r="KBU40" s="51"/>
      <c r="KBV40" s="51"/>
      <c r="KBW40" s="51"/>
      <c r="KBX40" s="51"/>
      <c r="KBY40" s="51"/>
      <c r="KBZ40" s="51"/>
      <c r="KCA40" s="51"/>
      <c r="KCB40" s="51"/>
      <c r="KCC40" s="51"/>
      <c r="KCD40" s="51"/>
      <c r="KCE40" s="51"/>
      <c r="KCF40" s="51"/>
      <c r="KCG40" s="51"/>
      <c r="KCH40" s="51"/>
      <c r="KCI40" s="51"/>
      <c r="KCJ40" s="51"/>
      <c r="KCK40" s="51"/>
      <c r="KCL40" s="51"/>
      <c r="KCM40" s="51"/>
      <c r="KCN40" s="51"/>
      <c r="KCO40" s="51"/>
      <c r="KCP40" s="51"/>
      <c r="KCQ40" s="51"/>
      <c r="KCR40" s="51"/>
      <c r="KCS40" s="51"/>
      <c r="KCT40" s="51"/>
      <c r="KCU40" s="51"/>
      <c r="KCV40" s="51"/>
      <c r="KCW40" s="51"/>
      <c r="KCX40" s="51"/>
      <c r="KCY40" s="51"/>
      <c r="KCZ40" s="51"/>
      <c r="KDA40" s="51"/>
      <c r="KDB40" s="51"/>
      <c r="KDC40" s="51"/>
      <c r="KDD40" s="51"/>
      <c r="KDE40" s="51"/>
      <c r="KDF40" s="51"/>
      <c r="KDG40" s="51"/>
      <c r="KDH40" s="51"/>
      <c r="KDI40" s="51"/>
      <c r="KDJ40" s="51"/>
      <c r="KDK40" s="51"/>
      <c r="KDL40" s="51"/>
      <c r="KDM40" s="51"/>
      <c r="KDN40" s="51"/>
      <c r="KDO40" s="51"/>
      <c r="KDP40" s="51"/>
      <c r="KDQ40" s="51"/>
      <c r="KDR40" s="51"/>
      <c r="KDS40" s="51"/>
      <c r="KDT40" s="51"/>
      <c r="KDU40" s="51"/>
      <c r="KDV40" s="51"/>
      <c r="KDW40" s="51"/>
      <c r="KDX40" s="51"/>
      <c r="KDY40" s="51"/>
      <c r="KDZ40" s="51"/>
      <c r="KEA40" s="51"/>
      <c r="KEB40" s="51"/>
      <c r="KEC40" s="51"/>
      <c r="KED40" s="51"/>
      <c r="KEE40" s="51"/>
      <c r="KEF40" s="51"/>
      <c r="KEG40" s="51"/>
      <c r="KEH40" s="51"/>
      <c r="KEI40" s="51"/>
      <c r="KEJ40" s="51"/>
      <c r="KEK40" s="51"/>
      <c r="KEL40" s="51"/>
      <c r="KEM40" s="51"/>
      <c r="KEN40" s="51"/>
      <c r="KEO40" s="51"/>
      <c r="KEP40" s="51"/>
      <c r="KEQ40" s="51"/>
      <c r="KER40" s="51"/>
      <c r="KES40" s="51"/>
      <c r="KET40" s="51"/>
      <c r="KEU40" s="51"/>
      <c r="KEV40" s="51"/>
      <c r="KEW40" s="51"/>
      <c r="KEX40" s="51"/>
      <c r="KEY40" s="51"/>
      <c r="KEZ40" s="51"/>
      <c r="KFA40" s="51"/>
      <c r="KFB40" s="51"/>
      <c r="KFC40" s="51"/>
      <c r="KFD40" s="51"/>
      <c r="KFE40" s="51"/>
      <c r="KFF40" s="51"/>
      <c r="KFG40" s="51"/>
      <c r="KFH40" s="51"/>
      <c r="KFI40" s="51"/>
      <c r="KFJ40" s="51"/>
      <c r="KFK40" s="51"/>
      <c r="KFL40" s="51"/>
      <c r="KFM40" s="51"/>
      <c r="KFN40" s="51"/>
      <c r="KFO40" s="51"/>
      <c r="KFP40" s="51"/>
      <c r="KFQ40" s="51"/>
      <c r="KFR40" s="51"/>
      <c r="KFS40" s="51"/>
      <c r="KFT40" s="51"/>
      <c r="KFU40" s="51"/>
      <c r="KFV40" s="51"/>
      <c r="KFW40" s="51"/>
      <c r="KFX40" s="51"/>
      <c r="KFY40" s="51"/>
      <c r="KFZ40" s="51"/>
      <c r="KGA40" s="51"/>
      <c r="KGB40" s="51"/>
      <c r="KGC40" s="51"/>
      <c r="KGD40" s="51"/>
      <c r="KGE40" s="51"/>
      <c r="KGF40" s="51"/>
      <c r="KGG40" s="51"/>
      <c r="KGH40" s="51"/>
      <c r="KGI40" s="51"/>
      <c r="KGJ40" s="51"/>
      <c r="KGK40" s="51"/>
      <c r="KGL40" s="51"/>
      <c r="KGM40" s="51"/>
      <c r="KGN40" s="51"/>
      <c r="KGO40" s="51"/>
      <c r="KGP40" s="51"/>
      <c r="KGQ40" s="51"/>
      <c r="KGR40" s="51"/>
      <c r="KGS40" s="51"/>
      <c r="KGT40" s="51"/>
      <c r="KGU40" s="51"/>
      <c r="KGV40" s="51"/>
      <c r="KGW40" s="51"/>
      <c r="KGX40" s="51"/>
      <c r="KGY40" s="51"/>
      <c r="KGZ40" s="51"/>
      <c r="KHA40" s="51"/>
      <c r="KHB40" s="51"/>
      <c r="KHC40" s="51"/>
      <c r="KHD40" s="51"/>
      <c r="KHE40" s="51"/>
      <c r="KHF40" s="51"/>
      <c r="KHG40" s="51"/>
      <c r="KHH40" s="51"/>
      <c r="KHI40" s="51"/>
      <c r="KHJ40" s="51"/>
      <c r="KHK40" s="51"/>
      <c r="KHL40" s="51"/>
      <c r="KHM40" s="51"/>
      <c r="KHN40" s="51"/>
      <c r="KHO40" s="51"/>
      <c r="KHP40" s="51"/>
      <c r="KHQ40" s="51"/>
      <c r="KHR40" s="51"/>
      <c r="KHS40" s="51"/>
      <c r="KHT40" s="51"/>
      <c r="KHU40" s="51"/>
      <c r="KHV40" s="51"/>
      <c r="KHW40" s="51"/>
      <c r="KHX40" s="51"/>
      <c r="KHY40" s="51"/>
      <c r="KHZ40" s="51"/>
      <c r="KIA40" s="51"/>
      <c r="KIB40" s="51"/>
      <c r="KIC40" s="51"/>
      <c r="KID40" s="51"/>
      <c r="KIE40" s="51"/>
      <c r="KIF40" s="51"/>
      <c r="KIG40" s="51"/>
      <c r="KIH40" s="51"/>
      <c r="KII40" s="51"/>
      <c r="KIJ40" s="51"/>
      <c r="KIK40" s="51"/>
      <c r="KIL40" s="51"/>
      <c r="KIM40" s="51"/>
      <c r="KIN40" s="51"/>
      <c r="KIO40" s="51"/>
      <c r="KIP40" s="51"/>
      <c r="KIQ40" s="51"/>
      <c r="KIR40" s="51"/>
      <c r="KIS40" s="51"/>
      <c r="KIT40" s="51"/>
      <c r="KIU40" s="51"/>
      <c r="KIV40" s="51"/>
      <c r="KIW40" s="51"/>
      <c r="KIX40" s="51"/>
      <c r="KIY40" s="51"/>
      <c r="KIZ40" s="51"/>
      <c r="KJA40" s="51"/>
      <c r="KJB40" s="51"/>
      <c r="KJC40" s="51"/>
      <c r="KJD40" s="51"/>
      <c r="KJE40" s="51"/>
      <c r="KJF40" s="51"/>
      <c r="KJG40" s="51"/>
      <c r="KJH40" s="51"/>
      <c r="KJI40" s="51"/>
      <c r="KJJ40" s="51"/>
      <c r="KJK40" s="51"/>
      <c r="KJL40" s="51"/>
      <c r="KJM40" s="51"/>
      <c r="KJN40" s="51"/>
      <c r="KJO40" s="51"/>
      <c r="KJP40" s="51"/>
      <c r="KJQ40" s="51"/>
      <c r="KJR40" s="51"/>
      <c r="KJS40" s="51"/>
      <c r="KJT40" s="51"/>
      <c r="KJU40" s="51"/>
      <c r="KJV40" s="51"/>
      <c r="KJW40" s="51"/>
      <c r="KJX40" s="51"/>
      <c r="KJY40" s="51"/>
      <c r="KJZ40" s="51"/>
      <c r="KKA40" s="51"/>
      <c r="KKB40" s="51"/>
      <c r="KKC40" s="51"/>
      <c r="KKD40" s="51"/>
      <c r="KKE40" s="51"/>
      <c r="KKF40" s="51"/>
      <c r="KKG40" s="51"/>
      <c r="KKH40" s="51"/>
      <c r="KKI40" s="51"/>
      <c r="KKJ40" s="51"/>
      <c r="KKK40" s="51"/>
      <c r="KKL40" s="51"/>
      <c r="KKM40" s="51"/>
      <c r="KKN40" s="51"/>
      <c r="KKO40" s="51"/>
      <c r="KKP40" s="51"/>
      <c r="KKQ40" s="51"/>
      <c r="KKR40" s="51"/>
      <c r="KKS40" s="51"/>
      <c r="KKT40" s="51"/>
      <c r="KKU40" s="51"/>
      <c r="KKV40" s="51"/>
      <c r="KKW40" s="51"/>
      <c r="KKX40" s="51"/>
      <c r="KKY40" s="51"/>
      <c r="KKZ40" s="51"/>
      <c r="KLA40" s="51"/>
      <c r="KLB40" s="51"/>
      <c r="KLC40" s="51"/>
      <c r="KLD40" s="51"/>
      <c r="KLE40" s="51"/>
      <c r="KLF40" s="51"/>
      <c r="KLG40" s="51"/>
      <c r="KLH40" s="51"/>
      <c r="KLI40" s="51"/>
      <c r="KLJ40" s="51"/>
      <c r="KLK40" s="51"/>
      <c r="KLL40" s="51"/>
      <c r="KLM40" s="51"/>
      <c r="KLN40" s="51"/>
      <c r="KLO40" s="51"/>
      <c r="KLP40" s="51"/>
      <c r="KLQ40" s="51"/>
      <c r="KLR40" s="51"/>
      <c r="KLS40" s="51"/>
      <c r="KLT40" s="51"/>
      <c r="KLU40" s="51"/>
      <c r="KLV40" s="51"/>
      <c r="KLW40" s="51"/>
      <c r="KLX40" s="51"/>
      <c r="KLY40" s="51"/>
      <c r="KLZ40" s="51"/>
      <c r="KMA40" s="51"/>
      <c r="KMB40" s="51"/>
      <c r="KMC40" s="51"/>
      <c r="KMD40" s="51"/>
      <c r="KME40" s="51"/>
      <c r="KMF40" s="51"/>
      <c r="KMG40" s="51"/>
      <c r="KMH40" s="51"/>
      <c r="KMI40" s="51"/>
      <c r="KMJ40" s="51"/>
      <c r="KMK40" s="51"/>
      <c r="KML40" s="51"/>
      <c r="KMM40" s="51"/>
      <c r="KMN40" s="51"/>
      <c r="KMO40" s="51"/>
      <c r="KMP40" s="51"/>
      <c r="KMQ40" s="51"/>
      <c r="KMR40" s="51"/>
      <c r="KMS40" s="51"/>
      <c r="KMT40" s="51"/>
      <c r="KMU40" s="51"/>
      <c r="KMV40" s="51"/>
      <c r="KMW40" s="51"/>
      <c r="KMX40" s="51"/>
      <c r="KMY40" s="51"/>
      <c r="KMZ40" s="51"/>
      <c r="KNA40" s="51"/>
      <c r="KNB40" s="51"/>
      <c r="KNC40" s="51"/>
      <c r="KND40" s="51"/>
      <c r="KNE40" s="51"/>
      <c r="KNF40" s="51"/>
      <c r="KNG40" s="51"/>
      <c r="KNH40" s="51"/>
      <c r="KNI40" s="51"/>
      <c r="KNJ40" s="51"/>
      <c r="KNK40" s="51"/>
      <c r="KNL40" s="51"/>
      <c r="KNM40" s="51"/>
      <c r="KNN40" s="51"/>
      <c r="KNO40" s="51"/>
      <c r="KNP40" s="51"/>
      <c r="KNQ40" s="51"/>
      <c r="KNR40" s="51"/>
      <c r="KNS40" s="51"/>
      <c r="KNT40" s="51"/>
      <c r="KNU40" s="51"/>
      <c r="KNV40" s="51"/>
      <c r="KNW40" s="51"/>
      <c r="KNX40" s="51"/>
      <c r="KNY40" s="51"/>
      <c r="KNZ40" s="51"/>
      <c r="KOA40" s="51"/>
      <c r="KOB40" s="51"/>
      <c r="KOC40" s="51"/>
      <c r="KOD40" s="51"/>
      <c r="KOE40" s="51"/>
      <c r="KOF40" s="51"/>
      <c r="KOG40" s="51"/>
      <c r="KOH40" s="51"/>
      <c r="KOI40" s="51"/>
      <c r="KOJ40" s="51"/>
      <c r="KOK40" s="51"/>
      <c r="KOL40" s="51"/>
      <c r="KOM40" s="51"/>
      <c r="KON40" s="51"/>
      <c r="KOO40" s="51"/>
      <c r="KOP40" s="51"/>
      <c r="KOQ40" s="51"/>
      <c r="KOR40" s="51"/>
      <c r="KOS40" s="51"/>
      <c r="KOT40" s="51"/>
      <c r="KOU40" s="51"/>
      <c r="KOV40" s="51"/>
      <c r="KOW40" s="51"/>
      <c r="KOX40" s="51"/>
      <c r="KOY40" s="51"/>
      <c r="KOZ40" s="51"/>
      <c r="KPA40" s="51"/>
      <c r="KPB40" s="51"/>
      <c r="KPC40" s="51"/>
      <c r="KPD40" s="51"/>
      <c r="KPE40" s="51"/>
      <c r="KPF40" s="51"/>
      <c r="KPG40" s="51"/>
      <c r="KPH40" s="51"/>
      <c r="KPI40" s="51"/>
      <c r="KPJ40" s="51"/>
      <c r="KPK40" s="51"/>
      <c r="KPL40" s="51"/>
      <c r="KPM40" s="51"/>
      <c r="KPN40" s="51"/>
      <c r="KPO40" s="51"/>
      <c r="KPP40" s="51"/>
      <c r="KPQ40" s="51"/>
      <c r="KPR40" s="51"/>
      <c r="KPS40" s="51"/>
      <c r="KPT40" s="51"/>
      <c r="KPU40" s="51"/>
      <c r="KPV40" s="51"/>
      <c r="KPW40" s="51"/>
      <c r="KPX40" s="51"/>
      <c r="KPY40" s="51"/>
      <c r="KPZ40" s="51"/>
      <c r="KQA40" s="51"/>
      <c r="KQB40" s="51"/>
      <c r="KQC40" s="51"/>
      <c r="KQD40" s="51"/>
      <c r="KQE40" s="51"/>
      <c r="KQF40" s="51"/>
      <c r="KQG40" s="51"/>
      <c r="KQH40" s="51"/>
      <c r="KQI40" s="51"/>
      <c r="KQJ40" s="51"/>
      <c r="KQK40" s="51"/>
      <c r="KQL40" s="51"/>
      <c r="KQM40" s="51"/>
      <c r="KQN40" s="51"/>
      <c r="KQO40" s="51"/>
      <c r="KQP40" s="51"/>
      <c r="KQQ40" s="51"/>
      <c r="KQR40" s="51"/>
      <c r="KQS40" s="51"/>
      <c r="KQT40" s="51"/>
      <c r="KQU40" s="51"/>
      <c r="KQV40" s="51"/>
      <c r="KQW40" s="51"/>
      <c r="KQX40" s="51"/>
      <c r="KQY40" s="51"/>
      <c r="KQZ40" s="51"/>
      <c r="KRA40" s="51"/>
      <c r="KRB40" s="51"/>
      <c r="KRC40" s="51"/>
      <c r="KRD40" s="51"/>
      <c r="KRE40" s="51"/>
      <c r="KRF40" s="51"/>
      <c r="KRG40" s="51"/>
      <c r="KRH40" s="51"/>
      <c r="KRI40" s="51"/>
      <c r="KRJ40" s="51"/>
      <c r="KRK40" s="51"/>
      <c r="KRL40" s="51"/>
      <c r="KRM40" s="51"/>
      <c r="KRN40" s="51"/>
      <c r="KRO40" s="51"/>
      <c r="KRP40" s="51"/>
      <c r="KRQ40" s="51"/>
      <c r="KRR40" s="51"/>
      <c r="KRS40" s="51"/>
      <c r="KRT40" s="51"/>
      <c r="KRU40" s="51"/>
      <c r="KRV40" s="51"/>
      <c r="KRW40" s="51"/>
      <c r="KRX40" s="51"/>
      <c r="KRY40" s="51"/>
      <c r="KRZ40" s="51"/>
      <c r="KSA40" s="51"/>
      <c r="KSB40" s="51"/>
      <c r="KSC40" s="51"/>
      <c r="KSD40" s="51"/>
      <c r="KSE40" s="51"/>
      <c r="KSF40" s="51"/>
      <c r="KSG40" s="51"/>
      <c r="KSH40" s="51"/>
      <c r="KSI40" s="51"/>
      <c r="KSJ40" s="51"/>
      <c r="KSK40" s="51"/>
      <c r="KSL40" s="51"/>
      <c r="KSM40" s="51"/>
      <c r="KSN40" s="51"/>
      <c r="KSO40" s="51"/>
      <c r="KSP40" s="51"/>
      <c r="KSQ40" s="51"/>
      <c r="KSR40" s="51"/>
      <c r="KSS40" s="51"/>
      <c r="KST40" s="51"/>
      <c r="KSU40" s="51"/>
      <c r="KSV40" s="51"/>
      <c r="KSW40" s="51"/>
      <c r="KSX40" s="51"/>
      <c r="KSY40" s="51"/>
      <c r="KSZ40" s="51"/>
      <c r="KTA40" s="51"/>
      <c r="KTB40" s="51"/>
      <c r="KTC40" s="51"/>
      <c r="KTD40" s="51"/>
      <c r="KTE40" s="51"/>
      <c r="KTF40" s="51"/>
      <c r="KTG40" s="51"/>
      <c r="KTH40" s="51"/>
      <c r="KTI40" s="51"/>
      <c r="KTJ40" s="51"/>
      <c r="KTK40" s="51"/>
      <c r="KTL40" s="51"/>
      <c r="KTM40" s="51"/>
      <c r="KTN40" s="51"/>
      <c r="KTO40" s="51"/>
      <c r="KTP40" s="51"/>
      <c r="KTQ40" s="51"/>
      <c r="KTR40" s="51"/>
      <c r="KTS40" s="51"/>
      <c r="KTT40" s="51"/>
      <c r="KTU40" s="51"/>
      <c r="KTV40" s="51"/>
      <c r="KTW40" s="51"/>
      <c r="KTX40" s="51"/>
      <c r="KTY40" s="51"/>
      <c r="KTZ40" s="51"/>
      <c r="KUA40" s="51"/>
      <c r="KUB40" s="51"/>
      <c r="KUC40" s="51"/>
      <c r="KUD40" s="51"/>
      <c r="KUE40" s="51"/>
      <c r="KUF40" s="51"/>
      <c r="KUG40" s="51"/>
      <c r="KUH40" s="51"/>
      <c r="KUI40" s="51"/>
      <c r="KUJ40" s="51"/>
      <c r="KUK40" s="51"/>
      <c r="KUL40" s="51"/>
      <c r="KUM40" s="51"/>
      <c r="KUN40" s="51"/>
      <c r="KUO40" s="51"/>
      <c r="KUP40" s="51"/>
      <c r="KUQ40" s="51"/>
      <c r="KUR40" s="51"/>
      <c r="KUS40" s="51"/>
      <c r="KUT40" s="51"/>
      <c r="KUU40" s="51"/>
      <c r="KUV40" s="51"/>
      <c r="KUW40" s="51"/>
      <c r="KUX40" s="51"/>
      <c r="KUY40" s="51"/>
      <c r="KUZ40" s="51"/>
      <c r="KVA40" s="51"/>
      <c r="KVB40" s="51"/>
      <c r="KVC40" s="51"/>
      <c r="KVD40" s="51"/>
      <c r="KVE40" s="51"/>
      <c r="KVF40" s="51"/>
      <c r="KVG40" s="51"/>
      <c r="KVH40" s="51"/>
      <c r="KVI40" s="51"/>
      <c r="KVJ40" s="51"/>
      <c r="KVK40" s="51"/>
      <c r="KVL40" s="51"/>
      <c r="KVM40" s="51"/>
      <c r="KVN40" s="51"/>
      <c r="KVO40" s="51"/>
      <c r="KVP40" s="51"/>
      <c r="KVQ40" s="51"/>
      <c r="KVR40" s="51"/>
      <c r="KVS40" s="51"/>
      <c r="KVT40" s="51"/>
      <c r="KVU40" s="51"/>
      <c r="KVV40" s="51"/>
      <c r="KVW40" s="51"/>
      <c r="KVX40" s="51"/>
      <c r="KVY40" s="51"/>
      <c r="KVZ40" s="51"/>
      <c r="KWA40" s="51"/>
      <c r="KWB40" s="51"/>
      <c r="KWC40" s="51"/>
      <c r="KWD40" s="51"/>
      <c r="KWE40" s="51"/>
      <c r="KWF40" s="51"/>
      <c r="KWG40" s="51"/>
      <c r="KWH40" s="51"/>
      <c r="KWI40" s="51"/>
      <c r="KWJ40" s="51"/>
      <c r="KWK40" s="51"/>
      <c r="KWL40" s="51"/>
      <c r="KWM40" s="51"/>
      <c r="KWN40" s="51"/>
      <c r="KWO40" s="51"/>
      <c r="KWP40" s="51"/>
      <c r="KWQ40" s="51"/>
      <c r="KWR40" s="51"/>
      <c r="KWS40" s="51"/>
      <c r="KWT40" s="51"/>
      <c r="KWU40" s="51"/>
      <c r="KWV40" s="51"/>
      <c r="KWW40" s="51"/>
      <c r="KWX40" s="51"/>
      <c r="KWY40" s="51"/>
      <c r="KWZ40" s="51"/>
      <c r="KXA40" s="51"/>
      <c r="KXB40" s="51"/>
      <c r="KXC40" s="51"/>
      <c r="KXD40" s="51"/>
      <c r="KXE40" s="51"/>
      <c r="KXF40" s="51"/>
      <c r="KXG40" s="51"/>
      <c r="KXH40" s="51"/>
      <c r="KXI40" s="51"/>
      <c r="KXJ40" s="51"/>
      <c r="KXK40" s="51"/>
      <c r="KXL40" s="51"/>
      <c r="KXM40" s="51"/>
      <c r="KXN40" s="51"/>
      <c r="KXO40" s="51"/>
      <c r="KXP40" s="51"/>
      <c r="KXQ40" s="51"/>
      <c r="KXR40" s="51"/>
      <c r="KXS40" s="51"/>
      <c r="KXT40" s="51"/>
      <c r="KXU40" s="51"/>
      <c r="KXV40" s="51"/>
      <c r="KXW40" s="51"/>
      <c r="KXX40" s="51"/>
      <c r="KXY40" s="51"/>
      <c r="KXZ40" s="51"/>
      <c r="KYA40" s="51"/>
      <c r="KYB40" s="51"/>
      <c r="KYC40" s="51"/>
      <c r="KYD40" s="51"/>
      <c r="KYE40" s="51"/>
      <c r="KYF40" s="51"/>
      <c r="KYG40" s="51"/>
      <c r="KYH40" s="51"/>
      <c r="KYI40" s="51"/>
      <c r="KYJ40" s="51"/>
      <c r="KYK40" s="51"/>
      <c r="KYL40" s="51"/>
      <c r="KYM40" s="51"/>
      <c r="KYN40" s="51"/>
      <c r="KYO40" s="51"/>
      <c r="KYP40" s="51"/>
      <c r="KYQ40" s="51"/>
      <c r="KYR40" s="51"/>
      <c r="KYS40" s="51"/>
      <c r="KYT40" s="51"/>
      <c r="KYU40" s="51"/>
      <c r="KYV40" s="51"/>
      <c r="KYW40" s="51"/>
      <c r="KYX40" s="51"/>
      <c r="KYY40" s="51"/>
      <c r="KYZ40" s="51"/>
      <c r="KZA40" s="51"/>
      <c r="KZB40" s="51"/>
      <c r="KZC40" s="51"/>
      <c r="KZD40" s="51"/>
      <c r="KZE40" s="51"/>
      <c r="KZF40" s="51"/>
      <c r="KZG40" s="51"/>
      <c r="KZH40" s="51"/>
      <c r="KZI40" s="51"/>
      <c r="KZJ40" s="51"/>
      <c r="KZK40" s="51"/>
      <c r="KZL40" s="51"/>
      <c r="KZM40" s="51"/>
      <c r="KZN40" s="51"/>
      <c r="KZO40" s="51"/>
      <c r="KZP40" s="51"/>
      <c r="KZQ40" s="51"/>
      <c r="KZR40" s="51"/>
      <c r="KZS40" s="51"/>
      <c r="KZT40" s="51"/>
      <c r="KZU40" s="51"/>
      <c r="KZV40" s="51"/>
      <c r="KZW40" s="51"/>
      <c r="KZX40" s="51"/>
      <c r="KZY40" s="51"/>
      <c r="KZZ40" s="51"/>
      <c r="LAA40" s="51"/>
      <c r="LAB40" s="51"/>
      <c r="LAC40" s="51"/>
      <c r="LAD40" s="51"/>
      <c r="LAE40" s="51"/>
      <c r="LAF40" s="51"/>
      <c r="LAG40" s="51"/>
      <c r="LAH40" s="51"/>
      <c r="LAI40" s="51"/>
      <c r="LAJ40" s="51"/>
      <c r="LAK40" s="51"/>
      <c r="LAL40" s="51"/>
      <c r="LAM40" s="51"/>
      <c r="LAN40" s="51"/>
      <c r="LAO40" s="51"/>
      <c r="LAP40" s="51"/>
      <c r="LAQ40" s="51"/>
      <c r="LAR40" s="51"/>
      <c r="LAS40" s="51"/>
      <c r="LAT40" s="51"/>
      <c r="LAU40" s="51"/>
      <c r="LAV40" s="51"/>
      <c r="LAW40" s="51"/>
      <c r="LAX40" s="51"/>
      <c r="LAY40" s="51"/>
      <c r="LAZ40" s="51"/>
      <c r="LBA40" s="51"/>
      <c r="LBB40" s="51"/>
      <c r="LBC40" s="51"/>
      <c r="LBD40" s="51"/>
      <c r="LBE40" s="51"/>
      <c r="LBF40" s="51"/>
      <c r="LBG40" s="51"/>
      <c r="LBH40" s="51"/>
      <c r="LBI40" s="51"/>
      <c r="LBJ40" s="51"/>
      <c r="LBK40" s="51"/>
      <c r="LBL40" s="51"/>
      <c r="LBM40" s="51"/>
      <c r="LBN40" s="51"/>
      <c r="LBO40" s="51"/>
      <c r="LBP40" s="51"/>
      <c r="LBQ40" s="51"/>
      <c r="LBR40" s="51"/>
      <c r="LBS40" s="51"/>
      <c r="LBT40" s="51"/>
      <c r="LBU40" s="51"/>
      <c r="LBV40" s="51"/>
      <c r="LBW40" s="51"/>
      <c r="LBX40" s="51"/>
      <c r="LBY40" s="51"/>
      <c r="LBZ40" s="51"/>
      <c r="LCA40" s="51"/>
      <c r="LCB40" s="51"/>
      <c r="LCC40" s="51"/>
      <c r="LCD40" s="51"/>
      <c r="LCE40" s="51"/>
      <c r="LCF40" s="51"/>
      <c r="LCG40" s="51"/>
      <c r="LCH40" s="51"/>
      <c r="LCI40" s="51"/>
      <c r="LCJ40" s="51"/>
      <c r="LCK40" s="51"/>
      <c r="LCL40" s="51"/>
      <c r="LCM40" s="51"/>
      <c r="LCN40" s="51"/>
      <c r="LCO40" s="51"/>
      <c r="LCP40" s="51"/>
      <c r="LCQ40" s="51"/>
      <c r="LCR40" s="51"/>
      <c r="LCS40" s="51"/>
      <c r="LCT40" s="51"/>
      <c r="LCU40" s="51"/>
      <c r="LCV40" s="51"/>
      <c r="LCW40" s="51"/>
      <c r="LCX40" s="51"/>
      <c r="LCY40" s="51"/>
      <c r="LCZ40" s="51"/>
      <c r="LDA40" s="51"/>
      <c r="LDB40" s="51"/>
      <c r="LDC40" s="51"/>
      <c r="LDD40" s="51"/>
      <c r="LDE40" s="51"/>
      <c r="LDF40" s="51"/>
      <c r="LDG40" s="51"/>
      <c r="LDH40" s="51"/>
      <c r="LDI40" s="51"/>
      <c r="LDJ40" s="51"/>
      <c r="LDK40" s="51"/>
      <c r="LDL40" s="51"/>
      <c r="LDM40" s="51"/>
      <c r="LDN40" s="51"/>
      <c r="LDO40" s="51"/>
      <c r="LDP40" s="51"/>
      <c r="LDQ40" s="51"/>
      <c r="LDR40" s="51"/>
      <c r="LDS40" s="51"/>
      <c r="LDT40" s="51"/>
      <c r="LDU40" s="51"/>
      <c r="LDV40" s="51"/>
      <c r="LDW40" s="51"/>
      <c r="LDX40" s="51"/>
      <c r="LDY40" s="51"/>
      <c r="LDZ40" s="51"/>
      <c r="LEA40" s="51"/>
      <c r="LEB40" s="51"/>
      <c r="LEC40" s="51"/>
      <c r="LED40" s="51"/>
      <c r="LEE40" s="51"/>
      <c r="LEF40" s="51"/>
      <c r="LEG40" s="51"/>
      <c r="LEH40" s="51"/>
      <c r="LEI40" s="51"/>
      <c r="LEJ40" s="51"/>
      <c r="LEK40" s="51"/>
      <c r="LEL40" s="51"/>
      <c r="LEM40" s="51"/>
      <c r="LEN40" s="51"/>
      <c r="LEO40" s="51"/>
      <c r="LEP40" s="51"/>
      <c r="LEQ40" s="51"/>
      <c r="LER40" s="51"/>
      <c r="LES40" s="51"/>
      <c r="LET40" s="51"/>
      <c r="LEU40" s="51"/>
      <c r="LEV40" s="51"/>
      <c r="LEW40" s="51"/>
      <c r="LEX40" s="51"/>
      <c r="LEY40" s="51"/>
      <c r="LEZ40" s="51"/>
      <c r="LFA40" s="51"/>
      <c r="LFB40" s="51"/>
      <c r="LFC40" s="51"/>
      <c r="LFD40" s="51"/>
      <c r="LFE40" s="51"/>
      <c r="LFF40" s="51"/>
      <c r="LFG40" s="51"/>
      <c r="LFH40" s="51"/>
      <c r="LFI40" s="51"/>
      <c r="LFJ40" s="51"/>
      <c r="LFK40" s="51"/>
      <c r="LFL40" s="51"/>
      <c r="LFM40" s="51"/>
      <c r="LFN40" s="51"/>
      <c r="LFO40" s="51"/>
      <c r="LFP40" s="51"/>
      <c r="LFQ40" s="51"/>
      <c r="LFR40" s="51"/>
      <c r="LFS40" s="51"/>
      <c r="LFT40" s="51"/>
      <c r="LFU40" s="51"/>
      <c r="LFV40" s="51"/>
      <c r="LFW40" s="51"/>
      <c r="LFX40" s="51"/>
      <c r="LFY40" s="51"/>
      <c r="LFZ40" s="51"/>
      <c r="LGA40" s="51"/>
      <c r="LGB40" s="51"/>
      <c r="LGC40" s="51"/>
      <c r="LGD40" s="51"/>
      <c r="LGE40" s="51"/>
      <c r="LGF40" s="51"/>
      <c r="LGG40" s="51"/>
      <c r="LGH40" s="51"/>
      <c r="LGI40" s="51"/>
      <c r="LGJ40" s="51"/>
      <c r="LGK40" s="51"/>
      <c r="LGL40" s="51"/>
      <c r="LGM40" s="51"/>
      <c r="LGN40" s="51"/>
      <c r="LGO40" s="51"/>
      <c r="LGP40" s="51"/>
      <c r="LGQ40" s="51"/>
      <c r="LGR40" s="51"/>
      <c r="LGS40" s="51"/>
      <c r="LGT40" s="51"/>
      <c r="LGU40" s="51"/>
      <c r="LGV40" s="51"/>
      <c r="LGW40" s="51"/>
      <c r="LGX40" s="51"/>
      <c r="LGY40" s="51"/>
      <c r="LGZ40" s="51"/>
      <c r="LHA40" s="51"/>
      <c r="LHB40" s="51"/>
      <c r="LHC40" s="51"/>
      <c r="LHD40" s="51"/>
      <c r="LHE40" s="51"/>
      <c r="LHF40" s="51"/>
      <c r="LHG40" s="51"/>
      <c r="LHH40" s="51"/>
      <c r="LHI40" s="51"/>
      <c r="LHJ40" s="51"/>
      <c r="LHK40" s="51"/>
      <c r="LHL40" s="51"/>
      <c r="LHM40" s="51"/>
      <c r="LHN40" s="51"/>
      <c r="LHO40" s="51"/>
      <c r="LHP40" s="51"/>
      <c r="LHQ40" s="51"/>
      <c r="LHR40" s="51"/>
      <c r="LHS40" s="51"/>
      <c r="LHT40" s="51"/>
      <c r="LHU40" s="51"/>
      <c r="LHV40" s="51"/>
      <c r="LHW40" s="51"/>
      <c r="LHX40" s="51"/>
      <c r="LHY40" s="51"/>
      <c r="LHZ40" s="51"/>
      <c r="LIA40" s="51"/>
      <c r="LIB40" s="51"/>
      <c r="LIC40" s="51"/>
      <c r="LID40" s="51"/>
      <c r="LIE40" s="51"/>
      <c r="LIF40" s="51"/>
      <c r="LIG40" s="51"/>
      <c r="LIH40" s="51"/>
      <c r="LII40" s="51"/>
      <c r="LIJ40" s="51"/>
      <c r="LIK40" s="51"/>
      <c r="LIL40" s="51"/>
      <c r="LIM40" s="51"/>
      <c r="LIN40" s="51"/>
      <c r="LIO40" s="51"/>
      <c r="LIP40" s="51"/>
      <c r="LIQ40" s="51"/>
      <c r="LIR40" s="51"/>
      <c r="LIS40" s="51"/>
      <c r="LIT40" s="51"/>
      <c r="LIU40" s="51"/>
      <c r="LIV40" s="51"/>
      <c r="LIW40" s="51"/>
      <c r="LIX40" s="51"/>
      <c r="LIY40" s="51"/>
      <c r="LIZ40" s="51"/>
      <c r="LJA40" s="51"/>
      <c r="LJB40" s="51"/>
      <c r="LJC40" s="51"/>
      <c r="LJD40" s="51"/>
      <c r="LJE40" s="51"/>
      <c r="LJF40" s="51"/>
      <c r="LJG40" s="51"/>
      <c r="LJH40" s="51"/>
      <c r="LJI40" s="51"/>
      <c r="LJJ40" s="51"/>
      <c r="LJK40" s="51"/>
      <c r="LJL40" s="51"/>
      <c r="LJM40" s="51"/>
      <c r="LJN40" s="51"/>
      <c r="LJO40" s="51"/>
      <c r="LJP40" s="51"/>
      <c r="LJQ40" s="51"/>
      <c r="LJR40" s="51"/>
      <c r="LJS40" s="51"/>
      <c r="LJT40" s="51"/>
      <c r="LJU40" s="51"/>
      <c r="LJV40" s="51"/>
      <c r="LJW40" s="51"/>
      <c r="LJX40" s="51"/>
      <c r="LJY40" s="51"/>
      <c r="LJZ40" s="51"/>
      <c r="LKA40" s="51"/>
      <c r="LKB40" s="51"/>
      <c r="LKC40" s="51"/>
      <c r="LKD40" s="51"/>
      <c r="LKE40" s="51"/>
      <c r="LKF40" s="51"/>
      <c r="LKG40" s="51"/>
      <c r="LKH40" s="51"/>
      <c r="LKI40" s="51"/>
      <c r="LKJ40" s="51"/>
      <c r="LKK40" s="51"/>
      <c r="LKL40" s="51"/>
      <c r="LKM40" s="51"/>
      <c r="LKN40" s="51"/>
      <c r="LKO40" s="51"/>
      <c r="LKP40" s="51"/>
      <c r="LKQ40" s="51"/>
      <c r="LKR40" s="51"/>
      <c r="LKS40" s="51"/>
      <c r="LKT40" s="51"/>
      <c r="LKU40" s="51"/>
      <c r="LKV40" s="51"/>
      <c r="LKW40" s="51"/>
      <c r="LKX40" s="51"/>
      <c r="LKY40" s="51"/>
      <c r="LKZ40" s="51"/>
      <c r="LLA40" s="51"/>
      <c r="LLB40" s="51"/>
      <c r="LLC40" s="51"/>
      <c r="LLD40" s="51"/>
      <c r="LLE40" s="51"/>
      <c r="LLF40" s="51"/>
      <c r="LLG40" s="51"/>
      <c r="LLH40" s="51"/>
      <c r="LLI40" s="51"/>
      <c r="LLJ40" s="51"/>
      <c r="LLK40" s="51"/>
      <c r="LLL40" s="51"/>
      <c r="LLM40" s="51"/>
      <c r="LLN40" s="51"/>
      <c r="LLO40" s="51"/>
      <c r="LLP40" s="51"/>
      <c r="LLQ40" s="51"/>
      <c r="LLR40" s="51"/>
      <c r="LLS40" s="51"/>
      <c r="LLT40" s="51"/>
      <c r="LLU40" s="51"/>
      <c r="LLV40" s="51"/>
      <c r="LLW40" s="51"/>
      <c r="LLX40" s="51"/>
      <c r="LLY40" s="51"/>
      <c r="LLZ40" s="51"/>
      <c r="LMA40" s="51"/>
      <c r="LMB40" s="51"/>
      <c r="LMC40" s="51"/>
      <c r="LMD40" s="51"/>
      <c r="LME40" s="51"/>
      <c r="LMF40" s="51"/>
      <c r="LMG40" s="51"/>
      <c r="LMH40" s="51"/>
      <c r="LMI40" s="51"/>
      <c r="LMJ40" s="51"/>
      <c r="LMK40" s="51"/>
      <c r="LML40" s="51"/>
      <c r="LMM40" s="51"/>
      <c r="LMN40" s="51"/>
      <c r="LMO40" s="51"/>
      <c r="LMP40" s="51"/>
      <c r="LMQ40" s="51"/>
      <c r="LMR40" s="51"/>
      <c r="LMS40" s="51"/>
      <c r="LMT40" s="51"/>
      <c r="LMU40" s="51"/>
      <c r="LMV40" s="51"/>
      <c r="LMW40" s="51"/>
      <c r="LMX40" s="51"/>
      <c r="LMY40" s="51"/>
      <c r="LMZ40" s="51"/>
      <c r="LNA40" s="51"/>
      <c r="LNB40" s="51"/>
      <c r="LNC40" s="51"/>
      <c r="LND40" s="51"/>
      <c r="LNE40" s="51"/>
      <c r="LNF40" s="51"/>
      <c r="LNG40" s="51"/>
      <c r="LNH40" s="51"/>
      <c r="LNI40" s="51"/>
      <c r="LNJ40" s="51"/>
      <c r="LNK40" s="51"/>
      <c r="LNL40" s="51"/>
      <c r="LNM40" s="51"/>
      <c r="LNN40" s="51"/>
      <c r="LNO40" s="51"/>
      <c r="LNP40" s="51"/>
      <c r="LNQ40" s="51"/>
      <c r="LNR40" s="51"/>
      <c r="LNS40" s="51"/>
      <c r="LNT40" s="51"/>
      <c r="LNU40" s="51"/>
      <c r="LNV40" s="51"/>
      <c r="LNW40" s="51"/>
      <c r="LNX40" s="51"/>
      <c r="LNY40" s="51"/>
      <c r="LNZ40" s="51"/>
      <c r="LOA40" s="51"/>
      <c r="LOB40" s="51"/>
      <c r="LOC40" s="51"/>
      <c r="LOD40" s="51"/>
      <c r="LOE40" s="51"/>
      <c r="LOF40" s="51"/>
      <c r="LOG40" s="51"/>
      <c r="LOH40" s="51"/>
      <c r="LOI40" s="51"/>
      <c r="LOJ40" s="51"/>
      <c r="LOK40" s="51"/>
      <c r="LOL40" s="51"/>
      <c r="LOM40" s="51"/>
      <c r="LON40" s="51"/>
      <c r="LOO40" s="51"/>
      <c r="LOP40" s="51"/>
      <c r="LOQ40" s="51"/>
      <c r="LOR40" s="51"/>
      <c r="LOS40" s="51"/>
      <c r="LOT40" s="51"/>
      <c r="LOU40" s="51"/>
      <c r="LOV40" s="51"/>
      <c r="LOW40" s="51"/>
      <c r="LOX40" s="51"/>
      <c r="LOY40" s="51"/>
      <c r="LOZ40" s="51"/>
      <c r="LPA40" s="51"/>
      <c r="LPB40" s="51"/>
      <c r="LPC40" s="51"/>
      <c r="LPD40" s="51"/>
      <c r="LPE40" s="51"/>
      <c r="LPF40" s="51"/>
      <c r="LPG40" s="51"/>
      <c r="LPH40" s="51"/>
      <c r="LPI40" s="51"/>
      <c r="LPJ40" s="51"/>
      <c r="LPK40" s="51"/>
      <c r="LPL40" s="51"/>
      <c r="LPM40" s="51"/>
      <c r="LPN40" s="51"/>
      <c r="LPO40" s="51"/>
      <c r="LPP40" s="51"/>
      <c r="LPQ40" s="51"/>
      <c r="LPR40" s="51"/>
      <c r="LPS40" s="51"/>
      <c r="LPT40" s="51"/>
      <c r="LPU40" s="51"/>
      <c r="LPV40" s="51"/>
      <c r="LPW40" s="51"/>
      <c r="LPX40" s="51"/>
      <c r="LPY40" s="51"/>
      <c r="LPZ40" s="51"/>
      <c r="LQA40" s="51"/>
      <c r="LQB40" s="51"/>
      <c r="LQC40" s="51"/>
      <c r="LQD40" s="51"/>
      <c r="LQE40" s="51"/>
      <c r="LQF40" s="51"/>
      <c r="LQG40" s="51"/>
      <c r="LQH40" s="51"/>
      <c r="LQI40" s="51"/>
      <c r="LQJ40" s="51"/>
      <c r="LQK40" s="51"/>
      <c r="LQL40" s="51"/>
      <c r="LQM40" s="51"/>
      <c r="LQN40" s="51"/>
      <c r="LQO40" s="51"/>
      <c r="LQP40" s="51"/>
      <c r="LQQ40" s="51"/>
      <c r="LQR40" s="51"/>
      <c r="LQS40" s="51"/>
      <c r="LQT40" s="51"/>
      <c r="LQU40" s="51"/>
      <c r="LQV40" s="51"/>
      <c r="LQW40" s="51"/>
      <c r="LQX40" s="51"/>
      <c r="LQY40" s="51"/>
      <c r="LQZ40" s="51"/>
      <c r="LRA40" s="51"/>
      <c r="LRB40" s="51"/>
      <c r="LRC40" s="51"/>
      <c r="LRD40" s="51"/>
      <c r="LRE40" s="51"/>
      <c r="LRF40" s="51"/>
      <c r="LRG40" s="51"/>
      <c r="LRH40" s="51"/>
      <c r="LRI40" s="51"/>
      <c r="LRJ40" s="51"/>
      <c r="LRK40" s="51"/>
      <c r="LRL40" s="51"/>
      <c r="LRM40" s="51"/>
      <c r="LRN40" s="51"/>
      <c r="LRO40" s="51"/>
      <c r="LRP40" s="51"/>
      <c r="LRQ40" s="51"/>
      <c r="LRR40" s="51"/>
      <c r="LRS40" s="51"/>
      <c r="LRT40" s="51"/>
      <c r="LRU40" s="51"/>
      <c r="LRV40" s="51"/>
      <c r="LRW40" s="51"/>
      <c r="LRX40" s="51"/>
      <c r="LRY40" s="51"/>
      <c r="LRZ40" s="51"/>
      <c r="LSA40" s="51"/>
      <c r="LSB40" s="51"/>
      <c r="LSC40" s="51"/>
      <c r="LSD40" s="51"/>
      <c r="LSE40" s="51"/>
      <c r="LSF40" s="51"/>
      <c r="LSG40" s="51"/>
      <c r="LSH40" s="51"/>
      <c r="LSI40" s="51"/>
      <c r="LSJ40" s="51"/>
      <c r="LSK40" s="51"/>
      <c r="LSL40" s="51"/>
      <c r="LSM40" s="51"/>
      <c r="LSN40" s="51"/>
      <c r="LSO40" s="51"/>
      <c r="LSP40" s="51"/>
      <c r="LSQ40" s="51"/>
      <c r="LSR40" s="51"/>
      <c r="LSS40" s="51"/>
      <c r="LST40" s="51"/>
      <c r="LSU40" s="51"/>
      <c r="LSV40" s="51"/>
      <c r="LSW40" s="51"/>
      <c r="LSX40" s="51"/>
      <c r="LSY40" s="51"/>
      <c r="LSZ40" s="51"/>
      <c r="LTA40" s="51"/>
      <c r="LTB40" s="51"/>
      <c r="LTC40" s="51"/>
      <c r="LTD40" s="51"/>
      <c r="LTE40" s="51"/>
      <c r="LTF40" s="51"/>
      <c r="LTG40" s="51"/>
      <c r="LTH40" s="51"/>
      <c r="LTI40" s="51"/>
      <c r="LTJ40" s="51"/>
      <c r="LTK40" s="51"/>
      <c r="LTL40" s="51"/>
      <c r="LTM40" s="51"/>
      <c r="LTN40" s="51"/>
      <c r="LTO40" s="51"/>
      <c r="LTP40" s="51"/>
      <c r="LTQ40" s="51"/>
      <c r="LTR40" s="51"/>
      <c r="LTS40" s="51"/>
      <c r="LTT40" s="51"/>
      <c r="LTU40" s="51"/>
      <c r="LTV40" s="51"/>
      <c r="LTW40" s="51"/>
      <c r="LTX40" s="51"/>
      <c r="LTY40" s="51"/>
      <c r="LTZ40" s="51"/>
      <c r="LUA40" s="51"/>
      <c r="LUB40" s="51"/>
      <c r="LUC40" s="51"/>
      <c r="LUD40" s="51"/>
      <c r="LUE40" s="51"/>
      <c r="LUF40" s="51"/>
      <c r="LUG40" s="51"/>
      <c r="LUH40" s="51"/>
      <c r="LUI40" s="51"/>
      <c r="LUJ40" s="51"/>
      <c r="LUK40" s="51"/>
      <c r="LUL40" s="51"/>
      <c r="LUM40" s="51"/>
      <c r="LUN40" s="51"/>
      <c r="LUO40" s="51"/>
      <c r="LUP40" s="51"/>
      <c r="LUQ40" s="51"/>
      <c r="LUR40" s="51"/>
      <c r="LUS40" s="51"/>
      <c r="LUT40" s="51"/>
      <c r="LUU40" s="51"/>
      <c r="LUV40" s="51"/>
      <c r="LUW40" s="51"/>
      <c r="LUX40" s="51"/>
      <c r="LUY40" s="51"/>
      <c r="LUZ40" s="51"/>
      <c r="LVA40" s="51"/>
      <c r="LVB40" s="51"/>
      <c r="LVC40" s="51"/>
      <c r="LVD40" s="51"/>
      <c r="LVE40" s="51"/>
      <c r="LVF40" s="51"/>
      <c r="LVG40" s="51"/>
      <c r="LVH40" s="51"/>
      <c r="LVI40" s="51"/>
      <c r="LVJ40" s="51"/>
      <c r="LVK40" s="51"/>
      <c r="LVL40" s="51"/>
      <c r="LVM40" s="51"/>
      <c r="LVN40" s="51"/>
      <c r="LVO40" s="51"/>
      <c r="LVP40" s="51"/>
      <c r="LVQ40" s="51"/>
      <c r="LVR40" s="51"/>
      <c r="LVS40" s="51"/>
      <c r="LVT40" s="51"/>
      <c r="LVU40" s="51"/>
      <c r="LVV40" s="51"/>
      <c r="LVW40" s="51"/>
      <c r="LVX40" s="51"/>
      <c r="LVY40" s="51"/>
      <c r="LVZ40" s="51"/>
      <c r="LWA40" s="51"/>
      <c r="LWB40" s="51"/>
      <c r="LWC40" s="51"/>
      <c r="LWD40" s="51"/>
      <c r="LWE40" s="51"/>
      <c r="LWF40" s="51"/>
      <c r="LWG40" s="51"/>
      <c r="LWH40" s="51"/>
      <c r="LWI40" s="51"/>
      <c r="LWJ40" s="51"/>
      <c r="LWK40" s="51"/>
      <c r="LWL40" s="51"/>
      <c r="LWM40" s="51"/>
      <c r="LWN40" s="51"/>
      <c r="LWO40" s="51"/>
      <c r="LWP40" s="51"/>
      <c r="LWQ40" s="51"/>
      <c r="LWR40" s="51"/>
      <c r="LWS40" s="51"/>
      <c r="LWT40" s="51"/>
      <c r="LWU40" s="51"/>
      <c r="LWV40" s="51"/>
      <c r="LWW40" s="51"/>
      <c r="LWX40" s="51"/>
      <c r="LWY40" s="51"/>
      <c r="LWZ40" s="51"/>
      <c r="LXA40" s="51"/>
      <c r="LXB40" s="51"/>
      <c r="LXC40" s="51"/>
      <c r="LXD40" s="51"/>
      <c r="LXE40" s="51"/>
      <c r="LXF40" s="51"/>
      <c r="LXG40" s="51"/>
      <c r="LXH40" s="51"/>
      <c r="LXI40" s="51"/>
      <c r="LXJ40" s="51"/>
      <c r="LXK40" s="51"/>
      <c r="LXL40" s="51"/>
      <c r="LXM40" s="51"/>
      <c r="LXN40" s="51"/>
      <c r="LXO40" s="51"/>
      <c r="LXP40" s="51"/>
      <c r="LXQ40" s="51"/>
      <c r="LXR40" s="51"/>
      <c r="LXS40" s="51"/>
      <c r="LXT40" s="51"/>
      <c r="LXU40" s="51"/>
      <c r="LXV40" s="51"/>
      <c r="LXW40" s="51"/>
      <c r="LXX40" s="51"/>
      <c r="LXY40" s="51"/>
      <c r="LXZ40" s="51"/>
      <c r="LYA40" s="51"/>
      <c r="LYB40" s="51"/>
      <c r="LYC40" s="51"/>
      <c r="LYD40" s="51"/>
      <c r="LYE40" s="51"/>
      <c r="LYF40" s="51"/>
      <c r="LYG40" s="51"/>
      <c r="LYH40" s="51"/>
      <c r="LYI40" s="51"/>
      <c r="LYJ40" s="51"/>
      <c r="LYK40" s="51"/>
      <c r="LYL40" s="51"/>
      <c r="LYM40" s="51"/>
      <c r="LYN40" s="51"/>
      <c r="LYO40" s="51"/>
      <c r="LYP40" s="51"/>
      <c r="LYQ40" s="51"/>
      <c r="LYR40" s="51"/>
      <c r="LYS40" s="51"/>
      <c r="LYT40" s="51"/>
      <c r="LYU40" s="51"/>
      <c r="LYV40" s="51"/>
      <c r="LYW40" s="51"/>
      <c r="LYX40" s="51"/>
      <c r="LYY40" s="51"/>
      <c r="LYZ40" s="51"/>
      <c r="LZA40" s="51"/>
      <c r="LZB40" s="51"/>
      <c r="LZC40" s="51"/>
      <c r="LZD40" s="51"/>
      <c r="LZE40" s="51"/>
      <c r="LZF40" s="51"/>
      <c r="LZG40" s="51"/>
      <c r="LZH40" s="51"/>
      <c r="LZI40" s="51"/>
      <c r="LZJ40" s="51"/>
      <c r="LZK40" s="51"/>
      <c r="LZL40" s="51"/>
      <c r="LZM40" s="51"/>
      <c r="LZN40" s="51"/>
      <c r="LZO40" s="51"/>
      <c r="LZP40" s="51"/>
      <c r="LZQ40" s="51"/>
      <c r="LZR40" s="51"/>
      <c r="LZS40" s="51"/>
      <c r="LZT40" s="51"/>
      <c r="LZU40" s="51"/>
      <c r="LZV40" s="51"/>
      <c r="LZW40" s="51"/>
      <c r="LZX40" s="51"/>
      <c r="LZY40" s="51"/>
      <c r="LZZ40" s="51"/>
      <c r="MAA40" s="51"/>
      <c r="MAB40" s="51"/>
      <c r="MAC40" s="51"/>
      <c r="MAD40" s="51"/>
      <c r="MAE40" s="51"/>
      <c r="MAF40" s="51"/>
      <c r="MAG40" s="51"/>
      <c r="MAH40" s="51"/>
      <c r="MAI40" s="51"/>
      <c r="MAJ40" s="51"/>
      <c r="MAK40" s="51"/>
      <c r="MAL40" s="51"/>
      <c r="MAM40" s="51"/>
      <c r="MAN40" s="51"/>
      <c r="MAO40" s="51"/>
      <c r="MAP40" s="51"/>
      <c r="MAQ40" s="51"/>
      <c r="MAR40" s="51"/>
      <c r="MAS40" s="51"/>
      <c r="MAT40" s="51"/>
      <c r="MAU40" s="51"/>
      <c r="MAV40" s="51"/>
      <c r="MAW40" s="51"/>
      <c r="MAX40" s="51"/>
      <c r="MAY40" s="51"/>
      <c r="MAZ40" s="51"/>
      <c r="MBA40" s="51"/>
      <c r="MBB40" s="51"/>
      <c r="MBC40" s="51"/>
      <c r="MBD40" s="51"/>
      <c r="MBE40" s="51"/>
      <c r="MBF40" s="51"/>
      <c r="MBG40" s="51"/>
      <c r="MBH40" s="51"/>
      <c r="MBI40" s="51"/>
      <c r="MBJ40" s="51"/>
      <c r="MBK40" s="51"/>
      <c r="MBL40" s="51"/>
      <c r="MBM40" s="51"/>
      <c r="MBN40" s="51"/>
      <c r="MBO40" s="51"/>
      <c r="MBP40" s="51"/>
      <c r="MBQ40" s="51"/>
      <c r="MBR40" s="51"/>
      <c r="MBS40" s="51"/>
      <c r="MBT40" s="51"/>
      <c r="MBU40" s="51"/>
      <c r="MBV40" s="51"/>
      <c r="MBW40" s="51"/>
      <c r="MBX40" s="51"/>
      <c r="MBY40" s="51"/>
      <c r="MBZ40" s="51"/>
      <c r="MCA40" s="51"/>
      <c r="MCB40" s="51"/>
      <c r="MCC40" s="51"/>
      <c r="MCD40" s="51"/>
      <c r="MCE40" s="51"/>
      <c r="MCF40" s="51"/>
      <c r="MCG40" s="51"/>
      <c r="MCH40" s="51"/>
      <c r="MCI40" s="51"/>
      <c r="MCJ40" s="51"/>
      <c r="MCK40" s="51"/>
      <c r="MCL40" s="51"/>
      <c r="MCM40" s="51"/>
      <c r="MCN40" s="51"/>
      <c r="MCO40" s="51"/>
      <c r="MCP40" s="51"/>
      <c r="MCQ40" s="51"/>
      <c r="MCR40" s="51"/>
      <c r="MCS40" s="51"/>
      <c r="MCT40" s="51"/>
      <c r="MCU40" s="51"/>
      <c r="MCV40" s="51"/>
      <c r="MCW40" s="51"/>
      <c r="MCX40" s="51"/>
      <c r="MCY40" s="51"/>
      <c r="MCZ40" s="51"/>
      <c r="MDA40" s="51"/>
      <c r="MDB40" s="51"/>
      <c r="MDC40" s="51"/>
      <c r="MDD40" s="51"/>
      <c r="MDE40" s="51"/>
      <c r="MDF40" s="51"/>
      <c r="MDG40" s="51"/>
      <c r="MDH40" s="51"/>
      <c r="MDI40" s="51"/>
      <c r="MDJ40" s="51"/>
      <c r="MDK40" s="51"/>
      <c r="MDL40" s="51"/>
      <c r="MDM40" s="51"/>
      <c r="MDN40" s="51"/>
      <c r="MDO40" s="51"/>
      <c r="MDP40" s="51"/>
      <c r="MDQ40" s="51"/>
      <c r="MDR40" s="51"/>
      <c r="MDS40" s="51"/>
      <c r="MDT40" s="51"/>
      <c r="MDU40" s="51"/>
      <c r="MDV40" s="51"/>
      <c r="MDW40" s="51"/>
      <c r="MDX40" s="51"/>
      <c r="MDY40" s="51"/>
      <c r="MDZ40" s="51"/>
      <c r="MEA40" s="51"/>
      <c r="MEB40" s="51"/>
      <c r="MEC40" s="51"/>
      <c r="MED40" s="51"/>
      <c r="MEE40" s="51"/>
      <c r="MEF40" s="51"/>
      <c r="MEG40" s="51"/>
      <c r="MEH40" s="51"/>
      <c r="MEI40" s="51"/>
      <c r="MEJ40" s="51"/>
      <c r="MEK40" s="51"/>
      <c r="MEL40" s="51"/>
      <c r="MEM40" s="51"/>
      <c r="MEN40" s="51"/>
      <c r="MEO40" s="51"/>
      <c r="MEP40" s="51"/>
      <c r="MEQ40" s="51"/>
      <c r="MER40" s="51"/>
      <c r="MES40" s="51"/>
      <c r="MET40" s="51"/>
      <c r="MEU40" s="51"/>
      <c r="MEV40" s="51"/>
      <c r="MEW40" s="51"/>
      <c r="MEX40" s="51"/>
      <c r="MEY40" s="51"/>
      <c r="MEZ40" s="51"/>
      <c r="MFA40" s="51"/>
      <c r="MFB40" s="51"/>
      <c r="MFC40" s="51"/>
      <c r="MFD40" s="51"/>
      <c r="MFE40" s="51"/>
      <c r="MFF40" s="51"/>
      <c r="MFG40" s="51"/>
      <c r="MFH40" s="51"/>
      <c r="MFI40" s="51"/>
      <c r="MFJ40" s="51"/>
      <c r="MFK40" s="51"/>
      <c r="MFL40" s="51"/>
      <c r="MFM40" s="51"/>
      <c r="MFN40" s="51"/>
      <c r="MFO40" s="51"/>
      <c r="MFP40" s="51"/>
      <c r="MFQ40" s="51"/>
      <c r="MFR40" s="51"/>
      <c r="MFS40" s="51"/>
      <c r="MFT40" s="51"/>
      <c r="MFU40" s="51"/>
      <c r="MFV40" s="51"/>
      <c r="MFW40" s="51"/>
      <c r="MFX40" s="51"/>
      <c r="MFY40" s="51"/>
      <c r="MFZ40" s="51"/>
      <c r="MGA40" s="51"/>
      <c r="MGB40" s="51"/>
      <c r="MGC40" s="51"/>
      <c r="MGD40" s="51"/>
      <c r="MGE40" s="51"/>
      <c r="MGF40" s="51"/>
      <c r="MGG40" s="51"/>
      <c r="MGH40" s="51"/>
      <c r="MGI40" s="51"/>
      <c r="MGJ40" s="51"/>
      <c r="MGK40" s="51"/>
      <c r="MGL40" s="51"/>
      <c r="MGM40" s="51"/>
      <c r="MGN40" s="51"/>
      <c r="MGO40" s="51"/>
      <c r="MGP40" s="51"/>
      <c r="MGQ40" s="51"/>
      <c r="MGR40" s="51"/>
      <c r="MGS40" s="51"/>
      <c r="MGT40" s="51"/>
      <c r="MGU40" s="51"/>
      <c r="MGV40" s="51"/>
      <c r="MGW40" s="51"/>
      <c r="MGX40" s="51"/>
      <c r="MGY40" s="51"/>
      <c r="MGZ40" s="51"/>
      <c r="MHA40" s="51"/>
      <c r="MHB40" s="51"/>
      <c r="MHC40" s="51"/>
      <c r="MHD40" s="51"/>
      <c r="MHE40" s="51"/>
      <c r="MHF40" s="51"/>
      <c r="MHG40" s="51"/>
      <c r="MHH40" s="51"/>
      <c r="MHI40" s="51"/>
      <c r="MHJ40" s="51"/>
      <c r="MHK40" s="51"/>
      <c r="MHL40" s="51"/>
      <c r="MHM40" s="51"/>
      <c r="MHN40" s="51"/>
      <c r="MHO40" s="51"/>
      <c r="MHP40" s="51"/>
      <c r="MHQ40" s="51"/>
      <c r="MHR40" s="51"/>
      <c r="MHS40" s="51"/>
      <c r="MHT40" s="51"/>
      <c r="MHU40" s="51"/>
      <c r="MHV40" s="51"/>
      <c r="MHW40" s="51"/>
      <c r="MHX40" s="51"/>
      <c r="MHY40" s="51"/>
      <c r="MHZ40" s="51"/>
      <c r="MIA40" s="51"/>
      <c r="MIB40" s="51"/>
      <c r="MIC40" s="51"/>
      <c r="MID40" s="51"/>
      <c r="MIE40" s="51"/>
      <c r="MIF40" s="51"/>
      <c r="MIG40" s="51"/>
      <c r="MIH40" s="51"/>
      <c r="MII40" s="51"/>
      <c r="MIJ40" s="51"/>
      <c r="MIK40" s="51"/>
      <c r="MIL40" s="51"/>
      <c r="MIM40" s="51"/>
      <c r="MIN40" s="51"/>
      <c r="MIO40" s="51"/>
      <c r="MIP40" s="51"/>
      <c r="MIQ40" s="51"/>
      <c r="MIR40" s="51"/>
      <c r="MIS40" s="51"/>
      <c r="MIT40" s="51"/>
      <c r="MIU40" s="51"/>
      <c r="MIV40" s="51"/>
      <c r="MIW40" s="51"/>
      <c r="MIX40" s="51"/>
      <c r="MIY40" s="51"/>
      <c r="MIZ40" s="51"/>
      <c r="MJA40" s="51"/>
      <c r="MJB40" s="51"/>
      <c r="MJC40" s="51"/>
      <c r="MJD40" s="51"/>
      <c r="MJE40" s="51"/>
      <c r="MJF40" s="51"/>
      <c r="MJG40" s="51"/>
      <c r="MJH40" s="51"/>
      <c r="MJI40" s="51"/>
      <c r="MJJ40" s="51"/>
      <c r="MJK40" s="51"/>
      <c r="MJL40" s="51"/>
      <c r="MJM40" s="51"/>
      <c r="MJN40" s="51"/>
      <c r="MJO40" s="51"/>
      <c r="MJP40" s="51"/>
      <c r="MJQ40" s="51"/>
      <c r="MJR40" s="51"/>
      <c r="MJS40" s="51"/>
      <c r="MJT40" s="51"/>
      <c r="MJU40" s="51"/>
      <c r="MJV40" s="51"/>
      <c r="MJW40" s="51"/>
      <c r="MJX40" s="51"/>
      <c r="MJY40" s="51"/>
      <c r="MJZ40" s="51"/>
      <c r="MKA40" s="51"/>
      <c r="MKB40" s="51"/>
      <c r="MKC40" s="51"/>
      <c r="MKD40" s="51"/>
      <c r="MKE40" s="51"/>
      <c r="MKF40" s="51"/>
      <c r="MKG40" s="51"/>
      <c r="MKH40" s="51"/>
      <c r="MKI40" s="51"/>
      <c r="MKJ40" s="51"/>
      <c r="MKK40" s="51"/>
      <c r="MKL40" s="51"/>
      <c r="MKM40" s="51"/>
      <c r="MKN40" s="51"/>
      <c r="MKO40" s="51"/>
      <c r="MKP40" s="51"/>
      <c r="MKQ40" s="51"/>
      <c r="MKR40" s="51"/>
      <c r="MKS40" s="51"/>
      <c r="MKT40" s="51"/>
      <c r="MKU40" s="51"/>
      <c r="MKV40" s="51"/>
      <c r="MKW40" s="51"/>
      <c r="MKX40" s="51"/>
      <c r="MKY40" s="51"/>
      <c r="MKZ40" s="51"/>
      <c r="MLA40" s="51"/>
      <c r="MLB40" s="51"/>
      <c r="MLC40" s="51"/>
      <c r="MLD40" s="51"/>
      <c r="MLE40" s="51"/>
      <c r="MLF40" s="51"/>
      <c r="MLG40" s="51"/>
      <c r="MLH40" s="51"/>
      <c r="MLI40" s="51"/>
      <c r="MLJ40" s="51"/>
      <c r="MLK40" s="51"/>
      <c r="MLL40" s="51"/>
      <c r="MLM40" s="51"/>
      <c r="MLN40" s="51"/>
      <c r="MLO40" s="51"/>
      <c r="MLP40" s="51"/>
      <c r="MLQ40" s="51"/>
      <c r="MLR40" s="51"/>
      <c r="MLS40" s="51"/>
      <c r="MLT40" s="51"/>
      <c r="MLU40" s="51"/>
      <c r="MLV40" s="51"/>
      <c r="MLW40" s="51"/>
      <c r="MLX40" s="51"/>
      <c r="MLY40" s="51"/>
      <c r="MLZ40" s="51"/>
      <c r="MMA40" s="51"/>
      <c r="MMB40" s="51"/>
      <c r="MMC40" s="51"/>
      <c r="MMD40" s="51"/>
      <c r="MME40" s="51"/>
      <c r="MMF40" s="51"/>
      <c r="MMG40" s="51"/>
      <c r="MMH40" s="51"/>
      <c r="MMI40" s="51"/>
      <c r="MMJ40" s="51"/>
      <c r="MMK40" s="51"/>
      <c r="MML40" s="51"/>
      <c r="MMM40" s="51"/>
      <c r="MMN40" s="51"/>
      <c r="MMO40" s="51"/>
      <c r="MMP40" s="51"/>
      <c r="MMQ40" s="51"/>
      <c r="MMR40" s="51"/>
      <c r="MMS40" s="51"/>
      <c r="MMT40" s="51"/>
      <c r="MMU40" s="51"/>
      <c r="MMV40" s="51"/>
      <c r="MMW40" s="51"/>
      <c r="MMX40" s="51"/>
      <c r="MMY40" s="51"/>
      <c r="MMZ40" s="51"/>
      <c r="MNA40" s="51"/>
      <c r="MNB40" s="51"/>
      <c r="MNC40" s="51"/>
      <c r="MND40" s="51"/>
      <c r="MNE40" s="51"/>
      <c r="MNF40" s="51"/>
      <c r="MNG40" s="51"/>
      <c r="MNH40" s="51"/>
      <c r="MNI40" s="51"/>
      <c r="MNJ40" s="51"/>
      <c r="MNK40" s="51"/>
      <c r="MNL40" s="51"/>
      <c r="MNM40" s="51"/>
      <c r="MNN40" s="51"/>
      <c r="MNO40" s="51"/>
      <c r="MNP40" s="51"/>
      <c r="MNQ40" s="51"/>
      <c r="MNR40" s="51"/>
      <c r="MNS40" s="51"/>
      <c r="MNT40" s="51"/>
      <c r="MNU40" s="51"/>
      <c r="MNV40" s="51"/>
      <c r="MNW40" s="51"/>
      <c r="MNX40" s="51"/>
      <c r="MNY40" s="51"/>
      <c r="MNZ40" s="51"/>
      <c r="MOA40" s="51"/>
      <c r="MOB40" s="51"/>
      <c r="MOC40" s="51"/>
      <c r="MOD40" s="51"/>
      <c r="MOE40" s="51"/>
      <c r="MOF40" s="51"/>
      <c r="MOG40" s="51"/>
      <c r="MOH40" s="51"/>
      <c r="MOI40" s="51"/>
      <c r="MOJ40" s="51"/>
      <c r="MOK40" s="51"/>
      <c r="MOL40" s="51"/>
      <c r="MOM40" s="51"/>
      <c r="MON40" s="51"/>
      <c r="MOO40" s="51"/>
      <c r="MOP40" s="51"/>
      <c r="MOQ40" s="51"/>
      <c r="MOR40" s="51"/>
      <c r="MOS40" s="51"/>
      <c r="MOT40" s="51"/>
      <c r="MOU40" s="51"/>
      <c r="MOV40" s="51"/>
      <c r="MOW40" s="51"/>
      <c r="MOX40" s="51"/>
      <c r="MOY40" s="51"/>
      <c r="MOZ40" s="51"/>
      <c r="MPA40" s="51"/>
      <c r="MPB40" s="51"/>
      <c r="MPC40" s="51"/>
      <c r="MPD40" s="51"/>
      <c r="MPE40" s="51"/>
      <c r="MPF40" s="51"/>
      <c r="MPG40" s="51"/>
      <c r="MPH40" s="51"/>
      <c r="MPI40" s="51"/>
      <c r="MPJ40" s="51"/>
      <c r="MPK40" s="51"/>
      <c r="MPL40" s="51"/>
      <c r="MPM40" s="51"/>
      <c r="MPN40" s="51"/>
      <c r="MPO40" s="51"/>
      <c r="MPP40" s="51"/>
      <c r="MPQ40" s="51"/>
      <c r="MPR40" s="51"/>
      <c r="MPS40" s="51"/>
      <c r="MPT40" s="51"/>
      <c r="MPU40" s="51"/>
      <c r="MPV40" s="51"/>
      <c r="MPW40" s="51"/>
      <c r="MPX40" s="51"/>
      <c r="MPY40" s="51"/>
      <c r="MPZ40" s="51"/>
      <c r="MQA40" s="51"/>
      <c r="MQB40" s="51"/>
      <c r="MQC40" s="51"/>
      <c r="MQD40" s="51"/>
      <c r="MQE40" s="51"/>
      <c r="MQF40" s="51"/>
      <c r="MQG40" s="51"/>
      <c r="MQH40" s="51"/>
      <c r="MQI40" s="51"/>
      <c r="MQJ40" s="51"/>
      <c r="MQK40" s="51"/>
      <c r="MQL40" s="51"/>
      <c r="MQM40" s="51"/>
      <c r="MQN40" s="51"/>
      <c r="MQO40" s="51"/>
      <c r="MQP40" s="51"/>
      <c r="MQQ40" s="51"/>
      <c r="MQR40" s="51"/>
      <c r="MQS40" s="51"/>
      <c r="MQT40" s="51"/>
      <c r="MQU40" s="51"/>
      <c r="MQV40" s="51"/>
      <c r="MQW40" s="51"/>
      <c r="MQX40" s="51"/>
      <c r="MQY40" s="51"/>
      <c r="MQZ40" s="51"/>
      <c r="MRA40" s="51"/>
      <c r="MRB40" s="51"/>
      <c r="MRC40" s="51"/>
      <c r="MRD40" s="51"/>
      <c r="MRE40" s="51"/>
      <c r="MRF40" s="51"/>
      <c r="MRG40" s="51"/>
      <c r="MRH40" s="51"/>
      <c r="MRI40" s="51"/>
      <c r="MRJ40" s="51"/>
      <c r="MRK40" s="51"/>
      <c r="MRL40" s="51"/>
      <c r="MRM40" s="51"/>
      <c r="MRN40" s="51"/>
      <c r="MRO40" s="51"/>
      <c r="MRP40" s="51"/>
      <c r="MRQ40" s="51"/>
      <c r="MRR40" s="51"/>
      <c r="MRS40" s="51"/>
      <c r="MRT40" s="51"/>
      <c r="MRU40" s="51"/>
      <c r="MRV40" s="51"/>
      <c r="MRW40" s="51"/>
      <c r="MRX40" s="51"/>
      <c r="MRY40" s="51"/>
      <c r="MRZ40" s="51"/>
      <c r="MSA40" s="51"/>
      <c r="MSB40" s="51"/>
      <c r="MSC40" s="51"/>
      <c r="MSD40" s="51"/>
      <c r="MSE40" s="51"/>
      <c r="MSF40" s="51"/>
      <c r="MSG40" s="51"/>
      <c r="MSH40" s="51"/>
      <c r="MSI40" s="51"/>
      <c r="MSJ40" s="51"/>
      <c r="MSK40" s="51"/>
      <c r="MSL40" s="51"/>
      <c r="MSM40" s="51"/>
      <c r="MSN40" s="51"/>
      <c r="MSO40" s="51"/>
      <c r="MSP40" s="51"/>
      <c r="MSQ40" s="51"/>
      <c r="MSR40" s="51"/>
      <c r="MSS40" s="51"/>
      <c r="MST40" s="51"/>
      <c r="MSU40" s="51"/>
      <c r="MSV40" s="51"/>
      <c r="MSW40" s="51"/>
      <c r="MSX40" s="51"/>
      <c r="MSY40" s="51"/>
      <c r="MSZ40" s="51"/>
      <c r="MTA40" s="51"/>
      <c r="MTB40" s="51"/>
      <c r="MTC40" s="51"/>
      <c r="MTD40" s="51"/>
      <c r="MTE40" s="51"/>
      <c r="MTF40" s="51"/>
      <c r="MTG40" s="51"/>
      <c r="MTH40" s="51"/>
      <c r="MTI40" s="51"/>
      <c r="MTJ40" s="51"/>
      <c r="MTK40" s="51"/>
      <c r="MTL40" s="51"/>
      <c r="MTM40" s="51"/>
      <c r="MTN40" s="51"/>
      <c r="MTO40" s="51"/>
      <c r="MTP40" s="51"/>
      <c r="MTQ40" s="51"/>
      <c r="MTR40" s="51"/>
      <c r="MTS40" s="51"/>
      <c r="MTT40" s="51"/>
      <c r="MTU40" s="51"/>
      <c r="MTV40" s="51"/>
      <c r="MTW40" s="51"/>
      <c r="MTX40" s="51"/>
      <c r="MTY40" s="51"/>
      <c r="MTZ40" s="51"/>
      <c r="MUA40" s="51"/>
      <c r="MUB40" s="51"/>
      <c r="MUC40" s="51"/>
      <c r="MUD40" s="51"/>
      <c r="MUE40" s="51"/>
      <c r="MUF40" s="51"/>
      <c r="MUG40" s="51"/>
      <c r="MUH40" s="51"/>
      <c r="MUI40" s="51"/>
      <c r="MUJ40" s="51"/>
      <c r="MUK40" s="51"/>
      <c r="MUL40" s="51"/>
      <c r="MUM40" s="51"/>
      <c r="MUN40" s="51"/>
      <c r="MUO40" s="51"/>
      <c r="MUP40" s="51"/>
      <c r="MUQ40" s="51"/>
      <c r="MUR40" s="51"/>
      <c r="MUS40" s="51"/>
      <c r="MUT40" s="51"/>
      <c r="MUU40" s="51"/>
      <c r="MUV40" s="51"/>
      <c r="MUW40" s="51"/>
      <c r="MUX40" s="51"/>
      <c r="MUY40" s="51"/>
      <c r="MUZ40" s="51"/>
      <c r="MVA40" s="51"/>
      <c r="MVB40" s="51"/>
      <c r="MVC40" s="51"/>
      <c r="MVD40" s="51"/>
      <c r="MVE40" s="51"/>
      <c r="MVF40" s="51"/>
      <c r="MVG40" s="51"/>
      <c r="MVH40" s="51"/>
      <c r="MVI40" s="51"/>
      <c r="MVJ40" s="51"/>
      <c r="MVK40" s="51"/>
      <c r="MVL40" s="51"/>
      <c r="MVM40" s="51"/>
      <c r="MVN40" s="51"/>
      <c r="MVO40" s="51"/>
      <c r="MVP40" s="51"/>
      <c r="MVQ40" s="51"/>
      <c r="MVR40" s="51"/>
      <c r="MVS40" s="51"/>
      <c r="MVT40" s="51"/>
      <c r="MVU40" s="51"/>
      <c r="MVV40" s="51"/>
      <c r="MVW40" s="51"/>
      <c r="MVX40" s="51"/>
      <c r="MVY40" s="51"/>
      <c r="MVZ40" s="51"/>
      <c r="MWA40" s="51"/>
      <c r="MWB40" s="51"/>
      <c r="MWC40" s="51"/>
      <c r="MWD40" s="51"/>
      <c r="MWE40" s="51"/>
      <c r="MWF40" s="51"/>
      <c r="MWG40" s="51"/>
      <c r="MWH40" s="51"/>
      <c r="MWI40" s="51"/>
      <c r="MWJ40" s="51"/>
      <c r="MWK40" s="51"/>
      <c r="MWL40" s="51"/>
      <c r="MWM40" s="51"/>
      <c r="MWN40" s="51"/>
      <c r="MWO40" s="51"/>
      <c r="MWP40" s="51"/>
      <c r="MWQ40" s="51"/>
      <c r="MWR40" s="51"/>
      <c r="MWS40" s="51"/>
      <c r="MWT40" s="51"/>
      <c r="MWU40" s="51"/>
      <c r="MWV40" s="51"/>
      <c r="MWW40" s="51"/>
      <c r="MWX40" s="51"/>
      <c r="MWY40" s="51"/>
      <c r="MWZ40" s="51"/>
      <c r="MXA40" s="51"/>
      <c r="MXB40" s="51"/>
      <c r="MXC40" s="51"/>
      <c r="MXD40" s="51"/>
      <c r="MXE40" s="51"/>
      <c r="MXF40" s="51"/>
      <c r="MXG40" s="51"/>
      <c r="MXH40" s="51"/>
      <c r="MXI40" s="51"/>
      <c r="MXJ40" s="51"/>
      <c r="MXK40" s="51"/>
      <c r="MXL40" s="51"/>
      <c r="MXM40" s="51"/>
      <c r="MXN40" s="51"/>
      <c r="MXO40" s="51"/>
      <c r="MXP40" s="51"/>
      <c r="MXQ40" s="51"/>
      <c r="MXR40" s="51"/>
      <c r="MXS40" s="51"/>
      <c r="MXT40" s="51"/>
      <c r="MXU40" s="51"/>
      <c r="MXV40" s="51"/>
      <c r="MXW40" s="51"/>
      <c r="MXX40" s="51"/>
      <c r="MXY40" s="51"/>
      <c r="MXZ40" s="51"/>
      <c r="MYA40" s="51"/>
      <c r="MYB40" s="51"/>
      <c r="MYC40" s="51"/>
      <c r="MYD40" s="51"/>
      <c r="MYE40" s="51"/>
      <c r="MYF40" s="51"/>
      <c r="MYG40" s="51"/>
      <c r="MYH40" s="51"/>
      <c r="MYI40" s="51"/>
      <c r="MYJ40" s="51"/>
      <c r="MYK40" s="51"/>
      <c r="MYL40" s="51"/>
      <c r="MYM40" s="51"/>
      <c r="MYN40" s="51"/>
      <c r="MYO40" s="51"/>
      <c r="MYP40" s="51"/>
      <c r="MYQ40" s="51"/>
      <c r="MYR40" s="51"/>
      <c r="MYS40" s="51"/>
      <c r="MYT40" s="51"/>
      <c r="MYU40" s="51"/>
      <c r="MYV40" s="51"/>
      <c r="MYW40" s="51"/>
      <c r="MYX40" s="51"/>
      <c r="MYY40" s="51"/>
      <c r="MYZ40" s="51"/>
      <c r="MZA40" s="51"/>
      <c r="MZB40" s="51"/>
      <c r="MZC40" s="51"/>
      <c r="MZD40" s="51"/>
      <c r="MZE40" s="51"/>
      <c r="MZF40" s="51"/>
      <c r="MZG40" s="51"/>
      <c r="MZH40" s="51"/>
      <c r="MZI40" s="51"/>
      <c r="MZJ40" s="51"/>
      <c r="MZK40" s="51"/>
      <c r="MZL40" s="51"/>
      <c r="MZM40" s="51"/>
      <c r="MZN40" s="51"/>
      <c r="MZO40" s="51"/>
      <c r="MZP40" s="51"/>
      <c r="MZQ40" s="51"/>
      <c r="MZR40" s="51"/>
      <c r="MZS40" s="51"/>
      <c r="MZT40" s="51"/>
      <c r="MZU40" s="51"/>
      <c r="MZV40" s="51"/>
      <c r="MZW40" s="51"/>
      <c r="MZX40" s="51"/>
      <c r="MZY40" s="51"/>
      <c r="MZZ40" s="51"/>
      <c r="NAA40" s="51"/>
      <c r="NAB40" s="51"/>
      <c r="NAC40" s="51"/>
      <c r="NAD40" s="51"/>
      <c r="NAE40" s="51"/>
      <c r="NAF40" s="51"/>
      <c r="NAG40" s="51"/>
      <c r="NAH40" s="51"/>
      <c r="NAI40" s="51"/>
      <c r="NAJ40" s="51"/>
      <c r="NAK40" s="51"/>
      <c r="NAL40" s="51"/>
      <c r="NAM40" s="51"/>
      <c r="NAN40" s="51"/>
      <c r="NAO40" s="51"/>
      <c r="NAP40" s="51"/>
      <c r="NAQ40" s="51"/>
      <c r="NAR40" s="51"/>
      <c r="NAS40" s="51"/>
      <c r="NAT40" s="51"/>
      <c r="NAU40" s="51"/>
      <c r="NAV40" s="51"/>
      <c r="NAW40" s="51"/>
      <c r="NAX40" s="51"/>
      <c r="NAY40" s="51"/>
      <c r="NAZ40" s="51"/>
      <c r="NBA40" s="51"/>
      <c r="NBB40" s="51"/>
      <c r="NBC40" s="51"/>
      <c r="NBD40" s="51"/>
      <c r="NBE40" s="51"/>
      <c r="NBF40" s="51"/>
      <c r="NBG40" s="51"/>
      <c r="NBH40" s="51"/>
      <c r="NBI40" s="51"/>
      <c r="NBJ40" s="51"/>
      <c r="NBK40" s="51"/>
      <c r="NBL40" s="51"/>
      <c r="NBM40" s="51"/>
      <c r="NBN40" s="51"/>
      <c r="NBO40" s="51"/>
      <c r="NBP40" s="51"/>
      <c r="NBQ40" s="51"/>
      <c r="NBR40" s="51"/>
      <c r="NBS40" s="51"/>
      <c r="NBT40" s="51"/>
      <c r="NBU40" s="51"/>
      <c r="NBV40" s="51"/>
      <c r="NBW40" s="51"/>
      <c r="NBX40" s="51"/>
      <c r="NBY40" s="51"/>
      <c r="NBZ40" s="51"/>
      <c r="NCA40" s="51"/>
      <c r="NCB40" s="51"/>
      <c r="NCC40" s="51"/>
      <c r="NCD40" s="51"/>
      <c r="NCE40" s="51"/>
      <c r="NCF40" s="51"/>
      <c r="NCG40" s="51"/>
      <c r="NCH40" s="51"/>
      <c r="NCI40" s="51"/>
      <c r="NCJ40" s="51"/>
      <c r="NCK40" s="51"/>
      <c r="NCL40" s="51"/>
      <c r="NCM40" s="51"/>
      <c r="NCN40" s="51"/>
      <c r="NCO40" s="51"/>
      <c r="NCP40" s="51"/>
      <c r="NCQ40" s="51"/>
      <c r="NCR40" s="51"/>
      <c r="NCS40" s="51"/>
      <c r="NCT40" s="51"/>
      <c r="NCU40" s="51"/>
      <c r="NCV40" s="51"/>
      <c r="NCW40" s="51"/>
      <c r="NCX40" s="51"/>
      <c r="NCY40" s="51"/>
      <c r="NCZ40" s="51"/>
      <c r="NDA40" s="51"/>
      <c r="NDB40" s="51"/>
      <c r="NDC40" s="51"/>
      <c r="NDD40" s="51"/>
      <c r="NDE40" s="51"/>
      <c r="NDF40" s="51"/>
      <c r="NDG40" s="51"/>
      <c r="NDH40" s="51"/>
      <c r="NDI40" s="51"/>
      <c r="NDJ40" s="51"/>
      <c r="NDK40" s="51"/>
      <c r="NDL40" s="51"/>
      <c r="NDM40" s="51"/>
      <c r="NDN40" s="51"/>
      <c r="NDO40" s="51"/>
      <c r="NDP40" s="51"/>
      <c r="NDQ40" s="51"/>
      <c r="NDR40" s="51"/>
      <c r="NDS40" s="51"/>
      <c r="NDT40" s="51"/>
      <c r="NDU40" s="51"/>
      <c r="NDV40" s="51"/>
      <c r="NDW40" s="51"/>
      <c r="NDX40" s="51"/>
      <c r="NDY40" s="51"/>
      <c r="NDZ40" s="51"/>
      <c r="NEA40" s="51"/>
      <c r="NEB40" s="51"/>
      <c r="NEC40" s="51"/>
      <c r="NED40" s="51"/>
      <c r="NEE40" s="51"/>
      <c r="NEF40" s="51"/>
      <c r="NEG40" s="51"/>
      <c r="NEH40" s="51"/>
      <c r="NEI40" s="51"/>
      <c r="NEJ40" s="51"/>
      <c r="NEK40" s="51"/>
      <c r="NEL40" s="51"/>
      <c r="NEM40" s="51"/>
      <c r="NEN40" s="51"/>
      <c r="NEO40" s="51"/>
      <c r="NEP40" s="51"/>
      <c r="NEQ40" s="51"/>
      <c r="NER40" s="51"/>
      <c r="NES40" s="51"/>
      <c r="NET40" s="51"/>
      <c r="NEU40" s="51"/>
      <c r="NEV40" s="51"/>
      <c r="NEW40" s="51"/>
      <c r="NEX40" s="51"/>
      <c r="NEY40" s="51"/>
      <c r="NEZ40" s="51"/>
      <c r="NFA40" s="51"/>
      <c r="NFB40" s="51"/>
      <c r="NFC40" s="51"/>
      <c r="NFD40" s="51"/>
      <c r="NFE40" s="51"/>
      <c r="NFF40" s="51"/>
      <c r="NFG40" s="51"/>
      <c r="NFH40" s="51"/>
      <c r="NFI40" s="51"/>
      <c r="NFJ40" s="51"/>
      <c r="NFK40" s="51"/>
      <c r="NFL40" s="51"/>
      <c r="NFM40" s="51"/>
      <c r="NFN40" s="51"/>
      <c r="NFO40" s="51"/>
      <c r="NFP40" s="51"/>
      <c r="NFQ40" s="51"/>
      <c r="NFR40" s="51"/>
      <c r="NFS40" s="51"/>
      <c r="NFT40" s="51"/>
      <c r="NFU40" s="51"/>
      <c r="NFV40" s="51"/>
      <c r="NFW40" s="51"/>
      <c r="NFX40" s="51"/>
      <c r="NFY40" s="51"/>
      <c r="NFZ40" s="51"/>
      <c r="NGA40" s="51"/>
      <c r="NGB40" s="51"/>
      <c r="NGC40" s="51"/>
      <c r="NGD40" s="51"/>
      <c r="NGE40" s="51"/>
      <c r="NGF40" s="51"/>
      <c r="NGG40" s="51"/>
      <c r="NGH40" s="51"/>
      <c r="NGI40" s="51"/>
      <c r="NGJ40" s="51"/>
      <c r="NGK40" s="51"/>
      <c r="NGL40" s="51"/>
      <c r="NGM40" s="51"/>
      <c r="NGN40" s="51"/>
      <c r="NGO40" s="51"/>
      <c r="NGP40" s="51"/>
      <c r="NGQ40" s="51"/>
      <c r="NGR40" s="51"/>
      <c r="NGS40" s="51"/>
      <c r="NGT40" s="51"/>
      <c r="NGU40" s="51"/>
      <c r="NGV40" s="51"/>
      <c r="NGW40" s="51"/>
      <c r="NGX40" s="51"/>
      <c r="NGY40" s="51"/>
      <c r="NGZ40" s="51"/>
      <c r="NHA40" s="51"/>
      <c r="NHB40" s="51"/>
      <c r="NHC40" s="51"/>
      <c r="NHD40" s="51"/>
      <c r="NHE40" s="51"/>
      <c r="NHF40" s="51"/>
      <c r="NHG40" s="51"/>
      <c r="NHH40" s="51"/>
      <c r="NHI40" s="51"/>
      <c r="NHJ40" s="51"/>
      <c r="NHK40" s="51"/>
      <c r="NHL40" s="51"/>
      <c r="NHM40" s="51"/>
      <c r="NHN40" s="51"/>
      <c r="NHO40" s="51"/>
      <c r="NHP40" s="51"/>
      <c r="NHQ40" s="51"/>
      <c r="NHR40" s="51"/>
      <c r="NHS40" s="51"/>
      <c r="NHT40" s="51"/>
      <c r="NHU40" s="51"/>
      <c r="NHV40" s="51"/>
      <c r="NHW40" s="51"/>
      <c r="NHX40" s="51"/>
      <c r="NHY40" s="51"/>
      <c r="NHZ40" s="51"/>
      <c r="NIA40" s="51"/>
      <c r="NIB40" s="51"/>
      <c r="NIC40" s="51"/>
      <c r="NID40" s="51"/>
      <c r="NIE40" s="51"/>
      <c r="NIF40" s="51"/>
      <c r="NIG40" s="51"/>
      <c r="NIH40" s="51"/>
      <c r="NII40" s="51"/>
      <c r="NIJ40" s="51"/>
      <c r="NIK40" s="51"/>
      <c r="NIL40" s="51"/>
      <c r="NIM40" s="51"/>
      <c r="NIN40" s="51"/>
      <c r="NIO40" s="51"/>
      <c r="NIP40" s="51"/>
      <c r="NIQ40" s="51"/>
      <c r="NIR40" s="51"/>
      <c r="NIS40" s="51"/>
      <c r="NIT40" s="51"/>
      <c r="NIU40" s="51"/>
      <c r="NIV40" s="51"/>
      <c r="NIW40" s="51"/>
      <c r="NIX40" s="51"/>
      <c r="NIY40" s="51"/>
      <c r="NIZ40" s="51"/>
      <c r="NJA40" s="51"/>
      <c r="NJB40" s="51"/>
      <c r="NJC40" s="51"/>
      <c r="NJD40" s="51"/>
      <c r="NJE40" s="51"/>
      <c r="NJF40" s="51"/>
      <c r="NJG40" s="51"/>
      <c r="NJH40" s="51"/>
      <c r="NJI40" s="51"/>
      <c r="NJJ40" s="51"/>
      <c r="NJK40" s="51"/>
      <c r="NJL40" s="51"/>
      <c r="NJM40" s="51"/>
      <c r="NJN40" s="51"/>
      <c r="NJO40" s="51"/>
      <c r="NJP40" s="51"/>
      <c r="NJQ40" s="51"/>
      <c r="NJR40" s="51"/>
      <c r="NJS40" s="51"/>
      <c r="NJT40" s="51"/>
      <c r="NJU40" s="51"/>
      <c r="NJV40" s="51"/>
      <c r="NJW40" s="51"/>
      <c r="NJX40" s="51"/>
      <c r="NJY40" s="51"/>
      <c r="NJZ40" s="51"/>
      <c r="NKA40" s="51"/>
      <c r="NKB40" s="51"/>
      <c r="NKC40" s="51"/>
      <c r="NKD40" s="51"/>
      <c r="NKE40" s="51"/>
      <c r="NKF40" s="51"/>
      <c r="NKG40" s="51"/>
      <c r="NKH40" s="51"/>
      <c r="NKI40" s="51"/>
      <c r="NKJ40" s="51"/>
      <c r="NKK40" s="51"/>
      <c r="NKL40" s="51"/>
      <c r="NKM40" s="51"/>
      <c r="NKN40" s="51"/>
      <c r="NKO40" s="51"/>
      <c r="NKP40" s="51"/>
      <c r="NKQ40" s="51"/>
      <c r="NKR40" s="51"/>
      <c r="NKS40" s="51"/>
      <c r="NKT40" s="51"/>
      <c r="NKU40" s="51"/>
      <c r="NKV40" s="51"/>
      <c r="NKW40" s="51"/>
      <c r="NKX40" s="51"/>
      <c r="NKY40" s="51"/>
      <c r="NKZ40" s="51"/>
      <c r="NLA40" s="51"/>
      <c r="NLB40" s="51"/>
      <c r="NLC40" s="51"/>
      <c r="NLD40" s="51"/>
      <c r="NLE40" s="51"/>
      <c r="NLF40" s="51"/>
      <c r="NLG40" s="51"/>
      <c r="NLH40" s="51"/>
      <c r="NLI40" s="51"/>
      <c r="NLJ40" s="51"/>
      <c r="NLK40" s="51"/>
      <c r="NLL40" s="51"/>
      <c r="NLM40" s="51"/>
      <c r="NLN40" s="51"/>
      <c r="NLO40" s="51"/>
      <c r="NLP40" s="51"/>
      <c r="NLQ40" s="51"/>
      <c r="NLR40" s="51"/>
      <c r="NLS40" s="51"/>
      <c r="NLT40" s="51"/>
      <c r="NLU40" s="51"/>
      <c r="NLV40" s="51"/>
      <c r="NLW40" s="51"/>
      <c r="NLX40" s="51"/>
      <c r="NLY40" s="51"/>
      <c r="NLZ40" s="51"/>
      <c r="NMA40" s="51"/>
      <c r="NMB40" s="51"/>
      <c r="NMC40" s="51"/>
      <c r="NMD40" s="51"/>
      <c r="NME40" s="51"/>
      <c r="NMF40" s="51"/>
      <c r="NMG40" s="51"/>
      <c r="NMH40" s="51"/>
      <c r="NMI40" s="51"/>
      <c r="NMJ40" s="51"/>
      <c r="NMK40" s="51"/>
      <c r="NML40" s="51"/>
      <c r="NMM40" s="51"/>
      <c r="NMN40" s="51"/>
      <c r="NMO40" s="51"/>
      <c r="NMP40" s="51"/>
      <c r="NMQ40" s="51"/>
      <c r="NMR40" s="51"/>
      <c r="NMS40" s="51"/>
      <c r="NMT40" s="51"/>
      <c r="NMU40" s="51"/>
      <c r="NMV40" s="51"/>
      <c r="NMW40" s="51"/>
      <c r="NMX40" s="51"/>
      <c r="NMY40" s="51"/>
      <c r="NMZ40" s="51"/>
      <c r="NNA40" s="51"/>
      <c r="NNB40" s="51"/>
      <c r="NNC40" s="51"/>
      <c r="NND40" s="51"/>
      <c r="NNE40" s="51"/>
      <c r="NNF40" s="51"/>
      <c r="NNG40" s="51"/>
      <c r="NNH40" s="51"/>
      <c r="NNI40" s="51"/>
      <c r="NNJ40" s="51"/>
      <c r="NNK40" s="51"/>
      <c r="NNL40" s="51"/>
      <c r="NNM40" s="51"/>
      <c r="NNN40" s="51"/>
      <c r="NNO40" s="51"/>
      <c r="NNP40" s="51"/>
      <c r="NNQ40" s="51"/>
      <c r="NNR40" s="51"/>
      <c r="NNS40" s="51"/>
      <c r="NNT40" s="51"/>
      <c r="NNU40" s="51"/>
      <c r="NNV40" s="51"/>
      <c r="NNW40" s="51"/>
      <c r="NNX40" s="51"/>
      <c r="NNY40" s="51"/>
      <c r="NNZ40" s="51"/>
      <c r="NOA40" s="51"/>
      <c r="NOB40" s="51"/>
      <c r="NOC40" s="51"/>
      <c r="NOD40" s="51"/>
      <c r="NOE40" s="51"/>
      <c r="NOF40" s="51"/>
      <c r="NOG40" s="51"/>
      <c r="NOH40" s="51"/>
      <c r="NOI40" s="51"/>
      <c r="NOJ40" s="51"/>
      <c r="NOK40" s="51"/>
      <c r="NOL40" s="51"/>
      <c r="NOM40" s="51"/>
      <c r="NON40" s="51"/>
      <c r="NOO40" s="51"/>
      <c r="NOP40" s="51"/>
      <c r="NOQ40" s="51"/>
      <c r="NOR40" s="51"/>
      <c r="NOS40" s="51"/>
      <c r="NOT40" s="51"/>
      <c r="NOU40" s="51"/>
      <c r="NOV40" s="51"/>
      <c r="NOW40" s="51"/>
      <c r="NOX40" s="51"/>
      <c r="NOY40" s="51"/>
      <c r="NOZ40" s="51"/>
      <c r="NPA40" s="51"/>
      <c r="NPB40" s="51"/>
      <c r="NPC40" s="51"/>
      <c r="NPD40" s="51"/>
      <c r="NPE40" s="51"/>
      <c r="NPF40" s="51"/>
      <c r="NPG40" s="51"/>
      <c r="NPH40" s="51"/>
      <c r="NPI40" s="51"/>
      <c r="NPJ40" s="51"/>
      <c r="NPK40" s="51"/>
      <c r="NPL40" s="51"/>
      <c r="NPM40" s="51"/>
      <c r="NPN40" s="51"/>
      <c r="NPO40" s="51"/>
      <c r="NPP40" s="51"/>
      <c r="NPQ40" s="51"/>
      <c r="NPR40" s="51"/>
      <c r="NPS40" s="51"/>
      <c r="NPT40" s="51"/>
      <c r="NPU40" s="51"/>
      <c r="NPV40" s="51"/>
      <c r="NPW40" s="51"/>
      <c r="NPX40" s="51"/>
      <c r="NPY40" s="51"/>
      <c r="NPZ40" s="51"/>
      <c r="NQA40" s="51"/>
      <c r="NQB40" s="51"/>
      <c r="NQC40" s="51"/>
      <c r="NQD40" s="51"/>
      <c r="NQE40" s="51"/>
      <c r="NQF40" s="51"/>
      <c r="NQG40" s="51"/>
      <c r="NQH40" s="51"/>
      <c r="NQI40" s="51"/>
      <c r="NQJ40" s="51"/>
      <c r="NQK40" s="51"/>
      <c r="NQL40" s="51"/>
      <c r="NQM40" s="51"/>
      <c r="NQN40" s="51"/>
      <c r="NQO40" s="51"/>
      <c r="NQP40" s="51"/>
      <c r="NQQ40" s="51"/>
      <c r="NQR40" s="51"/>
      <c r="NQS40" s="51"/>
      <c r="NQT40" s="51"/>
      <c r="NQU40" s="51"/>
      <c r="NQV40" s="51"/>
      <c r="NQW40" s="51"/>
      <c r="NQX40" s="51"/>
      <c r="NQY40" s="51"/>
      <c r="NQZ40" s="51"/>
      <c r="NRA40" s="51"/>
      <c r="NRB40" s="51"/>
      <c r="NRC40" s="51"/>
      <c r="NRD40" s="51"/>
      <c r="NRE40" s="51"/>
      <c r="NRF40" s="51"/>
      <c r="NRG40" s="51"/>
      <c r="NRH40" s="51"/>
      <c r="NRI40" s="51"/>
      <c r="NRJ40" s="51"/>
      <c r="NRK40" s="51"/>
      <c r="NRL40" s="51"/>
      <c r="NRM40" s="51"/>
      <c r="NRN40" s="51"/>
      <c r="NRO40" s="51"/>
      <c r="NRP40" s="51"/>
      <c r="NRQ40" s="51"/>
      <c r="NRR40" s="51"/>
      <c r="NRS40" s="51"/>
      <c r="NRT40" s="51"/>
      <c r="NRU40" s="51"/>
      <c r="NRV40" s="51"/>
      <c r="NRW40" s="51"/>
      <c r="NRX40" s="51"/>
      <c r="NRY40" s="51"/>
      <c r="NRZ40" s="51"/>
      <c r="NSA40" s="51"/>
      <c r="NSB40" s="51"/>
      <c r="NSC40" s="51"/>
      <c r="NSD40" s="51"/>
      <c r="NSE40" s="51"/>
      <c r="NSF40" s="51"/>
      <c r="NSG40" s="51"/>
      <c r="NSH40" s="51"/>
      <c r="NSI40" s="51"/>
      <c r="NSJ40" s="51"/>
      <c r="NSK40" s="51"/>
      <c r="NSL40" s="51"/>
      <c r="NSM40" s="51"/>
      <c r="NSN40" s="51"/>
      <c r="NSO40" s="51"/>
      <c r="NSP40" s="51"/>
      <c r="NSQ40" s="51"/>
      <c r="NSR40" s="51"/>
      <c r="NSS40" s="51"/>
      <c r="NST40" s="51"/>
      <c r="NSU40" s="51"/>
      <c r="NSV40" s="51"/>
      <c r="NSW40" s="51"/>
      <c r="NSX40" s="51"/>
      <c r="NSY40" s="51"/>
      <c r="NSZ40" s="51"/>
      <c r="NTA40" s="51"/>
      <c r="NTB40" s="51"/>
      <c r="NTC40" s="51"/>
      <c r="NTD40" s="51"/>
      <c r="NTE40" s="51"/>
      <c r="NTF40" s="51"/>
      <c r="NTG40" s="51"/>
      <c r="NTH40" s="51"/>
      <c r="NTI40" s="51"/>
      <c r="NTJ40" s="51"/>
      <c r="NTK40" s="51"/>
      <c r="NTL40" s="51"/>
      <c r="NTM40" s="51"/>
      <c r="NTN40" s="51"/>
      <c r="NTO40" s="51"/>
      <c r="NTP40" s="51"/>
      <c r="NTQ40" s="51"/>
      <c r="NTR40" s="51"/>
      <c r="NTS40" s="51"/>
      <c r="NTT40" s="51"/>
      <c r="NTU40" s="51"/>
      <c r="NTV40" s="51"/>
      <c r="NTW40" s="51"/>
      <c r="NTX40" s="51"/>
      <c r="NTY40" s="51"/>
      <c r="NTZ40" s="51"/>
      <c r="NUA40" s="51"/>
      <c r="NUB40" s="51"/>
      <c r="NUC40" s="51"/>
      <c r="NUD40" s="51"/>
      <c r="NUE40" s="51"/>
      <c r="NUF40" s="51"/>
      <c r="NUG40" s="51"/>
      <c r="NUH40" s="51"/>
      <c r="NUI40" s="51"/>
      <c r="NUJ40" s="51"/>
      <c r="NUK40" s="51"/>
      <c r="NUL40" s="51"/>
      <c r="NUM40" s="51"/>
      <c r="NUN40" s="51"/>
      <c r="NUO40" s="51"/>
      <c r="NUP40" s="51"/>
      <c r="NUQ40" s="51"/>
      <c r="NUR40" s="51"/>
      <c r="NUS40" s="51"/>
      <c r="NUT40" s="51"/>
      <c r="NUU40" s="51"/>
      <c r="NUV40" s="51"/>
      <c r="NUW40" s="51"/>
      <c r="NUX40" s="51"/>
      <c r="NUY40" s="51"/>
      <c r="NUZ40" s="51"/>
      <c r="NVA40" s="51"/>
      <c r="NVB40" s="51"/>
      <c r="NVC40" s="51"/>
      <c r="NVD40" s="51"/>
      <c r="NVE40" s="51"/>
      <c r="NVF40" s="51"/>
      <c r="NVG40" s="51"/>
      <c r="NVH40" s="51"/>
      <c r="NVI40" s="51"/>
      <c r="NVJ40" s="51"/>
      <c r="NVK40" s="51"/>
      <c r="NVL40" s="51"/>
      <c r="NVM40" s="51"/>
      <c r="NVN40" s="51"/>
      <c r="NVO40" s="51"/>
      <c r="NVP40" s="51"/>
      <c r="NVQ40" s="51"/>
      <c r="NVR40" s="51"/>
      <c r="NVS40" s="51"/>
      <c r="NVT40" s="51"/>
      <c r="NVU40" s="51"/>
      <c r="NVV40" s="51"/>
      <c r="NVW40" s="51"/>
      <c r="NVX40" s="51"/>
      <c r="NVY40" s="51"/>
      <c r="NVZ40" s="51"/>
      <c r="NWA40" s="51"/>
      <c r="NWB40" s="51"/>
      <c r="NWC40" s="51"/>
      <c r="NWD40" s="51"/>
      <c r="NWE40" s="51"/>
      <c r="NWF40" s="51"/>
      <c r="NWG40" s="51"/>
      <c r="NWH40" s="51"/>
      <c r="NWI40" s="51"/>
      <c r="NWJ40" s="51"/>
      <c r="NWK40" s="51"/>
      <c r="NWL40" s="51"/>
      <c r="NWM40" s="51"/>
      <c r="NWN40" s="51"/>
      <c r="NWO40" s="51"/>
      <c r="NWP40" s="51"/>
      <c r="NWQ40" s="51"/>
      <c r="NWR40" s="51"/>
      <c r="NWS40" s="51"/>
      <c r="NWT40" s="51"/>
      <c r="NWU40" s="51"/>
      <c r="NWV40" s="51"/>
      <c r="NWW40" s="51"/>
      <c r="NWX40" s="51"/>
      <c r="NWY40" s="51"/>
      <c r="NWZ40" s="51"/>
      <c r="NXA40" s="51"/>
      <c r="NXB40" s="51"/>
      <c r="NXC40" s="51"/>
      <c r="NXD40" s="51"/>
      <c r="NXE40" s="51"/>
      <c r="NXF40" s="51"/>
      <c r="NXG40" s="51"/>
      <c r="NXH40" s="51"/>
      <c r="NXI40" s="51"/>
      <c r="NXJ40" s="51"/>
      <c r="NXK40" s="51"/>
      <c r="NXL40" s="51"/>
      <c r="NXM40" s="51"/>
      <c r="NXN40" s="51"/>
      <c r="NXO40" s="51"/>
      <c r="NXP40" s="51"/>
      <c r="NXQ40" s="51"/>
      <c r="NXR40" s="51"/>
      <c r="NXS40" s="51"/>
      <c r="NXT40" s="51"/>
      <c r="NXU40" s="51"/>
      <c r="NXV40" s="51"/>
      <c r="NXW40" s="51"/>
      <c r="NXX40" s="51"/>
      <c r="NXY40" s="51"/>
      <c r="NXZ40" s="51"/>
      <c r="NYA40" s="51"/>
      <c r="NYB40" s="51"/>
      <c r="NYC40" s="51"/>
      <c r="NYD40" s="51"/>
      <c r="NYE40" s="51"/>
      <c r="NYF40" s="51"/>
      <c r="NYG40" s="51"/>
      <c r="NYH40" s="51"/>
      <c r="NYI40" s="51"/>
      <c r="NYJ40" s="51"/>
      <c r="NYK40" s="51"/>
      <c r="NYL40" s="51"/>
      <c r="NYM40" s="51"/>
      <c r="NYN40" s="51"/>
      <c r="NYO40" s="51"/>
      <c r="NYP40" s="51"/>
      <c r="NYQ40" s="51"/>
      <c r="NYR40" s="51"/>
      <c r="NYS40" s="51"/>
      <c r="NYT40" s="51"/>
      <c r="NYU40" s="51"/>
      <c r="NYV40" s="51"/>
      <c r="NYW40" s="51"/>
      <c r="NYX40" s="51"/>
      <c r="NYY40" s="51"/>
      <c r="NYZ40" s="51"/>
      <c r="NZA40" s="51"/>
      <c r="NZB40" s="51"/>
      <c r="NZC40" s="51"/>
      <c r="NZD40" s="51"/>
      <c r="NZE40" s="51"/>
      <c r="NZF40" s="51"/>
      <c r="NZG40" s="51"/>
      <c r="NZH40" s="51"/>
      <c r="NZI40" s="51"/>
      <c r="NZJ40" s="51"/>
      <c r="NZK40" s="51"/>
      <c r="NZL40" s="51"/>
      <c r="NZM40" s="51"/>
      <c r="NZN40" s="51"/>
      <c r="NZO40" s="51"/>
      <c r="NZP40" s="51"/>
      <c r="NZQ40" s="51"/>
      <c r="NZR40" s="51"/>
      <c r="NZS40" s="51"/>
      <c r="NZT40" s="51"/>
      <c r="NZU40" s="51"/>
      <c r="NZV40" s="51"/>
      <c r="NZW40" s="51"/>
      <c r="NZX40" s="51"/>
      <c r="NZY40" s="51"/>
      <c r="NZZ40" s="51"/>
      <c r="OAA40" s="51"/>
      <c r="OAB40" s="51"/>
      <c r="OAC40" s="51"/>
      <c r="OAD40" s="51"/>
      <c r="OAE40" s="51"/>
      <c r="OAF40" s="51"/>
      <c r="OAG40" s="51"/>
      <c r="OAH40" s="51"/>
      <c r="OAI40" s="51"/>
      <c r="OAJ40" s="51"/>
      <c r="OAK40" s="51"/>
      <c r="OAL40" s="51"/>
      <c r="OAM40" s="51"/>
      <c r="OAN40" s="51"/>
      <c r="OAO40" s="51"/>
      <c r="OAP40" s="51"/>
      <c r="OAQ40" s="51"/>
      <c r="OAR40" s="51"/>
      <c r="OAS40" s="51"/>
      <c r="OAT40" s="51"/>
      <c r="OAU40" s="51"/>
      <c r="OAV40" s="51"/>
      <c r="OAW40" s="51"/>
      <c r="OAX40" s="51"/>
      <c r="OAY40" s="51"/>
      <c r="OAZ40" s="51"/>
      <c r="OBA40" s="51"/>
      <c r="OBB40" s="51"/>
      <c r="OBC40" s="51"/>
      <c r="OBD40" s="51"/>
      <c r="OBE40" s="51"/>
      <c r="OBF40" s="51"/>
      <c r="OBG40" s="51"/>
      <c r="OBH40" s="51"/>
      <c r="OBI40" s="51"/>
      <c r="OBJ40" s="51"/>
      <c r="OBK40" s="51"/>
      <c r="OBL40" s="51"/>
      <c r="OBM40" s="51"/>
      <c r="OBN40" s="51"/>
      <c r="OBO40" s="51"/>
      <c r="OBP40" s="51"/>
      <c r="OBQ40" s="51"/>
      <c r="OBR40" s="51"/>
      <c r="OBS40" s="51"/>
      <c r="OBT40" s="51"/>
      <c r="OBU40" s="51"/>
      <c r="OBV40" s="51"/>
      <c r="OBW40" s="51"/>
      <c r="OBX40" s="51"/>
      <c r="OBY40" s="51"/>
      <c r="OBZ40" s="51"/>
      <c r="OCA40" s="51"/>
      <c r="OCB40" s="51"/>
      <c r="OCC40" s="51"/>
      <c r="OCD40" s="51"/>
      <c r="OCE40" s="51"/>
      <c r="OCF40" s="51"/>
      <c r="OCG40" s="51"/>
      <c r="OCH40" s="51"/>
      <c r="OCI40" s="51"/>
      <c r="OCJ40" s="51"/>
      <c r="OCK40" s="51"/>
      <c r="OCL40" s="51"/>
      <c r="OCM40" s="51"/>
      <c r="OCN40" s="51"/>
      <c r="OCO40" s="51"/>
      <c r="OCP40" s="51"/>
      <c r="OCQ40" s="51"/>
      <c r="OCR40" s="51"/>
      <c r="OCS40" s="51"/>
      <c r="OCT40" s="51"/>
      <c r="OCU40" s="51"/>
      <c r="OCV40" s="51"/>
      <c r="OCW40" s="51"/>
      <c r="OCX40" s="51"/>
      <c r="OCY40" s="51"/>
      <c r="OCZ40" s="51"/>
      <c r="ODA40" s="51"/>
      <c r="ODB40" s="51"/>
      <c r="ODC40" s="51"/>
      <c r="ODD40" s="51"/>
      <c r="ODE40" s="51"/>
      <c r="ODF40" s="51"/>
      <c r="ODG40" s="51"/>
      <c r="ODH40" s="51"/>
      <c r="ODI40" s="51"/>
      <c r="ODJ40" s="51"/>
      <c r="ODK40" s="51"/>
      <c r="ODL40" s="51"/>
      <c r="ODM40" s="51"/>
      <c r="ODN40" s="51"/>
      <c r="ODO40" s="51"/>
      <c r="ODP40" s="51"/>
      <c r="ODQ40" s="51"/>
      <c r="ODR40" s="51"/>
      <c r="ODS40" s="51"/>
      <c r="ODT40" s="51"/>
      <c r="ODU40" s="51"/>
      <c r="ODV40" s="51"/>
      <c r="ODW40" s="51"/>
      <c r="ODX40" s="51"/>
      <c r="ODY40" s="51"/>
      <c r="ODZ40" s="51"/>
      <c r="OEA40" s="51"/>
      <c r="OEB40" s="51"/>
      <c r="OEC40" s="51"/>
      <c r="OED40" s="51"/>
      <c r="OEE40" s="51"/>
      <c r="OEF40" s="51"/>
      <c r="OEG40" s="51"/>
      <c r="OEH40" s="51"/>
      <c r="OEI40" s="51"/>
      <c r="OEJ40" s="51"/>
      <c r="OEK40" s="51"/>
      <c r="OEL40" s="51"/>
      <c r="OEM40" s="51"/>
      <c r="OEN40" s="51"/>
      <c r="OEO40" s="51"/>
      <c r="OEP40" s="51"/>
      <c r="OEQ40" s="51"/>
      <c r="OER40" s="51"/>
      <c r="OES40" s="51"/>
      <c r="OET40" s="51"/>
      <c r="OEU40" s="51"/>
      <c r="OEV40" s="51"/>
      <c r="OEW40" s="51"/>
      <c r="OEX40" s="51"/>
      <c r="OEY40" s="51"/>
      <c r="OEZ40" s="51"/>
      <c r="OFA40" s="51"/>
      <c r="OFB40" s="51"/>
      <c r="OFC40" s="51"/>
      <c r="OFD40" s="51"/>
      <c r="OFE40" s="51"/>
      <c r="OFF40" s="51"/>
      <c r="OFG40" s="51"/>
      <c r="OFH40" s="51"/>
      <c r="OFI40" s="51"/>
      <c r="OFJ40" s="51"/>
      <c r="OFK40" s="51"/>
      <c r="OFL40" s="51"/>
      <c r="OFM40" s="51"/>
      <c r="OFN40" s="51"/>
      <c r="OFO40" s="51"/>
      <c r="OFP40" s="51"/>
      <c r="OFQ40" s="51"/>
      <c r="OFR40" s="51"/>
      <c r="OFS40" s="51"/>
      <c r="OFT40" s="51"/>
      <c r="OFU40" s="51"/>
      <c r="OFV40" s="51"/>
      <c r="OFW40" s="51"/>
      <c r="OFX40" s="51"/>
      <c r="OFY40" s="51"/>
      <c r="OFZ40" s="51"/>
      <c r="OGA40" s="51"/>
      <c r="OGB40" s="51"/>
      <c r="OGC40" s="51"/>
      <c r="OGD40" s="51"/>
      <c r="OGE40" s="51"/>
      <c r="OGF40" s="51"/>
      <c r="OGG40" s="51"/>
      <c r="OGH40" s="51"/>
      <c r="OGI40" s="51"/>
      <c r="OGJ40" s="51"/>
      <c r="OGK40" s="51"/>
      <c r="OGL40" s="51"/>
      <c r="OGM40" s="51"/>
      <c r="OGN40" s="51"/>
      <c r="OGO40" s="51"/>
      <c r="OGP40" s="51"/>
      <c r="OGQ40" s="51"/>
      <c r="OGR40" s="51"/>
      <c r="OGS40" s="51"/>
      <c r="OGT40" s="51"/>
      <c r="OGU40" s="51"/>
      <c r="OGV40" s="51"/>
      <c r="OGW40" s="51"/>
      <c r="OGX40" s="51"/>
      <c r="OGY40" s="51"/>
      <c r="OGZ40" s="51"/>
      <c r="OHA40" s="51"/>
      <c r="OHB40" s="51"/>
      <c r="OHC40" s="51"/>
      <c r="OHD40" s="51"/>
      <c r="OHE40" s="51"/>
      <c r="OHF40" s="51"/>
      <c r="OHG40" s="51"/>
      <c r="OHH40" s="51"/>
      <c r="OHI40" s="51"/>
      <c r="OHJ40" s="51"/>
      <c r="OHK40" s="51"/>
      <c r="OHL40" s="51"/>
      <c r="OHM40" s="51"/>
      <c r="OHN40" s="51"/>
      <c r="OHO40" s="51"/>
      <c r="OHP40" s="51"/>
      <c r="OHQ40" s="51"/>
      <c r="OHR40" s="51"/>
      <c r="OHS40" s="51"/>
      <c r="OHT40" s="51"/>
      <c r="OHU40" s="51"/>
      <c r="OHV40" s="51"/>
      <c r="OHW40" s="51"/>
      <c r="OHX40" s="51"/>
      <c r="OHY40" s="51"/>
      <c r="OHZ40" s="51"/>
      <c r="OIA40" s="51"/>
      <c r="OIB40" s="51"/>
      <c r="OIC40" s="51"/>
      <c r="OID40" s="51"/>
      <c r="OIE40" s="51"/>
      <c r="OIF40" s="51"/>
      <c r="OIG40" s="51"/>
      <c r="OIH40" s="51"/>
      <c r="OII40" s="51"/>
      <c r="OIJ40" s="51"/>
      <c r="OIK40" s="51"/>
      <c r="OIL40" s="51"/>
      <c r="OIM40" s="51"/>
      <c r="OIN40" s="51"/>
      <c r="OIO40" s="51"/>
      <c r="OIP40" s="51"/>
      <c r="OIQ40" s="51"/>
      <c r="OIR40" s="51"/>
      <c r="OIS40" s="51"/>
      <c r="OIT40" s="51"/>
      <c r="OIU40" s="51"/>
      <c r="OIV40" s="51"/>
      <c r="OIW40" s="51"/>
      <c r="OIX40" s="51"/>
      <c r="OIY40" s="51"/>
      <c r="OIZ40" s="51"/>
      <c r="OJA40" s="51"/>
      <c r="OJB40" s="51"/>
      <c r="OJC40" s="51"/>
      <c r="OJD40" s="51"/>
      <c r="OJE40" s="51"/>
      <c r="OJF40" s="51"/>
      <c r="OJG40" s="51"/>
      <c r="OJH40" s="51"/>
      <c r="OJI40" s="51"/>
      <c r="OJJ40" s="51"/>
      <c r="OJK40" s="51"/>
      <c r="OJL40" s="51"/>
      <c r="OJM40" s="51"/>
      <c r="OJN40" s="51"/>
      <c r="OJO40" s="51"/>
      <c r="OJP40" s="51"/>
      <c r="OJQ40" s="51"/>
      <c r="OJR40" s="51"/>
      <c r="OJS40" s="51"/>
      <c r="OJT40" s="51"/>
      <c r="OJU40" s="51"/>
      <c r="OJV40" s="51"/>
      <c r="OJW40" s="51"/>
      <c r="OJX40" s="51"/>
      <c r="OJY40" s="51"/>
      <c r="OJZ40" s="51"/>
      <c r="OKA40" s="51"/>
      <c r="OKB40" s="51"/>
      <c r="OKC40" s="51"/>
      <c r="OKD40" s="51"/>
      <c r="OKE40" s="51"/>
      <c r="OKF40" s="51"/>
      <c r="OKG40" s="51"/>
      <c r="OKH40" s="51"/>
      <c r="OKI40" s="51"/>
      <c r="OKJ40" s="51"/>
      <c r="OKK40" s="51"/>
      <c r="OKL40" s="51"/>
      <c r="OKM40" s="51"/>
      <c r="OKN40" s="51"/>
      <c r="OKO40" s="51"/>
      <c r="OKP40" s="51"/>
      <c r="OKQ40" s="51"/>
      <c r="OKR40" s="51"/>
      <c r="OKS40" s="51"/>
      <c r="OKT40" s="51"/>
      <c r="OKU40" s="51"/>
      <c r="OKV40" s="51"/>
      <c r="OKW40" s="51"/>
      <c r="OKX40" s="51"/>
      <c r="OKY40" s="51"/>
      <c r="OKZ40" s="51"/>
      <c r="OLA40" s="51"/>
      <c r="OLB40" s="51"/>
      <c r="OLC40" s="51"/>
      <c r="OLD40" s="51"/>
      <c r="OLE40" s="51"/>
      <c r="OLF40" s="51"/>
      <c r="OLG40" s="51"/>
      <c r="OLH40" s="51"/>
      <c r="OLI40" s="51"/>
      <c r="OLJ40" s="51"/>
      <c r="OLK40" s="51"/>
      <c r="OLL40" s="51"/>
      <c r="OLM40" s="51"/>
      <c r="OLN40" s="51"/>
      <c r="OLO40" s="51"/>
      <c r="OLP40" s="51"/>
      <c r="OLQ40" s="51"/>
      <c r="OLR40" s="51"/>
      <c r="OLS40" s="51"/>
      <c r="OLT40" s="51"/>
      <c r="OLU40" s="51"/>
      <c r="OLV40" s="51"/>
      <c r="OLW40" s="51"/>
      <c r="OLX40" s="51"/>
      <c r="OLY40" s="51"/>
      <c r="OLZ40" s="51"/>
      <c r="OMA40" s="51"/>
      <c r="OMB40" s="51"/>
      <c r="OMC40" s="51"/>
      <c r="OMD40" s="51"/>
      <c r="OME40" s="51"/>
      <c r="OMF40" s="51"/>
      <c r="OMG40" s="51"/>
      <c r="OMH40" s="51"/>
      <c r="OMI40" s="51"/>
      <c r="OMJ40" s="51"/>
      <c r="OMK40" s="51"/>
      <c r="OML40" s="51"/>
      <c r="OMM40" s="51"/>
      <c r="OMN40" s="51"/>
      <c r="OMO40" s="51"/>
      <c r="OMP40" s="51"/>
      <c r="OMQ40" s="51"/>
      <c r="OMR40" s="51"/>
      <c r="OMS40" s="51"/>
      <c r="OMT40" s="51"/>
      <c r="OMU40" s="51"/>
      <c r="OMV40" s="51"/>
      <c r="OMW40" s="51"/>
      <c r="OMX40" s="51"/>
      <c r="OMY40" s="51"/>
      <c r="OMZ40" s="51"/>
      <c r="ONA40" s="51"/>
      <c r="ONB40" s="51"/>
      <c r="ONC40" s="51"/>
      <c r="OND40" s="51"/>
      <c r="ONE40" s="51"/>
      <c r="ONF40" s="51"/>
      <c r="ONG40" s="51"/>
      <c r="ONH40" s="51"/>
      <c r="ONI40" s="51"/>
      <c r="ONJ40" s="51"/>
      <c r="ONK40" s="51"/>
      <c r="ONL40" s="51"/>
      <c r="ONM40" s="51"/>
      <c r="ONN40" s="51"/>
      <c r="ONO40" s="51"/>
      <c r="ONP40" s="51"/>
      <c r="ONQ40" s="51"/>
      <c r="ONR40" s="51"/>
      <c r="ONS40" s="51"/>
      <c r="ONT40" s="51"/>
      <c r="ONU40" s="51"/>
      <c r="ONV40" s="51"/>
      <c r="ONW40" s="51"/>
      <c r="ONX40" s="51"/>
      <c r="ONY40" s="51"/>
      <c r="ONZ40" s="51"/>
      <c r="OOA40" s="51"/>
      <c r="OOB40" s="51"/>
      <c r="OOC40" s="51"/>
      <c r="OOD40" s="51"/>
      <c r="OOE40" s="51"/>
      <c r="OOF40" s="51"/>
      <c r="OOG40" s="51"/>
      <c r="OOH40" s="51"/>
      <c r="OOI40" s="51"/>
      <c r="OOJ40" s="51"/>
      <c r="OOK40" s="51"/>
      <c r="OOL40" s="51"/>
      <c r="OOM40" s="51"/>
      <c r="OON40" s="51"/>
      <c r="OOO40" s="51"/>
      <c r="OOP40" s="51"/>
      <c r="OOQ40" s="51"/>
      <c r="OOR40" s="51"/>
      <c r="OOS40" s="51"/>
      <c r="OOT40" s="51"/>
      <c r="OOU40" s="51"/>
      <c r="OOV40" s="51"/>
      <c r="OOW40" s="51"/>
      <c r="OOX40" s="51"/>
      <c r="OOY40" s="51"/>
      <c r="OOZ40" s="51"/>
      <c r="OPA40" s="51"/>
      <c r="OPB40" s="51"/>
      <c r="OPC40" s="51"/>
      <c r="OPD40" s="51"/>
      <c r="OPE40" s="51"/>
      <c r="OPF40" s="51"/>
      <c r="OPG40" s="51"/>
      <c r="OPH40" s="51"/>
      <c r="OPI40" s="51"/>
      <c r="OPJ40" s="51"/>
      <c r="OPK40" s="51"/>
      <c r="OPL40" s="51"/>
      <c r="OPM40" s="51"/>
      <c r="OPN40" s="51"/>
      <c r="OPO40" s="51"/>
      <c r="OPP40" s="51"/>
      <c r="OPQ40" s="51"/>
      <c r="OPR40" s="51"/>
      <c r="OPS40" s="51"/>
      <c r="OPT40" s="51"/>
      <c r="OPU40" s="51"/>
      <c r="OPV40" s="51"/>
      <c r="OPW40" s="51"/>
      <c r="OPX40" s="51"/>
      <c r="OPY40" s="51"/>
      <c r="OPZ40" s="51"/>
      <c r="OQA40" s="51"/>
      <c r="OQB40" s="51"/>
      <c r="OQC40" s="51"/>
      <c r="OQD40" s="51"/>
      <c r="OQE40" s="51"/>
      <c r="OQF40" s="51"/>
      <c r="OQG40" s="51"/>
      <c r="OQH40" s="51"/>
      <c r="OQI40" s="51"/>
      <c r="OQJ40" s="51"/>
      <c r="OQK40" s="51"/>
      <c r="OQL40" s="51"/>
      <c r="OQM40" s="51"/>
      <c r="OQN40" s="51"/>
      <c r="OQO40" s="51"/>
      <c r="OQP40" s="51"/>
      <c r="OQQ40" s="51"/>
      <c r="OQR40" s="51"/>
      <c r="OQS40" s="51"/>
      <c r="OQT40" s="51"/>
      <c r="OQU40" s="51"/>
      <c r="OQV40" s="51"/>
      <c r="OQW40" s="51"/>
      <c r="OQX40" s="51"/>
      <c r="OQY40" s="51"/>
      <c r="OQZ40" s="51"/>
      <c r="ORA40" s="51"/>
      <c r="ORB40" s="51"/>
      <c r="ORC40" s="51"/>
      <c r="ORD40" s="51"/>
      <c r="ORE40" s="51"/>
      <c r="ORF40" s="51"/>
      <c r="ORG40" s="51"/>
      <c r="ORH40" s="51"/>
      <c r="ORI40" s="51"/>
      <c r="ORJ40" s="51"/>
      <c r="ORK40" s="51"/>
      <c r="ORL40" s="51"/>
      <c r="ORM40" s="51"/>
      <c r="ORN40" s="51"/>
      <c r="ORO40" s="51"/>
      <c r="ORP40" s="51"/>
      <c r="ORQ40" s="51"/>
      <c r="ORR40" s="51"/>
      <c r="ORS40" s="51"/>
      <c r="ORT40" s="51"/>
      <c r="ORU40" s="51"/>
      <c r="ORV40" s="51"/>
      <c r="ORW40" s="51"/>
      <c r="ORX40" s="51"/>
      <c r="ORY40" s="51"/>
      <c r="ORZ40" s="51"/>
      <c r="OSA40" s="51"/>
      <c r="OSB40" s="51"/>
      <c r="OSC40" s="51"/>
      <c r="OSD40" s="51"/>
      <c r="OSE40" s="51"/>
      <c r="OSF40" s="51"/>
      <c r="OSG40" s="51"/>
      <c r="OSH40" s="51"/>
      <c r="OSI40" s="51"/>
      <c r="OSJ40" s="51"/>
      <c r="OSK40" s="51"/>
      <c r="OSL40" s="51"/>
      <c r="OSM40" s="51"/>
      <c r="OSN40" s="51"/>
      <c r="OSO40" s="51"/>
      <c r="OSP40" s="51"/>
      <c r="OSQ40" s="51"/>
      <c r="OSR40" s="51"/>
      <c r="OSS40" s="51"/>
      <c r="OST40" s="51"/>
      <c r="OSU40" s="51"/>
      <c r="OSV40" s="51"/>
      <c r="OSW40" s="51"/>
      <c r="OSX40" s="51"/>
      <c r="OSY40" s="51"/>
      <c r="OSZ40" s="51"/>
      <c r="OTA40" s="51"/>
      <c r="OTB40" s="51"/>
      <c r="OTC40" s="51"/>
      <c r="OTD40" s="51"/>
      <c r="OTE40" s="51"/>
      <c r="OTF40" s="51"/>
      <c r="OTG40" s="51"/>
      <c r="OTH40" s="51"/>
      <c r="OTI40" s="51"/>
      <c r="OTJ40" s="51"/>
      <c r="OTK40" s="51"/>
      <c r="OTL40" s="51"/>
      <c r="OTM40" s="51"/>
      <c r="OTN40" s="51"/>
      <c r="OTO40" s="51"/>
      <c r="OTP40" s="51"/>
      <c r="OTQ40" s="51"/>
      <c r="OTR40" s="51"/>
      <c r="OTS40" s="51"/>
      <c r="OTT40" s="51"/>
      <c r="OTU40" s="51"/>
      <c r="OTV40" s="51"/>
      <c r="OTW40" s="51"/>
      <c r="OTX40" s="51"/>
      <c r="OTY40" s="51"/>
      <c r="OTZ40" s="51"/>
      <c r="OUA40" s="51"/>
      <c r="OUB40" s="51"/>
      <c r="OUC40" s="51"/>
      <c r="OUD40" s="51"/>
      <c r="OUE40" s="51"/>
      <c r="OUF40" s="51"/>
      <c r="OUG40" s="51"/>
      <c r="OUH40" s="51"/>
      <c r="OUI40" s="51"/>
      <c r="OUJ40" s="51"/>
      <c r="OUK40" s="51"/>
      <c r="OUL40" s="51"/>
      <c r="OUM40" s="51"/>
      <c r="OUN40" s="51"/>
      <c r="OUO40" s="51"/>
      <c r="OUP40" s="51"/>
      <c r="OUQ40" s="51"/>
      <c r="OUR40" s="51"/>
      <c r="OUS40" s="51"/>
      <c r="OUT40" s="51"/>
      <c r="OUU40" s="51"/>
      <c r="OUV40" s="51"/>
      <c r="OUW40" s="51"/>
      <c r="OUX40" s="51"/>
      <c r="OUY40" s="51"/>
      <c r="OUZ40" s="51"/>
      <c r="OVA40" s="51"/>
      <c r="OVB40" s="51"/>
      <c r="OVC40" s="51"/>
      <c r="OVD40" s="51"/>
      <c r="OVE40" s="51"/>
      <c r="OVF40" s="51"/>
      <c r="OVG40" s="51"/>
      <c r="OVH40" s="51"/>
      <c r="OVI40" s="51"/>
      <c r="OVJ40" s="51"/>
      <c r="OVK40" s="51"/>
      <c r="OVL40" s="51"/>
      <c r="OVM40" s="51"/>
      <c r="OVN40" s="51"/>
      <c r="OVO40" s="51"/>
      <c r="OVP40" s="51"/>
      <c r="OVQ40" s="51"/>
      <c r="OVR40" s="51"/>
      <c r="OVS40" s="51"/>
      <c r="OVT40" s="51"/>
      <c r="OVU40" s="51"/>
      <c r="OVV40" s="51"/>
      <c r="OVW40" s="51"/>
      <c r="OVX40" s="51"/>
      <c r="OVY40" s="51"/>
      <c r="OVZ40" s="51"/>
      <c r="OWA40" s="51"/>
      <c r="OWB40" s="51"/>
      <c r="OWC40" s="51"/>
      <c r="OWD40" s="51"/>
      <c r="OWE40" s="51"/>
      <c r="OWF40" s="51"/>
      <c r="OWG40" s="51"/>
      <c r="OWH40" s="51"/>
      <c r="OWI40" s="51"/>
      <c r="OWJ40" s="51"/>
      <c r="OWK40" s="51"/>
      <c r="OWL40" s="51"/>
      <c r="OWM40" s="51"/>
      <c r="OWN40" s="51"/>
      <c r="OWO40" s="51"/>
      <c r="OWP40" s="51"/>
      <c r="OWQ40" s="51"/>
      <c r="OWR40" s="51"/>
      <c r="OWS40" s="51"/>
      <c r="OWT40" s="51"/>
      <c r="OWU40" s="51"/>
      <c r="OWV40" s="51"/>
      <c r="OWW40" s="51"/>
      <c r="OWX40" s="51"/>
      <c r="OWY40" s="51"/>
      <c r="OWZ40" s="51"/>
      <c r="OXA40" s="51"/>
      <c r="OXB40" s="51"/>
      <c r="OXC40" s="51"/>
      <c r="OXD40" s="51"/>
      <c r="OXE40" s="51"/>
      <c r="OXF40" s="51"/>
      <c r="OXG40" s="51"/>
      <c r="OXH40" s="51"/>
      <c r="OXI40" s="51"/>
      <c r="OXJ40" s="51"/>
      <c r="OXK40" s="51"/>
      <c r="OXL40" s="51"/>
      <c r="OXM40" s="51"/>
      <c r="OXN40" s="51"/>
      <c r="OXO40" s="51"/>
      <c r="OXP40" s="51"/>
      <c r="OXQ40" s="51"/>
      <c r="OXR40" s="51"/>
      <c r="OXS40" s="51"/>
      <c r="OXT40" s="51"/>
      <c r="OXU40" s="51"/>
      <c r="OXV40" s="51"/>
      <c r="OXW40" s="51"/>
      <c r="OXX40" s="51"/>
      <c r="OXY40" s="51"/>
      <c r="OXZ40" s="51"/>
      <c r="OYA40" s="51"/>
      <c r="OYB40" s="51"/>
      <c r="OYC40" s="51"/>
      <c r="OYD40" s="51"/>
      <c r="OYE40" s="51"/>
      <c r="OYF40" s="51"/>
      <c r="OYG40" s="51"/>
      <c r="OYH40" s="51"/>
      <c r="OYI40" s="51"/>
      <c r="OYJ40" s="51"/>
      <c r="OYK40" s="51"/>
      <c r="OYL40" s="51"/>
      <c r="OYM40" s="51"/>
      <c r="OYN40" s="51"/>
      <c r="OYO40" s="51"/>
      <c r="OYP40" s="51"/>
      <c r="OYQ40" s="51"/>
      <c r="OYR40" s="51"/>
      <c r="OYS40" s="51"/>
      <c r="OYT40" s="51"/>
      <c r="OYU40" s="51"/>
      <c r="OYV40" s="51"/>
      <c r="OYW40" s="51"/>
      <c r="OYX40" s="51"/>
      <c r="OYY40" s="51"/>
      <c r="OYZ40" s="51"/>
      <c r="OZA40" s="51"/>
      <c r="OZB40" s="51"/>
      <c r="OZC40" s="51"/>
      <c r="OZD40" s="51"/>
      <c r="OZE40" s="51"/>
      <c r="OZF40" s="51"/>
      <c r="OZG40" s="51"/>
      <c r="OZH40" s="51"/>
      <c r="OZI40" s="51"/>
      <c r="OZJ40" s="51"/>
      <c r="OZK40" s="51"/>
      <c r="OZL40" s="51"/>
      <c r="OZM40" s="51"/>
      <c r="OZN40" s="51"/>
      <c r="OZO40" s="51"/>
      <c r="OZP40" s="51"/>
      <c r="OZQ40" s="51"/>
      <c r="OZR40" s="51"/>
      <c r="OZS40" s="51"/>
      <c r="OZT40" s="51"/>
      <c r="OZU40" s="51"/>
      <c r="OZV40" s="51"/>
      <c r="OZW40" s="51"/>
      <c r="OZX40" s="51"/>
      <c r="OZY40" s="51"/>
      <c r="OZZ40" s="51"/>
      <c r="PAA40" s="51"/>
      <c r="PAB40" s="51"/>
      <c r="PAC40" s="51"/>
      <c r="PAD40" s="51"/>
      <c r="PAE40" s="51"/>
      <c r="PAF40" s="51"/>
      <c r="PAG40" s="51"/>
      <c r="PAH40" s="51"/>
      <c r="PAI40" s="51"/>
      <c r="PAJ40" s="51"/>
      <c r="PAK40" s="51"/>
      <c r="PAL40" s="51"/>
      <c r="PAM40" s="51"/>
      <c r="PAN40" s="51"/>
      <c r="PAO40" s="51"/>
      <c r="PAP40" s="51"/>
      <c r="PAQ40" s="51"/>
      <c r="PAR40" s="51"/>
      <c r="PAS40" s="51"/>
      <c r="PAT40" s="51"/>
      <c r="PAU40" s="51"/>
      <c r="PAV40" s="51"/>
      <c r="PAW40" s="51"/>
      <c r="PAX40" s="51"/>
      <c r="PAY40" s="51"/>
      <c r="PAZ40" s="51"/>
      <c r="PBA40" s="51"/>
      <c r="PBB40" s="51"/>
      <c r="PBC40" s="51"/>
      <c r="PBD40" s="51"/>
      <c r="PBE40" s="51"/>
      <c r="PBF40" s="51"/>
      <c r="PBG40" s="51"/>
      <c r="PBH40" s="51"/>
      <c r="PBI40" s="51"/>
      <c r="PBJ40" s="51"/>
      <c r="PBK40" s="51"/>
      <c r="PBL40" s="51"/>
      <c r="PBM40" s="51"/>
      <c r="PBN40" s="51"/>
      <c r="PBO40" s="51"/>
      <c r="PBP40" s="51"/>
      <c r="PBQ40" s="51"/>
      <c r="PBR40" s="51"/>
      <c r="PBS40" s="51"/>
      <c r="PBT40" s="51"/>
      <c r="PBU40" s="51"/>
      <c r="PBV40" s="51"/>
      <c r="PBW40" s="51"/>
      <c r="PBX40" s="51"/>
      <c r="PBY40" s="51"/>
      <c r="PBZ40" s="51"/>
      <c r="PCA40" s="51"/>
      <c r="PCB40" s="51"/>
      <c r="PCC40" s="51"/>
      <c r="PCD40" s="51"/>
      <c r="PCE40" s="51"/>
      <c r="PCF40" s="51"/>
      <c r="PCG40" s="51"/>
      <c r="PCH40" s="51"/>
      <c r="PCI40" s="51"/>
      <c r="PCJ40" s="51"/>
      <c r="PCK40" s="51"/>
      <c r="PCL40" s="51"/>
      <c r="PCM40" s="51"/>
      <c r="PCN40" s="51"/>
      <c r="PCO40" s="51"/>
      <c r="PCP40" s="51"/>
      <c r="PCQ40" s="51"/>
      <c r="PCR40" s="51"/>
      <c r="PCS40" s="51"/>
      <c r="PCT40" s="51"/>
      <c r="PCU40" s="51"/>
      <c r="PCV40" s="51"/>
      <c r="PCW40" s="51"/>
      <c r="PCX40" s="51"/>
      <c r="PCY40" s="51"/>
      <c r="PCZ40" s="51"/>
      <c r="PDA40" s="51"/>
      <c r="PDB40" s="51"/>
      <c r="PDC40" s="51"/>
      <c r="PDD40" s="51"/>
      <c r="PDE40" s="51"/>
      <c r="PDF40" s="51"/>
      <c r="PDG40" s="51"/>
      <c r="PDH40" s="51"/>
      <c r="PDI40" s="51"/>
      <c r="PDJ40" s="51"/>
      <c r="PDK40" s="51"/>
      <c r="PDL40" s="51"/>
      <c r="PDM40" s="51"/>
      <c r="PDN40" s="51"/>
      <c r="PDO40" s="51"/>
      <c r="PDP40" s="51"/>
      <c r="PDQ40" s="51"/>
      <c r="PDR40" s="51"/>
      <c r="PDS40" s="51"/>
      <c r="PDT40" s="51"/>
      <c r="PDU40" s="51"/>
      <c r="PDV40" s="51"/>
      <c r="PDW40" s="51"/>
      <c r="PDX40" s="51"/>
      <c r="PDY40" s="51"/>
      <c r="PDZ40" s="51"/>
      <c r="PEA40" s="51"/>
      <c r="PEB40" s="51"/>
      <c r="PEC40" s="51"/>
      <c r="PED40" s="51"/>
      <c r="PEE40" s="51"/>
      <c r="PEF40" s="51"/>
      <c r="PEG40" s="51"/>
      <c r="PEH40" s="51"/>
      <c r="PEI40" s="51"/>
      <c r="PEJ40" s="51"/>
      <c r="PEK40" s="51"/>
      <c r="PEL40" s="51"/>
      <c r="PEM40" s="51"/>
      <c r="PEN40" s="51"/>
      <c r="PEO40" s="51"/>
      <c r="PEP40" s="51"/>
      <c r="PEQ40" s="51"/>
      <c r="PER40" s="51"/>
      <c r="PES40" s="51"/>
      <c r="PET40" s="51"/>
      <c r="PEU40" s="51"/>
      <c r="PEV40" s="51"/>
      <c r="PEW40" s="51"/>
      <c r="PEX40" s="51"/>
      <c r="PEY40" s="51"/>
      <c r="PEZ40" s="51"/>
      <c r="PFA40" s="51"/>
      <c r="PFB40" s="51"/>
      <c r="PFC40" s="51"/>
      <c r="PFD40" s="51"/>
      <c r="PFE40" s="51"/>
      <c r="PFF40" s="51"/>
      <c r="PFG40" s="51"/>
      <c r="PFH40" s="51"/>
      <c r="PFI40" s="51"/>
      <c r="PFJ40" s="51"/>
      <c r="PFK40" s="51"/>
      <c r="PFL40" s="51"/>
      <c r="PFM40" s="51"/>
      <c r="PFN40" s="51"/>
      <c r="PFO40" s="51"/>
      <c r="PFP40" s="51"/>
      <c r="PFQ40" s="51"/>
      <c r="PFR40" s="51"/>
      <c r="PFS40" s="51"/>
      <c r="PFT40" s="51"/>
      <c r="PFU40" s="51"/>
      <c r="PFV40" s="51"/>
      <c r="PFW40" s="51"/>
      <c r="PFX40" s="51"/>
      <c r="PFY40" s="51"/>
      <c r="PFZ40" s="51"/>
      <c r="PGA40" s="51"/>
      <c r="PGB40" s="51"/>
      <c r="PGC40" s="51"/>
      <c r="PGD40" s="51"/>
      <c r="PGE40" s="51"/>
      <c r="PGF40" s="51"/>
      <c r="PGG40" s="51"/>
      <c r="PGH40" s="51"/>
      <c r="PGI40" s="51"/>
      <c r="PGJ40" s="51"/>
      <c r="PGK40" s="51"/>
      <c r="PGL40" s="51"/>
      <c r="PGM40" s="51"/>
      <c r="PGN40" s="51"/>
      <c r="PGO40" s="51"/>
      <c r="PGP40" s="51"/>
      <c r="PGQ40" s="51"/>
      <c r="PGR40" s="51"/>
      <c r="PGS40" s="51"/>
      <c r="PGT40" s="51"/>
      <c r="PGU40" s="51"/>
      <c r="PGV40" s="51"/>
      <c r="PGW40" s="51"/>
      <c r="PGX40" s="51"/>
      <c r="PGY40" s="51"/>
      <c r="PGZ40" s="51"/>
      <c r="PHA40" s="51"/>
      <c r="PHB40" s="51"/>
      <c r="PHC40" s="51"/>
      <c r="PHD40" s="51"/>
      <c r="PHE40" s="51"/>
      <c r="PHF40" s="51"/>
      <c r="PHG40" s="51"/>
      <c r="PHH40" s="51"/>
      <c r="PHI40" s="51"/>
      <c r="PHJ40" s="51"/>
      <c r="PHK40" s="51"/>
      <c r="PHL40" s="51"/>
      <c r="PHM40" s="51"/>
      <c r="PHN40" s="51"/>
      <c r="PHO40" s="51"/>
      <c r="PHP40" s="51"/>
      <c r="PHQ40" s="51"/>
      <c r="PHR40" s="51"/>
      <c r="PHS40" s="51"/>
      <c r="PHT40" s="51"/>
      <c r="PHU40" s="51"/>
      <c r="PHV40" s="51"/>
      <c r="PHW40" s="51"/>
      <c r="PHX40" s="51"/>
      <c r="PHY40" s="51"/>
      <c r="PHZ40" s="51"/>
      <c r="PIA40" s="51"/>
      <c r="PIB40" s="51"/>
      <c r="PIC40" s="51"/>
      <c r="PID40" s="51"/>
      <c r="PIE40" s="51"/>
      <c r="PIF40" s="51"/>
      <c r="PIG40" s="51"/>
      <c r="PIH40" s="51"/>
      <c r="PII40" s="51"/>
      <c r="PIJ40" s="51"/>
      <c r="PIK40" s="51"/>
      <c r="PIL40" s="51"/>
      <c r="PIM40" s="51"/>
      <c r="PIN40" s="51"/>
      <c r="PIO40" s="51"/>
      <c r="PIP40" s="51"/>
      <c r="PIQ40" s="51"/>
      <c r="PIR40" s="51"/>
      <c r="PIS40" s="51"/>
      <c r="PIT40" s="51"/>
      <c r="PIU40" s="51"/>
      <c r="PIV40" s="51"/>
      <c r="PIW40" s="51"/>
      <c r="PIX40" s="51"/>
      <c r="PIY40" s="51"/>
      <c r="PIZ40" s="51"/>
      <c r="PJA40" s="51"/>
      <c r="PJB40" s="51"/>
      <c r="PJC40" s="51"/>
      <c r="PJD40" s="51"/>
      <c r="PJE40" s="51"/>
      <c r="PJF40" s="51"/>
      <c r="PJG40" s="51"/>
      <c r="PJH40" s="51"/>
      <c r="PJI40" s="51"/>
      <c r="PJJ40" s="51"/>
      <c r="PJK40" s="51"/>
      <c r="PJL40" s="51"/>
      <c r="PJM40" s="51"/>
      <c r="PJN40" s="51"/>
      <c r="PJO40" s="51"/>
      <c r="PJP40" s="51"/>
      <c r="PJQ40" s="51"/>
      <c r="PJR40" s="51"/>
      <c r="PJS40" s="51"/>
      <c r="PJT40" s="51"/>
      <c r="PJU40" s="51"/>
      <c r="PJV40" s="51"/>
      <c r="PJW40" s="51"/>
      <c r="PJX40" s="51"/>
      <c r="PJY40" s="51"/>
      <c r="PJZ40" s="51"/>
      <c r="PKA40" s="51"/>
      <c r="PKB40" s="51"/>
      <c r="PKC40" s="51"/>
      <c r="PKD40" s="51"/>
      <c r="PKE40" s="51"/>
      <c r="PKF40" s="51"/>
      <c r="PKG40" s="51"/>
      <c r="PKH40" s="51"/>
      <c r="PKI40" s="51"/>
      <c r="PKJ40" s="51"/>
      <c r="PKK40" s="51"/>
      <c r="PKL40" s="51"/>
      <c r="PKM40" s="51"/>
      <c r="PKN40" s="51"/>
      <c r="PKO40" s="51"/>
      <c r="PKP40" s="51"/>
      <c r="PKQ40" s="51"/>
      <c r="PKR40" s="51"/>
      <c r="PKS40" s="51"/>
      <c r="PKT40" s="51"/>
      <c r="PKU40" s="51"/>
      <c r="PKV40" s="51"/>
      <c r="PKW40" s="51"/>
      <c r="PKX40" s="51"/>
      <c r="PKY40" s="51"/>
      <c r="PKZ40" s="51"/>
      <c r="PLA40" s="51"/>
      <c r="PLB40" s="51"/>
      <c r="PLC40" s="51"/>
      <c r="PLD40" s="51"/>
      <c r="PLE40" s="51"/>
      <c r="PLF40" s="51"/>
      <c r="PLG40" s="51"/>
      <c r="PLH40" s="51"/>
      <c r="PLI40" s="51"/>
      <c r="PLJ40" s="51"/>
      <c r="PLK40" s="51"/>
      <c r="PLL40" s="51"/>
      <c r="PLM40" s="51"/>
      <c r="PLN40" s="51"/>
      <c r="PLO40" s="51"/>
      <c r="PLP40" s="51"/>
      <c r="PLQ40" s="51"/>
      <c r="PLR40" s="51"/>
      <c r="PLS40" s="51"/>
      <c r="PLT40" s="51"/>
      <c r="PLU40" s="51"/>
      <c r="PLV40" s="51"/>
      <c r="PLW40" s="51"/>
      <c r="PLX40" s="51"/>
      <c r="PLY40" s="51"/>
      <c r="PLZ40" s="51"/>
      <c r="PMA40" s="51"/>
      <c r="PMB40" s="51"/>
      <c r="PMC40" s="51"/>
      <c r="PMD40" s="51"/>
      <c r="PME40" s="51"/>
      <c r="PMF40" s="51"/>
      <c r="PMG40" s="51"/>
      <c r="PMH40" s="51"/>
      <c r="PMI40" s="51"/>
      <c r="PMJ40" s="51"/>
      <c r="PMK40" s="51"/>
      <c r="PML40" s="51"/>
      <c r="PMM40" s="51"/>
      <c r="PMN40" s="51"/>
      <c r="PMO40" s="51"/>
      <c r="PMP40" s="51"/>
      <c r="PMQ40" s="51"/>
      <c r="PMR40" s="51"/>
      <c r="PMS40" s="51"/>
      <c r="PMT40" s="51"/>
      <c r="PMU40" s="51"/>
      <c r="PMV40" s="51"/>
      <c r="PMW40" s="51"/>
      <c r="PMX40" s="51"/>
      <c r="PMY40" s="51"/>
      <c r="PMZ40" s="51"/>
      <c r="PNA40" s="51"/>
      <c r="PNB40" s="51"/>
      <c r="PNC40" s="51"/>
      <c r="PND40" s="51"/>
      <c r="PNE40" s="51"/>
      <c r="PNF40" s="51"/>
      <c r="PNG40" s="51"/>
      <c r="PNH40" s="51"/>
      <c r="PNI40" s="51"/>
      <c r="PNJ40" s="51"/>
      <c r="PNK40" s="51"/>
      <c r="PNL40" s="51"/>
      <c r="PNM40" s="51"/>
      <c r="PNN40" s="51"/>
      <c r="PNO40" s="51"/>
      <c r="PNP40" s="51"/>
      <c r="PNQ40" s="51"/>
      <c r="PNR40" s="51"/>
      <c r="PNS40" s="51"/>
      <c r="PNT40" s="51"/>
      <c r="PNU40" s="51"/>
      <c r="PNV40" s="51"/>
      <c r="PNW40" s="51"/>
      <c r="PNX40" s="51"/>
      <c r="PNY40" s="51"/>
      <c r="PNZ40" s="51"/>
      <c r="POA40" s="51"/>
      <c r="POB40" s="51"/>
      <c r="POC40" s="51"/>
      <c r="POD40" s="51"/>
      <c r="POE40" s="51"/>
      <c r="POF40" s="51"/>
      <c r="POG40" s="51"/>
      <c r="POH40" s="51"/>
      <c r="POI40" s="51"/>
      <c r="POJ40" s="51"/>
      <c r="POK40" s="51"/>
      <c r="POL40" s="51"/>
      <c r="POM40" s="51"/>
      <c r="PON40" s="51"/>
      <c r="POO40" s="51"/>
      <c r="POP40" s="51"/>
      <c r="POQ40" s="51"/>
      <c r="POR40" s="51"/>
      <c r="POS40" s="51"/>
      <c r="POT40" s="51"/>
      <c r="POU40" s="51"/>
      <c r="POV40" s="51"/>
      <c r="POW40" s="51"/>
      <c r="POX40" s="51"/>
      <c r="POY40" s="51"/>
      <c r="POZ40" s="51"/>
      <c r="PPA40" s="51"/>
      <c r="PPB40" s="51"/>
      <c r="PPC40" s="51"/>
      <c r="PPD40" s="51"/>
      <c r="PPE40" s="51"/>
      <c r="PPF40" s="51"/>
      <c r="PPG40" s="51"/>
      <c r="PPH40" s="51"/>
      <c r="PPI40" s="51"/>
      <c r="PPJ40" s="51"/>
      <c r="PPK40" s="51"/>
      <c r="PPL40" s="51"/>
      <c r="PPM40" s="51"/>
      <c r="PPN40" s="51"/>
      <c r="PPO40" s="51"/>
      <c r="PPP40" s="51"/>
      <c r="PPQ40" s="51"/>
      <c r="PPR40" s="51"/>
      <c r="PPS40" s="51"/>
      <c r="PPT40" s="51"/>
      <c r="PPU40" s="51"/>
      <c r="PPV40" s="51"/>
      <c r="PPW40" s="51"/>
      <c r="PPX40" s="51"/>
      <c r="PPY40" s="51"/>
      <c r="PPZ40" s="51"/>
      <c r="PQA40" s="51"/>
      <c r="PQB40" s="51"/>
      <c r="PQC40" s="51"/>
      <c r="PQD40" s="51"/>
      <c r="PQE40" s="51"/>
      <c r="PQF40" s="51"/>
      <c r="PQG40" s="51"/>
      <c r="PQH40" s="51"/>
      <c r="PQI40" s="51"/>
      <c r="PQJ40" s="51"/>
      <c r="PQK40" s="51"/>
      <c r="PQL40" s="51"/>
      <c r="PQM40" s="51"/>
      <c r="PQN40" s="51"/>
      <c r="PQO40" s="51"/>
      <c r="PQP40" s="51"/>
      <c r="PQQ40" s="51"/>
      <c r="PQR40" s="51"/>
      <c r="PQS40" s="51"/>
      <c r="PQT40" s="51"/>
      <c r="PQU40" s="51"/>
      <c r="PQV40" s="51"/>
      <c r="PQW40" s="51"/>
      <c r="PQX40" s="51"/>
      <c r="PQY40" s="51"/>
      <c r="PQZ40" s="51"/>
      <c r="PRA40" s="51"/>
      <c r="PRB40" s="51"/>
      <c r="PRC40" s="51"/>
      <c r="PRD40" s="51"/>
      <c r="PRE40" s="51"/>
      <c r="PRF40" s="51"/>
      <c r="PRG40" s="51"/>
      <c r="PRH40" s="51"/>
      <c r="PRI40" s="51"/>
      <c r="PRJ40" s="51"/>
      <c r="PRK40" s="51"/>
      <c r="PRL40" s="51"/>
      <c r="PRM40" s="51"/>
      <c r="PRN40" s="51"/>
      <c r="PRO40" s="51"/>
      <c r="PRP40" s="51"/>
      <c r="PRQ40" s="51"/>
      <c r="PRR40" s="51"/>
      <c r="PRS40" s="51"/>
      <c r="PRT40" s="51"/>
      <c r="PRU40" s="51"/>
      <c r="PRV40" s="51"/>
      <c r="PRW40" s="51"/>
      <c r="PRX40" s="51"/>
      <c r="PRY40" s="51"/>
      <c r="PRZ40" s="51"/>
      <c r="PSA40" s="51"/>
      <c r="PSB40" s="51"/>
      <c r="PSC40" s="51"/>
      <c r="PSD40" s="51"/>
      <c r="PSE40" s="51"/>
      <c r="PSF40" s="51"/>
      <c r="PSG40" s="51"/>
      <c r="PSH40" s="51"/>
      <c r="PSI40" s="51"/>
      <c r="PSJ40" s="51"/>
      <c r="PSK40" s="51"/>
      <c r="PSL40" s="51"/>
      <c r="PSM40" s="51"/>
      <c r="PSN40" s="51"/>
      <c r="PSO40" s="51"/>
      <c r="PSP40" s="51"/>
      <c r="PSQ40" s="51"/>
      <c r="PSR40" s="51"/>
      <c r="PSS40" s="51"/>
      <c r="PST40" s="51"/>
      <c r="PSU40" s="51"/>
      <c r="PSV40" s="51"/>
      <c r="PSW40" s="51"/>
      <c r="PSX40" s="51"/>
      <c r="PSY40" s="51"/>
      <c r="PSZ40" s="51"/>
      <c r="PTA40" s="51"/>
      <c r="PTB40" s="51"/>
      <c r="PTC40" s="51"/>
      <c r="PTD40" s="51"/>
      <c r="PTE40" s="51"/>
      <c r="PTF40" s="51"/>
      <c r="PTG40" s="51"/>
      <c r="PTH40" s="51"/>
      <c r="PTI40" s="51"/>
      <c r="PTJ40" s="51"/>
      <c r="PTK40" s="51"/>
      <c r="PTL40" s="51"/>
      <c r="PTM40" s="51"/>
      <c r="PTN40" s="51"/>
      <c r="PTO40" s="51"/>
      <c r="PTP40" s="51"/>
      <c r="PTQ40" s="51"/>
      <c r="PTR40" s="51"/>
      <c r="PTS40" s="51"/>
      <c r="PTT40" s="51"/>
      <c r="PTU40" s="51"/>
      <c r="PTV40" s="51"/>
      <c r="PTW40" s="51"/>
      <c r="PTX40" s="51"/>
      <c r="PTY40" s="51"/>
      <c r="PTZ40" s="51"/>
      <c r="PUA40" s="51"/>
      <c r="PUB40" s="51"/>
      <c r="PUC40" s="51"/>
      <c r="PUD40" s="51"/>
      <c r="PUE40" s="51"/>
      <c r="PUF40" s="51"/>
      <c r="PUG40" s="51"/>
      <c r="PUH40" s="51"/>
      <c r="PUI40" s="51"/>
      <c r="PUJ40" s="51"/>
      <c r="PUK40" s="51"/>
      <c r="PUL40" s="51"/>
      <c r="PUM40" s="51"/>
      <c r="PUN40" s="51"/>
      <c r="PUO40" s="51"/>
      <c r="PUP40" s="51"/>
      <c r="PUQ40" s="51"/>
      <c r="PUR40" s="51"/>
      <c r="PUS40" s="51"/>
      <c r="PUT40" s="51"/>
      <c r="PUU40" s="51"/>
      <c r="PUV40" s="51"/>
      <c r="PUW40" s="51"/>
      <c r="PUX40" s="51"/>
      <c r="PUY40" s="51"/>
      <c r="PUZ40" s="51"/>
      <c r="PVA40" s="51"/>
      <c r="PVB40" s="51"/>
      <c r="PVC40" s="51"/>
      <c r="PVD40" s="51"/>
      <c r="PVE40" s="51"/>
      <c r="PVF40" s="51"/>
      <c r="PVG40" s="51"/>
      <c r="PVH40" s="51"/>
      <c r="PVI40" s="51"/>
      <c r="PVJ40" s="51"/>
      <c r="PVK40" s="51"/>
      <c r="PVL40" s="51"/>
      <c r="PVM40" s="51"/>
      <c r="PVN40" s="51"/>
      <c r="PVO40" s="51"/>
      <c r="PVP40" s="51"/>
      <c r="PVQ40" s="51"/>
      <c r="PVR40" s="51"/>
      <c r="PVS40" s="51"/>
      <c r="PVT40" s="51"/>
      <c r="PVU40" s="51"/>
      <c r="PVV40" s="51"/>
      <c r="PVW40" s="51"/>
      <c r="PVX40" s="51"/>
      <c r="PVY40" s="51"/>
      <c r="PVZ40" s="51"/>
      <c r="PWA40" s="51"/>
      <c r="PWB40" s="51"/>
      <c r="PWC40" s="51"/>
      <c r="PWD40" s="51"/>
      <c r="PWE40" s="51"/>
      <c r="PWF40" s="51"/>
      <c r="PWG40" s="51"/>
      <c r="PWH40" s="51"/>
      <c r="PWI40" s="51"/>
      <c r="PWJ40" s="51"/>
      <c r="PWK40" s="51"/>
      <c r="PWL40" s="51"/>
      <c r="PWM40" s="51"/>
      <c r="PWN40" s="51"/>
      <c r="PWO40" s="51"/>
      <c r="PWP40" s="51"/>
      <c r="PWQ40" s="51"/>
      <c r="PWR40" s="51"/>
      <c r="PWS40" s="51"/>
      <c r="PWT40" s="51"/>
      <c r="PWU40" s="51"/>
      <c r="PWV40" s="51"/>
      <c r="PWW40" s="51"/>
      <c r="PWX40" s="51"/>
      <c r="PWY40" s="51"/>
      <c r="PWZ40" s="51"/>
      <c r="PXA40" s="51"/>
      <c r="PXB40" s="51"/>
      <c r="PXC40" s="51"/>
      <c r="PXD40" s="51"/>
      <c r="PXE40" s="51"/>
      <c r="PXF40" s="51"/>
      <c r="PXG40" s="51"/>
      <c r="PXH40" s="51"/>
      <c r="PXI40" s="51"/>
      <c r="PXJ40" s="51"/>
      <c r="PXK40" s="51"/>
      <c r="PXL40" s="51"/>
      <c r="PXM40" s="51"/>
      <c r="PXN40" s="51"/>
      <c r="PXO40" s="51"/>
      <c r="PXP40" s="51"/>
      <c r="PXQ40" s="51"/>
      <c r="PXR40" s="51"/>
      <c r="PXS40" s="51"/>
      <c r="PXT40" s="51"/>
      <c r="PXU40" s="51"/>
      <c r="PXV40" s="51"/>
      <c r="PXW40" s="51"/>
      <c r="PXX40" s="51"/>
      <c r="PXY40" s="51"/>
      <c r="PXZ40" s="51"/>
      <c r="PYA40" s="51"/>
      <c r="PYB40" s="51"/>
      <c r="PYC40" s="51"/>
      <c r="PYD40" s="51"/>
      <c r="PYE40" s="51"/>
      <c r="PYF40" s="51"/>
      <c r="PYG40" s="51"/>
      <c r="PYH40" s="51"/>
      <c r="PYI40" s="51"/>
      <c r="PYJ40" s="51"/>
      <c r="PYK40" s="51"/>
      <c r="PYL40" s="51"/>
      <c r="PYM40" s="51"/>
      <c r="PYN40" s="51"/>
      <c r="PYO40" s="51"/>
      <c r="PYP40" s="51"/>
      <c r="PYQ40" s="51"/>
      <c r="PYR40" s="51"/>
      <c r="PYS40" s="51"/>
      <c r="PYT40" s="51"/>
      <c r="PYU40" s="51"/>
      <c r="PYV40" s="51"/>
      <c r="PYW40" s="51"/>
      <c r="PYX40" s="51"/>
      <c r="PYY40" s="51"/>
      <c r="PYZ40" s="51"/>
      <c r="PZA40" s="51"/>
      <c r="PZB40" s="51"/>
      <c r="PZC40" s="51"/>
      <c r="PZD40" s="51"/>
      <c r="PZE40" s="51"/>
      <c r="PZF40" s="51"/>
      <c r="PZG40" s="51"/>
      <c r="PZH40" s="51"/>
      <c r="PZI40" s="51"/>
      <c r="PZJ40" s="51"/>
      <c r="PZK40" s="51"/>
      <c r="PZL40" s="51"/>
      <c r="PZM40" s="51"/>
      <c r="PZN40" s="51"/>
      <c r="PZO40" s="51"/>
      <c r="PZP40" s="51"/>
      <c r="PZQ40" s="51"/>
      <c r="PZR40" s="51"/>
      <c r="PZS40" s="51"/>
      <c r="PZT40" s="51"/>
      <c r="PZU40" s="51"/>
      <c r="PZV40" s="51"/>
      <c r="PZW40" s="51"/>
      <c r="PZX40" s="51"/>
      <c r="PZY40" s="51"/>
      <c r="PZZ40" s="51"/>
      <c r="QAA40" s="51"/>
      <c r="QAB40" s="51"/>
      <c r="QAC40" s="51"/>
      <c r="QAD40" s="51"/>
      <c r="QAE40" s="51"/>
      <c r="QAF40" s="51"/>
      <c r="QAG40" s="51"/>
      <c r="QAH40" s="51"/>
      <c r="QAI40" s="51"/>
      <c r="QAJ40" s="51"/>
      <c r="QAK40" s="51"/>
      <c r="QAL40" s="51"/>
      <c r="QAM40" s="51"/>
      <c r="QAN40" s="51"/>
      <c r="QAO40" s="51"/>
      <c r="QAP40" s="51"/>
      <c r="QAQ40" s="51"/>
      <c r="QAR40" s="51"/>
      <c r="QAS40" s="51"/>
      <c r="QAT40" s="51"/>
      <c r="QAU40" s="51"/>
      <c r="QAV40" s="51"/>
      <c r="QAW40" s="51"/>
      <c r="QAX40" s="51"/>
      <c r="QAY40" s="51"/>
      <c r="QAZ40" s="51"/>
      <c r="QBA40" s="51"/>
      <c r="QBB40" s="51"/>
      <c r="QBC40" s="51"/>
      <c r="QBD40" s="51"/>
      <c r="QBE40" s="51"/>
      <c r="QBF40" s="51"/>
      <c r="QBG40" s="51"/>
      <c r="QBH40" s="51"/>
      <c r="QBI40" s="51"/>
      <c r="QBJ40" s="51"/>
      <c r="QBK40" s="51"/>
      <c r="QBL40" s="51"/>
      <c r="QBM40" s="51"/>
      <c r="QBN40" s="51"/>
      <c r="QBO40" s="51"/>
      <c r="QBP40" s="51"/>
      <c r="QBQ40" s="51"/>
      <c r="QBR40" s="51"/>
      <c r="QBS40" s="51"/>
      <c r="QBT40" s="51"/>
      <c r="QBU40" s="51"/>
      <c r="QBV40" s="51"/>
      <c r="QBW40" s="51"/>
      <c r="QBX40" s="51"/>
      <c r="QBY40" s="51"/>
      <c r="QBZ40" s="51"/>
      <c r="QCA40" s="51"/>
      <c r="QCB40" s="51"/>
      <c r="QCC40" s="51"/>
      <c r="QCD40" s="51"/>
      <c r="QCE40" s="51"/>
      <c r="QCF40" s="51"/>
      <c r="QCG40" s="51"/>
      <c r="QCH40" s="51"/>
      <c r="QCI40" s="51"/>
      <c r="QCJ40" s="51"/>
      <c r="QCK40" s="51"/>
      <c r="QCL40" s="51"/>
      <c r="QCM40" s="51"/>
      <c r="QCN40" s="51"/>
      <c r="QCO40" s="51"/>
      <c r="QCP40" s="51"/>
      <c r="QCQ40" s="51"/>
      <c r="QCR40" s="51"/>
      <c r="QCS40" s="51"/>
      <c r="QCT40" s="51"/>
      <c r="QCU40" s="51"/>
      <c r="QCV40" s="51"/>
      <c r="QCW40" s="51"/>
      <c r="QCX40" s="51"/>
      <c r="QCY40" s="51"/>
      <c r="QCZ40" s="51"/>
      <c r="QDA40" s="51"/>
      <c r="QDB40" s="51"/>
      <c r="QDC40" s="51"/>
      <c r="QDD40" s="51"/>
      <c r="QDE40" s="51"/>
      <c r="QDF40" s="51"/>
      <c r="QDG40" s="51"/>
      <c r="QDH40" s="51"/>
      <c r="QDI40" s="51"/>
      <c r="QDJ40" s="51"/>
      <c r="QDK40" s="51"/>
      <c r="QDL40" s="51"/>
      <c r="QDM40" s="51"/>
      <c r="QDN40" s="51"/>
      <c r="QDO40" s="51"/>
      <c r="QDP40" s="51"/>
      <c r="QDQ40" s="51"/>
      <c r="QDR40" s="51"/>
      <c r="QDS40" s="51"/>
      <c r="QDT40" s="51"/>
      <c r="QDU40" s="51"/>
      <c r="QDV40" s="51"/>
      <c r="QDW40" s="51"/>
      <c r="QDX40" s="51"/>
      <c r="QDY40" s="51"/>
      <c r="QDZ40" s="51"/>
      <c r="QEA40" s="51"/>
      <c r="QEB40" s="51"/>
      <c r="QEC40" s="51"/>
      <c r="QED40" s="51"/>
      <c r="QEE40" s="51"/>
      <c r="QEF40" s="51"/>
      <c r="QEG40" s="51"/>
      <c r="QEH40" s="51"/>
      <c r="QEI40" s="51"/>
      <c r="QEJ40" s="51"/>
      <c r="QEK40" s="51"/>
      <c r="QEL40" s="51"/>
      <c r="QEM40" s="51"/>
      <c r="QEN40" s="51"/>
      <c r="QEO40" s="51"/>
      <c r="QEP40" s="51"/>
      <c r="QEQ40" s="51"/>
      <c r="QER40" s="51"/>
      <c r="QES40" s="51"/>
      <c r="QET40" s="51"/>
      <c r="QEU40" s="51"/>
      <c r="QEV40" s="51"/>
      <c r="QEW40" s="51"/>
      <c r="QEX40" s="51"/>
      <c r="QEY40" s="51"/>
      <c r="QEZ40" s="51"/>
      <c r="QFA40" s="51"/>
      <c r="QFB40" s="51"/>
      <c r="QFC40" s="51"/>
      <c r="QFD40" s="51"/>
      <c r="QFE40" s="51"/>
      <c r="QFF40" s="51"/>
      <c r="QFG40" s="51"/>
      <c r="QFH40" s="51"/>
      <c r="QFI40" s="51"/>
      <c r="QFJ40" s="51"/>
      <c r="QFK40" s="51"/>
      <c r="QFL40" s="51"/>
      <c r="QFM40" s="51"/>
      <c r="QFN40" s="51"/>
      <c r="QFO40" s="51"/>
      <c r="QFP40" s="51"/>
      <c r="QFQ40" s="51"/>
      <c r="QFR40" s="51"/>
      <c r="QFS40" s="51"/>
      <c r="QFT40" s="51"/>
      <c r="QFU40" s="51"/>
      <c r="QFV40" s="51"/>
      <c r="QFW40" s="51"/>
      <c r="QFX40" s="51"/>
      <c r="QFY40" s="51"/>
      <c r="QFZ40" s="51"/>
      <c r="QGA40" s="51"/>
      <c r="QGB40" s="51"/>
      <c r="QGC40" s="51"/>
      <c r="QGD40" s="51"/>
      <c r="QGE40" s="51"/>
      <c r="QGF40" s="51"/>
      <c r="QGG40" s="51"/>
      <c r="QGH40" s="51"/>
      <c r="QGI40" s="51"/>
      <c r="QGJ40" s="51"/>
      <c r="QGK40" s="51"/>
      <c r="QGL40" s="51"/>
      <c r="QGM40" s="51"/>
      <c r="QGN40" s="51"/>
      <c r="QGO40" s="51"/>
      <c r="QGP40" s="51"/>
      <c r="QGQ40" s="51"/>
      <c r="QGR40" s="51"/>
      <c r="QGS40" s="51"/>
      <c r="QGT40" s="51"/>
      <c r="QGU40" s="51"/>
      <c r="QGV40" s="51"/>
      <c r="QGW40" s="51"/>
      <c r="QGX40" s="51"/>
      <c r="QGY40" s="51"/>
      <c r="QGZ40" s="51"/>
      <c r="QHA40" s="51"/>
      <c r="QHB40" s="51"/>
      <c r="QHC40" s="51"/>
      <c r="QHD40" s="51"/>
      <c r="QHE40" s="51"/>
      <c r="QHF40" s="51"/>
      <c r="QHG40" s="51"/>
      <c r="QHH40" s="51"/>
      <c r="QHI40" s="51"/>
      <c r="QHJ40" s="51"/>
      <c r="QHK40" s="51"/>
      <c r="QHL40" s="51"/>
      <c r="QHM40" s="51"/>
      <c r="QHN40" s="51"/>
      <c r="QHO40" s="51"/>
      <c r="QHP40" s="51"/>
      <c r="QHQ40" s="51"/>
      <c r="QHR40" s="51"/>
      <c r="QHS40" s="51"/>
      <c r="QHT40" s="51"/>
      <c r="QHU40" s="51"/>
      <c r="QHV40" s="51"/>
      <c r="QHW40" s="51"/>
      <c r="QHX40" s="51"/>
      <c r="QHY40" s="51"/>
      <c r="QHZ40" s="51"/>
      <c r="QIA40" s="51"/>
      <c r="QIB40" s="51"/>
      <c r="QIC40" s="51"/>
      <c r="QID40" s="51"/>
      <c r="QIE40" s="51"/>
      <c r="QIF40" s="51"/>
      <c r="QIG40" s="51"/>
      <c r="QIH40" s="51"/>
      <c r="QII40" s="51"/>
      <c r="QIJ40" s="51"/>
      <c r="QIK40" s="51"/>
      <c r="QIL40" s="51"/>
      <c r="QIM40" s="51"/>
      <c r="QIN40" s="51"/>
      <c r="QIO40" s="51"/>
      <c r="QIP40" s="51"/>
      <c r="QIQ40" s="51"/>
      <c r="QIR40" s="51"/>
      <c r="QIS40" s="51"/>
      <c r="QIT40" s="51"/>
      <c r="QIU40" s="51"/>
      <c r="QIV40" s="51"/>
      <c r="QIW40" s="51"/>
      <c r="QIX40" s="51"/>
      <c r="QIY40" s="51"/>
      <c r="QIZ40" s="51"/>
      <c r="QJA40" s="51"/>
      <c r="QJB40" s="51"/>
      <c r="QJC40" s="51"/>
      <c r="QJD40" s="51"/>
      <c r="QJE40" s="51"/>
      <c r="QJF40" s="51"/>
      <c r="QJG40" s="51"/>
      <c r="QJH40" s="51"/>
      <c r="QJI40" s="51"/>
      <c r="QJJ40" s="51"/>
      <c r="QJK40" s="51"/>
      <c r="QJL40" s="51"/>
      <c r="QJM40" s="51"/>
      <c r="QJN40" s="51"/>
      <c r="QJO40" s="51"/>
      <c r="QJP40" s="51"/>
      <c r="QJQ40" s="51"/>
      <c r="QJR40" s="51"/>
      <c r="QJS40" s="51"/>
      <c r="QJT40" s="51"/>
      <c r="QJU40" s="51"/>
      <c r="QJV40" s="51"/>
      <c r="QJW40" s="51"/>
      <c r="QJX40" s="51"/>
      <c r="QJY40" s="51"/>
      <c r="QJZ40" s="51"/>
      <c r="QKA40" s="51"/>
      <c r="QKB40" s="51"/>
      <c r="QKC40" s="51"/>
      <c r="QKD40" s="51"/>
      <c r="QKE40" s="51"/>
      <c r="QKF40" s="51"/>
      <c r="QKG40" s="51"/>
      <c r="QKH40" s="51"/>
      <c r="QKI40" s="51"/>
      <c r="QKJ40" s="51"/>
      <c r="QKK40" s="51"/>
      <c r="QKL40" s="51"/>
      <c r="QKM40" s="51"/>
      <c r="QKN40" s="51"/>
      <c r="QKO40" s="51"/>
      <c r="QKP40" s="51"/>
      <c r="QKQ40" s="51"/>
      <c r="QKR40" s="51"/>
      <c r="QKS40" s="51"/>
      <c r="QKT40" s="51"/>
      <c r="QKU40" s="51"/>
      <c r="QKV40" s="51"/>
      <c r="QKW40" s="51"/>
      <c r="QKX40" s="51"/>
      <c r="QKY40" s="51"/>
      <c r="QKZ40" s="51"/>
      <c r="QLA40" s="51"/>
      <c r="QLB40" s="51"/>
      <c r="QLC40" s="51"/>
      <c r="QLD40" s="51"/>
      <c r="QLE40" s="51"/>
      <c r="QLF40" s="51"/>
      <c r="QLG40" s="51"/>
      <c r="QLH40" s="51"/>
      <c r="QLI40" s="51"/>
      <c r="QLJ40" s="51"/>
      <c r="QLK40" s="51"/>
      <c r="QLL40" s="51"/>
      <c r="QLM40" s="51"/>
      <c r="QLN40" s="51"/>
      <c r="QLO40" s="51"/>
      <c r="QLP40" s="51"/>
      <c r="QLQ40" s="51"/>
      <c r="QLR40" s="51"/>
      <c r="QLS40" s="51"/>
      <c r="QLT40" s="51"/>
      <c r="QLU40" s="51"/>
      <c r="QLV40" s="51"/>
      <c r="QLW40" s="51"/>
      <c r="QLX40" s="51"/>
      <c r="QLY40" s="51"/>
      <c r="QLZ40" s="51"/>
      <c r="QMA40" s="51"/>
      <c r="QMB40" s="51"/>
      <c r="QMC40" s="51"/>
      <c r="QMD40" s="51"/>
      <c r="QME40" s="51"/>
      <c r="QMF40" s="51"/>
      <c r="QMG40" s="51"/>
      <c r="QMH40" s="51"/>
      <c r="QMI40" s="51"/>
      <c r="QMJ40" s="51"/>
      <c r="QMK40" s="51"/>
      <c r="QML40" s="51"/>
      <c r="QMM40" s="51"/>
      <c r="QMN40" s="51"/>
      <c r="QMO40" s="51"/>
      <c r="QMP40" s="51"/>
      <c r="QMQ40" s="51"/>
      <c r="QMR40" s="51"/>
      <c r="QMS40" s="51"/>
      <c r="QMT40" s="51"/>
      <c r="QMU40" s="51"/>
      <c r="QMV40" s="51"/>
      <c r="QMW40" s="51"/>
      <c r="QMX40" s="51"/>
      <c r="QMY40" s="51"/>
      <c r="QMZ40" s="51"/>
      <c r="QNA40" s="51"/>
      <c r="QNB40" s="51"/>
      <c r="QNC40" s="51"/>
      <c r="QND40" s="51"/>
      <c r="QNE40" s="51"/>
      <c r="QNF40" s="51"/>
      <c r="QNG40" s="51"/>
      <c r="QNH40" s="51"/>
      <c r="QNI40" s="51"/>
      <c r="QNJ40" s="51"/>
      <c r="QNK40" s="51"/>
      <c r="QNL40" s="51"/>
      <c r="QNM40" s="51"/>
      <c r="QNN40" s="51"/>
      <c r="QNO40" s="51"/>
      <c r="QNP40" s="51"/>
      <c r="QNQ40" s="51"/>
      <c r="QNR40" s="51"/>
      <c r="QNS40" s="51"/>
      <c r="QNT40" s="51"/>
      <c r="QNU40" s="51"/>
      <c r="QNV40" s="51"/>
      <c r="QNW40" s="51"/>
      <c r="QNX40" s="51"/>
      <c r="QNY40" s="51"/>
      <c r="QNZ40" s="51"/>
      <c r="QOA40" s="51"/>
      <c r="QOB40" s="51"/>
      <c r="QOC40" s="51"/>
      <c r="QOD40" s="51"/>
      <c r="QOE40" s="51"/>
      <c r="QOF40" s="51"/>
      <c r="QOG40" s="51"/>
      <c r="QOH40" s="51"/>
      <c r="QOI40" s="51"/>
      <c r="QOJ40" s="51"/>
      <c r="QOK40" s="51"/>
      <c r="QOL40" s="51"/>
      <c r="QOM40" s="51"/>
      <c r="QON40" s="51"/>
      <c r="QOO40" s="51"/>
      <c r="QOP40" s="51"/>
      <c r="QOQ40" s="51"/>
      <c r="QOR40" s="51"/>
      <c r="QOS40" s="51"/>
      <c r="QOT40" s="51"/>
      <c r="QOU40" s="51"/>
      <c r="QOV40" s="51"/>
      <c r="QOW40" s="51"/>
      <c r="QOX40" s="51"/>
      <c r="QOY40" s="51"/>
      <c r="QOZ40" s="51"/>
      <c r="QPA40" s="51"/>
      <c r="QPB40" s="51"/>
      <c r="QPC40" s="51"/>
      <c r="QPD40" s="51"/>
      <c r="QPE40" s="51"/>
      <c r="QPF40" s="51"/>
      <c r="QPG40" s="51"/>
      <c r="QPH40" s="51"/>
      <c r="QPI40" s="51"/>
      <c r="QPJ40" s="51"/>
      <c r="QPK40" s="51"/>
      <c r="QPL40" s="51"/>
      <c r="QPM40" s="51"/>
      <c r="QPN40" s="51"/>
      <c r="QPO40" s="51"/>
      <c r="QPP40" s="51"/>
      <c r="QPQ40" s="51"/>
      <c r="QPR40" s="51"/>
      <c r="QPS40" s="51"/>
      <c r="QPT40" s="51"/>
      <c r="QPU40" s="51"/>
      <c r="QPV40" s="51"/>
      <c r="QPW40" s="51"/>
      <c r="QPX40" s="51"/>
      <c r="QPY40" s="51"/>
      <c r="QPZ40" s="51"/>
      <c r="QQA40" s="51"/>
      <c r="QQB40" s="51"/>
      <c r="QQC40" s="51"/>
      <c r="QQD40" s="51"/>
      <c r="QQE40" s="51"/>
      <c r="QQF40" s="51"/>
      <c r="QQG40" s="51"/>
      <c r="QQH40" s="51"/>
      <c r="QQI40" s="51"/>
      <c r="QQJ40" s="51"/>
      <c r="QQK40" s="51"/>
      <c r="QQL40" s="51"/>
      <c r="QQM40" s="51"/>
      <c r="QQN40" s="51"/>
      <c r="QQO40" s="51"/>
      <c r="QQP40" s="51"/>
      <c r="QQQ40" s="51"/>
      <c r="QQR40" s="51"/>
      <c r="QQS40" s="51"/>
      <c r="QQT40" s="51"/>
      <c r="QQU40" s="51"/>
      <c r="QQV40" s="51"/>
      <c r="QQW40" s="51"/>
      <c r="QQX40" s="51"/>
      <c r="QQY40" s="51"/>
      <c r="QQZ40" s="51"/>
      <c r="QRA40" s="51"/>
      <c r="QRB40" s="51"/>
      <c r="QRC40" s="51"/>
      <c r="QRD40" s="51"/>
      <c r="QRE40" s="51"/>
      <c r="QRF40" s="51"/>
      <c r="QRG40" s="51"/>
      <c r="QRH40" s="51"/>
      <c r="QRI40" s="51"/>
      <c r="QRJ40" s="51"/>
      <c r="QRK40" s="51"/>
      <c r="QRL40" s="51"/>
      <c r="QRM40" s="51"/>
      <c r="QRN40" s="51"/>
      <c r="QRO40" s="51"/>
      <c r="QRP40" s="51"/>
      <c r="QRQ40" s="51"/>
      <c r="QRR40" s="51"/>
      <c r="QRS40" s="51"/>
      <c r="QRT40" s="51"/>
      <c r="QRU40" s="51"/>
      <c r="QRV40" s="51"/>
      <c r="QRW40" s="51"/>
      <c r="QRX40" s="51"/>
      <c r="QRY40" s="51"/>
      <c r="QRZ40" s="51"/>
      <c r="QSA40" s="51"/>
      <c r="QSB40" s="51"/>
      <c r="QSC40" s="51"/>
      <c r="QSD40" s="51"/>
      <c r="QSE40" s="51"/>
      <c r="QSF40" s="51"/>
      <c r="QSG40" s="51"/>
      <c r="QSH40" s="51"/>
      <c r="QSI40" s="51"/>
      <c r="QSJ40" s="51"/>
      <c r="QSK40" s="51"/>
      <c r="QSL40" s="51"/>
      <c r="QSM40" s="51"/>
      <c r="QSN40" s="51"/>
      <c r="QSO40" s="51"/>
      <c r="QSP40" s="51"/>
      <c r="QSQ40" s="51"/>
      <c r="QSR40" s="51"/>
      <c r="QSS40" s="51"/>
      <c r="QST40" s="51"/>
      <c r="QSU40" s="51"/>
      <c r="QSV40" s="51"/>
      <c r="QSW40" s="51"/>
      <c r="QSX40" s="51"/>
      <c r="QSY40" s="51"/>
      <c r="QSZ40" s="51"/>
      <c r="QTA40" s="51"/>
      <c r="QTB40" s="51"/>
      <c r="QTC40" s="51"/>
      <c r="QTD40" s="51"/>
      <c r="QTE40" s="51"/>
      <c r="QTF40" s="51"/>
      <c r="QTG40" s="51"/>
      <c r="QTH40" s="51"/>
      <c r="QTI40" s="51"/>
      <c r="QTJ40" s="51"/>
      <c r="QTK40" s="51"/>
      <c r="QTL40" s="51"/>
      <c r="QTM40" s="51"/>
      <c r="QTN40" s="51"/>
      <c r="QTO40" s="51"/>
      <c r="QTP40" s="51"/>
      <c r="QTQ40" s="51"/>
      <c r="QTR40" s="51"/>
      <c r="QTS40" s="51"/>
      <c r="QTT40" s="51"/>
      <c r="QTU40" s="51"/>
      <c r="QTV40" s="51"/>
      <c r="QTW40" s="51"/>
      <c r="QTX40" s="51"/>
      <c r="QTY40" s="51"/>
      <c r="QTZ40" s="51"/>
      <c r="QUA40" s="51"/>
      <c r="QUB40" s="51"/>
      <c r="QUC40" s="51"/>
      <c r="QUD40" s="51"/>
      <c r="QUE40" s="51"/>
      <c r="QUF40" s="51"/>
      <c r="QUG40" s="51"/>
      <c r="QUH40" s="51"/>
      <c r="QUI40" s="51"/>
      <c r="QUJ40" s="51"/>
      <c r="QUK40" s="51"/>
      <c r="QUL40" s="51"/>
      <c r="QUM40" s="51"/>
      <c r="QUN40" s="51"/>
      <c r="QUO40" s="51"/>
      <c r="QUP40" s="51"/>
      <c r="QUQ40" s="51"/>
      <c r="QUR40" s="51"/>
      <c r="QUS40" s="51"/>
      <c r="QUT40" s="51"/>
      <c r="QUU40" s="51"/>
      <c r="QUV40" s="51"/>
      <c r="QUW40" s="51"/>
      <c r="QUX40" s="51"/>
      <c r="QUY40" s="51"/>
      <c r="QUZ40" s="51"/>
      <c r="QVA40" s="51"/>
      <c r="QVB40" s="51"/>
      <c r="QVC40" s="51"/>
      <c r="QVD40" s="51"/>
      <c r="QVE40" s="51"/>
      <c r="QVF40" s="51"/>
      <c r="QVG40" s="51"/>
      <c r="QVH40" s="51"/>
      <c r="QVI40" s="51"/>
      <c r="QVJ40" s="51"/>
      <c r="QVK40" s="51"/>
      <c r="QVL40" s="51"/>
      <c r="QVM40" s="51"/>
      <c r="QVN40" s="51"/>
      <c r="QVO40" s="51"/>
      <c r="QVP40" s="51"/>
      <c r="QVQ40" s="51"/>
      <c r="QVR40" s="51"/>
      <c r="QVS40" s="51"/>
      <c r="QVT40" s="51"/>
      <c r="QVU40" s="51"/>
      <c r="QVV40" s="51"/>
      <c r="QVW40" s="51"/>
      <c r="QVX40" s="51"/>
      <c r="QVY40" s="51"/>
      <c r="QVZ40" s="51"/>
      <c r="QWA40" s="51"/>
      <c r="QWB40" s="51"/>
      <c r="QWC40" s="51"/>
      <c r="QWD40" s="51"/>
      <c r="QWE40" s="51"/>
      <c r="QWF40" s="51"/>
      <c r="QWG40" s="51"/>
      <c r="QWH40" s="51"/>
      <c r="QWI40" s="51"/>
      <c r="QWJ40" s="51"/>
      <c r="QWK40" s="51"/>
      <c r="QWL40" s="51"/>
      <c r="QWM40" s="51"/>
      <c r="QWN40" s="51"/>
      <c r="QWO40" s="51"/>
      <c r="QWP40" s="51"/>
      <c r="QWQ40" s="51"/>
      <c r="QWR40" s="51"/>
      <c r="QWS40" s="51"/>
      <c r="QWT40" s="51"/>
      <c r="QWU40" s="51"/>
      <c r="QWV40" s="51"/>
      <c r="QWW40" s="51"/>
      <c r="QWX40" s="51"/>
      <c r="QWY40" s="51"/>
      <c r="QWZ40" s="51"/>
      <c r="QXA40" s="51"/>
      <c r="QXB40" s="51"/>
      <c r="QXC40" s="51"/>
      <c r="QXD40" s="51"/>
      <c r="QXE40" s="51"/>
      <c r="QXF40" s="51"/>
      <c r="QXG40" s="51"/>
      <c r="QXH40" s="51"/>
      <c r="QXI40" s="51"/>
      <c r="QXJ40" s="51"/>
      <c r="QXK40" s="51"/>
      <c r="QXL40" s="51"/>
      <c r="QXM40" s="51"/>
      <c r="QXN40" s="51"/>
      <c r="QXO40" s="51"/>
      <c r="QXP40" s="51"/>
      <c r="QXQ40" s="51"/>
      <c r="QXR40" s="51"/>
      <c r="QXS40" s="51"/>
      <c r="QXT40" s="51"/>
      <c r="QXU40" s="51"/>
      <c r="QXV40" s="51"/>
      <c r="QXW40" s="51"/>
      <c r="QXX40" s="51"/>
      <c r="QXY40" s="51"/>
      <c r="QXZ40" s="51"/>
      <c r="QYA40" s="51"/>
      <c r="QYB40" s="51"/>
      <c r="QYC40" s="51"/>
      <c r="QYD40" s="51"/>
      <c r="QYE40" s="51"/>
      <c r="QYF40" s="51"/>
      <c r="QYG40" s="51"/>
      <c r="QYH40" s="51"/>
      <c r="QYI40" s="51"/>
      <c r="QYJ40" s="51"/>
      <c r="QYK40" s="51"/>
      <c r="QYL40" s="51"/>
      <c r="QYM40" s="51"/>
      <c r="QYN40" s="51"/>
      <c r="QYO40" s="51"/>
      <c r="QYP40" s="51"/>
      <c r="QYQ40" s="51"/>
      <c r="QYR40" s="51"/>
      <c r="QYS40" s="51"/>
      <c r="QYT40" s="51"/>
      <c r="QYU40" s="51"/>
      <c r="QYV40" s="51"/>
      <c r="QYW40" s="51"/>
      <c r="QYX40" s="51"/>
      <c r="QYY40" s="51"/>
      <c r="QYZ40" s="51"/>
      <c r="QZA40" s="51"/>
      <c r="QZB40" s="51"/>
      <c r="QZC40" s="51"/>
      <c r="QZD40" s="51"/>
      <c r="QZE40" s="51"/>
      <c r="QZF40" s="51"/>
      <c r="QZG40" s="51"/>
      <c r="QZH40" s="51"/>
      <c r="QZI40" s="51"/>
      <c r="QZJ40" s="51"/>
      <c r="QZK40" s="51"/>
      <c r="QZL40" s="51"/>
      <c r="QZM40" s="51"/>
      <c r="QZN40" s="51"/>
      <c r="QZO40" s="51"/>
      <c r="QZP40" s="51"/>
      <c r="QZQ40" s="51"/>
      <c r="QZR40" s="51"/>
      <c r="QZS40" s="51"/>
      <c r="QZT40" s="51"/>
      <c r="QZU40" s="51"/>
      <c r="QZV40" s="51"/>
      <c r="QZW40" s="51"/>
      <c r="QZX40" s="51"/>
      <c r="QZY40" s="51"/>
      <c r="QZZ40" s="51"/>
      <c r="RAA40" s="51"/>
      <c r="RAB40" s="51"/>
      <c r="RAC40" s="51"/>
      <c r="RAD40" s="51"/>
      <c r="RAE40" s="51"/>
      <c r="RAF40" s="51"/>
      <c r="RAG40" s="51"/>
      <c r="RAH40" s="51"/>
      <c r="RAI40" s="51"/>
      <c r="RAJ40" s="51"/>
      <c r="RAK40" s="51"/>
      <c r="RAL40" s="51"/>
      <c r="RAM40" s="51"/>
      <c r="RAN40" s="51"/>
      <c r="RAO40" s="51"/>
      <c r="RAP40" s="51"/>
      <c r="RAQ40" s="51"/>
      <c r="RAR40" s="51"/>
      <c r="RAS40" s="51"/>
      <c r="RAT40" s="51"/>
      <c r="RAU40" s="51"/>
      <c r="RAV40" s="51"/>
      <c r="RAW40" s="51"/>
      <c r="RAX40" s="51"/>
      <c r="RAY40" s="51"/>
      <c r="RAZ40" s="51"/>
      <c r="RBA40" s="51"/>
      <c r="RBB40" s="51"/>
      <c r="RBC40" s="51"/>
      <c r="RBD40" s="51"/>
      <c r="RBE40" s="51"/>
      <c r="RBF40" s="51"/>
      <c r="RBG40" s="51"/>
      <c r="RBH40" s="51"/>
      <c r="RBI40" s="51"/>
      <c r="RBJ40" s="51"/>
      <c r="RBK40" s="51"/>
      <c r="RBL40" s="51"/>
      <c r="RBM40" s="51"/>
      <c r="RBN40" s="51"/>
      <c r="RBO40" s="51"/>
      <c r="RBP40" s="51"/>
      <c r="RBQ40" s="51"/>
      <c r="RBR40" s="51"/>
      <c r="RBS40" s="51"/>
      <c r="RBT40" s="51"/>
      <c r="RBU40" s="51"/>
      <c r="RBV40" s="51"/>
      <c r="RBW40" s="51"/>
      <c r="RBX40" s="51"/>
      <c r="RBY40" s="51"/>
      <c r="RBZ40" s="51"/>
      <c r="RCA40" s="51"/>
      <c r="RCB40" s="51"/>
      <c r="RCC40" s="51"/>
      <c r="RCD40" s="51"/>
      <c r="RCE40" s="51"/>
      <c r="RCF40" s="51"/>
      <c r="RCG40" s="51"/>
      <c r="RCH40" s="51"/>
      <c r="RCI40" s="51"/>
      <c r="RCJ40" s="51"/>
      <c r="RCK40" s="51"/>
      <c r="RCL40" s="51"/>
      <c r="RCM40" s="51"/>
      <c r="RCN40" s="51"/>
      <c r="RCO40" s="51"/>
      <c r="RCP40" s="51"/>
      <c r="RCQ40" s="51"/>
      <c r="RCR40" s="51"/>
      <c r="RCS40" s="51"/>
      <c r="RCT40" s="51"/>
      <c r="RCU40" s="51"/>
      <c r="RCV40" s="51"/>
      <c r="RCW40" s="51"/>
      <c r="RCX40" s="51"/>
      <c r="RCY40" s="51"/>
      <c r="RCZ40" s="51"/>
      <c r="RDA40" s="51"/>
      <c r="RDB40" s="51"/>
      <c r="RDC40" s="51"/>
      <c r="RDD40" s="51"/>
      <c r="RDE40" s="51"/>
      <c r="RDF40" s="51"/>
      <c r="RDG40" s="51"/>
      <c r="RDH40" s="51"/>
      <c r="RDI40" s="51"/>
      <c r="RDJ40" s="51"/>
      <c r="RDK40" s="51"/>
      <c r="RDL40" s="51"/>
      <c r="RDM40" s="51"/>
      <c r="RDN40" s="51"/>
      <c r="RDO40" s="51"/>
      <c r="RDP40" s="51"/>
      <c r="RDQ40" s="51"/>
      <c r="RDR40" s="51"/>
      <c r="RDS40" s="51"/>
      <c r="RDT40" s="51"/>
      <c r="RDU40" s="51"/>
      <c r="RDV40" s="51"/>
      <c r="RDW40" s="51"/>
      <c r="RDX40" s="51"/>
      <c r="RDY40" s="51"/>
      <c r="RDZ40" s="51"/>
      <c r="REA40" s="51"/>
      <c r="REB40" s="51"/>
      <c r="REC40" s="51"/>
      <c r="RED40" s="51"/>
      <c r="REE40" s="51"/>
      <c r="REF40" s="51"/>
      <c r="REG40" s="51"/>
      <c r="REH40" s="51"/>
      <c r="REI40" s="51"/>
      <c r="REJ40" s="51"/>
      <c r="REK40" s="51"/>
      <c r="REL40" s="51"/>
      <c r="REM40" s="51"/>
      <c r="REN40" s="51"/>
      <c r="REO40" s="51"/>
      <c r="REP40" s="51"/>
      <c r="REQ40" s="51"/>
      <c r="RER40" s="51"/>
      <c r="RES40" s="51"/>
      <c r="RET40" s="51"/>
      <c r="REU40" s="51"/>
      <c r="REV40" s="51"/>
      <c r="REW40" s="51"/>
      <c r="REX40" s="51"/>
      <c r="REY40" s="51"/>
      <c r="REZ40" s="51"/>
      <c r="RFA40" s="51"/>
      <c r="RFB40" s="51"/>
      <c r="RFC40" s="51"/>
      <c r="RFD40" s="51"/>
      <c r="RFE40" s="51"/>
      <c r="RFF40" s="51"/>
      <c r="RFG40" s="51"/>
      <c r="RFH40" s="51"/>
      <c r="RFI40" s="51"/>
      <c r="RFJ40" s="51"/>
      <c r="RFK40" s="51"/>
      <c r="RFL40" s="51"/>
      <c r="RFM40" s="51"/>
      <c r="RFN40" s="51"/>
      <c r="RFO40" s="51"/>
      <c r="RFP40" s="51"/>
      <c r="RFQ40" s="51"/>
      <c r="RFR40" s="51"/>
      <c r="RFS40" s="51"/>
      <c r="RFT40" s="51"/>
      <c r="RFU40" s="51"/>
      <c r="RFV40" s="51"/>
      <c r="RFW40" s="51"/>
      <c r="RFX40" s="51"/>
      <c r="RFY40" s="51"/>
      <c r="RFZ40" s="51"/>
      <c r="RGA40" s="51"/>
      <c r="RGB40" s="51"/>
      <c r="RGC40" s="51"/>
      <c r="RGD40" s="51"/>
      <c r="RGE40" s="51"/>
      <c r="RGF40" s="51"/>
      <c r="RGG40" s="51"/>
      <c r="RGH40" s="51"/>
      <c r="RGI40" s="51"/>
      <c r="RGJ40" s="51"/>
      <c r="RGK40" s="51"/>
      <c r="RGL40" s="51"/>
      <c r="RGM40" s="51"/>
      <c r="RGN40" s="51"/>
      <c r="RGO40" s="51"/>
      <c r="RGP40" s="51"/>
      <c r="RGQ40" s="51"/>
      <c r="RGR40" s="51"/>
      <c r="RGS40" s="51"/>
      <c r="RGT40" s="51"/>
      <c r="RGU40" s="51"/>
      <c r="RGV40" s="51"/>
      <c r="RGW40" s="51"/>
      <c r="RGX40" s="51"/>
      <c r="RGY40" s="51"/>
      <c r="RGZ40" s="51"/>
      <c r="RHA40" s="51"/>
      <c r="RHB40" s="51"/>
      <c r="RHC40" s="51"/>
      <c r="RHD40" s="51"/>
      <c r="RHE40" s="51"/>
      <c r="RHF40" s="51"/>
      <c r="RHG40" s="51"/>
      <c r="RHH40" s="51"/>
      <c r="RHI40" s="51"/>
      <c r="RHJ40" s="51"/>
      <c r="RHK40" s="51"/>
      <c r="RHL40" s="51"/>
      <c r="RHM40" s="51"/>
      <c r="RHN40" s="51"/>
      <c r="RHO40" s="51"/>
      <c r="RHP40" s="51"/>
      <c r="RHQ40" s="51"/>
      <c r="RHR40" s="51"/>
      <c r="RHS40" s="51"/>
      <c r="RHT40" s="51"/>
      <c r="RHU40" s="51"/>
      <c r="RHV40" s="51"/>
      <c r="RHW40" s="51"/>
      <c r="RHX40" s="51"/>
      <c r="RHY40" s="51"/>
      <c r="RHZ40" s="51"/>
      <c r="RIA40" s="51"/>
      <c r="RIB40" s="51"/>
      <c r="RIC40" s="51"/>
      <c r="RID40" s="51"/>
      <c r="RIE40" s="51"/>
      <c r="RIF40" s="51"/>
      <c r="RIG40" s="51"/>
      <c r="RIH40" s="51"/>
      <c r="RII40" s="51"/>
      <c r="RIJ40" s="51"/>
      <c r="RIK40" s="51"/>
      <c r="RIL40" s="51"/>
      <c r="RIM40" s="51"/>
      <c r="RIN40" s="51"/>
      <c r="RIO40" s="51"/>
      <c r="RIP40" s="51"/>
      <c r="RIQ40" s="51"/>
      <c r="RIR40" s="51"/>
      <c r="RIS40" s="51"/>
      <c r="RIT40" s="51"/>
      <c r="RIU40" s="51"/>
      <c r="RIV40" s="51"/>
      <c r="RIW40" s="51"/>
      <c r="RIX40" s="51"/>
      <c r="RIY40" s="51"/>
      <c r="RIZ40" s="51"/>
      <c r="RJA40" s="51"/>
      <c r="RJB40" s="51"/>
      <c r="RJC40" s="51"/>
      <c r="RJD40" s="51"/>
      <c r="RJE40" s="51"/>
      <c r="RJF40" s="51"/>
      <c r="RJG40" s="51"/>
      <c r="RJH40" s="51"/>
      <c r="RJI40" s="51"/>
      <c r="RJJ40" s="51"/>
      <c r="RJK40" s="51"/>
      <c r="RJL40" s="51"/>
      <c r="RJM40" s="51"/>
      <c r="RJN40" s="51"/>
      <c r="RJO40" s="51"/>
      <c r="RJP40" s="51"/>
      <c r="RJQ40" s="51"/>
      <c r="RJR40" s="51"/>
      <c r="RJS40" s="51"/>
      <c r="RJT40" s="51"/>
      <c r="RJU40" s="51"/>
      <c r="RJV40" s="51"/>
      <c r="RJW40" s="51"/>
      <c r="RJX40" s="51"/>
      <c r="RJY40" s="51"/>
      <c r="RJZ40" s="51"/>
      <c r="RKA40" s="51"/>
      <c r="RKB40" s="51"/>
      <c r="RKC40" s="51"/>
      <c r="RKD40" s="51"/>
      <c r="RKE40" s="51"/>
      <c r="RKF40" s="51"/>
      <c r="RKG40" s="51"/>
      <c r="RKH40" s="51"/>
      <c r="RKI40" s="51"/>
      <c r="RKJ40" s="51"/>
      <c r="RKK40" s="51"/>
      <c r="RKL40" s="51"/>
      <c r="RKM40" s="51"/>
      <c r="RKN40" s="51"/>
      <c r="RKO40" s="51"/>
      <c r="RKP40" s="51"/>
      <c r="RKQ40" s="51"/>
      <c r="RKR40" s="51"/>
      <c r="RKS40" s="51"/>
      <c r="RKT40" s="51"/>
      <c r="RKU40" s="51"/>
      <c r="RKV40" s="51"/>
      <c r="RKW40" s="51"/>
      <c r="RKX40" s="51"/>
      <c r="RKY40" s="51"/>
      <c r="RKZ40" s="51"/>
      <c r="RLA40" s="51"/>
      <c r="RLB40" s="51"/>
      <c r="RLC40" s="51"/>
      <c r="RLD40" s="51"/>
      <c r="RLE40" s="51"/>
      <c r="RLF40" s="51"/>
      <c r="RLG40" s="51"/>
      <c r="RLH40" s="51"/>
      <c r="RLI40" s="51"/>
      <c r="RLJ40" s="51"/>
      <c r="RLK40" s="51"/>
      <c r="RLL40" s="51"/>
      <c r="RLM40" s="51"/>
      <c r="RLN40" s="51"/>
      <c r="RLO40" s="51"/>
      <c r="RLP40" s="51"/>
      <c r="RLQ40" s="51"/>
      <c r="RLR40" s="51"/>
      <c r="RLS40" s="51"/>
      <c r="RLT40" s="51"/>
      <c r="RLU40" s="51"/>
      <c r="RLV40" s="51"/>
      <c r="RLW40" s="51"/>
      <c r="RLX40" s="51"/>
      <c r="RLY40" s="51"/>
      <c r="RLZ40" s="51"/>
      <c r="RMA40" s="51"/>
      <c r="RMB40" s="51"/>
      <c r="RMC40" s="51"/>
      <c r="RMD40" s="51"/>
      <c r="RME40" s="51"/>
      <c r="RMF40" s="51"/>
      <c r="RMG40" s="51"/>
      <c r="RMH40" s="51"/>
      <c r="RMI40" s="51"/>
      <c r="RMJ40" s="51"/>
      <c r="RMK40" s="51"/>
      <c r="RML40" s="51"/>
      <c r="RMM40" s="51"/>
      <c r="RMN40" s="51"/>
      <c r="RMO40" s="51"/>
      <c r="RMP40" s="51"/>
      <c r="RMQ40" s="51"/>
      <c r="RMR40" s="51"/>
      <c r="RMS40" s="51"/>
      <c r="RMT40" s="51"/>
      <c r="RMU40" s="51"/>
      <c r="RMV40" s="51"/>
      <c r="RMW40" s="51"/>
      <c r="RMX40" s="51"/>
      <c r="RMY40" s="51"/>
      <c r="RMZ40" s="51"/>
      <c r="RNA40" s="51"/>
      <c r="RNB40" s="51"/>
      <c r="RNC40" s="51"/>
      <c r="RND40" s="51"/>
      <c r="RNE40" s="51"/>
      <c r="RNF40" s="51"/>
      <c r="RNG40" s="51"/>
      <c r="RNH40" s="51"/>
      <c r="RNI40" s="51"/>
      <c r="RNJ40" s="51"/>
      <c r="RNK40" s="51"/>
      <c r="RNL40" s="51"/>
      <c r="RNM40" s="51"/>
      <c r="RNN40" s="51"/>
      <c r="RNO40" s="51"/>
      <c r="RNP40" s="51"/>
      <c r="RNQ40" s="51"/>
      <c r="RNR40" s="51"/>
      <c r="RNS40" s="51"/>
      <c r="RNT40" s="51"/>
      <c r="RNU40" s="51"/>
      <c r="RNV40" s="51"/>
      <c r="RNW40" s="51"/>
      <c r="RNX40" s="51"/>
      <c r="RNY40" s="51"/>
      <c r="RNZ40" s="51"/>
      <c r="ROA40" s="51"/>
      <c r="ROB40" s="51"/>
      <c r="ROC40" s="51"/>
      <c r="ROD40" s="51"/>
      <c r="ROE40" s="51"/>
      <c r="ROF40" s="51"/>
      <c r="ROG40" s="51"/>
      <c r="ROH40" s="51"/>
      <c r="ROI40" s="51"/>
      <c r="ROJ40" s="51"/>
      <c r="ROK40" s="51"/>
      <c r="ROL40" s="51"/>
      <c r="ROM40" s="51"/>
      <c r="RON40" s="51"/>
      <c r="ROO40" s="51"/>
      <c r="ROP40" s="51"/>
      <c r="ROQ40" s="51"/>
      <c r="ROR40" s="51"/>
      <c r="ROS40" s="51"/>
      <c r="ROT40" s="51"/>
      <c r="ROU40" s="51"/>
      <c r="ROV40" s="51"/>
      <c r="ROW40" s="51"/>
      <c r="ROX40" s="51"/>
      <c r="ROY40" s="51"/>
      <c r="ROZ40" s="51"/>
      <c r="RPA40" s="51"/>
      <c r="RPB40" s="51"/>
      <c r="RPC40" s="51"/>
      <c r="RPD40" s="51"/>
      <c r="RPE40" s="51"/>
      <c r="RPF40" s="51"/>
      <c r="RPG40" s="51"/>
      <c r="RPH40" s="51"/>
      <c r="RPI40" s="51"/>
      <c r="RPJ40" s="51"/>
      <c r="RPK40" s="51"/>
      <c r="RPL40" s="51"/>
      <c r="RPM40" s="51"/>
      <c r="RPN40" s="51"/>
      <c r="RPO40" s="51"/>
      <c r="RPP40" s="51"/>
      <c r="RPQ40" s="51"/>
      <c r="RPR40" s="51"/>
      <c r="RPS40" s="51"/>
      <c r="RPT40" s="51"/>
      <c r="RPU40" s="51"/>
      <c r="RPV40" s="51"/>
      <c r="RPW40" s="51"/>
      <c r="RPX40" s="51"/>
      <c r="RPY40" s="51"/>
      <c r="RPZ40" s="51"/>
      <c r="RQA40" s="51"/>
      <c r="RQB40" s="51"/>
      <c r="RQC40" s="51"/>
      <c r="RQD40" s="51"/>
      <c r="RQE40" s="51"/>
      <c r="RQF40" s="51"/>
      <c r="RQG40" s="51"/>
      <c r="RQH40" s="51"/>
      <c r="RQI40" s="51"/>
      <c r="RQJ40" s="51"/>
      <c r="RQK40" s="51"/>
      <c r="RQL40" s="51"/>
      <c r="RQM40" s="51"/>
      <c r="RQN40" s="51"/>
      <c r="RQO40" s="51"/>
      <c r="RQP40" s="51"/>
      <c r="RQQ40" s="51"/>
      <c r="RQR40" s="51"/>
      <c r="RQS40" s="51"/>
      <c r="RQT40" s="51"/>
      <c r="RQU40" s="51"/>
      <c r="RQV40" s="51"/>
      <c r="RQW40" s="51"/>
      <c r="RQX40" s="51"/>
      <c r="RQY40" s="51"/>
      <c r="RQZ40" s="51"/>
      <c r="RRA40" s="51"/>
      <c r="RRB40" s="51"/>
      <c r="RRC40" s="51"/>
      <c r="RRD40" s="51"/>
      <c r="RRE40" s="51"/>
      <c r="RRF40" s="51"/>
      <c r="RRG40" s="51"/>
      <c r="RRH40" s="51"/>
      <c r="RRI40" s="51"/>
      <c r="RRJ40" s="51"/>
      <c r="RRK40" s="51"/>
      <c r="RRL40" s="51"/>
      <c r="RRM40" s="51"/>
      <c r="RRN40" s="51"/>
      <c r="RRO40" s="51"/>
      <c r="RRP40" s="51"/>
      <c r="RRQ40" s="51"/>
      <c r="RRR40" s="51"/>
      <c r="RRS40" s="51"/>
      <c r="RRT40" s="51"/>
      <c r="RRU40" s="51"/>
      <c r="RRV40" s="51"/>
      <c r="RRW40" s="51"/>
      <c r="RRX40" s="51"/>
      <c r="RRY40" s="51"/>
      <c r="RRZ40" s="51"/>
      <c r="RSA40" s="51"/>
      <c r="RSB40" s="51"/>
      <c r="RSC40" s="51"/>
      <c r="RSD40" s="51"/>
      <c r="RSE40" s="51"/>
      <c r="RSF40" s="51"/>
      <c r="RSG40" s="51"/>
      <c r="RSH40" s="51"/>
      <c r="RSI40" s="51"/>
      <c r="RSJ40" s="51"/>
      <c r="RSK40" s="51"/>
      <c r="RSL40" s="51"/>
      <c r="RSM40" s="51"/>
      <c r="RSN40" s="51"/>
      <c r="RSO40" s="51"/>
      <c r="RSP40" s="51"/>
      <c r="RSQ40" s="51"/>
      <c r="RSR40" s="51"/>
      <c r="RSS40" s="51"/>
      <c r="RST40" s="51"/>
      <c r="RSU40" s="51"/>
      <c r="RSV40" s="51"/>
      <c r="RSW40" s="51"/>
      <c r="RSX40" s="51"/>
      <c r="RSY40" s="51"/>
      <c r="RSZ40" s="51"/>
      <c r="RTA40" s="51"/>
      <c r="RTB40" s="51"/>
      <c r="RTC40" s="51"/>
      <c r="RTD40" s="51"/>
      <c r="RTE40" s="51"/>
      <c r="RTF40" s="51"/>
      <c r="RTG40" s="51"/>
      <c r="RTH40" s="51"/>
      <c r="RTI40" s="51"/>
      <c r="RTJ40" s="51"/>
      <c r="RTK40" s="51"/>
      <c r="RTL40" s="51"/>
      <c r="RTM40" s="51"/>
      <c r="RTN40" s="51"/>
      <c r="RTO40" s="51"/>
      <c r="RTP40" s="51"/>
      <c r="RTQ40" s="51"/>
      <c r="RTR40" s="51"/>
      <c r="RTS40" s="51"/>
      <c r="RTT40" s="51"/>
      <c r="RTU40" s="51"/>
      <c r="RTV40" s="51"/>
      <c r="RTW40" s="51"/>
      <c r="RTX40" s="51"/>
      <c r="RTY40" s="51"/>
      <c r="RTZ40" s="51"/>
      <c r="RUA40" s="51"/>
      <c r="RUB40" s="51"/>
      <c r="RUC40" s="51"/>
      <c r="RUD40" s="51"/>
      <c r="RUE40" s="51"/>
      <c r="RUF40" s="51"/>
      <c r="RUG40" s="51"/>
      <c r="RUH40" s="51"/>
      <c r="RUI40" s="51"/>
      <c r="RUJ40" s="51"/>
      <c r="RUK40" s="51"/>
      <c r="RUL40" s="51"/>
      <c r="RUM40" s="51"/>
      <c r="RUN40" s="51"/>
      <c r="RUO40" s="51"/>
      <c r="RUP40" s="51"/>
      <c r="RUQ40" s="51"/>
      <c r="RUR40" s="51"/>
      <c r="RUS40" s="51"/>
      <c r="RUT40" s="51"/>
      <c r="RUU40" s="51"/>
      <c r="RUV40" s="51"/>
      <c r="RUW40" s="51"/>
      <c r="RUX40" s="51"/>
      <c r="RUY40" s="51"/>
      <c r="RUZ40" s="51"/>
      <c r="RVA40" s="51"/>
      <c r="RVB40" s="51"/>
      <c r="RVC40" s="51"/>
      <c r="RVD40" s="51"/>
      <c r="RVE40" s="51"/>
      <c r="RVF40" s="51"/>
      <c r="RVG40" s="51"/>
      <c r="RVH40" s="51"/>
      <c r="RVI40" s="51"/>
      <c r="RVJ40" s="51"/>
      <c r="RVK40" s="51"/>
      <c r="RVL40" s="51"/>
      <c r="RVM40" s="51"/>
      <c r="RVN40" s="51"/>
      <c r="RVO40" s="51"/>
      <c r="RVP40" s="51"/>
      <c r="RVQ40" s="51"/>
      <c r="RVR40" s="51"/>
      <c r="RVS40" s="51"/>
      <c r="RVT40" s="51"/>
      <c r="RVU40" s="51"/>
      <c r="RVV40" s="51"/>
      <c r="RVW40" s="51"/>
      <c r="RVX40" s="51"/>
      <c r="RVY40" s="51"/>
      <c r="RVZ40" s="51"/>
      <c r="RWA40" s="51"/>
      <c r="RWB40" s="51"/>
      <c r="RWC40" s="51"/>
      <c r="RWD40" s="51"/>
      <c r="RWE40" s="51"/>
      <c r="RWF40" s="51"/>
      <c r="RWG40" s="51"/>
      <c r="RWH40" s="51"/>
      <c r="RWI40" s="51"/>
      <c r="RWJ40" s="51"/>
      <c r="RWK40" s="51"/>
      <c r="RWL40" s="51"/>
      <c r="RWM40" s="51"/>
      <c r="RWN40" s="51"/>
      <c r="RWO40" s="51"/>
      <c r="RWP40" s="51"/>
      <c r="RWQ40" s="51"/>
      <c r="RWR40" s="51"/>
      <c r="RWS40" s="51"/>
      <c r="RWT40" s="51"/>
      <c r="RWU40" s="51"/>
      <c r="RWV40" s="51"/>
      <c r="RWW40" s="51"/>
      <c r="RWX40" s="51"/>
      <c r="RWY40" s="51"/>
      <c r="RWZ40" s="51"/>
      <c r="RXA40" s="51"/>
      <c r="RXB40" s="51"/>
      <c r="RXC40" s="51"/>
      <c r="RXD40" s="51"/>
      <c r="RXE40" s="51"/>
      <c r="RXF40" s="51"/>
      <c r="RXG40" s="51"/>
      <c r="RXH40" s="51"/>
      <c r="RXI40" s="51"/>
      <c r="RXJ40" s="51"/>
      <c r="RXK40" s="51"/>
      <c r="RXL40" s="51"/>
      <c r="RXM40" s="51"/>
      <c r="RXN40" s="51"/>
      <c r="RXO40" s="51"/>
      <c r="RXP40" s="51"/>
      <c r="RXQ40" s="51"/>
      <c r="RXR40" s="51"/>
      <c r="RXS40" s="51"/>
      <c r="RXT40" s="51"/>
      <c r="RXU40" s="51"/>
      <c r="RXV40" s="51"/>
      <c r="RXW40" s="51"/>
      <c r="RXX40" s="51"/>
      <c r="RXY40" s="51"/>
      <c r="RXZ40" s="51"/>
      <c r="RYA40" s="51"/>
      <c r="RYB40" s="51"/>
      <c r="RYC40" s="51"/>
      <c r="RYD40" s="51"/>
      <c r="RYE40" s="51"/>
      <c r="RYF40" s="51"/>
      <c r="RYG40" s="51"/>
      <c r="RYH40" s="51"/>
      <c r="RYI40" s="51"/>
      <c r="RYJ40" s="51"/>
      <c r="RYK40" s="51"/>
      <c r="RYL40" s="51"/>
      <c r="RYM40" s="51"/>
      <c r="RYN40" s="51"/>
      <c r="RYO40" s="51"/>
      <c r="RYP40" s="51"/>
      <c r="RYQ40" s="51"/>
      <c r="RYR40" s="51"/>
      <c r="RYS40" s="51"/>
      <c r="RYT40" s="51"/>
      <c r="RYU40" s="51"/>
      <c r="RYV40" s="51"/>
      <c r="RYW40" s="51"/>
      <c r="RYX40" s="51"/>
      <c r="RYY40" s="51"/>
      <c r="RYZ40" s="51"/>
      <c r="RZA40" s="51"/>
      <c r="RZB40" s="51"/>
      <c r="RZC40" s="51"/>
      <c r="RZD40" s="51"/>
      <c r="RZE40" s="51"/>
      <c r="RZF40" s="51"/>
      <c r="RZG40" s="51"/>
      <c r="RZH40" s="51"/>
      <c r="RZI40" s="51"/>
      <c r="RZJ40" s="51"/>
      <c r="RZK40" s="51"/>
      <c r="RZL40" s="51"/>
      <c r="RZM40" s="51"/>
      <c r="RZN40" s="51"/>
      <c r="RZO40" s="51"/>
      <c r="RZP40" s="51"/>
      <c r="RZQ40" s="51"/>
      <c r="RZR40" s="51"/>
      <c r="RZS40" s="51"/>
      <c r="RZT40" s="51"/>
      <c r="RZU40" s="51"/>
      <c r="RZV40" s="51"/>
      <c r="RZW40" s="51"/>
      <c r="RZX40" s="51"/>
      <c r="RZY40" s="51"/>
      <c r="RZZ40" s="51"/>
      <c r="SAA40" s="51"/>
      <c r="SAB40" s="51"/>
      <c r="SAC40" s="51"/>
      <c r="SAD40" s="51"/>
      <c r="SAE40" s="51"/>
      <c r="SAF40" s="51"/>
      <c r="SAG40" s="51"/>
      <c r="SAH40" s="51"/>
      <c r="SAI40" s="51"/>
      <c r="SAJ40" s="51"/>
      <c r="SAK40" s="51"/>
      <c r="SAL40" s="51"/>
      <c r="SAM40" s="51"/>
      <c r="SAN40" s="51"/>
      <c r="SAO40" s="51"/>
      <c r="SAP40" s="51"/>
      <c r="SAQ40" s="51"/>
      <c r="SAR40" s="51"/>
      <c r="SAS40" s="51"/>
      <c r="SAT40" s="51"/>
      <c r="SAU40" s="51"/>
      <c r="SAV40" s="51"/>
      <c r="SAW40" s="51"/>
      <c r="SAX40" s="51"/>
      <c r="SAY40" s="51"/>
      <c r="SAZ40" s="51"/>
      <c r="SBA40" s="51"/>
      <c r="SBB40" s="51"/>
      <c r="SBC40" s="51"/>
      <c r="SBD40" s="51"/>
      <c r="SBE40" s="51"/>
      <c r="SBF40" s="51"/>
      <c r="SBG40" s="51"/>
      <c r="SBH40" s="51"/>
      <c r="SBI40" s="51"/>
      <c r="SBJ40" s="51"/>
      <c r="SBK40" s="51"/>
      <c r="SBL40" s="51"/>
      <c r="SBM40" s="51"/>
      <c r="SBN40" s="51"/>
      <c r="SBO40" s="51"/>
      <c r="SBP40" s="51"/>
      <c r="SBQ40" s="51"/>
      <c r="SBR40" s="51"/>
      <c r="SBS40" s="51"/>
      <c r="SBT40" s="51"/>
      <c r="SBU40" s="51"/>
      <c r="SBV40" s="51"/>
      <c r="SBW40" s="51"/>
      <c r="SBX40" s="51"/>
      <c r="SBY40" s="51"/>
      <c r="SBZ40" s="51"/>
      <c r="SCA40" s="51"/>
      <c r="SCB40" s="51"/>
      <c r="SCC40" s="51"/>
      <c r="SCD40" s="51"/>
      <c r="SCE40" s="51"/>
      <c r="SCF40" s="51"/>
      <c r="SCG40" s="51"/>
      <c r="SCH40" s="51"/>
      <c r="SCI40" s="51"/>
      <c r="SCJ40" s="51"/>
      <c r="SCK40" s="51"/>
      <c r="SCL40" s="51"/>
      <c r="SCM40" s="51"/>
      <c r="SCN40" s="51"/>
      <c r="SCO40" s="51"/>
      <c r="SCP40" s="51"/>
      <c r="SCQ40" s="51"/>
      <c r="SCR40" s="51"/>
      <c r="SCS40" s="51"/>
      <c r="SCT40" s="51"/>
      <c r="SCU40" s="51"/>
      <c r="SCV40" s="51"/>
      <c r="SCW40" s="51"/>
      <c r="SCX40" s="51"/>
      <c r="SCY40" s="51"/>
      <c r="SCZ40" s="51"/>
      <c r="SDA40" s="51"/>
      <c r="SDB40" s="51"/>
      <c r="SDC40" s="51"/>
      <c r="SDD40" s="51"/>
      <c r="SDE40" s="51"/>
      <c r="SDF40" s="51"/>
      <c r="SDG40" s="51"/>
      <c r="SDH40" s="51"/>
      <c r="SDI40" s="51"/>
      <c r="SDJ40" s="51"/>
      <c r="SDK40" s="51"/>
      <c r="SDL40" s="51"/>
      <c r="SDM40" s="51"/>
      <c r="SDN40" s="51"/>
      <c r="SDO40" s="51"/>
      <c r="SDP40" s="51"/>
      <c r="SDQ40" s="51"/>
      <c r="SDR40" s="51"/>
      <c r="SDS40" s="51"/>
      <c r="SDT40" s="51"/>
      <c r="SDU40" s="51"/>
      <c r="SDV40" s="51"/>
      <c r="SDW40" s="51"/>
      <c r="SDX40" s="51"/>
      <c r="SDY40" s="51"/>
      <c r="SDZ40" s="51"/>
      <c r="SEA40" s="51"/>
      <c r="SEB40" s="51"/>
      <c r="SEC40" s="51"/>
      <c r="SED40" s="51"/>
      <c r="SEE40" s="51"/>
      <c r="SEF40" s="51"/>
      <c r="SEG40" s="51"/>
      <c r="SEH40" s="51"/>
      <c r="SEI40" s="51"/>
      <c r="SEJ40" s="51"/>
      <c r="SEK40" s="51"/>
      <c r="SEL40" s="51"/>
      <c r="SEM40" s="51"/>
      <c r="SEN40" s="51"/>
      <c r="SEO40" s="51"/>
      <c r="SEP40" s="51"/>
      <c r="SEQ40" s="51"/>
      <c r="SER40" s="51"/>
      <c r="SES40" s="51"/>
      <c r="SET40" s="51"/>
      <c r="SEU40" s="51"/>
      <c r="SEV40" s="51"/>
      <c r="SEW40" s="51"/>
      <c r="SEX40" s="51"/>
      <c r="SEY40" s="51"/>
      <c r="SEZ40" s="51"/>
      <c r="SFA40" s="51"/>
      <c r="SFB40" s="51"/>
      <c r="SFC40" s="51"/>
      <c r="SFD40" s="51"/>
      <c r="SFE40" s="51"/>
      <c r="SFF40" s="51"/>
      <c r="SFG40" s="51"/>
      <c r="SFH40" s="51"/>
      <c r="SFI40" s="51"/>
      <c r="SFJ40" s="51"/>
      <c r="SFK40" s="51"/>
      <c r="SFL40" s="51"/>
      <c r="SFM40" s="51"/>
      <c r="SFN40" s="51"/>
      <c r="SFO40" s="51"/>
      <c r="SFP40" s="51"/>
      <c r="SFQ40" s="51"/>
      <c r="SFR40" s="51"/>
      <c r="SFS40" s="51"/>
      <c r="SFT40" s="51"/>
      <c r="SFU40" s="51"/>
      <c r="SFV40" s="51"/>
      <c r="SFW40" s="51"/>
      <c r="SFX40" s="51"/>
      <c r="SFY40" s="51"/>
      <c r="SFZ40" s="51"/>
      <c r="SGA40" s="51"/>
      <c r="SGB40" s="51"/>
      <c r="SGC40" s="51"/>
      <c r="SGD40" s="51"/>
      <c r="SGE40" s="51"/>
      <c r="SGF40" s="51"/>
      <c r="SGG40" s="51"/>
      <c r="SGH40" s="51"/>
      <c r="SGI40" s="51"/>
      <c r="SGJ40" s="51"/>
      <c r="SGK40" s="51"/>
      <c r="SGL40" s="51"/>
      <c r="SGM40" s="51"/>
      <c r="SGN40" s="51"/>
      <c r="SGO40" s="51"/>
      <c r="SGP40" s="51"/>
      <c r="SGQ40" s="51"/>
      <c r="SGR40" s="51"/>
      <c r="SGS40" s="51"/>
      <c r="SGT40" s="51"/>
      <c r="SGU40" s="51"/>
      <c r="SGV40" s="51"/>
      <c r="SGW40" s="51"/>
      <c r="SGX40" s="51"/>
      <c r="SGY40" s="51"/>
      <c r="SGZ40" s="51"/>
      <c r="SHA40" s="51"/>
      <c r="SHB40" s="51"/>
      <c r="SHC40" s="51"/>
      <c r="SHD40" s="51"/>
      <c r="SHE40" s="51"/>
      <c r="SHF40" s="51"/>
      <c r="SHG40" s="51"/>
      <c r="SHH40" s="51"/>
      <c r="SHI40" s="51"/>
      <c r="SHJ40" s="51"/>
      <c r="SHK40" s="51"/>
      <c r="SHL40" s="51"/>
      <c r="SHM40" s="51"/>
      <c r="SHN40" s="51"/>
      <c r="SHO40" s="51"/>
      <c r="SHP40" s="51"/>
      <c r="SHQ40" s="51"/>
      <c r="SHR40" s="51"/>
      <c r="SHS40" s="51"/>
      <c r="SHT40" s="51"/>
      <c r="SHU40" s="51"/>
      <c r="SHV40" s="51"/>
      <c r="SHW40" s="51"/>
      <c r="SHX40" s="51"/>
      <c r="SHY40" s="51"/>
      <c r="SHZ40" s="51"/>
      <c r="SIA40" s="51"/>
      <c r="SIB40" s="51"/>
      <c r="SIC40" s="51"/>
      <c r="SID40" s="51"/>
      <c r="SIE40" s="51"/>
      <c r="SIF40" s="51"/>
      <c r="SIG40" s="51"/>
      <c r="SIH40" s="51"/>
      <c r="SII40" s="51"/>
      <c r="SIJ40" s="51"/>
      <c r="SIK40" s="51"/>
      <c r="SIL40" s="51"/>
      <c r="SIM40" s="51"/>
      <c r="SIN40" s="51"/>
      <c r="SIO40" s="51"/>
      <c r="SIP40" s="51"/>
      <c r="SIQ40" s="51"/>
      <c r="SIR40" s="51"/>
      <c r="SIS40" s="51"/>
      <c r="SIT40" s="51"/>
      <c r="SIU40" s="51"/>
      <c r="SIV40" s="51"/>
      <c r="SIW40" s="51"/>
      <c r="SIX40" s="51"/>
      <c r="SIY40" s="51"/>
      <c r="SIZ40" s="51"/>
      <c r="SJA40" s="51"/>
      <c r="SJB40" s="51"/>
      <c r="SJC40" s="51"/>
      <c r="SJD40" s="51"/>
      <c r="SJE40" s="51"/>
      <c r="SJF40" s="51"/>
      <c r="SJG40" s="51"/>
      <c r="SJH40" s="51"/>
      <c r="SJI40" s="51"/>
      <c r="SJJ40" s="51"/>
      <c r="SJK40" s="51"/>
      <c r="SJL40" s="51"/>
      <c r="SJM40" s="51"/>
      <c r="SJN40" s="51"/>
      <c r="SJO40" s="51"/>
      <c r="SJP40" s="51"/>
      <c r="SJQ40" s="51"/>
      <c r="SJR40" s="51"/>
      <c r="SJS40" s="51"/>
      <c r="SJT40" s="51"/>
      <c r="SJU40" s="51"/>
      <c r="SJV40" s="51"/>
      <c r="SJW40" s="51"/>
      <c r="SJX40" s="51"/>
      <c r="SJY40" s="51"/>
      <c r="SJZ40" s="51"/>
      <c r="SKA40" s="51"/>
      <c r="SKB40" s="51"/>
      <c r="SKC40" s="51"/>
      <c r="SKD40" s="51"/>
      <c r="SKE40" s="51"/>
      <c r="SKF40" s="51"/>
      <c r="SKG40" s="51"/>
      <c r="SKH40" s="51"/>
      <c r="SKI40" s="51"/>
      <c r="SKJ40" s="51"/>
      <c r="SKK40" s="51"/>
      <c r="SKL40" s="51"/>
      <c r="SKM40" s="51"/>
      <c r="SKN40" s="51"/>
      <c r="SKO40" s="51"/>
      <c r="SKP40" s="51"/>
      <c r="SKQ40" s="51"/>
      <c r="SKR40" s="51"/>
      <c r="SKS40" s="51"/>
      <c r="SKT40" s="51"/>
      <c r="SKU40" s="51"/>
      <c r="SKV40" s="51"/>
      <c r="SKW40" s="51"/>
      <c r="SKX40" s="51"/>
      <c r="SKY40" s="51"/>
      <c r="SKZ40" s="51"/>
      <c r="SLA40" s="51"/>
      <c r="SLB40" s="51"/>
      <c r="SLC40" s="51"/>
      <c r="SLD40" s="51"/>
      <c r="SLE40" s="51"/>
      <c r="SLF40" s="51"/>
      <c r="SLG40" s="51"/>
      <c r="SLH40" s="51"/>
      <c r="SLI40" s="51"/>
      <c r="SLJ40" s="51"/>
      <c r="SLK40" s="51"/>
      <c r="SLL40" s="51"/>
      <c r="SLM40" s="51"/>
      <c r="SLN40" s="51"/>
      <c r="SLO40" s="51"/>
      <c r="SLP40" s="51"/>
      <c r="SLQ40" s="51"/>
      <c r="SLR40" s="51"/>
      <c r="SLS40" s="51"/>
      <c r="SLT40" s="51"/>
      <c r="SLU40" s="51"/>
      <c r="SLV40" s="51"/>
      <c r="SLW40" s="51"/>
      <c r="SLX40" s="51"/>
      <c r="SLY40" s="51"/>
      <c r="SLZ40" s="51"/>
      <c r="SMA40" s="51"/>
      <c r="SMB40" s="51"/>
      <c r="SMC40" s="51"/>
      <c r="SMD40" s="51"/>
      <c r="SME40" s="51"/>
      <c r="SMF40" s="51"/>
      <c r="SMG40" s="51"/>
      <c r="SMH40" s="51"/>
      <c r="SMI40" s="51"/>
      <c r="SMJ40" s="51"/>
      <c r="SMK40" s="51"/>
      <c r="SML40" s="51"/>
      <c r="SMM40" s="51"/>
      <c r="SMN40" s="51"/>
      <c r="SMO40" s="51"/>
      <c r="SMP40" s="51"/>
      <c r="SMQ40" s="51"/>
      <c r="SMR40" s="51"/>
      <c r="SMS40" s="51"/>
      <c r="SMT40" s="51"/>
      <c r="SMU40" s="51"/>
      <c r="SMV40" s="51"/>
      <c r="SMW40" s="51"/>
      <c r="SMX40" s="51"/>
      <c r="SMY40" s="51"/>
      <c r="SMZ40" s="51"/>
      <c r="SNA40" s="51"/>
      <c r="SNB40" s="51"/>
      <c r="SNC40" s="51"/>
      <c r="SND40" s="51"/>
      <c r="SNE40" s="51"/>
      <c r="SNF40" s="51"/>
      <c r="SNG40" s="51"/>
      <c r="SNH40" s="51"/>
      <c r="SNI40" s="51"/>
      <c r="SNJ40" s="51"/>
      <c r="SNK40" s="51"/>
      <c r="SNL40" s="51"/>
      <c r="SNM40" s="51"/>
      <c r="SNN40" s="51"/>
      <c r="SNO40" s="51"/>
      <c r="SNP40" s="51"/>
      <c r="SNQ40" s="51"/>
      <c r="SNR40" s="51"/>
      <c r="SNS40" s="51"/>
      <c r="SNT40" s="51"/>
      <c r="SNU40" s="51"/>
      <c r="SNV40" s="51"/>
      <c r="SNW40" s="51"/>
      <c r="SNX40" s="51"/>
      <c r="SNY40" s="51"/>
      <c r="SNZ40" s="51"/>
      <c r="SOA40" s="51"/>
      <c r="SOB40" s="51"/>
      <c r="SOC40" s="51"/>
      <c r="SOD40" s="51"/>
      <c r="SOE40" s="51"/>
      <c r="SOF40" s="51"/>
      <c r="SOG40" s="51"/>
      <c r="SOH40" s="51"/>
      <c r="SOI40" s="51"/>
      <c r="SOJ40" s="51"/>
      <c r="SOK40" s="51"/>
      <c r="SOL40" s="51"/>
      <c r="SOM40" s="51"/>
      <c r="SON40" s="51"/>
      <c r="SOO40" s="51"/>
      <c r="SOP40" s="51"/>
      <c r="SOQ40" s="51"/>
      <c r="SOR40" s="51"/>
      <c r="SOS40" s="51"/>
      <c r="SOT40" s="51"/>
      <c r="SOU40" s="51"/>
      <c r="SOV40" s="51"/>
      <c r="SOW40" s="51"/>
      <c r="SOX40" s="51"/>
      <c r="SOY40" s="51"/>
      <c r="SOZ40" s="51"/>
      <c r="SPA40" s="51"/>
      <c r="SPB40" s="51"/>
      <c r="SPC40" s="51"/>
      <c r="SPD40" s="51"/>
      <c r="SPE40" s="51"/>
      <c r="SPF40" s="51"/>
      <c r="SPG40" s="51"/>
      <c r="SPH40" s="51"/>
      <c r="SPI40" s="51"/>
      <c r="SPJ40" s="51"/>
      <c r="SPK40" s="51"/>
      <c r="SPL40" s="51"/>
      <c r="SPM40" s="51"/>
      <c r="SPN40" s="51"/>
      <c r="SPO40" s="51"/>
      <c r="SPP40" s="51"/>
      <c r="SPQ40" s="51"/>
      <c r="SPR40" s="51"/>
      <c r="SPS40" s="51"/>
      <c r="SPT40" s="51"/>
      <c r="SPU40" s="51"/>
      <c r="SPV40" s="51"/>
      <c r="SPW40" s="51"/>
      <c r="SPX40" s="51"/>
      <c r="SPY40" s="51"/>
      <c r="SPZ40" s="51"/>
      <c r="SQA40" s="51"/>
      <c r="SQB40" s="51"/>
      <c r="SQC40" s="51"/>
      <c r="SQD40" s="51"/>
      <c r="SQE40" s="51"/>
      <c r="SQF40" s="51"/>
      <c r="SQG40" s="51"/>
      <c r="SQH40" s="51"/>
      <c r="SQI40" s="51"/>
      <c r="SQJ40" s="51"/>
      <c r="SQK40" s="51"/>
      <c r="SQL40" s="51"/>
      <c r="SQM40" s="51"/>
      <c r="SQN40" s="51"/>
      <c r="SQO40" s="51"/>
      <c r="SQP40" s="51"/>
      <c r="SQQ40" s="51"/>
      <c r="SQR40" s="51"/>
      <c r="SQS40" s="51"/>
      <c r="SQT40" s="51"/>
      <c r="SQU40" s="51"/>
      <c r="SQV40" s="51"/>
      <c r="SQW40" s="51"/>
      <c r="SQX40" s="51"/>
      <c r="SQY40" s="51"/>
      <c r="SQZ40" s="51"/>
      <c r="SRA40" s="51"/>
      <c r="SRB40" s="51"/>
      <c r="SRC40" s="51"/>
      <c r="SRD40" s="51"/>
      <c r="SRE40" s="51"/>
      <c r="SRF40" s="51"/>
      <c r="SRG40" s="51"/>
      <c r="SRH40" s="51"/>
      <c r="SRI40" s="51"/>
      <c r="SRJ40" s="51"/>
      <c r="SRK40" s="51"/>
      <c r="SRL40" s="51"/>
      <c r="SRM40" s="51"/>
      <c r="SRN40" s="51"/>
      <c r="SRO40" s="51"/>
      <c r="SRP40" s="51"/>
      <c r="SRQ40" s="51"/>
      <c r="SRR40" s="51"/>
      <c r="SRS40" s="51"/>
      <c r="SRT40" s="51"/>
      <c r="SRU40" s="51"/>
      <c r="SRV40" s="51"/>
      <c r="SRW40" s="51"/>
      <c r="SRX40" s="51"/>
      <c r="SRY40" s="51"/>
      <c r="SRZ40" s="51"/>
      <c r="SSA40" s="51"/>
      <c r="SSB40" s="51"/>
      <c r="SSC40" s="51"/>
      <c r="SSD40" s="51"/>
      <c r="SSE40" s="51"/>
      <c r="SSF40" s="51"/>
      <c r="SSG40" s="51"/>
      <c r="SSH40" s="51"/>
      <c r="SSI40" s="51"/>
      <c r="SSJ40" s="51"/>
      <c r="SSK40" s="51"/>
      <c r="SSL40" s="51"/>
      <c r="SSM40" s="51"/>
      <c r="SSN40" s="51"/>
      <c r="SSO40" s="51"/>
      <c r="SSP40" s="51"/>
      <c r="SSQ40" s="51"/>
      <c r="SSR40" s="51"/>
      <c r="SSS40" s="51"/>
      <c r="SST40" s="51"/>
      <c r="SSU40" s="51"/>
      <c r="SSV40" s="51"/>
      <c r="SSW40" s="51"/>
      <c r="SSX40" s="51"/>
      <c r="SSY40" s="51"/>
      <c r="SSZ40" s="51"/>
      <c r="STA40" s="51"/>
      <c r="STB40" s="51"/>
      <c r="STC40" s="51"/>
      <c r="STD40" s="51"/>
      <c r="STE40" s="51"/>
      <c r="STF40" s="51"/>
      <c r="STG40" s="51"/>
      <c r="STH40" s="51"/>
      <c r="STI40" s="51"/>
      <c r="STJ40" s="51"/>
      <c r="STK40" s="51"/>
      <c r="STL40" s="51"/>
      <c r="STM40" s="51"/>
      <c r="STN40" s="51"/>
      <c r="STO40" s="51"/>
      <c r="STP40" s="51"/>
      <c r="STQ40" s="51"/>
      <c r="STR40" s="51"/>
      <c r="STS40" s="51"/>
      <c r="STT40" s="51"/>
      <c r="STU40" s="51"/>
      <c r="STV40" s="51"/>
      <c r="STW40" s="51"/>
      <c r="STX40" s="51"/>
      <c r="STY40" s="51"/>
      <c r="STZ40" s="51"/>
      <c r="SUA40" s="51"/>
      <c r="SUB40" s="51"/>
      <c r="SUC40" s="51"/>
      <c r="SUD40" s="51"/>
      <c r="SUE40" s="51"/>
      <c r="SUF40" s="51"/>
      <c r="SUG40" s="51"/>
      <c r="SUH40" s="51"/>
      <c r="SUI40" s="51"/>
      <c r="SUJ40" s="51"/>
      <c r="SUK40" s="51"/>
      <c r="SUL40" s="51"/>
      <c r="SUM40" s="51"/>
      <c r="SUN40" s="51"/>
      <c r="SUO40" s="51"/>
      <c r="SUP40" s="51"/>
      <c r="SUQ40" s="51"/>
      <c r="SUR40" s="51"/>
      <c r="SUS40" s="51"/>
      <c r="SUT40" s="51"/>
      <c r="SUU40" s="51"/>
      <c r="SUV40" s="51"/>
      <c r="SUW40" s="51"/>
      <c r="SUX40" s="51"/>
      <c r="SUY40" s="51"/>
      <c r="SUZ40" s="51"/>
      <c r="SVA40" s="51"/>
      <c r="SVB40" s="51"/>
      <c r="SVC40" s="51"/>
      <c r="SVD40" s="51"/>
      <c r="SVE40" s="51"/>
      <c r="SVF40" s="51"/>
      <c r="SVG40" s="51"/>
      <c r="SVH40" s="51"/>
      <c r="SVI40" s="51"/>
      <c r="SVJ40" s="51"/>
      <c r="SVK40" s="51"/>
      <c r="SVL40" s="51"/>
      <c r="SVM40" s="51"/>
      <c r="SVN40" s="51"/>
      <c r="SVO40" s="51"/>
      <c r="SVP40" s="51"/>
      <c r="SVQ40" s="51"/>
      <c r="SVR40" s="51"/>
      <c r="SVS40" s="51"/>
      <c r="SVT40" s="51"/>
      <c r="SVU40" s="51"/>
      <c r="SVV40" s="51"/>
      <c r="SVW40" s="51"/>
      <c r="SVX40" s="51"/>
      <c r="SVY40" s="51"/>
      <c r="SVZ40" s="51"/>
      <c r="SWA40" s="51"/>
      <c r="SWB40" s="51"/>
      <c r="SWC40" s="51"/>
      <c r="SWD40" s="51"/>
      <c r="SWE40" s="51"/>
      <c r="SWF40" s="51"/>
      <c r="SWG40" s="51"/>
      <c r="SWH40" s="51"/>
      <c r="SWI40" s="51"/>
      <c r="SWJ40" s="51"/>
      <c r="SWK40" s="51"/>
      <c r="SWL40" s="51"/>
      <c r="SWM40" s="51"/>
      <c r="SWN40" s="51"/>
      <c r="SWO40" s="51"/>
      <c r="SWP40" s="51"/>
      <c r="SWQ40" s="51"/>
      <c r="SWR40" s="51"/>
      <c r="SWS40" s="51"/>
      <c r="SWT40" s="51"/>
      <c r="SWU40" s="51"/>
      <c r="SWV40" s="51"/>
      <c r="SWW40" s="51"/>
      <c r="SWX40" s="51"/>
      <c r="SWY40" s="51"/>
      <c r="SWZ40" s="51"/>
      <c r="SXA40" s="51"/>
      <c r="SXB40" s="51"/>
      <c r="SXC40" s="51"/>
      <c r="SXD40" s="51"/>
      <c r="SXE40" s="51"/>
      <c r="SXF40" s="51"/>
      <c r="SXG40" s="51"/>
      <c r="SXH40" s="51"/>
      <c r="SXI40" s="51"/>
      <c r="SXJ40" s="51"/>
      <c r="SXK40" s="51"/>
      <c r="SXL40" s="51"/>
      <c r="SXM40" s="51"/>
      <c r="SXN40" s="51"/>
      <c r="SXO40" s="51"/>
      <c r="SXP40" s="51"/>
      <c r="SXQ40" s="51"/>
      <c r="SXR40" s="51"/>
      <c r="SXS40" s="51"/>
      <c r="SXT40" s="51"/>
      <c r="SXU40" s="51"/>
      <c r="SXV40" s="51"/>
      <c r="SXW40" s="51"/>
      <c r="SXX40" s="51"/>
      <c r="SXY40" s="51"/>
      <c r="SXZ40" s="51"/>
      <c r="SYA40" s="51"/>
      <c r="SYB40" s="51"/>
      <c r="SYC40" s="51"/>
      <c r="SYD40" s="51"/>
      <c r="SYE40" s="51"/>
      <c r="SYF40" s="51"/>
      <c r="SYG40" s="51"/>
      <c r="SYH40" s="51"/>
      <c r="SYI40" s="51"/>
      <c r="SYJ40" s="51"/>
      <c r="SYK40" s="51"/>
      <c r="SYL40" s="51"/>
      <c r="SYM40" s="51"/>
      <c r="SYN40" s="51"/>
      <c r="SYO40" s="51"/>
      <c r="SYP40" s="51"/>
      <c r="SYQ40" s="51"/>
      <c r="SYR40" s="51"/>
      <c r="SYS40" s="51"/>
      <c r="SYT40" s="51"/>
      <c r="SYU40" s="51"/>
      <c r="SYV40" s="51"/>
      <c r="SYW40" s="51"/>
      <c r="SYX40" s="51"/>
      <c r="SYY40" s="51"/>
      <c r="SYZ40" s="51"/>
      <c r="SZA40" s="51"/>
      <c r="SZB40" s="51"/>
      <c r="SZC40" s="51"/>
      <c r="SZD40" s="51"/>
      <c r="SZE40" s="51"/>
      <c r="SZF40" s="51"/>
      <c r="SZG40" s="51"/>
      <c r="SZH40" s="51"/>
      <c r="SZI40" s="51"/>
      <c r="SZJ40" s="51"/>
      <c r="SZK40" s="51"/>
      <c r="SZL40" s="51"/>
      <c r="SZM40" s="51"/>
      <c r="SZN40" s="51"/>
      <c r="SZO40" s="51"/>
      <c r="SZP40" s="51"/>
      <c r="SZQ40" s="51"/>
      <c r="SZR40" s="51"/>
      <c r="SZS40" s="51"/>
      <c r="SZT40" s="51"/>
      <c r="SZU40" s="51"/>
      <c r="SZV40" s="51"/>
      <c r="SZW40" s="51"/>
      <c r="SZX40" s="51"/>
      <c r="SZY40" s="51"/>
      <c r="SZZ40" s="51"/>
      <c r="TAA40" s="51"/>
      <c r="TAB40" s="51"/>
      <c r="TAC40" s="51"/>
      <c r="TAD40" s="51"/>
      <c r="TAE40" s="51"/>
      <c r="TAF40" s="51"/>
      <c r="TAG40" s="51"/>
      <c r="TAH40" s="51"/>
      <c r="TAI40" s="51"/>
      <c r="TAJ40" s="51"/>
      <c r="TAK40" s="51"/>
      <c r="TAL40" s="51"/>
      <c r="TAM40" s="51"/>
      <c r="TAN40" s="51"/>
      <c r="TAO40" s="51"/>
      <c r="TAP40" s="51"/>
      <c r="TAQ40" s="51"/>
      <c r="TAR40" s="51"/>
      <c r="TAS40" s="51"/>
      <c r="TAT40" s="51"/>
      <c r="TAU40" s="51"/>
      <c r="TAV40" s="51"/>
      <c r="TAW40" s="51"/>
      <c r="TAX40" s="51"/>
      <c r="TAY40" s="51"/>
      <c r="TAZ40" s="51"/>
      <c r="TBA40" s="51"/>
      <c r="TBB40" s="51"/>
      <c r="TBC40" s="51"/>
      <c r="TBD40" s="51"/>
      <c r="TBE40" s="51"/>
      <c r="TBF40" s="51"/>
      <c r="TBG40" s="51"/>
      <c r="TBH40" s="51"/>
      <c r="TBI40" s="51"/>
      <c r="TBJ40" s="51"/>
      <c r="TBK40" s="51"/>
      <c r="TBL40" s="51"/>
      <c r="TBM40" s="51"/>
      <c r="TBN40" s="51"/>
      <c r="TBO40" s="51"/>
      <c r="TBP40" s="51"/>
      <c r="TBQ40" s="51"/>
      <c r="TBR40" s="51"/>
      <c r="TBS40" s="51"/>
      <c r="TBT40" s="51"/>
      <c r="TBU40" s="51"/>
      <c r="TBV40" s="51"/>
      <c r="TBW40" s="51"/>
      <c r="TBX40" s="51"/>
      <c r="TBY40" s="51"/>
      <c r="TBZ40" s="51"/>
      <c r="TCA40" s="51"/>
      <c r="TCB40" s="51"/>
      <c r="TCC40" s="51"/>
      <c r="TCD40" s="51"/>
      <c r="TCE40" s="51"/>
      <c r="TCF40" s="51"/>
      <c r="TCG40" s="51"/>
      <c r="TCH40" s="51"/>
      <c r="TCI40" s="51"/>
      <c r="TCJ40" s="51"/>
      <c r="TCK40" s="51"/>
      <c r="TCL40" s="51"/>
      <c r="TCM40" s="51"/>
      <c r="TCN40" s="51"/>
      <c r="TCO40" s="51"/>
      <c r="TCP40" s="51"/>
      <c r="TCQ40" s="51"/>
      <c r="TCR40" s="51"/>
      <c r="TCS40" s="51"/>
      <c r="TCT40" s="51"/>
      <c r="TCU40" s="51"/>
      <c r="TCV40" s="51"/>
      <c r="TCW40" s="51"/>
      <c r="TCX40" s="51"/>
      <c r="TCY40" s="51"/>
      <c r="TCZ40" s="51"/>
      <c r="TDA40" s="51"/>
      <c r="TDB40" s="51"/>
      <c r="TDC40" s="51"/>
      <c r="TDD40" s="51"/>
      <c r="TDE40" s="51"/>
      <c r="TDF40" s="51"/>
      <c r="TDG40" s="51"/>
      <c r="TDH40" s="51"/>
      <c r="TDI40" s="51"/>
      <c r="TDJ40" s="51"/>
      <c r="TDK40" s="51"/>
      <c r="TDL40" s="51"/>
      <c r="TDM40" s="51"/>
      <c r="TDN40" s="51"/>
      <c r="TDO40" s="51"/>
      <c r="TDP40" s="51"/>
      <c r="TDQ40" s="51"/>
      <c r="TDR40" s="51"/>
      <c r="TDS40" s="51"/>
      <c r="TDT40" s="51"/>
      <c r="TDU40" s="51"/>
      <c r="TDV40" s="51"/>
      <c r="TDW40" s="51"/>
      <c r="TDX40" s="51"/>
      <c r="TDY40" s="51"/>
      <c r="TDZ40" s="51"/>
      <c r="TEA40" s="51"/>
      <c r="TEB40" s="51"/>
      <c r="TEC40" s="51"/>
      <c r="TED40" s="51"/>
      <c r="TEE40" s="51"/>
      <c r="TEF40" s="51"/>
      <c r="TEG40" s="51"/>
      <c r="TEH40" s="51"/>
      <c r="TEI40" s="51"/>
      <c r="TEJ40" s="51"/>
      <c r="TEK40" s="51"/>
      <c r="TEL40" s="51"/>
      <c r="TEM40" s="51"/>
      <c r="TEN40" s="51"/>
      <c r="TEO40" s="51"/>
      <c r="TEP40" s="51"/>
      <c r="TEQ40" s="51"/>
      <c r="TER40" s="51"/>
      <c r="TES40" s="51"/>
      <c r="TET40" s="51"/>
      <c r="TEU40" s="51"/>
      <c r="TEV40" s="51"/>
      <c r="TEW40" s="51"/>
      <c r="TEX40" s="51"/>
      <c r="TEY40" s="51"/>
      <c r="TEZ40" s="51"/>
      <c r="TFA40" s="51"/>
      <c r="TFB40" s="51"/>
      <c r="TFC40" s="51"/>
      <c r="TFD40" s="51"/>
      <c r="TFE40" s="51"/>
      <c r="TFF40" s="51"/>
      <c r="TFG40" s="51"/>
      <c r="TFH40" s="51"/>
      <c r="TFI40" s="51"/>
      <c r="TFJ40" s="51"/>
      <c r="TFK40" s="51"/>
      <c r="TFL40" s="51"/>
      <c r="TFM40" s="51"/>
      <c r="TFN40" s="51"/>
      <c r="TFO40" s="51"/>
      <c r="TFP40" s="51"/>
      <c r="TFQ40" s="51"/>
      <c r="TFR40" s="51"/>
      <c r="TFS40" s="51"/>
      <c r="TFT40" s="51"/>
      <c r="TFU40" s="51"/>
      <c r="TFV40" s="51"/>
      <c r="TFW40" s="51"/>
      <c r="TFX40" s="51"/>
      <c r="TFY40" s="51"/>
      <c r="TFZ40" s="51"/>
      <c r="TGA40" s="51"/>
      <c r="TGB40" s="51"/>
      <c r="TGC40" s="51"/>
      <c r="TGD40" s="51"/>
      <c r="TGE40" s="51"/>
      <c r="TGF40" s="51"/>
      <c r="TGG40" s="51"/>
      <c r="TGH40" s="51"/>
      <c r="TGI40" s="51"/>
      <c r="TGJ40" s="51"/>
      <c r="TGK40" s="51"/>
      <c r="TGL40" s="51"/>
      <c r="TGM40" s="51"/>
      <c r="TGN40" s="51"/>
      <c r="TGO40" s="51"/>
      <c r="TGP40" s="51"/>
      <c r="TGQ40" s="51"/>
      <c r="TGR40" s="51"/>
      <c r="TGS40" s="51"/>
      <c r="TGT40" s="51"/>
      <c r="TGU40" s="51"/>
      <c r="TGV40" s="51"/>
      <c r="TGW40" s="51"/>
      <c r="TGX40" s="51"/>
      <c r="TGY40" s="51"/>
      <c r="TGZ40" s="51"/>
      <c r="THA40" s="51"/>
      <c r="THB40" s="51"/>
      <c r="THC40" s="51"/>
      <c r="THD40" s="51"/>
      <c r="THE40" s="51"/>
      <c r="THF40" s="51"/>
      <c r="THG40" s="51"/>
      <c r="THH40" s="51"/>
      <c r="THI40" s="51"/>
      <c r="THJ40" s="51"/>
      <c r="THK40" s="51"/>
      <c r="THL40" s="51"/>
      <c r="THM40" s="51"/>
      <c r="THN40" s="51"/>
      <c r="THO40" s="51"/>
      <c r="THP40" s="51"/>
      <c r="THQ40" s="51"/>
      <c r="THR40" s="51"/>
      <c r="THS40" s="51"/>
      <c r="THT40" s="51"/>
      <c r="THU40" s="51"/>
      <c r="THV40" s="51"/>
      <c r="THW40" s="51"/>
      <c r="THX40" s="51"/>
      <c r="THY40" s="51"/>
      <c r="THZ40" s="51"/>
      <c r="TIA40" s="51"/>
      <c r="TIB40" s="51"/>
      <c r="TIC40" s="51"/>
      <c r="TID40" s="51"/>
      <c r="TIE40" s="51"/>
      <c r="TIF40" s="51"/>
      <c r="TIG40" s="51"/>
      <c r="TIH40" s="51"/>
      <c r="TII40" s="51"/>
      <c r="TIJ40" s="51"/>
      <c r="TIK40" s="51"/>
      <c r="TIL40" s="51"/>
      <c r="TIM40" s="51"/>
      <c r="TIN40" s="51"/>
      <c r="TIO40" s="51"/>
      <c r="TIP40" s="51"/>
      <c r="TIQ40" s="51"/>
      <c r="TIR40" s="51"/>
      <c r="TIS40" s="51"/>
      <c r="TIT40" s="51"/>
      <c r="TIU40" s="51"/>
      <c r="TIV40" s="51"/>
      <c r="TIW40" s="51"/>
      <c r="TIX40" s="51"/>
      <c r="TIY40" s="51"/>
      <c r="TIZ40" s="51"/>
      <c r="TJA40" s="51"/>
      <c r="TJB40" s="51"/>
      <c r="TJC40" s="51"/>
      <c r="TJD40" s="51"/>
      <c r="TJE40" s="51"/>
      <c r="TJF40" s="51"/>
      <c r="TJG40" s="51"/>
      <c r="TJH40" s="51"/>
      <c r="TJI40" s="51"/>
      <c r="TJJ40" s="51"/>
      <c r="TJK40" s="51"/>
      <c r="TJL40" s="51"/>
      <c r="TJM40" s="51"/>
      <c r="TJN40" s="51"/>
      <c r="TJO40" s="51"/>
      <c r="TJP40" s="51"/>
      <c r="TJQ40" s="51"/>
      <c r="TJR40" s="51"/>
      <c r="TJS40" s="51"/>
      <c r="TJT40" s="51"/>
      <c r="TJU40" s="51"/>
      <c r="TJV40" s="51"/>
      <c r="TJW40" s="51"/>
      <c r="TJX40" s="51"/>
      <c r="TJY40" s="51"/>
      <c r="TJZ40" s="51"/>
      <c r="TKA40" s="51"/>
      <c r="TKB40" s="51"/>
      <c r="TKC40" s="51"/>
      <c r="TKD40" s="51"/>
      <c r="TKE40" s="51"/>
      <c r="TKF40" s="51"/>
      <c r="TKG40" s="51"/>
      <c r="TKH40" s="51"/>
      <c r="TKI40" s="51"/>
      <c r="TKJ40" s="51"/>
      <c r="TKK40" s="51"/>
      <c r="TKL40" s="51"/>
      <c r="TKM40" s="51"/>
      <c r="TKN40" s="51"/>
      <c r="TKO40" s="51"/>
      <c r="TKP40" s="51"/>
      <c r="TKQ40" s="51"/>
      <c r="TKR40" s="51"/>
      <c r="TKS40" s="51"/>
      <c r="TKT40" s="51"/>
      <c r="TKU40" s="51"/>
      <c r="TKV40" s="51"/>
      <c r="TKW40" s="51"/>
      <c r="TKX40" s="51"/>
      <c r="TKY40" s="51"/>
      <c r="TKZ40" s="51"/>
      <c r="TLA40" s="51"/>
      <c r="TLB40" s="51"/>
      <c r="TLC40" s="51"/>
      <c r="TLD40" s="51"/>
      <c r="TLE40" s="51"/>
      <c r="TLF40" s="51"/>
      <c r="TLG40" s="51"/>
      <c r="TLH40" s="51"/>
      <c r="TLI40" s="51"/>
      <c r="TLJ40" s="51"/>
      <c r="TLK40" s="51"/>
      <c r="TLL40" s="51"/>
      <c r="TLM40" s="51"/>
      <c r="TLN40" s="51"/>
      <c r="TLO40" s="51"/>
      <c r="TLP40" s="51"/>
      <c r="TLQ40" s="51"/>
      <c r="TLR40" s="51"/>
      <c r="TLS40" s="51"/>
      <c r="TLT40" s="51"/>
      <c r="TLU40" s="51"/>
      <c r="TLV40" s="51"/>
      <c r="TLW40" s="51"/>
      <c r="TLX40" s="51"/>
      <c r="TLY40" s="51"/>
      <c r="TLZ40" s="51"/>
      <c r="TMA40" s="51"/>
      <c r="TMB40" s="51"/>
      <c r="TMC40" s="51"/>
      <c r="TMD40" s="51"/>
      <c r="TME40" s="51"/>
      <c r="TMF40" s="51"/>
      <c r="TMG40" s="51"/>
      <c r="TMH40" s="51"/>
      <c r="TMI40" s="51"/>
      <c r="TMJ40" s="51"/>
      <c r="TMK40" s="51"/>
      <c r="TML40" s="51"/>
      <c r="TMM40" s="51"/>
      <c r="TMN40" s="51"/>
      <c r="TMO40" s="51"/>
      <c r="TMP40" s="51"/>
      <c r="TMQ40" s="51"/>
      <c r="TMR40" s="51"/>
      <c r="TMS40" s="51"/>
      <c r="TMT40" s="51"/>
      <c r="TMU40" s="51"/>
      <c r="TMV40" s="51"/>
      <c r="TMW40" s="51"/>
      <c r="TMX40" s="51"/>
      <c r="TMY40" s="51"/>
      <c r="TMZ40" s="51"/>
      <c r="TNA40" s="51"/>
      <c r="TNB40" s="51"/>
      <c r="TNC40" s="51"/>
      <c r="TND40" s="51"/>
      <c r="TNE40" s="51"/>
      <c r="TNF40" s="51"/>
      <c r="TNG40" s="51"/>
      <c r="TNH40" s="51"/>
      <c r="TNI40" s="51"/>
      <c r="TNJ40" s="51"/>
      <c r="TNK40" s="51"/>
      <c r="TNL40" s="51"/>
      <c r="TNM40" s="51"/>
      <c r="TNN40" s="51"/>
      <c r="TNO40" s="51"/>
      <c r="TNP40" s="51"/>
      <c r="TNQ40" s="51"/>
      <c r="TNR40" s="51"/>
      <c r="TNS40" s="51"/>
      <c r="TNT40" s="51"/>
      <c r="TNU40" s="51"/>
      <c r="TNV40" s="51"/>
      <c r="TNW40" s="51"/>
      <c r="TNX40" s="51"/>
      <c r="TNY40" s="51"/>
      <c r="TNZ40" s="51"/>
      <c r="TOA40" s="51"/>
      <c r="TOB40" s="51"/>
      <c r="TOC40" s="51"/>
      <c r="TOD40" s="51"/>
      <c r="TOE40" s="51"/>
      <c r="TOF40" s="51"/>
      <c r="TOG40" s="51"/>
      <c r="TOH40" s="51"/>
      <c r="TOI40" s="51"/>
      <c r="TOJ40" s="51"/>
      <c r="TOK40" s="51"/>
      <c r="TOL40" s="51"/>
      <c r="TOM40" s="51"/>
      <c r="TON40" s="51"/>
      <c r="TOO40" s="51"/>
      <c r="TOP40" s="51"/>
      <c r="TOQ40" s="51"/>
      <c r="TOR40" s="51"/>
      <c r="TOS40" s="51"/>
      <c r="TOT40" s="51"/>
      <c r="TOU40" s="51"/>
      <c r="TOV40" s="51"/>
      <c r="TOW40" s="51"/>
      <c r="TOX40" s="51"/>
      <c r="TOY40" s="51"/>
      <c r="TOZ40" s="51"/>
      <c r="TPA40" s="51"/>
      <c r="TPB40" s="51"/>
      <c r="TPC40" s="51"/>
      <c r="TPD40" s="51"/>
      <c r="TPE40" s="51"/>
      <c r="TPF40" s="51"/>
      <c r="TPG40" s="51"/>
      <c r="TPH40" s="51"/>
      <c r="TPI40" s="51"/>
      <c r="TPJ40" s="51"/>
      <c r="TPK40" s="51"/>
      <c r="TPL40" s="51"/>
      <c r="TPM40" s="51"/>
      <c r="TPN40" s="51"/>
      <c r="TPO40" s="51"/>
      <c r="TPP40" s="51"/>
      <c r="TPQ40" s="51"/>
      <c r="TPR40" s="51"/>
      <c r="TPS40" s="51"/>
      <c r="TPT40" s="51"/>
      <c r="TPU40" s="51"/>
      <c r="TPV40" s="51"/>
      <c r="TPW40" s="51"/>
      <c r="TPX40" s="51"/>
      <c r="TPY40" s="51"/>
      <c r="TPZ40" s="51"/>
      <c r="TQA40" s="51"/>
      <c r="TQB40" s="51"/>
      <c r="TQC40" s="51"/>
      <c r="TQD40" s="51"/>
      <c r="TQE40" s="51"/>
      <c r="TQF40" s="51"/>
      <c r="TQG40" s="51"/>
      <c r="TQH40" s="51"/>
      <c r="TQI40" s="51"/>
      <c r="TQJ40" s="51"/>
      <c r="TQK40" s="51"/>
      <c r="TQL40" s="51"/>
      <c r="TQM40" s="51"/>
      <c r="TQN40" s="51"/>
      <c r="TQO40" s="51"/>
      <c r="TQP40" s="51"/>
      <c r="TQQ40" s="51"/>
      <c r="TQR40" s="51"/>
      <c r="TQS40" s="51"/>
      <c r="TQT40" s="51"/>
      <c r="TQU40" s="51"/>
      <c r="TQV40" s="51"/>
      <c r="TQW40" s="51"/>
      <c r="TQX40" s="51"/>
      <c r="TQY40" s="51"/>
      <c r="TQZ40" s="51"/>
      <c r="TRA40" s="51"/>
      <c r="TRB40" s="51"/>
      <c r="TRC40" s="51"/>
      <c r="TRD40" s="51"/>
      <c r="TRE40" s="51"/>
      <c r="TRF40" s="51"/>
      <c r="TRG40" s="51"/>
      <c r="TRH40" s="51"/>
      <c r="TRI40" s="51"/>
      <c r="TRJ40" s="51"/>
      <c r="TRK40" s="51"/>
      <c r="TRL40" s="51"/>
      <c r="TRM40" s="51"/>
      <c r="TRN40" s="51"/>
      <c r="TRO40" s="51"/>
      <c r="TRP40" s="51"/>
      <c r="TRQ40" s="51"/>
      <c r="TRR40" s="51"/>
      <c r="TRS40" s="51"/>
      <c r="TRT40" s="51"/>
      <c r="TRU40" s="51"/>
      <c r="TRV40" s="51"/>
      <c r="TRW40" s="51"/>
      <c r="TRX40" s="51"/>
      <c r="TRY40" s="51"/>
      <c r="TRZ40" s="51"/>
      <c r="TSA40" s="51"/>
      <c r="TSB40" s="51"/>
      <c r="TSC40" s="51"/>
      <c r="TSD40" s="51"/>
      <c r="TSE40" s="51"/>
      <c r="TSF40" s="51"/>
      <c r="TSG40" s="51"/>
      <c r="TSH40" s="51"/>
      <c r="TSI40" s="51"/>
      <c r="TSJ40" s="51"/>
      <c r="TSK40" s="51"/>
      <c r="TSL40" s="51"/>
      <c r="TSM40" s="51"/>
      <c r="TSN40" s="51"/>
      <c r="TSO40" s="51"/>
      <c r="TSP40" s="51"/>
      <c r="TSQ40" s="51"/>
      <c r="TSR40" s="51"/>
      <c r="TSS40" s="51"/>
      <c r="TST40" s="51"/>
      <c r="TSU40" s="51"/>
      <c r="TSV40" s="51"/>
      <c r="TSW40" s="51"/>
      <c r="TSX40" s="51"/>
      <c r="TSY40" s="51"/>
      <c r="TSZ40" s="51"/>
      <c r="TTA40" s="51"/>
      <c r="TTB40" s="51"/>
      <c r="TTC40" s="51"/>
      <c r="TTD40" s="51"/>
      <c r="TTE40" s="51"/>
      <c r="TTF40" s="51"/>
      <c r="TTG40" s="51"/>
      <c r="TTH40" s="51"/>
      <c r="TTI40" s="51"/>
      <c r="TTJ40" s="51"/>
      <c r="TTK40" s="51"/>
      <c r="TTL40" s="51"/>
      <c r="TTM40" s="51"/>
      <c r="TTN40" s="51"/>
      <c r="TTO40" s="51"/>
      <c r="TTP40" s="51"/>
      <c r="TTQ40" s="51"/>
      <c r="TTR40" s="51"/>
      <c r="TTS40" s="51"/>
      <c r="TTT40" s="51"/>
      <c r="TTU40" s="51"/>
      <c r="TTV40" s="51"/>
      <c r="TTW40" s="51"/>
      <c r="TTX40" s="51"/>
      <c r="TTY40" s="51"/>
      <c r="TTZ40" s="51"/>
      <c r="TUA40" s="51"/>
      <c r="TUB40" s="51"/>
      <c r="TUC40" s="51"/>
      <c r="TUD40" s="51"/>
      <c r="TUE40" s="51"/>
      <c r="TUF40" s="51"/>
      <c r="TUG40" s="51"/>
      <c r="TUH40" s="51"/>
      <c r="TUI40" s="51"/>
      <c r="TUJ40" s="51"/>
      <c r="TUK40" s="51"/>
      <c r="TUL40" s="51"/>
      <c r="TUM40" s="51"/>
      <c r="TUN40" s="51"/>
      <c r="TUO40" s="51"/>
      <c r="TUP40" s="51"/>
      <c r="TUQ40" s="51"/>
      <c r="TUR40" s="51"/>
      <c r="TUS40" s="51"/>
      <c r="TUT40" s="51"/>
      <c r="TUU40" s="51"/>
      <c r="TUV40" s="51"/>
      <c r="TUW40" s="51"/>
      <c r="TUX40" s="51"/>
      <c r="TUY40" s="51"/>
      <c r="TUZ40" s="51"/>
      <c r="TVA40" s="51"/>
      <c r="TVB40" s="51"/>
      <c r="TVC40" s="51"/>
      <c r="TVD40" s="51"/>
      <c r="TVE40" s="51"/>
      <c r="TVF40" s="51"/>
      <c r="TVG40" s="51"/>
      <c r="TVH40" s="51"/>
      <c r="TVI40" s="51"/>
      <c r="TVJ40" s="51"/>
      <c r="TVK40" s="51"/>
      <c r="TVL40" s="51"/>
      <c r="TVM40" s="51"/>
      <c r="TVN40" s="51"/>
      <c r="TVO40" s="51"/>
      <c r="TVP40" s="51"/>
      <c r="TVQ40" s="51"/>
      <c r="TVR40" s="51"/>
      <c r="TVS40" s="51"/>
      <c r="TVT40" s="51"/>
      <c r="TVU40" s="51"/>
      <c r="TVV40" s="51"/>
      <c r="TVW40" s="51"/>
      <c r="TVX40" s="51"/>
      <c r="TVY40" s="51"/>
      <c r="TVZ40" s="51"/>
      <c r="TWA40" s="51"/>
      <c r="TWB40" s="51"/>
      <c r="TWC40" s="51"/>
      <c r="TWD40" s="51"/>
      <c r="TWE40" s="51"/>
      <c r="TWF40" s="51"/>
      <c r="TWG40" s="51"/>
      <c r="TWH40" s="51"/>
      <c r="TWI40" s="51"/>
      <c r="TWJ40" s="51"/>
      <c r="TWK40" s="51"/>
      <c r="TWL40" s="51"/>
      <c r="TWM40" s="51"/>
      <c r="TWN40" s="51"/>
      <c r="TWO40" s="51"/>
      <c r="TWP40" s="51"/>
      <c r="TWQ40" s="51"/>
      <c r="TWR40" s="51"/>
      <c r="TWS40" s="51"/>
      <c r="TWT40" s="51"/>
      <c r="TWU40" s="51"/>
      <c r="TWV40" s="51"/>
      <c r="TWW40" s="51"/>
      <c r="TWX40" s="51"/>
      <c r="TWY40" s="51"/>
      <c r="TWZ40" s="51"/>
      <c r="TXA40" s="51"/>
      <c r="TXB40" s="51"/>
      <c r="TXC40" s="51"/>
      <c r="TXD40" s="51"/>
      <c r="TXE40" s="51"/>
      <c r="TXF40" s="51"/>
      <c r="TXG40" s="51"/>
      <c r="TXH40" s="51"/>
      <c r="TXI40" s="51"/>
      <c r="TXJ40" s="51"/>
      <c r="TXK40" s="51"/>
      <c r="TXL40" s="51"/>
      <c r="TXM40" s="51"/>
      <c r="TXN40" s="51"/>
      <c r="TXO40" s="51"/>
      <c r="TXP40" s="51"/>
      <c r="TXQ40" s="51"/>
      <c r="TXR40" s="51"/>
      <c r="TXS40" s="51"/>
      <c r="TXT40" s="51"/>
      <c r="TXU40" s="51"/>
      <c r="TXV40" s="51"/>
      <c r="TXW40" s="51"/>
      <c r="TXX40" s="51"/>
      <c r="TXY40" s="51"/>
      <c r="TXZ40" s="51"/>
      <c r="TYA40" s="51"/>
      <c r="TYB40" s="51"/>
      <c r="TYC40" s="51"/>
      <c r="TYD40" s="51"/>
      <c r="TYE40" s="51"/>
      <c r="TYF40" s="51"/>
      <c r="TYG40" s="51"/>
      <c r="TYH40" s="51"/>
      <c r="TYI40" s="51"/>
      <c r="TYJ40" s="51"/>
      <c r="TYK40" s="51"/>
      <c r="TYL40" s="51"/>
      <c r="TYM40" s="51"/>
      <c r="TYN40" s="51"/>
      <c r="TYO40" s="51"/>
      <c r="TYP40" s="51"/>
      <c r="TYQ40" s="51"/>
      <c r="TYR40" s="51"/>
      <c r="TYS40" s="51"/>
      <c r="TYT40" s="51"/>
      <c r="TYU40" s="51"/>
      <c r="TYV40" s="51"/>
      <c r="TYW40" s="51"/>
      <c r="TYX40" s="51"/>
      <c r="TYY40" s="51"/>
      <c r="TYZ40" s="51"/>
      <c r="TZA40" s="51"/>
      <c r="TZB40" s="51"/>
      <c r="TZC40" s="51"/>
      <c r="TZD40" s="51"/>
      <c r="TZE40" s="51"/>
      <c r="TZF40" s="51"/>
      <c r="TZG40" s="51"/>
      <c r="TZH40" s="51"/>
      <c r="TZI40" s="51"/>
      <c r="TZJ40" s="51"/>
      <c r="TZK40" s="51"/>
      <c r="TZL40" s="51"/>
      <c r="TZM40" s="51"/>
      <c r="TZN40" s="51"/>
      <c r="TZO40" s="51"/>
      <c r="TZP40" s="51"/>
      <c r="TZQ40" s="51"/>
      <c r="TZR40" s="51"/>
      <c r="TZS40" s="51"/>
      <c r="TZT40" s="51"/>
      <c r="TZU40" s="51"/>
      <c r="TZV40" s="51"/>
      <c r="TZW40" s="51"/>
      <c r="TZX40" s="51"/>
      <c r="TZY40" s="51"/>
      <c r="TZZ40" s="51"/>
      <c r="UAA40" s="51"/>
      <c r="UAB40" s="51"/>
      <c r="UAC40" s="51"/>
      <c r="UAD40" s="51"/>
      <c r="UAE40" s="51"/>
      <c r="UAF40" s="51"/>
      <c r="UAG40" s="51"/>
      <c r="UAH40" s="51"/>
      <c r="UAI40" s="51"/>
      <c r="UAJ40" s="51"/>
      <c r="UAK40" s="51"/>
      <c r="UAL40" s="51"/>
      <c r="UAM40" s="51"/>
      <c r="UAN40" s="51"/>
      <c r="UAO40" s="51"/>
      <c r="UAP40" s="51"/>
      <c r="UAQ40" s="51"/>
      <c r="UAR40" s="51"/>
      <c r="UAS40" s="51"/>
      <c r="UAT40" s="51"/>
      <c r="UAU40" s="51"/>
      <c r="UAV40" s="51"/>
      <c r="UAW40" s="51"/>
      <c r="UAX40" s="51"/>
      <c r="UAY40" s="51"/>
      <c r="UAZ40" s="51"/>
      <c r="UBA40" s="51"/>
      <c r="UBB40" s="51"/>
      <c r="UBC40" s="51"/>
      <c r="UBD40" s="51"/>
      <c r="UBE40" s="51"/>
      <c r="UBF40" s="51"/>
      <c r="UBG40" s="51"/>
      <c r="UBH40" s="51"/>
      <c r="UBI40" s="51"/>
      <c r="UBJ40" s="51"/>
      <c r="UBK40" s="51"/>
      <c r="UBL40" s="51"/>
      <c r="UBM40" s="51"/>
      <c r="UBN40" s="51"/>
      <c r="UBO40" s="51"/>
      <c r="UBP40" s="51"/>
      <c r="UBQ40" s="51"/>
      <c r="UBR40" s="51"/>
      <c r="UBS40" s="51"/>
      <c r="UBT40" s="51"/>
      <c r="UBU40" s="51"/>
      <c r="UBV40" s="51"/>
      <c r="UBW40" s="51"/>
      <c r="UBX40" s="51"/>
      <c r="UBY40" s="51"/>
      <c r="UBZ40" s="51"/>
      <c r="UCA40" s="51"/>
      <c r="UCB40" s="51"/>
      <c r="UCC40" s="51"/>
      <c r="UCD40" s="51"/>
      <c r="UCE40" s="51"/>
      <c r="UCF40" s="51"/>
      <c r="UCG40" s="51"/>
      <c r="UCH40" s="51"/>
      <c r="UCI40" s="51"/>
      <c r="UCJ40" s="51"/>
      <c r="UCK40" s="51"/>
      <c r="UCL40" s="51"/>
      <c r="UCM40" s="51"/>
      <c r="UCN40" s="51"/>
      <c r="UCO40" s="51"/>
      <c r="UCP40" s="51"/>
      <c r="UCQ40" s="51"/>
      <c r="UCR40" s="51"/>
      <c r="UCS40" s="51"/>
      <c r="UCT40" s="51"/>
      <c r="UCU40" s="51"/>
      <c r="UCV40" s="51"/>
      <c r="UCW40" s="51"/>
      <c r="UCX40" s="51"/>
      <c r="UCY40" s="51"/>
      <c r="UCZ40" s="51"/>
      <c r="UDA40" s="51"/>
      <c r="UDB40" s="51"/>
      <c r="UDC40" s="51"/>
      <c r="UDD40" s="51"/>
      <c r="UDE40" s="51"/>
      <c r="UDF40" s="51"/>
      <c r="UDG40" s="51"/>
      <c r="UDH40" s="51"/>
      <c r="UDI40" s="51"/>
      <c r="UDJ40" s="51"/>
      <c r="UDK40" s="51"/>
      <c r="UDL40" s="51"/>
      <c r="UDM40" s="51"/>
      <c r="UDN40" s="51"/>
      <c r="UDO40" s="51"/>
      <c r="UDP40" s="51"/>
      <c r="UDQ40" s="51"/>
      <c r="UDR40" s="51"/>
      <c r="UDS40" s="51"/>
      <c r="UDT40" s="51"/>
      <c r="UDU40" s="51"/>
      <c r="UDV40" s="51"/>
      <c r="UDW40" s="51"/>
      <c r="UDX40" s="51"/>
      <c r="UDY40" s="51"/>
      <c r="UDZ40" s="51"/>
      <c r="UEA40" s="51"/>
      <c r="UEB40" s="51"/>
      <c r="UEC40" s="51"/>
      <c r="UED40" s="51"/>
      <c r="UEE40" s="51"/>
      <c r="UEF40" s="51"/>
      <c r="UEG40" s="51"/>
      <c r="UEH40" s="51"/>
      <c r="UEI40" s="51"/>
      <c r="UEJ40" s="51"/>
      <c r="UEK40" s="51"/>
      <c r="UEL40" s="51"/>
      <c r="UEM40" s="51"/>
      <c r="UEN40" s="51"/>
      <c r="UEO40" s="51"/>
      <c r="UEP40" s="51"/>
      <c r="UEQ40" s="51"/>
      <c r="UER40" s="51"/>
      <c r="UES40" s="51"/>
      <c r="UET40" s="51"/>
      <c r="UEU40" s="51"/>
      <c r="UEV40" s="51"/>
      <c r="UEW40" s="51"/>
      <c r="UEX40" s="51"/>
      <c r="UEY40" s="51"/>
      <c r="UEZ40" s="51"/>
      <c r="UFA40" s="51"/>
      <c r="UFB40" s="51"/>
      <c r="UFC40" s="51"/>
      <c r="UFD40" s="51"/>
      <c r="UFE40" s="51"/>
      <c r="UFF40" s="51"/>
      <c r="UFG40" s="51"/>
      <c r="UFH40" s="51"/>
      <c r="UFI40" s="51"/>
      <c r="UFJ40" s="51"/>
      <c r="UFK40" s="51"/>
      <c r="UFL40" s="51"/>
      <c r="UFM40" s="51"/>
      <c r="UFN40" s="51"/>
      <c r="UFO40" s="51"/>
      <c r="UFP40" s="51"/>
      <c r="UFQ40" s="51"/>
      <c r="UFR40" s="51"/>
      <c r="UFS40" s="51"/>
      <c r="UFT40" s="51"/>
      <c r="UFU40" s="51"/>
      <c r="UFV40" s="51"/>
      <c r="UFW40" s="51"/>
      <c r="UFX40" s="51"/>
      <c r="UFY40" s="51"/>
      <c r="UFZ40" s="51"/>
      <c r="UGA40" s="51"/>
      <c r="UGB40" s="51"/>
      <c r="UGC40" s="51"/>
      <c r="UGD40" s="51"/>
      <c r="UGE40" s="51"/>
      <c r="UGF40" s="51"/>
      <c r="UGG40" s="51"/>
      <c r="UGH40" s="51"/>
      <c r="UGI40" s="51"/>
      <c r="UGJ40" s="51"/>
      <c r="UGK40" s="51"/>
      <c r="UGL40" s="51"/>
      <c r="UGM40" s="51"/>
      <c r="UGN40" s="51"/>
      <c r="UGO40" s="51"/>
      <c r="UGP40" s="51"/>
      <c r="UGQ40" s="51"/>
      <c r="UGR40" s="51"/>
      <c r="UGS40" s="51"/>
      <c r="UGT40" s="51"/>
      <c r="UGU40" s="51"/>
      <c r="UGV40" s="51"/>
      <c r="UGW40" s="51"/>
      <c r="UGX40" s="51"/>
      <c r="UGY40" s="51"/>
      <c r="UGZ40" s="51"/>
      <c r="UHA40" s="51"/>
      <c r="UHB40" s="51"/>
      <c r="UHC40" s="51"/>
      <c r="UHD40" s="51"/>
      <c r="UHE40" s="51"/>
      <c r="UHF40" s="51"/>
      <c r="UHG40" s="51"/>
      <c r="UHH40" s="51"/>
      <c r="UHI40" s="51"/>
      <c r="UHJ40" s="51"/>
      <c r="UHK40" s="51"/>
      <c r="UHL40" s="51"/>
      <c r="UHM40" s="51"/>
      <c r="UHN40" s="51"/>
      <c r="UHO40" s="51"/>
      <c r="UHP40" s="51"/>
      <c r="UHQ40" s="51"/>
      <c r="UHR40" s="51"/>
      <c r="UHS40" s="51"/>
      <c r="UHT40" s="51"/>
      <c r="UHU40" s="51"/>
      <c r="UHV40" s="51"/>
      <c r="UHW40" s="51"/>
      <c r="UHX40" s="51"/>
      <c r="UHY40" s="51"/>
      <c r="UHZ40" s="51"/>
      <c r="UIA40" s="51"/>
      <c r="UIB40" s="51"/>
      <c r="UIC40" s="51"/>
      <c r="UID40" s="51"/>
      <c r="UIE40" s="51"/>
      <c r="UIF40" s="51"/>
      <c r="UIG40" s="51"/>
      <c r="UIH40" s="51"/>
      <c r="UII40" s="51"/>
      <c r="UIJ40" s="51"/>
      <c r="UIK40" s="51"/>
      <c r="UIL40" s="51"/>
      <c r="UIM40" s="51"/>
      <c r="UIN40" s="51"/>
      <c r="UIO40" s="51"/>
      <c r="UIP40" s="51"/>
      <c r="UIQ40" s="51"/>
      <c r="UIR40" s="51"/>
      <c r="UIS40" s="51"/>
      <c r="UIT40" s="51"/>
      <c r="UIU40" s="51"/>
      <c r="UIV40" s="51"/>
      <c r="UIW40" s="51"/>
      <c r="UIX40" s="51"/>
      <c r="UIY40" s="51"/>
      <c r="UIZ40" s="51"/>
      <c r="UJA40" s="51"/>
      <c r="UJB40" s="51"/>
      <c r="UJC40" s="51"/>
      <c r="UJD40" s="51"/>
      <c r="UJE40" s="51"/>
      <c r="UJF40" s="51"/>
      <c r="UJG40" s="51"/>
      <c r="UJH40" s="51"/>
      <c r="UJI40" s="51"/>
      <c r="UJJ40" s="51"/>
      <c r="UJK40" s="51"/>
      <c r="UJL40" s="51"/>
      <c r="UJM40" s="51"/>
      <c r="UJN40" s="51"/>
      <c r="UJO40" s="51"/>
      <c r="UJP40" s="51"/>
      <c r="UJQ40" s="51"/>
      <c r="UJR40" s="51"/>
      <c r="UJS40" s="51"/>
      <c r="UJT40" s="51"/>
      <c r="UJU40" s="51"/>
      <c r="UJV40" s="51"/>
      <c r="UJW40" s="51"/>
      <c r="UJX40" s="51"/>
      <c r="UJY40" s="51"/>
      <c r="UJZ40" s="51"/>
      <c r="UKA40" s="51"/>
      <c r="UKB40" s="51"/>
      <c r="UKC40" s="51"/>
      <c r="UKD40" s="51"/>
      <c r="UKE40" s="51"/>
      <c r="UKF40" s="51"/>
      <c r="UKG40" s="51"/>
      <c r="UKH40" s="51"/>
      <c r="UKI40" s="51"/>
      <c r="UKJ40" s="51"/>
      <c r="UKK40" s="51"/>
      <c r="UKL40" s="51"/>
      <c r="UKM40" s="51"/>
      <c r="UKN40" s="51"/>
      <c r="UKO40" s="51"/>
      <c r="UKP40" s="51"/>
      <c r="UKQ40" s="51"/>
      <c r="UKR40" s="51"/>
      <c r="UKS40" s="51"/>
      <c r="UKT40" s="51"/>
      <c r="UKU40" s="51"/>
      <c r="UKV40" s="51"/>
      <c r="UKW40" s="51"/>
      <c r="UKX40" s="51"/>
      <c r="UKY40" s="51"/>
      <c r="UKZ40" s="51"/>
      <c r="ULA40" s="51"/>
      <c r="ULB40" s="51"/>
      <c r="ULC40" s="51"/>
      <c r="ULD40" s="51"/>
      <c r="ULE40" s="51"/>
      <c r="ULF40" s="51"/>
      <c r="ULG40" s="51"/>
      <c r="ULH40" s="51"/>
      <c r="ULI40" s="51"/>
      <c r="ULJ40" s="51"/>
      <c r="ULK40" s="51"/>
      <c r="ULL40" s="51"/>
      <c r="ULM40" s="51"/>
      <c r="ULN40" s="51"/>
      <c r="ULO40" s="51"/>
      <c r="ULP40" s="51"/>
      <c r="ULQ40" s="51"/>
      <c r="ULR40" s="51"/>
      <c r="ULS40" s="51"/>
      <c r="ULT40" s="51"/>
      <c r="ULU40" s="51"/>
      <c r="ULV40" s="51"/>
      <c r="ULW40" s="51"/>
      <c r="ULX40" s="51"/>
      <c r="ULY40" s="51"/>
      <c r="ULZ40" s="51"/>
      <c r="UMA40" s="51"/>
      <c r="UMB40" s="51"/>
      <c r="UMC40" s="51"/>
      <c r="UMD40" s="51"/>
      <c r="UME40" s="51"/>
      <c r="UMF40" s="51"/>
      <c r="UMG40" s="51"/>
      <c r="UMH40" s="51"/>
      <c r="UMI40" s="51"/>
      <c r="UMJ40" s="51"/>
      <c r="UMK40" s="51"/>
      <c r="UML40" s="51"/>
      <c r="UMM40" s="51"/>
      <c r="UMN40" s="51"/>
      <c r="UMO40" s="51"/>
      <c r="UMP40" s="51"/>
      <c r="UMQ40" s="51"/>
      <c r="UMR40" s="51"/>
      <c r="UMS40" s="51"/>
      <c r="UMT40" s="51"/>
      <c r="UMU40" s="51"/>
      <c r="UMV40" s="51"/>
      <c r="UMW40" s="51"/>
      <c r="UMX40" s="51"/>
      <c r="UMY40" s="51"/>
      <c r="UMZ40" s="51"/>
      <c r="UNA40" s="51"/>
      <c r="UNB40" s="51"/>
      <c r="UNC40" s="51"/>
      <c r="UND40" s="51"/>
      <c r="UNE40" s="51"/>
      <c r="UNF40" s="51"/>
      <c r="UNG40" s="51"/>
      <c r="UNH40" s="51"/>
      <c r="UNI40" s="51"/>
      <c r="UNJ40" s="51"/>
      <c r="UNK40" s="51"/>
      <c r="UNL40" s="51"/>
      <c r="UNM40" s="51"/>
      <c r="UNN40" s="51"/>
      <c r="UNO40" s="51"/>
      <c r="UNP40" s="51"/>
      <c r="UNQ40" s="51"/>
      <c r="UNR40" s="51"/>
      <c r="UNS40" s="51"/>
      <c r="UNT40" s="51"/>
      <c r="UNU40" s="51"/>
      <c r="UNV40" s="51"/>
      <c r="UNW40" s="51"/>
      <c r="UNX40" s="51"/>
      <c r="UNY40" s="51"/>
      <c r="UNZ40" s="51"/>
      <c r="UOA40" s="51"/>
      <c r="UOB40" s="51"/>
      <c r="UOC40" s="51"/>
      <c r="UOD40" s="51"/>
      <c r="UOE40" s="51"/>
      <c r="UOF40" s="51"/>
      <c r="UOG40" s="51"/>
      <c r="UOH40" s="51"/>
      <c r="UOI40" s="51"/>
      <c r="UOJ40" s="51"/>
      <c r="UOK40" s="51"/>
      <c r="UOL40" s="51"/>
      <c r="UOM40" s="51"/>
      <c r="UON40" s="51"/>
      <c r="UOO40" s="51"/>
      <c r="UOP40" s="51"/>
      <c r="UOQ40" s="51"/>
      <c r="UOR40" s="51"/>
      <c r="UOS40" s="51"/>
      <c r="UOT40" s="51"/>
      <c r="UOU40" s="51"/>
      <c r="UOV40" s="51"/>
      <c r="UOW40" s="51"/>
      <c r="UOX40" s="51"/>
      <c r="UOY40" s="51"/>
      <c r="UOZ40" s="51"/>
      <c r="UPA40" s="51"/>
      <c r="UPB40" s="51"/>
      <c r="UPC40" s="51"/>
      <c r="UPD40" s="51"/>
      <c r="UPE40" s="51"/>
      <c r="UPF40" s="51"/>
      <c r="UPG40" s="51"/>
      <c r="UPH40" s="51"/>
      <c r="UPI40" s="51"/>
      <c r="UPJ40" s="51"/>
      <c r="UPK40" s="51"/>
      <c r="UPL40" s="51"/>
      <c r="UPM40" s="51"/>
      <c r="UPN40" s="51"/>
      <c r="UPO40" s="51"/>
      <c r="UPP40" s="51"/>
      <c r="UPQ40" s="51"/>
      <c r="UPR40" s="51"/>
      <c r="UPS40" s="51"/>
      <c r="UPT40" s="51"/>
      <c r="UPU40" s="51"/>
      <c r="UPV40" s="51"/>
      <c r="UPW40" s="51"/>
      <c r="UPX40" s="51"/>
      <c r="UPY40" s="51"/>
      <c r="UPZ40" s="51"/>
      <c r="UQA40" s="51"/>
      <c r="UQB40" s="51"/>
      <c r="UQC40" s="51"/>
      <c r="UQD40" s="51"/>
      <c r="UQE40" s="51"/>
      <c r="UQF40" s="51"/>
      <c r="UQG40" s="51"/>
      <c r="UQH40" s="51"/>
      <c r="UQI40" s="51"/>
      <c r="UQJ40" s="51"/>
      <c r="UQK40" s="51"/>
      <c r="UQL40" s="51"/>
      <c r="UQM40" s="51"/>
      <c r="UQN40" s="51"/>
      <c r="UQO40" s="51"/>
      <c r="UQP40" s="51"/>
      <c r="UQQ40" s="51"/>
      <c r="UQR40" s="51"/>
      <c r="UQS40" s="51"/>
      <c r="UQT40" s="51"/>
      <c r="UQU40" s="51"/>
      <c r="UQV40" s="51"/>
      <c r="UQW40" s="51"/>
      <c r="UQX40" s="51"/>
      <c r="UQY40" s="51"/>
      <c r="UQZ40" s="51"/>
      <c r="URA40" s="51"/>
      <c r="URB40" s="51"/>
      <c r="URC40" s="51"/>
      <c r="URD40" s="51"/>
      <c r="URE40" s="51"/>
      <c r="URF40" s="51"/>
      <c r="URG40" s="51"/>
      <c r="URH40" s="51"/>
      <c r="URI40" s="51"/>
      <c r="URJ40" s="51"/>
      <c r="URK40" s="51"/>
      <c r="URL40" s="51"/>
      <c r="URM40" s="51"/>
      <c r="URN40" s="51"/>
      <c r="URO40" s="51"/>
      <c r="URP40" s="51"/>
      <c r="URQ40" s="51"/>
      <c r="URR40" s="51"/>
      <c r="URS40" s="51"/>
      <c r="URT40" s="51"/>
      <c r="URU40" s="51"/>
      <c r="URV40" s="51"/>
      <c r="URW40" s="51"/>
      <c r="URX40" s="51"/>
      <c r="URY40" s="51"/>
      <c r="URZ40" s="51"/>
      <c r="USA40" s="51"/>
      <c r="USB40" s="51"/>
      <c r="USC40" s="51"/>
      <c r="USD40" s="51"/>
      <c r="USE40" s="51"/>
      <c r="USF40" s="51"/>
      <c r="USG40" s="51"/>
      <c r="USH40" s="51"/>
      <c r="USI40" s="51"/>
      <c r="USJ40" s="51"/>
      <c r="USK40" s="51"/>
      <c r="USL40" s="51"/>
      <c r="USM40" s="51"/>
      <c r="USN40" s="51"/>
      <c r="USO40" s="51"/>
      <c r="USP40" s="51"/>
      <c r="USQ40" s="51"/>
      <c r="USR40" s="51"/>
      <c r="USS40" s="51"/>
      <c r="UST40" s="51"/>
      <c r="USU40" s="51"/>
      <c r="USV40" s="51"/>
      <c r="USW40" s="51"/>
      <c r="USX40" s="51"/>
      <c r="USY40" s="51"/>
      <c r="USZ40" s="51"/>
      <c r="UTA40" s="51"/>
      <c r="UTB40" s="51"/>
      <c r="UTC40" s="51"/>
      <c r="UTD40" s="51"/>
      <c r="UTE40" s="51"/>
      <c r="UTF40" s="51"/>
      <c r="UTG40" s="51"/>
      <c r="UTH40" s="51"/>
      <c r="UTI40" s="51"/>
      <c r="UTJ40" s="51"/>
      <c r="UTK40" s="51"/>
      <c r="UTL40" s="51"/>
      <c r="UTM40" s="51"/>
      <c r="UTN40" s="51"/>
      <c r="UTO40" s="51"/>
      <c r="UTP40" s="51"/>
      <c r="UTQ40" s="51"/>
      <c r="UTR40" s="51"/>
      <c r="UTS40" s="51"/>
      <c r="UTT40" s="51"/>
      <c r="UTU40" s="51"/>
      <c r="UTV40" s="51"/>
      <c r="UTW40" s="51"/>
      <c r="UTX40" s="51"/>
      <c r="UTY40" s="51"/>
      <c r="UTZ40" s="51"/>
      <c r="UUA40" s="51"/>
      <c r="UUB40" s="51"/>
      <c r="UUC40" s="51"/>
      <c r="UUD40" s="51"/>
      <c r="UUE40" s="51"/>
      <c r="UUF40" s="51"/>
      <c r="UUG40" s="51"/>
      <c r="UUH40" s="51"/>
      <c r="UUI40" s="51"/>
      <c r="UUJ40" s="51"/>
      <c r="UUK40" s="51"/>
      <c r="UUL40" s="51"/>
      <c r="UUM40" s="51"/>
      <c r="UUN40" s="51"/>
      <c r="UUO40" s="51"/>
      <c r="UUP40" s="51"/>
      <c r="UUQ40" s="51"/>
      <c r="UUR40" s="51"/>
      <c r="UUS40" s="51"/>
      <c r="UUT40" s="51"/>
      <c r="UUU40" s="51"/>
      <c r="UUV40" s="51"/>
      <c r="UUW40" s="51"/>
      <c r="UUX40" s="51"/>
      <c r="UUY40" s="51"/>
      <c r="UUZ40" s="51"/>
      <c r="UVA40" s="51"/>
      <c r="UVB40" s="51"/>
      <c r="UVC40" s="51"/>
      <c r="UVD40" s="51"/>
      <c r="UVE40" s="51"/>
      <c r="UVF40" s="51"/>
      <c r="UVG40" s="51"/>
      <c r="UVH40" s="51"/>
      <c r="UVI40" s="51"/>
      <c r="UVJ40" s="51"/>
      <c r="UVK40" s="51"/>
      <c r="UVL40" s="51"/>
      <c r="UVM40" s="51"/>
      <c r="UVN40" s="51"/>
      <c r="UVO40" s="51"/>
      <c r="UVP40" s="51"/>
      <c r="UVQ40" s="51"/>
      <c r="UVR40" s="51"/>
      <c r="UVS40" s="51"/>
      <c r="UVT40" s="51"/>
      <c r="UVU40" s="51"/>
      <c r="UVV40" s="51"/>
      <c r="UVW40" s="51"/>
      <c r="UVX40" s="51"/>
      <c r="UVY40" s="51"/>
      <c r="UVZ40" s="51"/>
      <c r="UWA40" s="51"/>
      <c r="UWB40" s="51"/>
      <c r="UWC40" s="51"/>
      <c r="UWD40" s="51"/>
      <c r="UWE40" s="51"/>
      <c r="UWF40" s="51"/>
      <c r="UWG40" s="51"/>
      <c r="UWH40" s="51"/>
      <c r="UWI40" s="51"/>
      <c r="UWJ40" s="51"/>
      <c r="UWK40" s="51"/>
      <c r="UWL40" s="51"/>
      <c r="UWM40" s="51"/>
      <c r="UWN40" s="51"/>
      <c r="UWO40" s="51"/>
      <c r="UWP40" s="51"/>
      <c r="UWQ40" s="51"/>
      <c r="UWR40" s="51"/>
      <c r="UWS40" s="51"/>
      <c r="UWT40" s="51"/>
      <c r="UWU40" s="51"/>
      <c r="UWV40" s="51"/>
      <c r="UWW40" s="51"/>
      <c r="UWX40" s="51"/>
      <c r="UWY40" s="51"/>
      <c r="UWZ40" s="51"/>
      <c r="UXA40" s="51"/>
      <c r="UXB40" s="51"/>
      <c r="UXC40" s="51"/>
      <c r="UXD40" s="51"/>
      <c r="UXE40" s="51"/>
      <c r="UXF40" s="51"/>
      <c r="UXG40" s="51"/>
      <c r="UXH40" s="51"/>
      <c r="UXI40" s="51"/>
      <c r="UXJ40" s="51"/>
      <c r="UXK40" s="51"/>
      <c r="UXL40" s="51"/>
      <c r="UXM40" s="51"/>
      <c r="UXN40" s="51"/>
      <c r="UXO40" s="51"/>
      <c r="UXP40" s="51"/>
      <c r="UXQ40" s="51"/>
      <c r="UXR40" s="51"/>
      <c r="UXS40" s="51"/>
      <c r="UXT40" s="51"/>
      <c r="UXU40" s="51"/>
      <c r="UXV40" s="51"/>
      <c r="UXW40" s="51"/>
      <c r="UXX40" s="51"/>
      <c r="UXY40" s="51"/>
      <c r="UXZ40" s="51"/>
      <c r="UYA40" s="51"/>
      <c r="UYB40" s="51"/>
      <c r="UYC40" s="51"/>
      <c r="UYD40" s="51"/>
      <c r="UYE40" s="51"/>
      <c r="UYF40" s="51"/>
      <c r="UYG40" s="51"/>
      <c r="UYH40" s="51"/>
      <c r="UYI40" s="51"/>
      <c r="UYJ40" s="51"/>
      <c r="UYK40" s="51"/>
      <c r="UYL40" s="51"/>
      <c r="UYM40" s="51"/>
      <c r="UYN40" s="51"/>
      <c r="UYO40" s="51"/>
      <c r="UYP40" s="51"/>
      <c r="UYQ40" s="51"/>
      <c r="UYR40" s="51"/>
      <c r="UYS40" s="51"/>
      <c r="UYT40" s="51"/>
      <c r="UYU40" s="51"/>
      <c r="UYV40" s="51"/>
      <c r="UYW40" s="51"/>
      <c r="UYX40" s="51"/>
      <c r="UYY40" s="51"/>
      <c r="UYZ40" s="51"/>
      <c r="UZA40" s="51"/>
      <c r="UZB40" s="51"/>
      <c r="UZC40" s="51"/>
      <c r="UZD40" s="51"/>
      <c r="UZE40" s="51"/>
      <c r="UZF40" s="51"/>
      <c r="UZG40" s="51"/>
      <c r="UZH40" s="51"/>
      <c r="UZI40" s="51"/>
      <c r="UZJ40" s="51"/>
      <c r="UZK40" s="51"/>
      <c r="UZL40" s="51"/>
      <c r="UZM40" s="51"/>
      <c r="UZN40" s="51"/>
      <c r="UZO40" s="51"/>
      <c r="UZP40" s="51"/>
      <c r="UZQ40" s="51"/>
      <c r="UZR40" s="51"/>
      <c r="UZS40" s="51"/>
      <c r="UZT40" s="51"/>
      <c r="UZU40" s="51"/>
      <c r="UZV40" s="51"/>
      <c r="UZW40" s="51"/>
      <c r="UZX40" s="51"/>
      <c r="UZY40" s="51"/>
      <c r="UZZ40" s="51"/>
      <c r="VAA40" s="51"/>
      <c r="VAB40" s="51"/>
      <c r="VAC40" s="51"/>
      <c r="VAD40" s="51"/>
      <c r="VAE40" s="51"/>
      <c r="VAF40" s="51"/>
      <c r="VAG40" s="51"/>
      <c r="VAH40" s="51"/>
      <c r="VAI40" s="51"/>
      <c r="VAJ40" s="51"/>
      <c r="VAK40" s="51"/>
      <c r="VAL40" s="51"/>
      <c r="VAM40" s="51"/>
      <c r="VAN40" s="51"/>
      <c r="VAO40" s="51"/>
      <c r="VAP40" s="51"/>
      <c r="VAQ40" s="51"/>
      <c r="VAR40" s="51"/>
      <c r="VAS40" s="51"/>
      <c r="VAT40" s="51"/>
      <c r="VAU40" s="51"/>
      <c r="VAV40" s="51"/>
      <c r="VAW40" s="51"/>
      <c r="VAX40" s="51"/>
      <c r="VAY40" s="51"/>
      <c r="VAZ40" s="51"/>
      <c r="VBA40" s="51"/>
      <c r="VBB40" s="51"/>
      <c r="VBC40" s="51"/>
      <c r="VBD40" s="51"/>
      <c r="VBE40" s="51"/>
      <c r="VBF40" s="51"/>
      <c r="VBG40" s="51"/>
      <c r="VBH40" s="51"/>
      <c r="VBI40" s="51"/>
      <c r="VBJ40" s="51"/>
      <c r="VBK40" s="51"/>
      <c r="VBL40" s="51"/>
      <c r="VBM40" s="51"/>
      <c r="VBN40" s="51"/>
      <c r="VBO40" s="51"/>
      <c r="VBP40" s="51"/>
      <c r="VBQ40" s="51"/>
      <c r="VBR40" s="51"/>
      <c r="VBS40" s="51"/>
      <c r="VBT40" s="51"/>
      <c r="VBU40" s="51"/>
      <c r="VBV40" s="51"/>
      <c r="VBW40" s="51"/>
      <c r="VBX40" s="51"/>
      <c r="VBY40" s="51"/>
      <c r="VBZ40" s="51"/>
      <c r="VCA40" s="51"/>
      <c r="VCB40" s="51"/>
      <c r="VCC40" s="51"/>
      <c r="VCD40" s="51"/>
      <c r="VCE40" s="51"/>
      <c r="VCF40" s="51"/>
      <c r="VCG40" s="51"/>
      <c r="VCH40" s="51"/>
      <c r="VCI40" s="51"/>
      <c r="VCJ40" s="51"/>
      <c r="VCK40" s="51"/>
      <c r="VCL40" s="51"/>
      <c r="VCM40" s="51"/>
      <c r="VCN40" s="51"/>
      <c r="VCO40" s="51"/>
      <c r="VCP40" s="51"/>
      <c r="VCQ40" s="51"/>
      <c r="VCR40" s="51"/>
      <c r="VCS40" s="51"/>
      <c r="VCT40" s="51"/>
      <c r="VCU40" s="51"/>
      <c r="VCV40" s="51"/>
      <c r="VCW40" s="51"/>
      <c r="VCX40" s="51"/>
      <c r="VCY40" s="51"/>
      <c r="VCZ40" s="51"/>
      <c r="VDA40" s="51"/>
      <c r="VDB40" s="51"/>
      <c r="VDC40" s="51"/>
      <c r="VDD40" s="51"/>
      <c r="VDE40" s="51"/>
      <c r="VDF40" s="51"/>
      <c r="VDG40" s="51"/>
      <c r="VDH40" s="51"/>
      <c r="VDI40" s="51"/>
      <c r="VDJ40" s="51"/>
      <c r="VDK40" s="51"/>
      <c r="VDL40" s="51"/>
      <c r="VDM40" s="51"/>
      <c r="VDN40" s="51"/>
      <c r="VDO40" s="51"/>
      <c r="VDP40" s="51"/>
      <c r="VDQ40" s="51"/>
      <c r="VDR40" s="51"/>
      <c r="VDS40" s="51"/>
      <c r="VDT40" s="51"/>
      <c r="VDU40" s="51"/>
      <c r="VDV40" s="51"/>
      <c r="VDW40" s="51"/>
      <c r="VDX40" s="51"/>
      <c r="VDY40" s="51"/>
      <c r="VDZ40" s="51"/>
      <c r="VEA40" s="51"/>
      <c r="VEB40" s="51"/>
      <c r="VEC40" s="51"/>
      <c r="VED40" s="51"/>
      <c r="VEE40" s="51"/>
      <c r="VEF40" s="51"/>
      <c r="VEG40" s="51"/>
      <c r="VEH40" s="51"/>
      <c r="VEI40" s="51"/>
      <c r="VEJ40" s="51"/>
      <c r="VEK40" s="51"/>
      <c r="VEL40" s="51"/>
      <c r="VEM40" s="51"/>
      <c r="VEN40" s="51"/>
      <c r="VEO40" s="51"/>
      <c r="VEP40" s="51"/>
      <c r="VEQ40" s="51"/>
      <c r="VER40" s="51"/>
      <c r="VES40" s="51"/>
      <c r="VET40" s="51"/>
      <c r="VEU40" s="51"/>
      <c r="VEV40" s="51"/>
      <c r="VEW40" s="51"/>
      <c r="VEX40" s="51"/>
      <c r="VEY40" s="51"/>
      <c r="VEZ40" s="51"/>
      <c r="VFA40" s="51"/>
      <c r="VFB40" s="51"/>
      <c r="VFC40" s="51"/>
      <c r="VFD40" s="51"/>
      <c r="VFE40" s="51"/>
      <c r="VFF40" s="51"/>
      <c r="VFG40" s="51"/>
      <c r="VFH40" s="51"/>
      <c r="VFI40" s="51"/>
      <c r="VFJ40" s="51"/>
      <c r="VFK40" s="51"/>
      <c r="VFL40" s="51"/>
      <c r="VFM40" s="51"/>
      <c r="VFN40" s="51"/>
      <c r="VFO40" s="51"/>
      <c r="VFP40" s="51"/>
      <c r="VFQ40" s="51"/>
      <c r="VFR40" s="51"/>
      <c r="VFS40" s="51"/>
      <c r="VFT40" s="51"/>
      <c r="VFU40" s="51"/>
      <c r="VFV40" s="51"/>
      <c r="VFW40" s="51"/>
      <c r="VFX40" s="51"/>
      <c r="VFY40" s="51"/>
      <c r="VFZ40" s="51"/>
      <c r="VGA40" s="51"/>
      <c r="VGB40" s="51"/>
      <c r="VGC40" s="51"/>
      <c r="VGD40" s="51"/>
      <c r="VGE40" s="51"/>
      <c r="VGF40" s="51"/>
      <c r="VGG40" s="51"/>
      <c r="VGH40" s="51"/>
      <c r="VGI40" s="51"/>
      <c r="VGJ40" s="51"/>
      <c r="VGK40" s="51"/>
      <c r="VGL40" s="51"/>
      <c r="VGM40" s="51"/>
      <c r="VGN40" s="51"/>
      <c r="VGO40" s="51"/>
      <c r="VGP40" s="51"/>
      <c r="VGQ40" s="51"/>
      <c r="VGR40" s="51"/>
      <c r="VGS40" s="51"/>
      <c r="VGT40" s="51"/>
      <c r="VGU40" s="51"/>
      <c r="VGV40" s="51"/>
      <c r="VGW40" s="51"/>
      <c r="VGX40" s="51"/>
      <c r="VGY40" s="51"/>
      <c r="VGZ40" s="51"/>
      <c r="VHA40" s="51"/>
      <c r="VHB40" s="51"/>
      <c r="VHC40" s="51"/>
      <c r="VHD40" s="51"/>
      <c r="VHE40" s="51"/>
      <c r="VHF40" s="51"/>
      <c r="VHG40" s="51"/>
      <c r="VHH40" s="51"/>
      <c r="VHI40" s="51"/>
      <c r="VHJ40" s="51"/>
      <c r="VHK40" s="51"/>
      <c r="VHL40" s="51"/>
      <c r="VHM40" s="51"/>
      <c r="VHN40" s="51"/>
      <c r="VHO40" s="51"/>
      <c r="VHP40" s="51"/>
      <c r="VHQ40" s="51"/>
      <c r="VHR40" s="51"/>
      <c r="VHS40" s="51"/>
      <c r="VHT40" s="51"/>
      <c r="VHU40" s="51"/>
      <c r="VHV40" s="51"/>
      <c r="VHW40" s="51"/>
      <c r="VHX40" s="51"/>
      <c r="VHY40" s="51"/>
      <c r="VHZ40" s="51"/>
      <c r="VIA40" s="51"/>
      <c r="VIB40" s="51"/>
      <c r="VIC40" s="51"/>
      <c r="VID40" s="51"/>
      <c r="VIE40" s="51"/>
      <c r="VIF40" s="51"/>
      <c r="VIG40" s="51"/>
      <c r="VIH40" s="51"/>
      <c r="VII40" s="51"/>
      <c r="VIJ40" s="51"/>
      <c r="VIK40" s="51"/>
      <c r="VIL40" s="51"/>
      <c r="VIM40" s="51"/>
      <c r="VIN40" s="51"/>
      <c r="VIO40" s="51"/>
      <c r="VIP40" s="51"/>
      <c r="VIQ40" s="51"/>
      <c r="VIR40" s="51"/>
      <c r="VIS40" s="51"/>
      <c r="VIT40" s="51"/>
      <c r="VIU40" s="51"/>
      <c r="VIV40" s="51"/>
      <c r="VIW40" s="51"/>
      <c r="VIX40" s="51"/>
      <c r="VIY40" s="51"/>
      <c r="VIZ40" s="51"/>
      <c r="VJA40" s="51"/>
      <c r="VJB40" s="51"/>
      <c r="VJC40" s="51"/>
      <c r="VJD40" s="51"/>
      <c r="VJE40" s="51"/>
      <c r="VJF40" s="51"/>
      <c r="VJG40" s="51"/>
      <c r="VJH40" s="51"/>
      <c r="VJI40" s="51"/>
      <c r="VJJ40" s="51"/>
      <c r="VJK40" s="51"/>
      <c r="VJL40" s="51"/>
      <c r="VJM40" s="51"/>
      <c r="VJN40" s="51"/>
      <c r="VJO40" s="51"/>
      <c r="VJP40" s="51"/>
      <c r="VJQ40" s="51"/>
      <c r="VJR40" s="51"/>
      <c r="VJS40" s="51"/>
      <c r="VJT40" s="51"/>
      <c r="VJU40" s="51"/>
      <c r="VJV40" s="51"/>
      <c r="VJW40" s="51"/>
      <c r="VJX40" s="51"/>
      <c r="VJY40" s="51"/>
      <c r="VJZ40" s="51"/>
      <c r="VKA40" s="51"/>
      <c r="VKB40" s="51"/>
      <c r="VKC40" s="51"/>
      <c r="VKD40" s="51"/>
      <c r="VKE40" s="51"/>
      <c r="VKF40" s="51"/>
      <c r="VKG40" s="51"/>
      <c r="VKH40" s="51"/>
      <c r="VKI40" s="51"/>
      <c r="VKJ40" s="51"/>
      <c r="VKK40" s="51"/>
      <c r="VKL40" s="51"/>
      <c r="VKM40" s="51"/>
      <c r="VKN40" s="51"/>
      <c r="VKO40" s="51"/>
      <c r="VKP40" s="51"/>
      <c r="VKQ40" s="51"/>
      <c r="VKR40" s="51"/>
      <c r="VKS40" s="51"/>
      <c r="VKT40" s="51"/>
      <c r="VKU40" s="51"/>
      <c r="VKV40" s="51"/>
      <c r="VKW40" s="51"/>
      <c r="VKX40" s="51"/>
      <c r="VKY40" s="51"/>
      <c r="VKZ40" s="51"/>
      <c r="VLA40" s="51"/>
      <c r="VLB40" s="51"/>
      <c r="VLC40" s="51"/>
      <c r="VLD40" s="51"/>
      <c r="VLE40" s="51"/>
      <c r="VLF40" s="51"/>
      <c r="VLG40" s="51"/>
      <c r="VLH40" s="51"/>
      <c r="VLI40" s="51"/>
      <c r="VLJ40" s="51"/>
      <c r="VLK40" s="51"/>
      <c r="VLL40" s="51"/>
      <c r="VLM40" s="51"/>
      <c r="VLN40" s="51"/>
      <c r="VLO40" s="51"/>
      <c r="VLP40" s="51"/>
      <c r="VLQ40" s="51"/>
      <c r="VLR40" s="51"/>
      <c r="VLS40" s="51"/>
      <c r="VLT40" s="51"/>
      <c r="VLU40" s="51"/>
      <c r="VLV40" s="51"/>
      <c r="VLW40" s="51"/>
      <c r="VLX40" s="51"/>
      <c r="VLY40" s="51"/>
      <c r="VLZ40" s="51"/>
      <c r="VMA40" s="51"/>
      <c r="VMB40" s="51"/>
      <c r="VMC40" s="51"/>
      <c r="VMD40" s="51"/>
      <c r="VME40" s="51"/>
      <c r="VMF40" s="51"/>
      <c r="VMG40" s="51"/>
      <c r="VMH40" s="51"/>
      <c r="VMI40" s="51"/>
      <c r="VMJ40" s="51"/>
      <c r="VMK40" s="51"/>
      <c r="VML40" s="51"/>
      <c r="VMM40" s="51"/>
      <c r="VMN40" s="51"/>
      <c r="VMO40" s="51"/>
      <c r="VMP40" s="51"/>
      <c r="VMQ40" s="51"/>
      <c r="VMR40" s="51"/>
      <c r="VMS40" s="51"/>
      <c r="VMT40" s="51"/>
      <c r="VMU40" s="51"/>
      <c r="VMV40" s="51"/>
      <c r="VMW40" s="51"/>
      <c r="VMX40" s="51"/>
      <c r="VMY40" s="51"/>
      <c r="VMZ40" s="51"/>
      <c r="VNA40" s="51"/>
      <c r="VNB40" s="51"/>
      <c r="VNC40" s="51"/>
      <c r="VND40" s="51"/>
      <c r="VNE40" s="51"/>
      <c r="VNF40" s="51"/>
      <c r="VNG40" s="51"/>
      <c r="VNH40" s="51"/>
      <c r="VNI40" s="51"/>
      <c r="VNJ40" s="51"/>
      <c r="VNK40" s="51"/>
      <c r="VNL40" s="51"/>
      <c r="VNM40" s="51"/>
      <c r="VNN40" s="51"/>
      <c r="VNO40" s="51"/>
      <c r="VNP40" s="51"/>
      <c r="VNQ40" s="51"/>
      <c r="VNR40" s="51"/>
      <c r="VNS40" s="51"/>
      <c r="VNT40" s="51"/>
      <c r="VNU40" s="51"/>
      <c r="VNV40" s="51"/>
      <c r="VNW40" s="51"/>
      <c r="VNX40" s="51"/>
      <c r="VNY40" s="51"/>
      <c r="VNZ40" s="51"/>
      <c r="VOA40" s="51"/>
      <c r="VOB40" s="51"/>
      <c r="VOC40" s="51"/>
      <c r="VOD40" s="51"/>
      <c r="VOE40" s="51"/>
      <c r="VOF40" s="51"/>
      <c r="VOG40" s="51"/>
      <c r="VOH40" s="51"/>
      <c r="VOI40" s="51"/>
      <c r="VOJ40" s="51"/>
      <c r="VOK40" s="51"/>
      <c r="VOL40" s="51"/>
      <c r="VOM40" s="51"/>
      <c r="VON40" s="51"/>
      <c r="VOO40" s="51"/>
      <c r="VOP40" s="51"/>
      <c r="VOQ40" s="51"/>
      <c r="VOR40" s="51"/>
      <c r="VOS40" s="51"/>
      <c r="VOT40" s="51"/>
      <c r="VOU40" s="51"/>
      <c r="VOV40" s="51"/>
      <c r="VOW40" s="51"/>
      <c r="VOX40" s="51"/>
      <c r="VOY40" s="51"/>
      <c r="VOZ40" s="51"/>
      <c r="VPA40" s="51"/>
      <c r="VPB40" s="51"/>
      <c r="VPC40" s="51"/>
      <c r="VPD40" s="51"/>
      <c r="VPE40" s="51"/>
      <c r="VPF40" s="51"/>
      <c r="VPG40" s="51"/>
      <c r="VPH40" s="51"/>
      <c r="VPI40" s="51"/>
      <c r="VPJ40" s="51"/>
      <c r="VPK40" s="51"/>
      <c r="VPL40" s="51"/>
      <c r="VPM40" s="51"/>
      <c r="VPN40" s="51"/>
      <c r="VPO40" s="51"/>
      <c r="VPP40" s="51"/>
      <c r="VPQ40" s="51"/>
      <c r="VPR40" s="51"/>
      <c r="VPS40" s="51"/>
      <c r="VPT40" s="51"/>
      <c r="VPU40" s="51"/>
      <c r="VPV40" s="51"/>
      <c r="VPW40" s="51"/>
      <c r="VPX40" s="51"/>
      <c r="VPY40" s="51"/>
      <c r="VPZ40" s="51"/>
      <c r="VQA40" s="51"/>
      <c r="VQB40" s="51"/>
      <c r="VQC40" s="51"/>
      <c r="VQD40" s="51"/>
      <c r="VQE40" s="51"/>
      <c r="VQF40" s="51"/>
      <c r="VQG40" s="51"/>
      <c r="VQH40" s="51"/>
      <c r="VQI40" s="51"/>
      <c r="VQJ40" s="51"/>
      <c r="VQK40" s="51"/>
      <c r="VQL40" s="51"/>
      <c r="VQM40" s="51"/>
      <c r="VQN40" s="51"/>
      <c r="VQO40" s="51"/>
      <c r="VQP40" s="51"/>
      <c r="VQQ40" s="51"/>
      <c r="VQR40" s="51"/>
      <c r="VQS40" s="51"/>
      <c r="VQT40" s="51"/>
      <c r="VQU40" s="51"/>
      <c r="VQV40" s="51"/>
      <c r="VQW40" s="51"/>
      <c r="VQX40" s="51"/>
      <c r="VQY40" s="51"/>
      <c r="VQZ40" s="51"/>
      <c r="VRA40" s="51"/>
      <c r="VRB40" s="51"/>
      <c r="VRC40" s="51"/>
      <c r="VRD40" s="51"/>
      <c r="VRE40" s="51"/>
      <c r="VRF40" s="51"/>
      <c r="VRG40" s="51"/>
      <c r="VRH40" s="51"/>
      <c r="VRI40" s="51"/>
      <c r="VRJ40" s="51"/>
      <c r="VRK40" s="51"/>
      <c r="VRL40" s="51"/>
      <c r="VRM40" s="51"/>
      <c r="VRN40" s="51"/>
      <c r="VRO40" s="51"/>
      <c r="VRP40" s="51"/>
      <c r="VRQ40" s="51"/>
      <c r="VRR40" s="51"/>
      <c r="VRS40" s="51"/>
      <c r="VRT40" s="51"/>
      <c r="VRU40" s="51"/>
      <c r="VRV40" s="51"/>
      <c r="VRW40" s="51"/>
      <c r="VRX40" s="51"/>
      <c r="VRY40" s="51"/>
      <c r="VRZ40" s="51"/>
      <c r="VSA40" s="51"/>
      <c r="VSB40" s="51"/>
      <c r="VSC40" s="51"/>
      <c r="VSD40" s="51"/>
      <c r="VSE40" s="51"/>
      <c r="VSF40" s="51"/>
      <c r="VSG40" s="51"/>
      <c r="VSH40" s="51"/>
      <c r="VSI40" s="51"/>
      <c r="VSJ40" s="51"/>
      <c r="VSK40" s="51"/>
      <c r="VSL40" s="51"/>
      <c r="VSM40" s="51"/>
      <c r="VSN40" s="51"/>
      <c r="VSO40" s="51"/>
      <c r="VSP40" s="51"/>
      <c r="VSQ40" s="51"/>
      <c r="VSR40" s="51"/>
      <c r="VSS40" s="51"/>
      <c r="VST40" s="51"/>
      <c r="VSU40" s="51"/>
      <c r="VSV40" s="51"/>
      <c r="VSW40" s="51"/>
      <c r="VSX40" s="51"/>
      <c r="VSY40" s="51"/>
      <c r="VSZ40" s="51"/>
      <c r="VTA40" s="51"/>
      <c r="VTB40" s="51"/>
      <c r="VTC40" s="51"/>
      <c r="VTD40" s="51"/>
      <c r="VTE40" s="51"/>
      <c r="VTF40" s="51"/>
      <c r="VTG40" s="51"/>
      <c r="VTH40" s="51"/>
      <c r="VTI40" s="51"/>
      <c r="VTJ40" s="51"/>
      <c r="VTK40" s="51"/>
      <c r="VTL40" s="51"/>
      <c r="VTM40" s="51"/>
      <c r="VTN40" s="51"/>
      <c r="VTO40" s="51"/>
      <c r="VTP40" s="51"/>
      <c r="VTQ40" s="51"/>
      <c r="VTR40" s="51"/>
      <c r="VTS40" s="51"/>
      <c r="VTT40" s="51"/>
      <c r="VTU40" s="51"/>
      <c r="VTV40" s="51"/>
      <c r="VTW40" s="51"/>
      <c r="VTX40" s="51"/>
      <c r="VTY40" s="51"/>
      <c r="VTZ40" s="51"/>
      <c r="VUA40" s="51"/>
      <c r="VUB40" s="51"/>
      <c r="VUC40" s="51"/>
      <c r="VUD40" s="51"/>
      <c r="VUE40" s="51"/>
      <c r="VUF40" s="51"/>
      <c r="VUG40" s="51"/>
      <c r="VUH40" s="51"/>
      <c r="VUI40" s="51"/>
      <c r="VUJ40" s="51"/>
      <c r="VUK40" s="51"/>
      <c r="VUL40" s="51"/>
      <c r="VUM40" s="51"/>
      <c r="VUN40" s="51"/>
      <c r="VUO40" s="51"/>
      <c r="VUP40" s="51"/>
      <c r="VUQ40" s="51"/>
      <c r="VUR40" s="51"/>
      <c r="VUS40" s="51"/>
      <c r="VUT40" s="51"/>
      <c r="VUU40" s="51"/>
      <c r="VUV40" s="51"/>
      <c r="VUW40" s="51"/>
      <c r="VUX40" s="51"/>
      <c r="VUY40" s="51"/>
      <c r="VUZ40" s="51"/>
      <c r="VVA40" s="51"/>
      <c r="VVB40" s="51"/>
      <c r="VVC40" s="51"/>
      <c r="VVD40" s="51"/>
      <c r="VVE40" s="51"/>
      <c r="VVF40" s="51"/>
      <c r="VVG40" s="51"/>
      <c r="VVH40" s="51"/>
      <c r="VVI40" s="51"/>
      <c r="VVJ40" s="51"/>
      <c r="VVK40" s="51"/>
      <c r="VVL40" s="51"/>
      <c r="VVM40" s="51"/>
      <c r="VVN40" s="51"/>
      <c r="VVO40" s="51"/>
      <c r="VVP40" s="51"/>
      <c r="VVQ40" s="51"/>
      <c r="VVR40" s="51"/>
      <c r="VVS40" s="51"/>
      <c r="VVT40" s="51"/>
      <c r="VVU40" s="51"/>
      <c r="VVV40" s="51"/>
      <c r="VVW40" s="51"/>
      <c r="VVX40" s="51"/>
      <c r="VVY40" s="51"/>
      <c r="VVZ40" s="51"/>
      <c r="VWA40" s="51"/>
      <c r="VWB40" s="51"/>
      <c r="VWC40" s="51"/>
      <c r="VWD40" s="51"/>
      <c r="VWE40" s="51"/>
      <c r="VWF40" s="51"/>
      <c r="VWG40" s="51"/>
      <c r="VWH40" s="51"/>
      <c r="VWI40" s="51"/>
      <c r="VWJ40" s="51"/>
      <c r="VWK40" s="51"/>
      <c r="VWL40" s="51"/>
      <c r="VWM40" s="51"/>
      <c r="VWN40" s="51"/>
      <c r="VWO40" s="51"/>
      <c r="VWP40" s="51"/>
      <c r="VWQ40" s="51"/>
      <c r="VWR40" s="51"/>
      <c r="VWS40" s="51"/>
      <c r="VWT40" s="51"/>
      <c r="VWU40" s="51"/>
      <c r="VWV40" s="51"/>
      <c r="VWW40" s="51"/>
      <c r="VWX40" s="51"/>
      <c r="VWY40" s="51"/>
      <c r="VWZ40" s="51"/>
      <c r="VXA40" s="51"/>
      <c r="VXB40" s="51"/>
      <c r="VXC40" s="51"/>
      <c r="VXD40" s="51"/>
      <c r="VXE40" s="51"/>
      <c r="VXF40" s="51"/>
      <c r="VXG40" s="51"/>
      <c r="VXH40" s="51"/>
      <c r="VXI40" s="51"/>
      <c r="VXJ40" s="51"/>
      <c r="VXK40" s="51"/>
      <c r="VXL40" s="51"/>
      <c r="VXM40" s="51"/>
      <c r="VXN40" s="51"/>
      <c r="VXO40" s="51"/>
      <c r="VXP40" s="51"/>
      <c r="VXQ40" s="51"/>
      <c r="VXR40" s="51"/>
      <c r="VXS40" s="51"/>
      <c r="VXT40" s="51"/>
      <c r="VXU40" s="51"/>
      <c r="VXV40" s="51"/>
      <c r="VXW40" s="51"/>
      <c r="VXX40" s="51"/>
      <c r="VXY40" s="51"/>
      <c r="VXZ40" s="51"/>
      <c r="VYA40" s="51"/>
      <c r="VYB40" s="51"/>
      <c r="VYC40" s="51"/>
      <c r="VYD40" s="51"/>
      <c r="VYE40" s="51"/>
      <c r="VYF40" s="51"/>
      <c r="VYG40" s="51"/>
      <c r="VYH40" s="51"/>
      <c r="VYI40" s="51"/>
      <c r="VYJ40" s="51"/>
      <c r="VYK40" s="51"/>
      <c r="VYL40" s="51"/>
      <c r="VYM40" s="51"/>
      <c r="VYN40" s="51"/>
      <c r="VYO40" s="51"/>
      <c r="VYP40" s="51"/>
      <c r="VYQ40" s="51"/>
      <c r="VYR40" s="51"/>
      <c r="VYS40" s="51"/>
      <c r="VYT40" s="51"/>
      <c r="VYU40" s="51"/>
      <c r="VYV40" s="51"/>
      <c r="VYW40" s="51"/>
      <c r="VYX40" s="51"/>
      <c r="VYY40" s="51"/>
      <c r="VYZ40" s="51"/>
      <c r="VZA40" s="51"/>
      <c r="VZB40" s="51"/>
      <c r="VZC40" s="51"/>
      <c r="VZD40" s="51"/>
      <c r="VZE40" s="51"/>
      <c r="VZF40" s="51"/>
      <c r="VZG40" s="51"/>
      <c r="VZH40" s="51"/>
      <c r="VZI40" s="51"/>
      <c r="VZJ40" s="51"/>
      <c r="VZK40" s="51"/>
      <c r="VZL40" s="51"/>
      <c r="VZM40" s="51"/>
      <c r="VZN40" s="51"/>
      <c r="VZO40" s="51"/>
      <c r="VZP40" s="51"/>
      <c r="VZQ40" s="51"/>
      <c r="VZR40" s="51"/>
      <c r="VZS40" s="51"/>
      <c r="VZT40" s="51"/>
      <c r="VZU40" s="51"/>
      <c r="VZV40" s="51"/>
      <c r="VZW40" s="51"/>
      <c r="VZX40" s="51"/>
      <c r="VZY40" s="51"/>
      <c r="VZZ40" s="51"/>
      <c r="WAA40" s="51"/>
      <c r="WAB40" s="51"/>
      <c r="WAC40" s="51"/>
      <c r="WAD40" s="51"/>
      <c r="WAE40" s="51"/>
      <c r="WAF40" s="51"/>
      <c r="WAG40" s="51"/>
      <c r="WAH40" s="51"/>
      <c r="WAI40" s="51"/>
      <c r="WAJ40" s="51"/>
      <c r="WAK40" s="51"/>
      <c r="WAL40" s="51"/>
      <c r="WAM40" s="51"/>
      <c r="WAN40" s="51"/>
      <c r="WAO40" s="51"/>
      <c r="WAP40" s="51"/>
      <c r="WAQ40" s="51"/>
      <c r="WAR40" s="51"/>
      <c r="WAS40" s="51"/>
      <c r="WAT40" s="51"/>
      <c r="WAU40" s="51"/>
      <c r="WAV40" s="51"/>
      <c r="WAW40" s="51"/>
      <c r="WAX40" s="51"/>
      <c r="WAY40" s="51"/>
      <c r="WAZ40" s="51"/>
      <c r="WBA40" s="51"/>
      <c r="WBB40" s="51"/>
      <c r="WBC40" s="51"/>
      <c r="WBD40" s="51"/>
      <c r="WBE40" s="51"/>
      <c r="WBF40" s="51"/>
      <c r="WBG40" s="51"/>
      <c r="WBH40" s="51"/>
      <c r="WBI40" s="51"/>
      <c r="WBJ40" s="51"/>
      <c r="WBK40" s="51"/>
      <c r="WBL40" s="51"/>
      <c r="WBM40" s="51"/>
      <c r="WBN40" s="51"/>
      <c r="WBO40" s="51"/>
      <c r="WBP40" s="51"/>
      <c r="WBQ40" s="51"/>
      <c r="WBR40" s="51"/>
      <c r="WBS40" s="51"/>
      <c r="WBT40" s="51"/>
      <c r="WBU40" s="51"/>
      <c r="WBV40" s="51"/>
      <c r="WBW40" s="51"/>
      <c r="WBX40" s="51"/>
      <c r="WBY40" s="51"/>
      <c r="WBZ40" s="51"/>
      <c r="WCA40" s="51"/>
      <c r="WCB40" s="51"/>
      <c r="WCC40" s="51"/>
      <c r="WCD40" s="51"/>
      <c r="WCE40" s="51"/>
      <c r="WCF40" s="51"/>
      <c r="WCG40" s="51"/>
      <c r="WCH40" s="51"/>
      <c r="WCI40" s="51"/>
      <c r="WCJ40" s="51"/>
      <c r="WCK40" s="51"/>
      <c r="WCL40" s="51"/>
      <c r="WCM40" s="51"/>
      <c r="WCN40" s="51"/>
      <c r="WCO40" s="51"/>
      <c r="WCP40" s="51"/>
      <c r="WCQ40" s="51"/>
      <c r="WCR40" s="51"/>
      <c r="WCS40" s="51"/>
      <c r="WCT40" s="51"/>
      <c r="WCU40" s="51"/>
      <c r="WCV40" s="51"/>
      <c r="WCW40" s="51"/>
      <c r="WCX40" s="51"/>
      <c r="WCY40" s="51"/>
      <c r="WCZ40" s="51"/>
      <c r="WDA40" s="51"/>
      <c r="WDB40" s="51"/>
      <c r="WDC40" s="51"/>
      <c r="WDD40" s="51"/>
      <c r="WDE40" s="51"/>
      <c r="WDF40" s="51"/>
      <c r="WDG40" s="51"/>
      <c r="WDH40" s="51"/>
      <c r="WDI40" s="51"/>
      <c r="WDJ40" s="51"/>
      <c r="WDK40" s="51"/>
      <c r="WDL40" s="51"/>
      <c r="WDM40" s="51"/>
      <c r="WDN40" s="51"/>
      <c r="WDO40" s="51"/>
      <c r="WDP40" s="51"/>
      <c r="WDQ40" s="51"/>
      <c r="WDR40" s="51"/>
      <c r="WDS40" s="51"/>
      <c r="WDT40" s="51"/>
      <c r="WDU40" s="51"/>
      <c r="WDV40" s="51"/>
      <c r="WDW40" s="51"/>
      <c r="WDX40" s="51"/>
      <c r="WDY40" s="51"/>
      <c r="WDZ40" s="51"/>
      <c r="WEA40" s="51"/>
      <c r="WEB40" s="51"/>
      <c r="WEC40" s="51"/>
      <c r="WED40" s="51"/>
      <c r="WEE40" s="51"/>
      <c r="WEF40" s="51"/>
      <c r="WEG40" s="51"/>
      <c r="WEH40" s="51"/>
      <c r="WEI40" s="51"/>
      <c r="WEJ40" s="51"/>
      <c r="WEK40" s="51"/>
      <c r="WEL40" s="51"/>
      <c r="WEM40" s="51"/>
      <c r="WEN40" s="51"/>
      <c r="WEO40" s="51"/>
      <c r="WEP40" s="51"/>
      <c r="WEQ40" s="51"/>
      <c r="WER40" s="51"/>
      <c r="WES40" s="51"/>
      <c r="WET40" s="51"/>
      <c r="WEU40" s="51"/>
      <c r="WEV40" s="51"/>
      <c r="WEW40" s="51"/>
      <c r="WEX40" s="51"/>
      <c r="WEY40" s="51"/>
      <c r="WEZ40" s="51"/>
      <c r="WFA40" s="51"/>
      <c r="WFB40" s="51"/>
      <c r="WFC40" s="51"/>
      <c r="WFD40" s="51"/>
      <c r="WFE40" s="51"/>
      <c r="WFF40" s="51"/>
      <c r="WFG40" s="51"/>
      <c r="WFH40" s="51"/>
      <c r="WFI40" s="51"/>
      <c r="WFJ40" s="51"/>
      <c r="WFK40" s="51"/>
      <c r="WFL40" s="51"/>
      <c r="WFM40" s="51"/>
      <c r="WFN40" s="51"/>
      <c r="WFO40" s="51"/>
      <c r="WFP40" s="51"/>
      <c r="WFQ40" s="51"/>
      <c r="WFR40" s="51"/>
      <c r="WFS40" s="51"/>
      <c r="WFT40" s="51"/>
      <c r="WFU40" s="51"/>
      <c r="WFV40" s="51"/>
      <c r="WFW40" s="51"/>
      <c r="WFX40" s="51"/>
      <c r="WFY40" s="51"/>
      <c r="WFZ40" s="51"/>
      <c r="WGA40" s="51"/>
      <c r="WGB40" s="51"/>
      <c r="WGC40" s="51"/>
      <c r="WGD40" s="51"/>
      <c r="WGE40" s="51"/>
      <c r="WGF40" s="51"/>
      <c r="WGG40" s="51"/>
      <c r="WGH40" s="51"/>
      <c r="WGI40" s="51"/>
      <c r="WGJ40" s="51"/>
      <c r="WGK40" s="51"/>
      <c r="WGL40" s="51"/>
      <c r="WGM40" s="51"/>
      <c r="WGN40" s="51"/>
      <c r="WGO40" s="51"/>
      <c r="WGP40" s="51"/>
      <c r="WGQ40" s="51"/>
      <c r="WGR40" s="51"/>
      <c r="WGS40" s="51"/>
      <c r="WGT40" s="51"/>
      <c r="WGU40" s="51"/>
      <c r="WGV40" s="51"/>
      <c r="WGW40" s="51"/>
      <c r="WGX40" s="51"/>
      <c r="WGY40" s="51"/>
      <c r="WGZ40" s="51"/>
      <c r="WHA40" s="51"/>
      <c r="WHB40" s="51"/>
      <c r="WHC40" s="51"/>
      <c r="WHD40" s="51"/>
      <c r="WHE40" s="51"/>
      <c r="WHF40" s="51"/>
      <c r="WHG40" s="51"/>
      <c r="WHH40" s="51"/>
      <c r="WHI40" s="51"/>
      <c r="WHJ40" s="51"/>
      <c r="WHK40" s="51"/>
      <c r="WHL40" s="51"/>
      <c r="WHM40" s="51"/>
      <c r="WHN40" s="51"/>
      <c r="WHO40" s="51"/>
      <c r="WHP40" s="51"/>
      <c r="WHQ40" s="51"/>
      <c r="WHR40" s="51"/>
      <c r="WHS40" s="51"/>
      <c r="WHT40" s="51"/>
      <c r="WHU40" s="51"/>
      <c r="WHV40" s="51"/>
      <c r="WHW40" s="51"/>
      <c r="WHX40" s="51"/>
      <c r="WHY40" s="51"/>
      <c r="WHZ40" s="51"/>
      <c r="WIA40" s="51"/>
      <c r="WIB40" s="51"/>
      <c r="WIC40" s="51"/>
      <c r="WID40" s="51"/>
      <c r="WIE40" s="51"/>
      <c r="WIF40" s="51"/>
      <c r="WIG40" s="51"/>
      <c r="WIH40" s="51"/>
      <c r="WII40" s="51"/>
      <c r="WIJ40" s="51"/>
      <c r="WIK40" s="51"/>
      <c r="WIL40" s="51"/>
      <c r="WIM40" s="51"/>
      <c r="WIN40" s="51"/>
      <c r="WIO40" s="51"/>
      <c r="WIP40" s="51"/>
      <c r="WIQ40" s="51"/>
      <c r="WIR40" s="51"/>
      <c r="WIS40" s="51"/>
      <c r="WIT40" s="51"/>
      <c r="WIU40" s="51"/>
      <c r="WIV40" s="51"/>
      <c r="WIW40" s="51"/>
      <c r="WIX40" s="51"/>
      <c r="WIY40" s="51"/>
      <c r="WIZ40" s="51"/>
      <c r="WJA40" s="51"/>
      <c r="WJB40" s="51"/>
      <c r="WJC40" s="51"/>
      <c r="WJD40" s="51"/>
      <c r="WJE40" s="51"/>
      <c r="WJF40" s="51"/>
      <c r="WJG40" s="51"/>
      <c r="WJH40" s="51"/>
      <c r="WJI40" s="51"/>
      <c r="WJJ40" s="51"/>
      <c r="WJK40" s="51"/>
      <c r="WJL40" s="51"/>
      <c r="WJM40" s="51"/>
      <c r="WJN40" s="51"/>
      <c r="WJO40" s="51"/>
      <c r="WJP40" s="51"/>
      <c r="WJQ40" s="51"/>
      <c r="WJR40" s="51"/>
      <c r="WJS40" s="51"/>
      <c r="WJT40" s="51"/>
      <c r="WJU40" s="51"/>
      <c r="WJV40" s="51"/>
      <c r="WJW40" s="51"/>
      <c r="WJX40" s="51"/>
      <c r="WJY40" s="51"/>
      <c r="WJZ40" s="51"/>
      <c r="WKA40" s="51"/>
      <c r="WKB40" s="51"/>
      <c r="WKC40" s="51"/>
      <c r="WKD40" s="51"/>
      <c r="WKE40" s="51"/>
      <c r="WKF40" s="51"/>
      <c r="WKG40" s="51"/>
      <c r="WKH40" s="51"/>
      <c r="WKI40" s="51"/>
      <c r="WKJ40" s="51"/>
      <c r="WKK40" s="51"/>
      <c r="WKL40" s="51"/>
      <c r="WKM40" s="51"/>
      <c r="WKN40" s="51"/>
      <c r="WKO40" s="51"/>
      <c r="WKP40" s="51"/>
      <c r="WKQ40" s="51"/>
      <c r="WKR40" s="51"/>
      <c r="WKS40" s="51"/>
      <c r="WKT40" s="51"/>
      <c r="WKU40" s="51"/>
      <c r="WKV40" s="51"/>
      <c r="WKW40" s="51"/>
      <c r="WKX40" s="51"/>
      <c r="WKY40" s="51"/>
      <c r="WKZ40" s="51"/>
      <c r="WLA40" s="51"/>
      <c r="WLB40" s="51"/>
      <c r="WLC40" s="51"/>
      <c r="WLD40" s="51"/>
      <c r="WLE40" s="51"/>
      <c r="WLF40" s="51"/>
      <c r="WLG40" s="51"/>
      <c r="WLH40" s="51"/>
      <c r="WLI40" s="51"/>
      <c r="WLJ40" s="51"/>
      <c r="WLK40" s="51"/>
      <c r="WLL40" s="51"/>
      <c r="WLM40" s="51"/>
      <c r="WLN40" s="51"/>
      <c r="WLO40" s="51"/>
      <c r="WLP40" s="51"/>
      <c r="WLQ40" s="51"/>
      <c r="WLR40" s="51"/>
      <c r="WLS40" s="51"/>
      <c r="WLT40" s="51"/>
      <c r="WLU40" s="51"/>
      <c r="WLV40" s="51"/>
      <c r="WLW40" s="51"/>
      <c r="WLX40" s="51"/>
      <c r="WLY40" s="51"/>
      <c r="WLZ40" s="51"/>
      <c r="WMA40" s="51"/>
      <c r="WMB40" s="51"/>
      <c r="WMC40" s="51"/>
      <c r="WMD40" s="51"/>
      <c r="WME40" s="51"/>
      <c r="WMF40" s="51"/>
      <c r="WMG40" s="51"/>
      <c r="WMH40" s="51"/>
      <c r="WMI40" s="51"/>
      <c r="WMJ40" s="51"/>
      <c r="WMK40" s="51"/>
      <c r="WML40" s="51"/>
      <c r="WMM40" s="51"/>
      <c r="WMN40" s="51"/>
      <c r="WMO40" s="51"/>
      <c r="WMP40" s="51"/>
      <c r="WMQ40" s="51"/>
      <c r="WMR40" s="51"/>
      <c r="WMS40" s="51"/>
      <c r="WMT40" s="51"/>
      <c r="WMU40" s="51"/>
      <c r="WMV40" s="51"/>
      <c r="WMW40" s="51"/>
      <c r="WMX40" s="51"/>
      <c r="WMY40" s="51"/>
      <c r="WMZ40" s="51"/>
      <c r="WNA40" s="51"/>
      <c r="WNB40" s="51"/>
      <c r="WNC40" s="51"/>
      <c r="WND40" s="51"/>
      <c r="WNE40" s="51"/>
      <c r="WNF40" s="51"/>
      <c r="WNG40" s="51"/>
      <c r="WNH40" s="51"/>
      <c r="WNI40" s="51"/>
      <c r="WNJ40" s="51"/>
      <c r="WNK40" s="51"/>
      <c r="WNL40" s="51"/>
      <c r="WNM40" s="51"/>
      <c r="WNN40" s="51"/>
      <c r="WNO40" s="51"/>
      <c r="WNP40" s="51"/>
      <c r="WNQ40" s="51"/>
      <c r="WNR40" s="51"/>
      <c r="WNS40" s="51"/>
      <c r="WNT40" s="51"/>
      <c r="WNU40" s="51"/>
      <c r="WNV40" s="51"/>
      <c r="WNW40" s="51"/>
      <c r="WNX40" s="51"/>
      <c r="WNY40" s="51"/>
      <c r="WNZ40" s="51"/>
      <c r="WOA40" s="51"/>
      <c r="WOB40" s="51"/>
      <c r="WOC40" s="51"/>
      <c r="WOD40" s="51"/>
      <c r="WOE40" s="51"/>
      <c r="WOF40" s="51"/>
      <c r="WOG40" s="51"/>
      <c r="WOH40" s="51"/>
      <c r="WOI40" s="51"/>
      <c r="WOJ40" s="51"/>
      <c r="WOK40" s="51"/>
      <c r="WOL40" s="51"/>
      <c r="WOM40" s="51"/>
      <c r="WON40" s="51"/>
      <c r="WOO40" s="51"/>
      <c r="WOP40" s="51"/>
      <c r="WOQ40" s="51"/>
      <c r="WOR40" s="51"/>
      <c r="WOS40" s="51"/>
      <c r="WOT40" s="51"/>
      <c r="WOU40" s="51"/>
      <c r="WOV40" s="51"/>
      <c r="WOW40" s="51"/>
      <c r="WOX40" s="51"/>
      <c r="WOY40" s="51"/>
      <c r="WOZ40" s="51"/>
      <c r="WPA40" s="51"/>
      <c r="WPB40" s="51"/>
      <c r="WPC40" s="51"/>
      <c r="WPD40" s="51"/>
      <c r="WPE40" s="51"/>
      <c r="WPF40" s="51"/>
      <c r="WPG40" s="51"/>
      <c r="WPH40" s="51"/>
      <c r="WPI40" s="51"/>
      <c r="WPJ40" s="51"/>
      <c r="WPK40" s="51"/>
      <c r="WPL40" s="51"/>
      <c r="WPM40" s="51"/>
      <c r="WPN40" s="51"/>
      <c r="WPO40" s="51"/>
      <c r="WPP40" s="51"/>
      <c r="WPQ40" s="51"/>
      <c r="WPR40" s="51"/>
      <c r="WPS40" s="51"/>
      <c r="WPT40" s="51"/>
      <c r="WPU40" s="51"/>
      <c r="WPV40" s="51"/>
      <c r="WPW40" s="51"/>
      <c r="WPX40" s="51"/>
      <c r="WPY40" s="51"/>
      <c r="WPZ40" s="51"/>
      <c r="WQA40" s="51"/>
      <c r="WQB40" s="51"/>
      <c r="WQC40" s="51"/>
      <c r="WQD40" s="51"/>
      <c r="WQE40" s="51"/>
      <c r="WQF40" s="51"/>
      <c r="WQG40" s="51"/>
      <c r="WQH40" s="51"/>
      <c r="WQI40" s="51"/>
      <c r="WQJ40" s="51"/>
      <c r="WQK40" s="51"/>
      <c r="WQL40" s="51"/>
      <c r="WQM40" s="51"/>
      <c r="WQN40" s="51"/>
      <c r="WQO40" s="51"/>
      <c r="WQP40" s="51"/>
      <c r="WQQ40" s="51"/>
      <c r="WQR40" s="51"/>
      <c r="WQS40" s="51"/>
      <c r="WQT40" s="51"/>
      <c r="WQU40" s="51"/>
      <c r="WQV40" s="51"/>
      <c r="WQW40" s="51"/>
      <c r="WQX40" s="51"/>
      <c r="WQY40" s="51"/>
      <c r="WQZ40" s="51"/>
      <c r="WRA40" s="51"/>
      <c r="WRB40" s="51"/>
      <c r="WRC40" s="51"/>
      <c r="WRD40" s="51"/>
      <c r="WRE40" s="51"/>
      <c r="WRF40" s="51"/>
      <c r="WRG40" s="51"/>
      <c r="WRH40" s="51"/>
      <c r="WRI40" s="51"/>
      <c r="WRJ40" s="51"/>
      <c r="WRK40" s="51"/>
      <c r="WRL40" s="51"/>
      <c r="WRM40" s="51"/>
      <c r="WRN40" s="51"/>
      <c r="WRO40" s="51"/>
      <c r="WRP40" s="51"/>
      <c r="WRQ40" s="51"/>
      <c r="WRR40" s="51"/>
      <c r="WRS40" s="51"/>
      <c r="WRT40" s="51"/>
      <c r="WRU40" s="51"/>
      <c r="WRV40" s="51"/>
      <c r="WRW40" s="51"/>
      <c r="WRX40" s="51"/>
      <c r="WRY40" s="51"/>
      <c r="WRZ40" s="51"/>
      <c r="WSA40" s="51"/>
      <c r="WSB40" s="51"/>
      <c r="WSC40" s="51"/>
      <c r="WSD40" s="51"/>
      <c r="WSE40" s="51"/>
      <c r="WSF40" s="51"/>
      <c r="WSG40" s="51"/>
      <c r="WSH40" s="51"/>
      <c r="WSI40" s="51"/>
      <c r="WSJ40" s="51"/>
      <c r="WSK40" s="51"/>
      <c r="WSL40" s="51"/>
      <c r="WSM40" s="51"/>
      <c r="WSN40" s="51"/>
      <c r="WSO40" s="51"/>
      <c r="WSP40" s="51"/>
      <c r="WSQ40" s="51"/>
      <c r="WSR40" s="51"/>
      <c r="WSS40" s="51"/>
      <c r="WST40" s="51"/>
      <c r="WSU40" s="51"/>
      <c r="WSV40" s="51"/>
      <c r="WSW40" s="51"/>
      <c r="WSX40" s="51"/>
      <c r="WSY40" s="51"/>
      <c r="WSZ40" s="51"/>
      <c r="WTA40" s="51"/>
      <c r="WTB40" s="51"/>
      <c r="WTC40" s="51"/>
      <c r="WTD40" s="51"/>
      <c r="WTE40" s="51"/>
      <c r="WTF40" s="51"/>
      <c r="WTG40" s="51"/>
      <c r="WTH40" s="51"/>
      <c r="WTI40" s="51"/>
      <c r="WTJ40" s="51"/>
      <c r="WTK40" s="51"/>
      <c r="WTL40" s="51"/>
      <c r="WTM40" s="51"/>
      <c r="WTN40" s="51"/>
      <c r="WTO40" s="51"/>
      <c r="WTP40" s="51"/>
      <c r="WTQ40" s="51"/>
      <c r="WTR40" s="51"/>
      <c r="WTS40" s="51"/>
      <c r="WTT40" s="51"/>
      <c r="WTU40" s="51"/>
      <c r="WTV40" s="51"/>
      <c r="WTW40" s="51"/>
      <c r="WTX40" s="51"/>
      <c r="WTY40" s="51"/>
      <c r="WTZ40" s="51"/>
      <c r="WUA40" s="51"/>
      <c r="WUB40" s="51"/>
      <c r="WUC40" s="51"/>
      <c r="WUD40" s="51"/>
      <c r="WUE40" s="51"/>
      <c r="WUF40" s="51"/>
      <c r="WUG40" s="51"/>
      <c r="WUH40" s="51"/>
      <c r="WUI40" s="51"/>
      <c r="WUJ40" s="51"/>
      <c r="WUK40" s="51"/>
      <c r="WUL40" s="51"/>
      <c r="WUM40" s="51"/>
      <c r="WUN40" s="51"/>
      <c r="WUO40" s="51"/>
      <c r="WUP40" s="51"/>
      <c r="WUQ40" s="51"/>
      <c r="WUR40" s="51"/>
      <c r="WUS40" s="51"/>
      <c r="WUT40" s="51"/>
      <c r="WUU40" s="51"/>
      <c r="WUV40" s="51"/>
      <c r="WUW40" s="51"/>
      <c r="WUX40" s="51"/>
      <c r="WUY40" s="51"/>
      <c r="WUZ40" s="51"/>
      <c r="WVA40" s="51"/>
      <c r="WVB40" s="51"/>
      <c r="WVC40" s="51"/>
      <c r="WVD40" s="51"/>
      <c r="WVE40" s="51"/>
      <c r="WVF40" s="51"/>
      <c r="WVG40" s="51"/>
      <c r="WVH40" s="51"/>
      <c r="WVI40" s="51"/>
      <c r="WVJ40" s="51"/>
      <c r="WVK40" s="51"/>
      <c r="WVL40" s="51"/>
      <c r="WVM40" s="51"/>
      <c r="WVN40" s="51"/>
      <c r="WVO40" s="51"/>
      <c r="WVP40" s="51"/>
      <c r="WVQ40" s="51"/>
      <c r="WVR40" s="51"/>
      <c r="WVS40" s="51"/>
      <c r="WVT40" s="51"/>
      <c r="WVU40" s="51"/>
      <c r="WVV40" s="51"/>
      <c r="WVW40" s="51"/>
      <c r="WVX40" s="51"/>
      <c r="WVY40" s="51"/>
      <c r="WVZ40" s="51"/>
      <c r="WWA40" s="51"/>
      <c r="WWB40" s="51"/>
      <c r="WWC40" s="51"/>
      <c r="WWD40" s="51"/>
      <c r="WWE40" s="51"/>
      <c r="WWF40" s="51"/>
      <c r="WWG40" s="51"/>
      <c r="WWH40" s="51"/>
      <c r="WWI40" s="51"/>
      <c r="WWJ40" s="51"/>
      <c r="WWK40" s="51"/>
      <c r="WWL40" s="51"/>
      <c r="WWM40" s="51"/>
      <c r="WWN40" s="51"/>
      <c r="WWO40" s="51"/>
      <c r="WWP40" s="51"/>
      <c r="WWQ40" s="51"/>
      <c r="WWR40" s="51"/>
      <c r="WWS40" s="51"/>
      <c r="WWT40" s="51"/>
      <c r="WWU40" s="51"/>
      <c r="WWV40" s="51"/>
      <c r="WWW40" s="51"/>
      <c r="WWX40" s="51"/>
      <c r="WWY40" s="51"/>
      <c r="WWZ40" s="51"/>
      <c r="WXA40" s="51"/>
      <c r="WXB40" s="51"/>
      <c r="WXC40" s="51"/>
      <c r="WXD40" s="51"/>
      <c r="WXE40" s="51"/>
      <c r="WXF40" s="51"/>
      <c r="WXG40" s="51"/>
      <c r="WXH40" s="51"/>
      <c r="WXI40" s="51"/>
      <c r="WXJ40" s="51"/>
      <c r="WXK40" s="51"/>
      <c r="WXL40" s="51"/>
      <c r="WXM40" s="51"/>
      <c r="WXN40" s="51"/>
      <c r="WXO40" s="51"/>
      <c r="WXP40" s="51"/>
      <c r="WXQ40" s="51"/>
      <c r="WXR40" s="51"/>
      <c r="WXS40" s="51"/>
      <c r="WXT40" s="51"/>
      <c r="WXU40" s="51"/>
      <c r="WXV40" s="51"/>
      <c r="WXW40" s="51"/>
      <c r="WXX40" s="51"/>
      <c r="WXY40" s="51"/>
      <c r="WXZ40" s="51"/>
      <c r="WYA40" s="51"/>
      <c r="WYB40" s="51"/>
      <c r="WYC40" s="51"/>
      <c r="WYD40" s="51"/>
      <c r="WYE40" s="51"/>
      <c r="WYF40" s="51"/>
      <c r="WYG40" s="51"/>
      <c r="WYH40" s="51"/>
      <c r="WYI40" s="51"/>
      <c r="WYJ40" s="51"/>
      <c r="WYK40" s="51"/>
      <c r="WYL40" s="51"/>
      <c r="WYM40" s="51"/>
      <c r="WYN40" s="51"/>
      <c r="WYO40" s="51"/>
      <c r="WYP40" s="51"/>
      <c r="WYQ40" s="51"/>
      <c r="WYR40" s="51"/>
      <c r="WYS40" s="51"/>
      <c r="WYT40" s="51"/>
      <c r="WYU40" s="51"/>
      <c r="WYV40" s="51"/>
      <c r="WYW40" s="51"/>
      <c r="WYX40" s="51"/>
      <c r="WYY40" s="51"/>
      <c r="WYZ40" s="51"/>
      <c r="WZA40" s="51"/>
      <c r="WZB40" s="51"/>
      <c r="WZC40" s="51"/>
      <c r="WZD40" s="51"/>
      <c r="WZE40" s="51"/>
      <c r="WZF40" s="51"/>
      <c r="WZG40" s="51"/>
      <c r="WZH40" s="51"/>
      <c r="WZI40" s="51"/>
      <c r="WZJ40" s="51"/>
      <c r="WZK40" s="51"/>
      <c r="WZL40" s="51"/>
      <c r="WZM40" s="51"/>
      <c r="WZN40" s="51"/>
      <c r="WZO40" s="51"/>
      <c r="WZP40" s="51"/>
      <c r="WZQ40" s="51"/>
      <c r="WZR40" s="51"/>
      <c r="WZS40" s="51"/>
      <c r="WZT40" s="51"/>
      <c r="WZU40" s="51"/>
      <c r="WZV40" s="51"/>
      <c r="WZW40" s="51"/>
      <c r="WZX40" s="51"/>
      <c r="WZY40" s="51"/>
      <c r="WZZ40" s="51"/>
      <c r="XAA40" s="51"/>
      <c r="XAB40" s="51"/>
      <c r="XAC40" s="51"/>
      <c r="XAD40" s="51"/>
      <c r="XAE40" s="51"/>
      <c r="XAF40" s="51"/>
      <c r="XAG40" s="51"/>
      <c r="XAH40" s="51"/>
      <c r="XAI40" s="51"/>
      <c r="XAJ40" s="51"/>
      <c r="XAK40" s="51"/>
      <c r="XAL40" s="51"/>
      <c r="XAM40" s="51"/>
      <c r="XAN40" s="51"/>
      <c r="XAO40" s="51"/>
      <c r="XAP40" s="51"/>
      <c r="XAQ40" s="51"/>
      <c r="XAR40" s="51"/>
      <c r="XAS40" s="51"/>
      <c r="XAT40" s="51"/>
      <c r="XAU40" s="51"/>
      <c r="XAV40" s="51"/>
      <c r="XAW40" s="51"/>
      <c r="XAX40" s="51"/>
      <c r="XAY40" s="51"/>
      <c r="XAZ40" s="51"/>
      <c r="XBA40" s="51"/>
      <c r="XBB40" s="51"/>
      <c r="XBC40" s="51"/>
      <c r="XBD40" s="51"/>
      <c r="XBE40" s="51"/>
      <c r="XBF40" s="51"/>
      <c r="XBG40" s="51"/>
      <c r="XBH40" s="51"/>
      <c r="XBI40" s="51"/>
      <c r="XBJ40" s="51"/>
      <c r="XBK40" s="51"/>
      <c r="XBL40" s="51"/>
      <c r="XBM40" s="51"/>
      <c r="XBN40" s="51"/>
      <c r="XBO40" s="51"/>
      <c r="XBP40" s="51"/>
      <c r="XBQ40" s="51"/>
      <c r="XBR40" s="51"/>
      <c r="XBS40" s="51"/>
      <c r="XBT40" s="51"/>
      <c r="XBU40" s="51"/>
      <c r="XBV40" s="51"/>
      <c r="XBW40" s="51"/>
      <c r="XBX40" s="51"/>
      <c r="XBY40" s="51"/>
      <c r="XBZ40" s="51"/>
      <c r="XCA40" s="51"/>
      <c r="XCB40" s="51"/>
      <c r="XCC40" s="51"/>
      <c r="XCD40" s="51"/>
      <c r="XCE40" s="51"/>
      <c r="XCF40" s="51"/>
      <c r="XCG40" s="51"/>
      <c r="XCH40" s="51"/>
      <c r="XCI40" s="51"/>
      <c r="XCJ40" s="51"/>
      <c r="XCK40" s="51"/>
      <c r="XCL40" s="51"/>
      <c r="XCM40" s="51"/>
      <c r="XCN40" s="51"/>
      <c r="XCO40" s="51"/>
      <c r="XCP40" s="51"/>
      <c r="XCQ40" s="51"/>
      <c r="XCR40" s="51"/>
      <c r="XCS40" s="51"/>
      <c r="XCT40" s="51"/>
      <c r="XCU40" s="51"/>
      <c r="XCV40" s="51"/>
      <c r="XCW40" s="51"/>
      <c r="XCX40" s="51"/>
      <c r="XCY40" s="51"/>
      <c r="XCZ40" s="51"/>
      <c r="XDA40" s="51"/>
      <c r="XDB40" s="51"/>
      <c r="XDC40" s="51"/>
      <c r="XDD40" s="51"/>
      <c r="XDE40" s="51"/>
      <c r="XDF40" s="51"/>
      <c r="XDG40" s="51"/>
      <c r="XDH40" s="51"/>
      <c r="XDI40" s="51"/>
      <c r="XDJ40" s="51"/>
      <c r="XDK40" s="51"/>
      <c r="XDL40" s="51"/>
      <c r="XDM40" s="51"/>
      <c r="XDN40" s="51"/>
      <c r="XDO40" s="51"/>
      <c r="XDP40" s="51"/>
      <c r="XDQ40" s="51"/>
      <c r="XDR40" s="51"/>
      <c r="XDS40" s="51"/>
      <c r="XDT40" s="51"/>
      <c r="XDU40" s="51"/>
      <c r="XDV40" s="51"/>
      <c r="XDW40" s="51"/>
      <c r="XDX40" s="51"/>
      <c r="XDY40" s="51"/>
      <c r="XDZ40" s="51"/>
      <c r="XEA40" s="51"/>
      <c r="XEB40" s="51"/>
      <c r="XEC40" s="51"/>
      <c r="XED40" s="51"/>
      <c r="XEE40" s="51"/>
      <c r="XEF40" s="51"/>
      <c r="XEG40" s="51"/>
      <c r="XEH40" s="51"/>
      <c r="XEI40" s="51"/>
      <c r="XEJ40" s="51"/>
      <c r="XEK40" s="51"/>
      <c r="XEL40" s="51"/>
      <c r="XEM40" s="51"/>
      <c r="XEN40" s="51"/>
      <c r="XEO40" s="51"/>
      <c r="XEP40" s="51"/>
      <c r="XEQ40" s="51"/>
      <c r="XER40" s="51"/>
      <c r="XES40" s="51"/>
      <c r="XET40" s="51"/>
      <c r="XEU40" s="51"/>
      <c r="XEV40" s="51"/>
      <c r="XEW40" s="51"/>
      <c r="XEX40" s="51"/>
      <c r="XEY40" s="51"/>
      <c r="XEZ40" s="51"/>
      <c r="XFA40" s="51"/>
      <c r="XFB40" s="51"/>
      <c r="XFC40" s="51"/>
      <c r="XFD40" s="51"/>
    </row>
    <row r="41" spans="1:16384" s="258" customForma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c r="XE41" s="51"/>
      <c r="XF41" s="51"/>
      <c r="XG41" s="51"/>
      <c r="XH41" s="51"/>
      <c r="XI41" s="51"/>
      <c r="XJ41" s="51"/>
      <c r="XK41" s="51"/>
      <c r="XL41" s="51"/>
      <c r="XM41" s="51"/>
      <c r="XN41" s="51"/>
      <c r="XO41" s="51"/>
      <c r="XP41" s="51"/>
      <c r="XQ41" s="51"/>
      <c r="XR41" s="51"/>
      <c r="XS41" s="51"/>
      <c r="XT41" s="51"/>
      <c r="XU41" s="51"/>
      <c r="XV41" s="51"/>
      <c r="XW41" s="51"/>
      <c r="XX41" s="51"/>
      <c r="XY41" s="51"/>
      <c r="XZ41" s="51"/>
      <c r="YA41" s="51"/>
      <c r="YB41" s="51"/>
      <c r="YC41" s="51"/>
      <c r="YD41" s="51"/>
      <c r="YE41" s="51"/>
      <c r="YF41" s="51"/>
      <c r="YG41" s="51"/>
      <c r="YH41" s="51"/>
      <c r="YI41" s="51"/>
      <c r="YJ41" s="51"/>
      <c r="YK41" s="51"/>
      <c r="YL41" s="51"/>
      <c r="YM41" s="51"/>
      <c r="YN41" s="51"/>
      <c r="YO41" s="51"/>
      <c r="YP41" s="51"/>
      <c r="YQ41" s="51"/>
      <c r="YR41" s="51"/>
      <c r="YS41" s="51"/>
      <c r="YT41" s="51"/>
      <c r="YU41" s="51"/>
      <c r="YV41" s="51"/>
      <c r="YW41" s="51"/>
      <c r="YX41" s="51"/>
      <c r="YY41" s="51"/>
      <c r="YZ41" s="51"/>
      <c r="ZA41" s="51"/>
      <c r="ZB41" s="51"/>
      <c r="ZC41" s="51"/>
      <c r="ZD41" s="51"/>
      <c r="ZE41" s="51"/>
      <c r="ZF41" s="51"/>
      <c r="ZG41" s="51"/>
      <c r="ZH41" s="51"/>
      <c r="ZI41" s="51"/>
      <c r="ZJ41" s="51"/>
      <c r="ZK41" s="51"/>
      <c r="ZL41" s="51"/>
      <c r="ZM41" s="51"/>
      <c r="ZN41" s="51"/>
      <c r="ZO41" s="51"/>
      <c r="ZP41" s="51"/>
      <c r="ZQ41" s="51"/>
      <c r="ZR41" s="51"/>
      <c r="ZS41" s="51"/>
      <c r="ZT41" s="51"/>
      <c r="ZU41" s="51"/>
      <c r="ZV41" s="51"/>
      <c r="ZW41" s="51"/>
      <c r="ZX41" s="51"/>
      <c r="ZY41" s="51"/>
      <c r="ZZ41" s="51"/>
      <c r="AAA41" s="51"/>
      <c r="AAB41" s="51"/>
      <c r="AAC41" s="51"/>
      <c r="AAD41" s="51"/>
      <c r="AAE41" s="51"/>
      <c r="AAF41" s="51"/>
      <c r="AAG41" s="51"/>
      <c r="AAH41" s="51"/>
      <c r="AAI41" s="51"/>
      <c r="AAJ41" s="51"/>
      <c r="AAK41" s="51"/>
      <c r="AAL41" s="51"/>
      <c r="AAM41" s="51"/>
      <c r="AAN41" s="51"/>
      <c r="AAO41" s="51"/>
      <c r="AAP41" s="51"/>
      <c r="AAQ41" s="51"/>
      <c r="AAR41" s="51"/>
      <c r="AAS41" s="51"/>
      <c r="AAT41" s="51"/>
      <c r="AAU41" s="51"/>
      <c r="AAV41" s="51"/>
      <c r="AAW41" s="51"/>
      <c r="AAX41" s="51"/>
      <c r="AAY41" s="51"/>
      <c r="AAZ41" s="51"/>
      <c r="ABA41" s="51"/>
      <c r="ABB41" s="51"/>
      <c r="ABC41" s="51"/>
      <c r="ABD41" s="51"/>
      <c r="ABE41" s="51"/>
      <c r="ABF41" s="51"/>
      <c r="ABG41" s="51"/>
      <c r="ABH41" s="51"/>
      <c r="ABI41" s="51"/>
      <c r="ABJ41" s="51"/>
      <c r="ABK41" s="51"/>
      <c r="ABL41" s="51"/>
      <c r="ABM41" s="51"/>
      <c r="ABN41" s="51"/>
      <c r="ABO41" s="51"/>
      <c r="ABP41" s="51"/>
      <c r="ABQ41" s="51"/>
      <c r="ABR41" s="51"/>
      <c r="ABS41" s="51"/>
      <c r="ABT41" s="51"/>
      <c r="ABU41" s="51"/>
      <c r="ABV41" s="51"/>
      <c r="ABW41" s="51"/>
      <c r="ABX41" s="51"/>
      <c r="ABY41" s="51"/>
      <c r="ABZ41" s="51"/>
      <c r="ACA41" s="51"/>
      <c r="ACB41" s="51"/>
      <c r="ACC41" s="51"/>
      <c r="ACD41" s="51"/>
      <c r="ACE41" s="51"/>
      <c r="ACF41" s="51"/>
      <c r="ACG41" s="51"/>
      <c r="ACH41" s="51"/>
      <c r="ACI41" s="51"/>
      <c r="ACJ41" s="51"/>
      <c r="ACK41" s="51"/>
      <c r="ACL41" s="51"/>
      <c r="ACM41" s="51"/>
      <c r="ACN41" s="51"/>
      <c r="ACO41" s="51"/>
      <c r="ACP41" s="51"/>
      <c r="ACQ41" s="51"/>
      <c r="ACR41" s="51"/>
      <c r="ACS41" s="51"/>
      <c r="ACT41" s="51"/>
      <c r="ACU41" s="51"/>
      <c r="ACV41" s="51"/>
      <c r="ACW41" s="51"/>
      <c r="ACX41" s="51"/>
      <c r="ACY41" s="51"/>
      <c r="ACZ41" s="51"/>
      <c r="ADA41" s="51"/>
      <c r="ADB41" s="51"/>
      <c r="ADC41" s="51"/>
      <c r="ADD41" s="51"/>
      <c r="ADE41" s="51"/>
      <c r="ADF41" s="51"/>
      <c r="ADG41" s="51"/>
      <c r="ADH41" s="51"/>
      <c r="ADI41" s="51"/>
      <c r="ADJ41" s="51"/>
      <c r="ADK41" s="51"/>
      <c r="ADL41" s="51"/>
      <c r="ADM41" s="51"/>
      <c r="ADN41" s="51"/>
      <c r="ADO41" s="51"/>
      <c r="ADP41" s="51"/>
      <c r="ADQ41" s="51"/>
      <c r="ADR41" s="51"/>
      <c r="ADS41" s="51"/>
      <c r="ADT41" s="51"/>
      <c r="ADU41" s="51"/>
      <c r="ADV41" s="51"/>
      <c r="ADW41" s="51"/>
      <c r="ADX41" s="51"/>
      <c r="ADY41" s="51"/>
      <c r="ADZ41" s="51"/>
      <c r="AEA41" s="51"/>
      <c r="AEB41" s="51"/>
      <c r="AEC41" s="51"/>
      <c r="AED41" s="51"/>
      <c r="AEE41" s="51"/>
      <c r="AEF41" s="51"/>
      <c r="AEG41" s="51"/>
      <c r="AEH41" s="51"/>
      <c r="AEI41" s="51"/>
      <c r="AEJ41" s="51"/>
      <c r="AEK41" s="51"/>
      <c r="AEL41" s="51"/>
      <c r="AEM41" s="51"/>
      <c r="AEN41" s="51"/>
      <c r="AEO41" s="51"/>
      <c r="AEP41" s="51"/>
      <c r="AEQ41" s="51"/>
      <c r="AER41" s="51"/>
      <c r="AES41" s="51"/>
      <c r="AET41" s="51"/>
      <c r="AEU41" s="51"/>
      <c r="AEV41" s="51"/>
      <c r="AEW41" s="51"/>
      <c r="AEX41" s="51"/>
      <c r="AEY41" s="51"/>
      <c r="AEZ41" s="51"/>
      <c r="AFA41" s="51"/>
      <c r="AFB41" s="51"/>
      <c r="AFC41" s="51"/>
      <c r="AFD41" s="51"/>
      <c r="AFE41" s="51"/>
      <c r="AFF41" s="51"/>
      <c r="AFG41" s="51"/>
      <c r="AFH41" s="51"/>
      <c r="AFI41" s="51"/>
      <c r="AFJ41" s="51"/>
      <c r="AFK41" s="51"/>
      <c r="AFL41" s="51"/>
      <c r="AFM41" s="51"/>
      <c r="AFN41" s="51"/>
      <c r="AFO41" s="51"/>
      <c r="AFP41" s="51"/>
      <c r="AFQ41" s="51"/>
      <c r="AFR41" s="51"/>
      <c r="AFS41" s="51"/>
      <c r="AFT41" s="51"/>
      <c r="AFU41" s="51"/>
      <c r="AFV41" s="51"/>
      <c r="AFW41" s="51"/>
      <c r="AFX41" s="51"/>
      <c r="AFY41" s="51"/>
      <c r="AFZ41" s="51"/>
      <c r="AGA41" s="51"/>
      <c r="AGB41" s="51"/>
      <c r="AGC41" s="51"/>
      <c r="AGD41" s="51"/>
      <c r="AGE41" s="51"/>
      <c r="AGF41" s="51"/>
      <c r="AGG41" s="51"/>
      <c r="AGH41" s="51"/>
      <c r="AGI41" s="51"/>
      <c r="AGJ41" s="51"/>
      <c r="AGK41" s="51"/>
      <c r="AGL41" s="51"/>
      <c r="AGM41" s="51"/>
      <c r="AGN41" s="51"/>
      <c r="AGO41" s="51"/>
      <c r="AGP41" s="51"/>
      <c r="AGQ41" s="51"/>
      <c r="AGR41" s="51"/>
      <c r="AGS41" s="51"/>
      <c r="AGT41" s="51"/>
      <c r="AGU41" s="51"/>
      <c r="AGV41" s="51"/>
      <c r="AGW41" s="51"/>
      <c r="AGX41" s="51"/>
      <c r="AGY41" s="51"/>
      <c r="AGZ41" s="51"/>
      <c r="AHA41" s="51"/>
      <c r="AHB41" s="51"/>
      <c r="AHC41" s="51"/>
      <c r="AHD41" s="51"/>
      <c r="AHE41" s="51"/>
      <c r="AHF41" s="51"/>
      <c r="AHG41" s="51"/>
      <c r="AHH41" s="51"/>
      <c r="AHI41" s="51"/>
      <c r="AHJ41" s="51"/>
      <c r="AHK41" s="51"/>
      <c r="AHL41" s="51"/>
      <c r="AHM41" s="51"/>
      <c r="AHN41" s="51"/>
      <c r="AHO41" s="51"/>
      <c r="AHP41" s="51"/>
      <c r="AHQ41" s="51"/>
      <c r="AHR41" s="51"/>
      <c r="AHS41" s="51"/>
      <c r="AHT41" s="51"/>
      <c r="AHU41" s="51"/>
      <c r="AHV41" s="51"/>
      <c r="AHW41" s="51"/>
      <c r="AHX41" s="51"/>
      <c r="AHY41" s="51"/>
      <c r="AHZ41" s="51"/>
      <c r="AIA41" s="51"/>
      <c r="AIB41" s="51"/>
      <c r="AIC41" s="51"/>
      <c r="AID41" s="51"/>
      <c r="AIE41" s="51"/>
      <c r="AIF41" s="51"/>
      <c r="AIG41" s="51"/>
      <c r="AIH41" s="51"/>
      <c r="AII41" s="51"/>
      <c r="AIJ41" s="51"/>
      <c r="AIK41" s="51"/>
      <c r="AIL41" s="51"/>
      <c r="AIM41" s="51"/>
      <c r="AIN41" s="51"/>
      <c r="AIO41" s="51"/>
      <c r="AIP41" s="51"/>
      <c r="AIQ41" s="51"/>
      <c r="AIR41" s="51"/>
      <c r="AIS41" s="51"/>
      <c r="AIT41" s="51"/>
      <c r="AIU41" s="51"/>
      <c r="AIV41" s="51"/>
      <c r="AIW41" s="51"/>
      <c r="AIX41" s="51"/>
      <c r="AIY41" s="51"/>
      <c r="AIZ41" s="51"/>
      <c r="AJA41" s="51"/>
      <c r="AJB41" s="51"/>
      <c r="AJC41" s="51"/>
      <c r="AJD41" s="51"/>
      <c r="AJE41" s="51"/>
      <c r="AJF41" s="51"/>
      <c r="AJG41" s="51"/>
      <c r="AJH41" s="51"/>
      <c r="AJI41" s="51"/>
      <c r="AJJ41" s="51"/>
      <c r="AJK41" s="51"/>
      <c r="AJL41" s="51"/>
      <c r="AJM41" s="51"/>
      <c r="AJN41" s="51"/>
      <c r="AJO41" s="51"/>
      <c r="AJP41" s="51"/>
      <c r="AJQ41" s="51"/>
      <c r="AJR41" s="51"/>
      <c r="AJS41" s="51"/>
      <c r="AJT41" s="51"/>
      <c r="AJU41" s="51"/>
      <c r="AJV41" s="51"/>
      <c r="AJW41" s="51"/>
      <c r="AJX41" s="51"/>
      <c r="AJY41" s="51"/>
      <c r="AJZ41" s="51"/>
      <c r="AKA41" s="51"/>
      <c r="AKB41" s="51"/>
      <c r="AKC41" s="51"/>
      <c r="AKD41" s="51"/>
      <c r="AKE41" s="51"/>
      <c r="AKF41" s="51"/>
      <c r="AKG41" s="51"/>
      <c r="AKH41" s="51"/>
      <c r="AKI41" s="51"/>
      <c r="AKJ41" s="51"/>
      <c r="AKK41" s="51"/>
      <c r="AKL41" s="51"/>
      <c r="AKM41" s="51"/>
      <c r="AKN41" s="51"/>
      <c r="AKO41" s="51"/>
      <c r="AKP41" s="51"/>
      <c r="AKQ41" s="51"/>
      <c r="AKR41" s="51"/>
      <c r="AKS41" s="51"/>
      <c r="AKT41" s="51"/>
      <c r="AKU41" s="51"/>
      <c r="AKV41" s="51"/>
      <c r="AKW41" s="51"/>
      <c r="AKX41" s="51"/>
      <c r="AKY41" s="51"/>
      <c r="AKZ41" s="51"/>
      <c r="ALA41" s="51"/>
      <c r="ALB41" s="51"/>
      <c r="ALC41" s="51"/>
      <c r="ALD41" s="51"/>
      <c r="ALE41" s="51"/>
      <c r="ALF41" s="51"/>
      <c r="ALG41" s="51"/>
      <c r="ALH41" s="51"/>
      <c r="ALI41" s="51"/>
      <c r="ALJ41" s="51"/>
      <c r="ALK41" s="51"/>
      <c r="ALL41" s="51"/>
      <c r="ALM41" s="51"/>
      <c r="ALN41" s="51"/>
      <c r="ALO41" s="51"/>
      <c r="ALP41" s="51"/>
      <c r="ALQ41" s="51"/>
      <c r="ALR41" s="51"/>
      <c r="ALS41" s="51"/>
      <c r="ALT41" s="51"/>
      <c r="ALU41" s="51"/>
      <c r="ALV41" s="51"/>
      <c r="ALW41" s="51"/>
      <c r="ALX41" s="51"/>
      <c r="ALY41" s="51"/>
      <c r="ALZ41" s="51"/>
      <c r="AMA41" s="51"/>
      <c r="AMB41" s="51"/>
      <c r="AMC41" s="51"/>
      <c r="AMD41" s="51"/>
      <c r="AME41" s="51"/>
      <c r="AMF41" s="51"/>
      <c r="AMG41" s="51"/>
      <c r="AMH41" s="51"/>
      <c r="AMI41" s="51"/>
      <c r="AMJ41" s="51"/>
      <c r="AMK41" s="51"/>
      <c r="AML41" s="51"/>
      <c r="AMM41" s="51"/>
      <c r="AMN41" s="51"/>
      <c r="AMO41" s="51"/>
      <c r="AMP41" s="51"/>
      <c r="AMQ41" s="51"/>
      <c r="AMR41" s="51"/>
      <c r="AMS41" s="51"/>
      <c r="AMT41" s="51"/>
      <c r="AMU41" s="51"/>
      <c r="AMV41" s="51"/>
      <c r="AMW41" s="51"/>
      <c r="AMX41" s="51"/>
      <c r="AMY41" s="51"/>
      <c r="AMZ41" s="51"/>
      <c r="ANA41" s="51"/>
      <c r="ANB41" s="51"/>
      <c r="ANC41" s="51"/>
      <c r="AND41" s="51"/>
      <c r="ANE41" s="51"/>
      <c r="ANF41" s="51"/>
      <c r="ANG41" s="51"/>
      <c r="ANH41" s="51"/>
      <c r="ANI41" s="51"/>
      <c r="ANJ41" s="51"/>
      <c r="ANK41" s="51"/>
      <c r="ANL41" s="51"/>
      <c r="ANM41" s="51"/>
      <c r="ANN41" s="51"/>
      <c r="ANO41" s="51"/>
      <c r="ANP41" s="51"/>
      <c r="ANQ41" s="51"/>
      <c r="ANR41" s="51"/>
      <c r="ANS41" s="51"/>
      <c r="ANT41" s="51"/>
      <c r="ANU41" s="51"/>
      <c r="ANV41" s="51"/>
      <c r="ANW41" s="51"/>
      <c r="ANX41" s="51"/>
      <c r="ANY41" s="51"/>
      <c r="ANZ41" s="51"/>
      <c r="AOA41" s="51"/>
      <c r="AOB41" s="51"/>
      <c r="AOC41" s="51"/>
      <c r="AOD41" s="51"/>
      <c r="AOE41" s="51"/>
      <c r="AOF41" s="51"/>
      <c r="AOG41" s="51"/>
      <c r="AOH41" s="51"/>
      <c r="AOI41" s="51"/>
      <c r="AOJ41" s="51"/>
      <c r="AOK41" s="51"/>
      <c r="AOL41" s="51"/>
      <c r="AOM41" s="51"/>
      <c r="AON41" s="51"/>
      <c r="AOO41" s="51"/>
      <c r="AOP41" s="51"/>
      <c r="AOQ41" s="51"/>
      <c r="AOR41" s="51"/>
      <c r="AOS41" s="51"/>
      <c r="AOT41" s="51"/>
      <c r="AOU41" s="51"/>
      <c r="AOV41" s="51"/>
      <c r="AOW41" s="51"/>
      <c r="AOX41" s="51"/>
      <c r="AOY41" s="51"/>
      <c r="AOZ41" s="51"/>
      <c r="APA41" s="51"/>
      <c r="APB41" s="51"/>
      <c r="APC41" s="51"/>
      <c r="APD41" s="51"/>
      <c r="APE41" s="51"/>
      <c r="APF41" s="51"/>
      <c r="APG41" s="51"/>
      <c r="APH41" s="51"/>
      <c r="API41" s="51"/>
      <c r="APJ41" s="51"/>
      <c r="APK41" s="51"/>
      <c r="APL41" s="51"/>
      <c r="APM41" s="51"/>
      <c r="APN41" s="51"/>
      <c r="APO41" s="51"/>
      <c r="APP41" s="51"/>
      <c r="APQ41" s="51"/>
      <c r="APR41" s="51"/>
      <c r="APS41" s="51"/>
      <c r="APT41" s="51"/>
      <c r="APU41" s="51"/>
      <c r="APV41" s="51"/>
      <c r="APW41" s="51"/>
      <c r="APX41" s="51"/>
      <c r="APY41" s="51"/>
      <c r="APZ41" s="51"/>
      <c r="AQA41" s="51"/>
      <c r="AQB41" s="51"/>
      <c r="AQC41" s="51"/>
      <c r="AQD41" s="51"/>
      <c r="AQE41" s="51"/>
      <c r="AQF41" s="51"/>
      <c r="AQG41" s="51"/>
      <c r="AQH41" s="51"/>
      <c r="AQI41" s="51"/>
      <c r="AQJ41" s="51"/>
      <c r="AQK41" s="51"/>
      <c r="AQL41" s="51"/>
      <c r="AQM41" s="51"/>
      <c r="AQN41" s="51"/>
      <c r="AQO41" s="51"/>
      <c r="AQP41" s="51"/>
      <c r="AQQ41" s="51"/>
      <c r="AQR41" s="51"/>
      <c r="AQS41" s="51"/>
      <c r="AQT41" s="51"/>
      <c r="AQU41" s="51"/>
      <c r="AQV41" s="51"/>
      <c r="AQW41" s="51"/>
      <c r="AQX41" s="51"/>
      <c r="AQY41" s="51"/>
      <c r="AQZ41" s="51"/>
      <c r="ARA41" s="51"/>
      <c r="ARB41" s="51"/>
      <c r="ARC41" s="51"/>
      <c r="ARD41" s="51"/>
      <c r="ARE41" s="51"/>
      <c r="ARF41" s="51"/>
      <c r="ARG41" s="51"/>
      <c r="ARH41" s="51"/>
      <c r="ARI41" s="51"/>
      <c r="ARJ41" s="51"/>
      <c r="ARK41" s="51"/>
      <c r="ARL41" s="51"/>
      <c r="ARM41" s="51"/>
      <c r="ARN41" s="51"/>
      <c r="ARO41" s="51"/>
      <c r="ARP41" s="51"/>
      <c r="ARQ41" s="51"/>
      <c r="ARR41" s="51"/>
      <c r="ARS41" s="51"/>
      <c r="ART41" s="51"/>
      <c r="ARU41" s="51"/>
      <c r="ARV41" s="51"/>
      <c r="ARW41" s="51"/>
      <c r="ARX41" s="51"/>
      <c r="ARY41" s="51"/>
      <c r="ARZ41" s="51"/>
      <c r="ASA41" s="51"/>
      <c r="ASB41" s="51"/>
      <c r="ASC41" s="51"/>
      <c r="ASD41" s="51"/>
      <c r="ASE41" s="51"/>
      <c r="ASF41" s="51"/>
      <c r="ASG41" s="51"/>
      <c r="ASH41" s="51"/>
      <c r="ASI41" s="51"/>
      <c r="ASJ41" s="51"/>
      <c r="ASK41" s="51"/>
      <c r="ASL41" s="51"/>
      <c r="ASM41" s="51"/>
      <c r="ASN41" s="51"/>
      <c r="ASO41" s="51"/>
      <c r="ASP41" s="51"/>
      <c r="ASQ41" s="51"/>
      <c r="ASR41" s="51"/>
      <c r="ASS41" s="51"/>
      <c r="AST41" s="51"/>
      <c r="ASU41" s="51"/>
      <c r="ASV41" s="51"/>
      <c r="ASW41" s="51"/>
      <c r="ASX41" s="51"/>
      <c r="ASY41" s="51"/>
      <c r="ASZ41" s="51"/>
      <c r="ATA41" s="51"/>
      <c r="ATB41" s="51"/>
      <c r="ATC41" s="51"/>
      <c r="ATD41" s="51"/>
      <c r="ATE41" s="51"/>
      <c r="ATF41" s="51"/>
      <c r="ATG41" s="51"/>
      <c r="ATH41" s="51"/>
      <c r="ATI41" s="51"/>
      <c r="ATJ41" s="51"/>
      <c r="ATK41" s="51"/>
      <c r="ATL41" s="51"/>
      <c r="ATM41" s="51"/>
      <c r="ATN41" s="51"/>
      <c r="ATO41" s="51"/>
      <c r="ATP41" s="51"/>
      <c r="ATQ41" s="51"/>
      <c r="ATR41" s="51"/>
      <c r="ATS41" s="51"/>
      <c r="ATT41" s="51"/>
      <c r="ATU41" s="51"/>
      <c r="ATV41" s="51"/>
      <c r="ATW41" s="51"/>
      <c r="ATX41" s="51"/>
      <c r="ATY41" s="51"/>
      <c r="ATZ41" s="51"/>
      <c r="AUA41" s="51"/>
      <c r="AUB41" s="51"/>
      <c r="AUC41" s="51"/>
      <c r="AUD41" s="51"/>
      <c r="AUE41" s="51"/>
      <c r="AUF41" s="51"/>
      <c r="AUG41" s="51"/>
      <c r="AUH41" s="51"/>
      <c r="AUI41" s="51"/>
      <c r="AUJ41" s="51"/>
      <c r="AUK41" s="51"/>
      <c r="AUL41" s="51"/>
      <c r="AUM41" s="51"/>
      <c r="AUN41" s="51"/>
      <c r="AUO41" s="51"/>
      <c r="AUP41" s="51"/>
      <c r="AUQ41" s="51"/>
      <c r="AUR41" s="51"/>
      <c r="AUS41" s="51"/>
      <c r="AUT41" s="51"/>
      <c r="AUU41" s="51"/>
      <c r="AUV41" s="51"/>
      <c r="AUW41" s="51"/>
      <c r="AUX41" s="51"/>
      <c r="AUY41" s="51"/>
      <c r="AUZ41" s="51"/>
      <c r="AVA41" s="51"/>
      <c r="AVB41" s="51"/>
      <c r="AVC41" s="51"/>
      <c r="AVD41" s="51"/>
      <c r="AVE41" s="51"/>
      <c r="AVF41" s="51"/>
      <c r="AVG41" s="51"/>
      <c r="AVH41" s="51"/>
      <c r="AVI41" s="51"/>
      <c r="AVJ41" s="51"/>
      <c r="AVK41" s="51"/>
      <c r="AVL41" s="51"/>
      <c r="AVM41" s="51"/>
      <c r="AVN41" s="51"/>
      <c r="AVO41" s="51"/>
      <c r="AVP41" s="51"/>
      <c r="AVQ41" s="51"/>
      <c r="AVR41" s="51"/>
      <c r="AVS41" s="51"/>
      <c r="AVT41" s="51"/>
      <c r="AVU41" s="51"/>
      <c r="AVV41" s="51"/>
      <c r="AVW41" s="51"/>
      <c r="AVX41" s="51"/>
      <c r="AVY41" s="51"/>
      <c r="AVZ41" s="51"/>
      <c r="AWA41" s="51"/>
      <c r="AWB41" s="51"/>
      <c r="AWC41" s="51"/>
      <c r="AWD41" s="51"/>
      <c r="AWE41" s="51"/>
      <c r="AWF41" s="51"/>
      <c r="AWG41" s="51"/>
      <c r="AWH41" s="51"/>
      <c r="AWI41" s="51"/>
      <c r="AWJ41" s="51"/>
      <c r="AWK41" s="51"/>
      <c r="AWL41" s="51"/>
      <c r="AWM41" s="51"/>
      <c r="AWN41" s="51"/>
      <c r="AWO41" s="51"/>
      <c r="AWP41" s="51"/>
      <c r="AWQ41" s="51"/>
      <c r="AWR41" s="51"/>
      <c r="AWS41" s="51"/>
      <c r="AWT41" s="51"/>
      <c r="AWU41" s="51"/>
      <c r="AWV41" s="51"/>
      <c r="AWW41" s="51"/>
      <c r="AWX41" s="51"/>
      <c r="AWY41" s="51"/>
      <c r="AWZ41" s="51"/>
      <c r="AXA41" s="51"/>
      <c r="AXB41" s="51"/>
      <c r="AXC41" s="51"/>
      <c r="AXD41" s="51"/>
      <c r="AXE41" s="51"/>
      <c r="AXF41" s="51"/>
      <c r="AXG41" s="51"/>
      <c r="AXH41" s="51"/>
      <c r="AXI41" s="51"/>
      <c r="AXJ41" s="51"/>
      <c r="AXK41" s="51"/>
      <c r="AXL41" s="51"/>
      <c r="AXM41" s="51"/>
      <c r="AXN41" s="51"/>
      <c r="AXO41" s="51"/>
      <c r="AXP41" s="51"/>
      <c r="AXQ41" s="51"/>
      <c r="AXR41" s="51"/>
      <c r="AXS41" s="51"/>
      <c r="AXT41" s="51"/>
      <c r="AXU41" s="51"/>
      <c r="AXV41" s="51"/>
      <c r="AXW41" s="51"/>
      <c r="AXX41" s="51"/>
      <c r="AXY41" s="51"/>
      <c r="AXZ41" s="51"/>
      <c r="AYA41" s="51"/>
      <c r="AYB41" s="51"/>
      <c r="AYC41" s="51"/>
      <c r="AYD41" s="51"/>
      <c r="AYE41" s="51"/>
      <c r="AYF41" s="51"/>
      <c r="AYG41" s="51"/>
      <c r="AYH41" s="51"/>
      <c r="AYI41" s="51"/>
      <c r="AYJ41" s="51"/>
      <c r="AYK41" s="51"/>
      <c r="AYL41" s="51"/>
      <c r="AYM41" s="51"/>
      <c r="AYN41" s="51"/>
      <c r="AYO41" s="51"/>
      <c r="AYP41" s="51"/>
      <c r="AYQ41" s="51"/>
      <c r="AYR41" s="51"/>
      <c r="AYS41" s="51"/>
      <c r="AYT41" s="51"/>
      <c r="AYU41" s="51"/>
      <c r="AYV41" s="51"/>
      <c r="AYW41" s="51"/>
      <c r="AYX41" s="51"/>
      <c r="AYY41" s="51"/>
      <c r="AYZ41" s="51"/>
      <c r="AZA41" s="51"/>
      <c r="AZB41" s="51"/>
      <c r="AZC41" s="51"/>
      <c r="AZD41" s="51"/>
      <c r="AZE41" s="51"/>
      <c r="AZF41" s="51"/>
      <c r="AZG41" s="51"/>
      <c r="AZH41" s="51"/>
      <c r="AZI41" s="51"/>
      <c r="AZJ41" s="51"/>
      <c r="AZK41" s="51"/>
      <c r="AZL41" s="51"/>
      <c r="AZM41" s="51"/>
      <c r="AZN41" s="51"/>
      <c r="AZO41" s="51"/>
      <c r="AZP41" s="51"/>
      <c r="AZQ41" s="51"/>
      <c r="AZR41" s="51"/>
      <c r="AZS41" s="51"/>
      <c r="AZT41" s="51"/>
      <c r="AZU41" s="51"/>
      <c r="AZV41" s="51"/>
      <c r="AZW41" s="51"/>
      <c r="AZX41" s="51"/>
      <c r="AZY41" s="51"/>
      <c r="AZZ41" s="51"/>
      <c r="BAA41" s="51"/>
      <c r="BAB41" s="51"/>
      <c r="BAC41" s="51"/>
      <c r="BAD41" s="51"/>
      <c r="BAE41" s="51"/>
      <c r="BAF41" s="51"/>
      <c r="BAG41" s="51"/>
      <c r="BAH41" s="51"/>
      <c r="BAI41" s="51"/>
      <c r="BAJ41" s="51"/>
      <c r="BAK41" s="51"/>
      <c r="BAL41" s="51"/>
      <c r="BAM41" s="51"/>
      <c r="BAN41" s="51"/>
      <c r="BAO41" s="51"/>
      <c r="BAP41" s="51"/>
      <c r="BAQ41" s="51"/>
      <c r="BAR41" s="51"/>
      <c r="BAS41" s="51"/>
      <c r="BAT41" s="51"/>
      <c r="BAU41" s="51"/>
      <c r="BAV41" s="51"/>
      <c r="BAW41" s="51"/>
      <c r="BAX41" s="51"/>
      <c r="BAY41" s="51"/>
      <c r="BAZ41" s="51"/>
      <c r="BBA41" s="51"/>
      <c r="BBB41" s="51"/>
      <c r="BBC41" s="51"/>
      <c r="BBD41" s="51"/>
      <c r="BBE41" s="51"/>
      <c r="BBF41" s="51"/>
      <c r="BBG41" s="51"/>
      <c r="BBH41" s="51"/>
      <c r="BBI41" s="51"/>
      <c r="BBJ41" s="51"/>
      <c r="BBK41" s="51"/>
      <c r="BBL41" s="51"/>
      <c r="BBM41" s="51"/>
      <c r="BBN41" s="51"/>
      <c r="BBO41" s="51"/>
      <c r="BBP41" s="51"/>
      <c r="BBQ41" s="51"/>
      <c r="BBR41" s="51"/>
      <c r="BBS41" s="51"/>
      <c r="BBT41" s="51"/>
      <c r="BBU41" s="51"/>
      <c r="BBV41" s="51"/>
      <c r="BBW41" s="51"/>
      <c r="BBX41" s="51"/>
      <c r="BBY41" s="51"/>
      <c r="BBZ41" s="51"/>
      <c r="BCA41" s="51"/>
      <c r="BCB41" s="51"/>
      <c r="BCC41" s="51"/>
      <c r="BCD41" s="51"/>
      <c r="BCE41" s="51"/>
      <c r="BCF41" s="51"/>
      <c r="BCG41" s="51"/>
      <c r="BCH41" s="51"/>
      <c r="BCI41" s="51"/>
      <c r="BCJ41" s="51"/>
      <c r="BCK41" s="51"/>
      <c r="BCL41" s="51"/>
      <c r="BCM41" s="51"/>
      <c r="BCN41" s="51"/>
      <c r="BCO41" s="51"/>
      <c r="BCP41" s="51"/>
      <c r="BCQ41" s="51"/>
      <c r="BCR41" s="51"/>
      <c r="BCS41" s="51"/>
      <c r="BCT41" s="51"/>
      <c r="BCU41" s="51"/>
      <c r="BCV41" s="51"/>
      <c r="BCW41" s="51"/>
      <c r="BCX41" s="51"/>
      <c r="BCY41" s="51"/>
      <c r="BCZ41" s="51"/>
      <c r="BDA41" s="51"/>
      <c r="BDB41" s="51"/>
      <c r="BDC41" s="51"/>
      <c r="BDD41" s="51"/>
      <c r="BDE41" s="51"/>
      <c r="BDF41" s="51"/>
      <c r="BDG41" s="51"/>
      <c r="BDH41" s="51"/>
      <c r="BDI41" s="51"/>
      <c r="BDJ41" s="51"/>
      <c r="BDK41" s="51"/>
      <c r="BDL41" s="51"/>
      <c r="BDM41" s="51"/>
      <c r="BDN41" s="51"/>
      <c r="BDO41" s="51"/>
      <c r="BDP41" s="51"/>
      <c r="BDQ41" s="51"/>
      <c r="BDR41" s="51"/>
      <c r="BDS41" s="51"/>
      <c r="BDT41" s="51"/>
      <c r="BDU41" s="51"/>
      <c r="BDV41" s="51"/>
      <c r="BDW41" s="51"/>
      <c r="BDX41" s="51"/>
      <c r="BDY41" s="51"/>
      <c r="BDZ41" s="51"/>
      <c r="BEA41" s="51"/>
      <c r="BEB41" s="51"/>
      <c r="BEC41" s="51"/>
      <c r="BED41" s="51"/>
      <c r="BEE41" s="51"/>
      <c r="BEF41" s="51"/>
      <c r="BEG41" s="51"/>
      <c r="BEH41" s="51"/>
      <c r="BEI41" s="51"/>
      <c r="BEJ41" s="51"/>
      <c r="BEK41" s="51"/>
      <c r="BEL41" s="51"/>
      <c r="BEM41" s="51"/>
      <c r="BEN41" s="51"/>
      <c r="BEO41" s="51"/>
      <c r="BEP41" s="51"/>
      <c r="BEQ41" s="51"/>
      <c r="BER41" s="51"/>
      <c r="BES41" s="51"/>
      <c r="BET41" s="51"/>
      <c r="BEU41" s="51"/>
      <c r="BEV41" s="51"/>
      <c r="BEW41" s="51"/>
      <c r="BEX41" s="51"/>
      <c r="BEY41" s="51"/>
      <c r="BEZ41" s="51"/>
      <c r="BFA41" s="51"/>
      <c r="BFB41" s="51"/>
      <c r="BFC41" s="51"/>
      <c r="BFD41" s="51"/>
      <c r="BFE41" s="51"/>
      <c r="BFF41" s="51"/>
      <c r="BFG41" s="51"/>
      <c r="BFH41" s="51"/>
      <c r="BFI41" s="51"/>
      <c r="BFJ41" s="51"/>
      <c r="BFK41" s="51"/>
      <c r="BFL41" s="51"/>
      <c r="BFM41" s="51"/>
      <c r="BFN41" s="51"/>
      <c r="BFO41" s="51"/>
      <c r="BFP41" s="51"/>
      <c r="BFQ41" s="51"/>
      <c r="BFR41" s="51"/>
      <c r="BFS41" s="51"/>
      <c r="BFT41" s="51"/>
      <c r="BFU41" s="51"/>
      <c r="BFV41" s="51"/>
      <c r="BFW41" s="51"/>
      <c r="BFX41" s="51"/>
      <c r="BFY41" s="51"/>
      <c r="BFZ41" s="51"/>
      <c r="BGA41" s="51"/>
      <c r="BGB41" s="51"/>
      <c r="BGC41" s="51"/>
      <c r="BGD41" s="51"/>
      <c r="BGE41" s="51"/>
      <c r="BGF41" s="51"/>
      <c r="BGG41" s="51"/>
      <c r="BGH41" s="51"/>
      <c r="BGI41" s="51"/>
      <c r="BGJ41" s="51"/>
      <c r="BGK41" s="51"/>
      <c r="BGL41" s="51"/>
      <c r="BGM41" s="51"/>
      <c r="BGN41" s="51"/>
      <c r="BGO41" s="51"/>
      <c r="BGP41" s="51"/>
      <c r="BGQ41" s="51"/>
      <c r="BGR41" s="51"/>
      <c r="BGS41" s="51"/>
      <c r="BGT41" s="51"/>
      <c r="BGU41" s="51"/>
      <c r="BGV41" s="51"/>
      <c r="BGW41" s="51"/>
      <c r="BGX41" s="51"/>
      <c r="BGY41" s="51"/>
      <c r="BGZ41" s="51"/>
      <c r="BHA41" s="51"/>
      <c r="BHB41" s="51"/>
      <c r="BHC41" s="51"/>
      <c r="BHD41" s="51"/>
      <c r="BHE41" s="51"/>
      <c r="BHF41" s="51"/>
      <c r="BHG41" s="51"/>
      <c r="BHH41" s="51"/>
      <c r="BHI41" s="51"/>
      <c r="BHJ41" s="51"/>
      <c r="BHK41" s="51"/>
      <c r="BHL41" s="51"/>
      <c r="BHM41" s="51"/>
      <c r="BHN41" s="51"/>
      <c r="BHO41" s="51"/>
      <c r="BHP41" s="51"/>
      <c r="BHQ41" s="51"/>
      <c r="BHR41" s="51"/>
      <c r="BHS41" s="51"/>
      <c r="BHT41" s="51"/>
      <c r="BHU41" s="51"/>
      <c r="BHV41" s="51"/>
      <c r="BHW41" s="51"/>
      <c r="BHX41" s="51"/>
      <c r="BHY41" s="51"/>
      <c r="BHZ41" s="51"/>
      <c r="BIA41" s="51"/>
      <c r="BIB41" s="51"/>
      <c r="BIC41" s="51"/>
      <c r="BID41" s="51"/>
      <c r="BIE41" s="51"/>
      <c r="BIF41" s="51"/>
      <c r="BIG41" s="51"/>
      <c r="BIH41" s="51"/>
      <c r="BII41" s="51"/>
      <c r="BIJ41" s="51"/>
      <c r="BIK41" s="51"/>
      <c r="BIL41" s="51"/>
      <c r="BIM41" s="51"/>
      <c r="BIN41" s="51"/>
      <c r="BIO41" s="51"/>
      <c r="BIP41" s="51"/>
      <c r="BIQ41" s="51"/>
      <c r="BIR41" s="51"/>
      <c r="BIS41" s="51"/>
      <c r="BIT41" s="51"/>
      <c r="BIU41" s="51"/>
      <c r="BIV41" s="51"/>
      <c r="BIW41" s="51"/>
      <c r="BIX41" s="51"/>
      <c r="BIY41" s="51"/>
      <c r="BIZ41" s="51"/>
      <c r="BJA41" s="51"/>
      <c r="BJB41" s="51"/>
      <c r="BJC41" s="51"/>
      <c r="BJD41" s="51"/>
      <c r="BJE41" s="51"/>
      <c r="BJF41" s="51"/>
      <c r="BJG41" s="51"/>
      <c r="BJH41" s="51"/>
      <c r="BJI41" s="51"/>
      <c r="BJJ41" s="51"/>
      <c r="BJK41" s="51"/>
      <c r="BJL41" s="51"/>
      <c r="BJM41" s="51"/>
      <c r="BJN41" s="51"/>
      <c r="BJO41" s="51"/>
      <c r="BJP41" s="51"/>
      <c r="BJQ41" s="51"/>
      <c r="BJR41" s="51"/>
      <c r="BJS41" s="51"/>
      <c r="BJT41" s="51"/>
      <c r="BJU41" s="51"/>
      <c r="BJV41" s="51"/>
      <c r="BJW41" s="51"/>
      <c r="BJX41" s="51"/>
      <c r="BJY41" s="51"/>
      <c r="BJZ41" s="51"/>
      <c r="BKA41" s="51"/>
      <c r="BKB41" s="51"/>
      <c r="BKC41" s="51"/>
      <c r="BKD41" s="51"/>
      <c r="BKE41" s="51"/>
      <c r="BKF41" s="51"/>
      <c r="BKG41" s="51"/>
      <c r="BKH41" s="51"/>
      <c r="BKI41" s="51"/>
      <c r="BKJ41" s="51"/>
      <c r="BKK41" s="51"/>
      <c r="BKL41" s="51"/>
      <c r="BKM41" s="51"/>
      <c r="BKN41" s="51"/>
      <c r="BKO41" s="51"/>
      <c r="BKP41" s="51"/>
      <c r="BKQ41" s="51"/>
      <c r="BKR41" s="51"/>
      <c r="BKS41" s="51"/>
      <c r="BKT41" s="51"/>
      <c r="BKU41" s="51"/>
      <c r="BKV41" s="51"/>
      <c r="BKW41" s="51"/>
      <c r="BKX41" s="51"/>
      <c r="BKY41" s="51"/>
      <c r="BKZ41" s="51"/>
      <c r="BLA41" s="51"/>
      <c r="BLB41" s="51"/>
      <c r="BLC41" s="51"/>
      <c r="BLD41" s="51"/>
      <c r="BLE41" s="51"/>
      <c r="BLF41" s="51"/>
      <c r="BLG41" s="51"/>
      <c r="BLH41" s="51"/>
      <c r="BLI41" s="51"/>
      <c r="BLJ41" s="51"/>
      <c r="BLK41" s="51"/>
      <c r="BLL41" s="51"/>
      <c r="BLM41" s="51"/>
      <c r="BLN41" s="51"/>
      <c r="BLO41" s="51"/>
      <c r="BLP41" s="51"/>
      <c r="BLQ41" s="51"/>
      <c r="BLR41" s="51"/>
      <c r="BLS41" s="51"/>
      <c r="BLT41" s="51"/>
      <c r="BLU41" s="51"/>
      <c r="BLV41" s="51"/>
      <c r="BLW41" s="51"/>
      <c r="BLX41" s="51"/>
      <c r="BLY41" s="51"/>
      <c r="BLZ41" s="51"/>
      <c r="BMA41" s="51"/>
      <c r="BMB41" s="51"/>
      <c r="BMC41" s="51"/>
      <c r="BMD41" s="51"/>
      <c r="BME41" s="51"/>
      <c r="BMF41" s="51"/>
      <c r="BMG41" s="51"/>
      <c r="BMH41" s="51"/>
      <c r="BMI41" s="51"/>
      <c r="BMJ41" s="51"/>
      <c r="BMK41" s="51"/>
      <c r="BML41" s="51"/>
      <c r="BMM41" s="51"/>
      <c r="BMN41" s="51"/>
      <c r="BMO41" s="51"/>
      <c r="BMP41" s="51"/>
      <c r="BMQ41" s="51"/>
      <c r="BMR41" s="51"/>
      <c r="BMS41" s="51"/>
      <c r="BMT41" s="51"/>
      <c r="BMU41" s="51"/>
      <c r="BMV41" s="51"/>
      <c r="BMW41" s="51"/>
      <c r="BMX41" s="51"/>
      <c r="BMY41" s="51"/>
      <c r="BMZ41" s="51"/>
      <c r="BNA41" s="51"/>
      <c r="BNB41" s="51"/>
      <c r="BNC41" s="51"/>
      <c r="BND41" s="51"/>
      <c r="BNE41" s="51"/>
      <c r="BNF41" s="51"/>
      <c r="BNG41" s="51"/>
      <c r="BNH41" s="51"/>
      <c r="BNI41" s="51"/>
      <c r="BNJ41" s="51"/>
      <c r="BNK41" s="51"/>
      <c r="BNL41" s="51"/>
      <c r="BNM41" s="51"/>
      <c r="BNN41" s="51"/>
      <c r="BNO41" s="51"/>
      <c r="BNP41" s="51"/>
      <c r="BNQ41" s="51"/>
      <c r="BNR41" s="51"/>
      <c r="BNS41" s="51"/>
      <c r="BNT41" s="51"/>
      <c r="BNU41" s="51"/>
      <c r="BNV41" s="51"/>
      <c r="BNW41" s="51"/>
      <c r="BNX41" s="51"/>
      <c r="BNY41" s="51"/>
      <c r="BNZ41" s="51"/>
      <c r="BOA41" s="51"/>
      <c r="BOB41" s="51"/>
      <c r="BOC41" s="51"/>
      <c r="BOD41" s="51"/>
      <c r="BOE41" s="51"/>
      <c r="BOF41" s="51"/>
      <c r="BOG41" s="51"/>
      <c r="BOH41" s="51"/>
      <c r="BOI41" s="51"/>
      <c r="BOJ41" s="51"/>
      <c r="BOK41" s="51"/>
      <c r="BOL41" s="51"/>
      <c r="BOM41" s="51"/>
      <c r="BON41" s="51"/>
      <c r="BOO41" s="51"/>
      <c r="BOP41" s="51"/>
      <c r="BOQ41" s="51"/>
      <c r="BOR41" s="51"/>
      <c r="BOS41" s="51"/>
      <c r="BOT41" s="51"/>
      <c r="BOU41" s="51"/>
      <c r="BOV41" s="51"/>
      <c r="BOW41" s="51"/>
      <c r="BOX41" s="51"/>
      <c r="BOY41" s="51"/>
      <c r="BOZ41" s="51"/>
      <c r="BPA41" s="51"/>
      <c r="BPB41" s="51"/>
      <c r="BPC41" s="51"/>
      <c r="BPD41" s="51"/>
      <c r="BPE41" s="51"/>
      <c r="BPF41" s="51"/>
      <c r="BPG41" s="51"/>
      <c r="BPH41" s="51"/>
      <c r="BPI41" s="51"/>
      <c r="BPJ41" s="51"/>
      <c r="BPK41" s="51"/>
      <c r="BPL41" s="51"/>
      <c r="BPM41" s="51"/>
      <c r="BPN41" s="51"/>
      <c r="BPO41" s="51"/>
      <c r="BPP41" s="51"/>
      <c r="BPQ41" s="51"/>
      <c r="BPR41" s="51"/>
      <c r="BPS41" s="51"/>
      <c r="BPT41" s="51"/>
      <c r="BPU41" s="51"/>
      <c r="BPV41" s="51"/>
      <c r="BPW41" s="51"/>
      <c r="BPX41" s="51"/>
      <c r="BPY41" s="51"/>
      <c r="BPZ41" s="51"/>
      <c r="BQA41" s="51"/>
      <c r="BQB41" s="51"/>
      <c r="BQC41" s="51"/>
      <c r="BQD41" s="51"/>
      <c r="BQE41" s="51"/>
      <c r="BQF41" s="51"/>
      <c r="BQG41" s="51"/>
      <c r="BQH41" s="51"/>
      <c r="BQI41" s="51"/>
      <c r="BQJ41" s="51"/>
      <c r="BQK41" s="51"/>
      <c r="BQL41" s="51"/>
      <c r="BQM41" s="51"/>
      <c r="BQN41" s="51"/>
      <c r="BQO41" s="51"/>
      <c r="BQP41" s="51"/>
      <c r="BQQ41" s="51"/>
      <c r="BQR41" s="51"/>
      <c r="BQS41" s="51"/>
      <c r="BQT41" s="51"/>
      <c r="BQU41" s="51"/>
      <c r="BQV41" s="51"/>
      <c r="BQW41" s="51"/>
      <c r="BQX41" s="51"/>
      <c r="BQY41" s="51"/>
      <c r="BQZ41" s="51"/>
      <c r="BRA41" s="51"/>
      <c r="BRB41" s="51"/>
      <c r="BRC41" s="51"/>
      <c r="BRD41" s="51"/>
      <c r="BRE41" s="51"/>
      <c r="BRF41" s="51"/>
      <c r="BRG41" s="51"/>
      <c r="BRH41" s="51"/>
      <c r="BRI41" s="51"/>
      <c r="BRJ41" s="51"/>
      <c r="BRK41" s="51"/>
      <c r="BRL41" s="51"/>
      <c r="BRM41" s="51"/>
      <c r="BRN41" s="51"/>
      <c r="BRO41" s="51"/>
      <c r="BRP41" s="51"/>
      <c r="BRQ41" s="51"/>
      <c r="BRR41" s="51"/>
      <c r="BRS41" s="51"/>
      <c r="BRT41" s="51"/>
      <c r="BRU41" s="51"/>
      <c r="BRV41" s="51"/>
      <c r="BRW41" s="51"/>
      <c r="BRX41" s="51"/>
      <c r="BRY41" s="51"/>
      <c r="BRZ41" s="51"/>
      <c r="BSA41" s="51"/>
      <c r="BSB41" s="51"/>
      <c r="BSC41" s="51"/>
      <c r="BSD41" s="51"/>
      <c r="BSE41" s="51"/>
      <c r="BSF41" s="51"/>
      <c r="BSG41" s="51"/>
      <c r="BSH41" s="51"/>
      <c r="BSI41" s="51"/>
      <c r="BSJ41" s="51"/>
      <c r="BSK41" s="51"/>
      <c r="BSL41" s="51"/>
      <c r="BSM41" s="51"/>
      <c r="BSN41" s="51"/>
      <c r="BSO41" s="51"/>
      <c r="BSP41" s="51"/>
      <c r="BSQ41" s="51"/>
      <c r="BSR41" s="51"/>
      <c r="BSS41" s="51"/>
      <c r="BST41" s="51"/>
      <c r="BSU41" s="51"/>
      <c r="BSV41" s="51"/>
      <c r="BSW41" s="51"/>
      <c r="BSX41" s="51"/>
      <c r="BSY41" s="51"/>
      <c r="BSZ41" s="51"/>
      <c r="BTA41" s="51"/>
      <c r="BTB41" s="51"/>
      <c r="BTC41" s="51"/>
      <c r="BTD41" s="51"/>
      <c r="BTE41" s="51"/>
      <c r="BTF41" s="51"/>
      <c r="BTG41" s="51"/>
      <c r="BTH41" s="51"/>
      <c r="BTI41" s="51"/>
      <c r="BTJ41" s="51"/>
      <c r="BTK41" s="51"/>
      <c r="BTL41" s="51"/>
      <c r="BTM41" s="51"/>
      <c r="BTN41" s="51"/>
      <c r="BTO41" s="51"/>
      <c r="BTP41" s="51"/>
      <c r="BTQ41" s="51"/>
      <c r="BTR41" s="51"/>
      <c r="BTS41" s="51"/>
      <c r="BTT41" s="51"/>
      <c r="BTU41" s="51"/>
      <c r="BTV41" s="51"/>
      <c r="BTW41" s="51"/>
      <c r="BTX41" s="51"/>
      <c r="BTY41" s="51"/>
      <c r="BTZ41" s="51"/>
      <c r="BUA41" s="51"/>
      <c r="BUB41" s="51"/>
      <c r="BUC41" s="51"/>
      <c r="BUD41" s="51"/>
      <c r="BUE41" s="51"/>
      <c r="BUF41" s="51"/>
      <c r="BUG41" s="51"/>
      <c r="BUH41" s="51"/>
      <c r="BUI41" s="51"/>
      <c r="BUJ41" s="51"/>
      <c r="BUK41" s="51"/>
      <c r="BUL41" s="51"/>
      <c r="BUM41" s="51"/>
      <c r="BUN41" s="51"/>
      <c r="BUO41" s="51"/>
      <c r="BUP41" s="51"/>
      <c r="BUQ41" s="51"/>
      <c r="BUR41" s="51"/>
      <c r="BUS41" s="51"/>
      <c r="BUT41" s="51"/>
      <c r="BUU41" s="51"/>
      <c r="BUV41" s="51"/>
      <c r="BUW41" s="51"/>
      <c r="BUX41" s="51"/>
      <c r="BUY41" s="51"/>
      <c r="BUZ41" s="51"/>
      <c r="BVA41" s="51"/>
      <c r="BVB41" s="51"/>
      <c r="BVC41" s="51"/>
      <c r="BVD41" s="51"/>
      <c r="BVE41" s="51"/>
      <c r="BVF41" s="51"/>
      <c r="BVG41" s="51"/>
      <c r="BVH41" s="51"/>
      <c r="BVI41" s="51"/>
      <c r="BVJ41" s="51"/>
      <c r="BVK41" s="51"/>
      <c r="BVL41" s="51"/>
      <c r="BVM41" s="51"/>
      <c r="BVN41" s="51"/>
      <c r="BVO41" s="51"/>
      <c r="BVP41" s="51"/>
      <c r="BVQ41" s="51"/>
      <c r="BVR41" s="51"/>
      <c r="BVS41" s="51"/>
      <c r="BVT41" s="51"/>
      <c r="BVU41" s="51"/>
      <c r="BVV41" s="51"/>
      <c r="BVW41" s="51"/>
      <c r="BVX41" s="51"/>
      <c r="BVY41" s="51"/>
      <c r="BVZ41" s="51"/>
      <c r="BWA41" s="51"/>
      <c r="BWB41" s="51"/>
      <c r="BWC41" s="51"/>
      <c r="BWD41" s="51"/>
      <c r="BWE41" s="51"/>
      <c r="BWF41" s="51"/>
      <c r="BWG41" s="51"/>
      <c r="BWH41" s="51"/>
      <c r="BWI41" s="51"/>
      <c r="BWJ41" s="51"/>
      <c r="BWK41" s="51"/>
      <c r="BWL41" s="51"/>
      <c r="BWM41" s="51"/>
      <c r="BWN41" s="51"/>
      <c r="BWO41" s="51"/>
      <c r="BWP41" s="51"/>
      <c r="BWQ41" s="51"/>
      <c r="BWR41" s="51"/>
      <c r="BWS41" s="51"/>
      <c r="BWT41" s="51"/>
      <c r="BWU41" s="51"/>
      <c r="BWV41" s="51"/>
      <c r="BWW41" s="51"/>
      <c r="BWX41" s="51"/>
      <c r="BWY41" s="51"/>
      <c r="BWZ41" s="51"/>
      <c r="BXA41" s="51"/>
      <c r="BXB41" s="51"/>
      <c r="BXC41" s="51"/>
      <c r="BXD41" s="51"/>
      <c r="BXE41" s="51"/>
      <c r="BXF41" s="51"/>
      <c r="BXG41" s="51"/>
      <c r="BXH41" s="51"/>
      <c r="BXI41" s="51"/>
      <c r="BXJ41" s="51"/>
      <c r="BXK41" s="51"/>
      <c r="BXL41" s="51"/>
      <c r="BXM41" s="51"/>
      <c r="BXN41" s="51"/>
      <c r="BXO41" s="51"/>
      <c r="BXP41" s="51"/>
      <c r="BXQ41" s="51"/>
      <c r="BXR41" s="51"/>
      <c r="BXS41" s="51"/>
      <c r="BXT41" s="51"/>
      <c r="BXU41" s="51"/>
      <c r="BXV41" s="51"/>
      <c r="BXW41" s="51"/>
      <c r="BXX41" s="51"/>
      <c r="BXY41" s="51"/>
      <c r="BXZ41" s="51"/>
      <c r="BYA41" s="51"/>
      <c r="BYB41" s="51"/>
      <c r="BYC41" s="51"/>
      <c r="BYD41" s="51"/>
      <c r="BYE41" s="51"/>
      <c r="BYF41" s="51"/>
      <c r="BYG41" s="51"/>
      <c r="BYH41" s="51"/>
      <c r="BYI41" s="51"/>
      <c r="BYJ41" s="51"/>
      <c r="BYK41" s="51"/>
      <c r="BYL41" s="51"/>
      <c r="BYM41" s="51"/>
      <c r="BYN41" s="51"/>
      <c r="BYO41" s="51"/>
      <c r="BYP41" s="51"/>
      <c r="BYQ41" s="51"/>
      <c r="BYR41" s="51"/>
      <c r="BYS41" s="51"/>
      <c r="BYT41" s="51"/>
      <c r="BYU41" s="51"/>
      <c r="BYV41" s="51"/>
      <c r="BYW41" s="51"/>
      <c r="BYX41" s="51"/>
      <c r="BYY41" s="51"/>
      <c r="BYZ41" s="51"/>
      <c r="BZA41" s="51"/>
      <c r="BZB41" s="51"/>
      <c r="BZC41" s="51"/>
      <c r="BZD41" s="51"/>
      <c r="BZE41" s="51"/>
      <c r="BZF41" s="51"/>
      <c r="BZG41" s="51"/>
      <c r="BZH41" s="51"/>
      <c r="BZI41" s="51"/>
      <c r="BZJ41" s="51"/>
      <c r="BZK41" s="51"/>
      <c r="BZL41" s="51"/>
      <c r="BZM41" s="51"/>
      <c r="BZN41" s="51"/>
      <c r="BZO41" s="51"/>
      <c r="BZP41" s="51"/>
      <c r="BZQ41" s="51"/>
      <c r="BZR41" s="51"/>
      <c r="BZS41" s="51"/>
      <c r="BZT41" s="51"/>
      <c r="BZU41" s="51"/>
      <c r="BZV41" s="51"/>
      <c r="BZW41" s="51"/>
      <c r="BZX41" s="51"/>
      <c r="BZY41" s="51"/>
      <c r="BZZ41" s="51"/>
      <c r="CAA41" s="51"/>
      <c r="CAB41" s="51"/>
      <c r="CAC41" s="51"/>
      <c r="CAD41" s="51"/>
      <c r="CAE41" s="51"/>
      <c r="CAF41" s="51"/>
      <c r="CAG41" s="51"/>
      <c r="CAH41" s="51"/>
      <c r="CAI41" s="51"/>
      <c r="CAJ41" s="51"/>
      <c r="CAK41" s="51"/>
      <c r="CAL41" s="51"/>
      <c r="CAM41" s="51"/>
      <c r="CAN41" s="51"/>
      <c r="CAO41" s="51"/>
      <c r="CAP41" s="51"/>
      <c r="CAQ41" s="51"/>
      <c r="CAR41" s="51"/>
      <c r="CAS41" s="51"/>
      <c r="CAT41" s="51"/>
      <c r="CAU41" s="51"/>
      <c r="CAV41" s="51"/>
      <c r="CAW41" s="51"/>
      <c r="CAX41" s="51"/>
      <c r="CAY41" s="51"/>
      <c r="CAZ41" s="51"/>
      <c r="CBA41" s="51"/>
      <c r="CBB41" s="51"/>
      <c r="CBC41" s="51"/>
      <c r="CBD41" s="51"/>
      <c r="CBE41" s="51"/>
      <c r="CBF41" s="51"/>
      <c r="CBG41" s="51"/>
      <c r="CBH41" s="51"/>
      <c r="CBI41" s="51"/>
      <c r="CBJ41" s="51"/>
      <c r="CBK41" s="51"/>
      <c r="CBL41" s="51"/>
      <c r="CBM41" s="51"/>
      <c r="CBN41" s="51"/>
      <c r="CBO41" s="51"/>
      <c r="CBP41" s="51"/>
      <c r="CBQ41" s="51"/>
      <c r="CBR41" s="51"/>
      <c r="CBS41" s="51"/>
      <c r="CBT41" s="51"/>
      <c r="CBU41" s="51"/>
      <c r="CBV41" s="51"/>
      <c r="CBW41" s="51"/>
      <c r="CBX41" s="51"/>
      <c r="CBY41" s="51"/>
      <c r="CBZ41" s="51"/>
      <c r="CCA41" s="51"/>
      <c r="CCB41" s="51"/>
      <c r="CCC41" s="51"/>
      <c r="CCD41" s="51"/>
      <c r="CCE41" s="51"/>
      <c r="CCF41" s="51"/>
      <c r="CCG41" s="51"/>
      <c r="CCH41" s="51"/>
      <c r="CCI41" s="51"/>
      <c r="CCJ41" s="51"/>
      <c r="CCK41" s="51"/>
      <c r="CCL41" s="51"/>
      <c r="CCM41" s="51"/>
      <c r="CCN41" s="51"/>
      <c r="CCO41" s="51"/>
      <c r="CCP41" s="51"/>
      <c r="CCQ41" s="51"/>
      <c r="CCR41" s="51"/>
      <c r="CCS41" s="51"/>
      <c r="CCT41" s="51"/>
      <c r="CCU41" s="51"/>
      <c r="CCV41" s="51"/>
      <c r="CCW41" s="51"/>
      <c r="CCX41" s="51"/>
      <c r="CCY41" s="51"/>
      <c r="CCZ41" s="51"/>
      <c r="CDA41" s="51"/>
      <c r="CDB41" s="51"/>
      <c r="CDC41" s="51"/>
      <c r="CDD41" s="51"/>
      <c r="CDE41" s="51"/>
      <c r="CDF41" s="51"/>
      <c r="CDG41" s="51"/>
      <c r="CDH41" s="51"/>
      <c r="CDI41" s="51"/>
      <c r="CDJ41" s="51"/>
      <c r="CDK41" s="51"/>
      <c r="CDL41" s="51"/>
      <c r="CDM41" s="51"/>
      <c r="CDN41" s="51"/>
      <c r="CDO41" s="51"/>
      <c r="CDP41" s="51"/>
      <c r="CDQ41" s="51"/>
      <c r="CDR41" s="51"/>
      <c r="CDS41" s="51"/>
      <c r="CDT41" s="51"/>
      <c r="CDU41" s="51"/>
      <c r="CDV41" s="51"/>
      <c r="CDW41" s="51"/>
      <c r="CDX41" s="51"/>
      <c r="CDY41" s="51"/>
      <c r="CDZ41" s="51"/>
      <c r="CEA41" s="51"/>
      <c r="CEB41" s="51"/>
      <c r="CEC41" s="51"/>
      <c r="CED41" s="51"/>
      <c r="CEE41" s="51"/>
      <c r="CEF41" s="51"/>
      <c r="CEG41" s="51"/>
      <c r="CEH41" s="51"/>
      <c r="CEI41" s="51"/>
      <c r="CEJ41" s="51"/>
      <c r="CEK41" s="51"/>
      <c r="CEL41" s="51"/>
      <c r="CEM41" s="51"/>
      <c r="CEN41" s="51"/>
      <c r="CEO41" s="51"/>
      <c r="CEP41" s="51"/>
      <c r="CEQ41" s="51"/>
      <c r="CER41" s="51"/>
      <c r="CES41" s="51"/>
      <c r="CET41" s="51"/>
      <c r="CEU41" s="51"/>
      <c r="CEV41" s="51"/>
      <c r="CEW41" s="51"/>
      <c r="CEX41" s="51"/>
      <c r="CEY41" s="51"/>
      <c r="CEZ41" s="51"/>
      <c r="CFA41" s="51"/>
      <c r="CFB41" s="51"/>
      <c r="CFC41" s="51"/>
      <c r="CFD41" s="51"/>
      <c r="CFE41" s="51"/>
      <c r="CFF41" s="51"/>
      <c r="CFG41" s="51"/>
      <c r="CFH41" s="51"/>
      <c r="CFI41" s="51"/>
      <c r="CFJ41" s="51"/>
      <c r="CFK41" s="51"/>
      <c r="CFL41" s="51"/>
      <c r="CFM41" s="51"/>
      <c r="CFN41" s="51"/>
      <c r="CFO41" s="51"/>
      <c r="CFP41" s="51"/>
      <c r="CFQ41" s="51"/>
      <c r="CFR41" s="51"/>
      <c r="CFS41" s="51"/>
      <c r="CFT41" s="51"/>
      <c r="CFU41" s="51"/>
      <c r="CFV41" s="51"/>
      <c r="CFW41" s="51"/>
      <c r="CFX41" s="51"/>
      <c r="CFY41" s="51"/>
      <c r="CFZ41" s="51"/>
      <c r="CGA41" s="51"/>
      <c r="CGB41" s="51"/>
      <c r="CGC41" s="51"/>
      <c r="CGD41" s="51"/>
      <c r="CGE41" s="51"/>
      <c r="CGF41" s="51"/>
      <c r="CGG41" s="51"/>
      <c r="CGH41" s="51"/>
      <c r="CGI41" s="51"/>
      <c r="CGJ41" s="51"/>
      <c r="CGK41" s="51"/>
      <c r="CGL41" s="51"/>
      <c r="CGM41" s="51"/>
      <c r="CGN41" s="51"/>
      <c r="CGO41" s="51"/>
      <c r="CGP41" s="51"/>
      <c r="CGQ41" s="51"/>
      <c r="CGR41" s="51"/>
      <c r="CGS41" s="51"/>
      <c r="CGT41" s="51"/>
      <c r="CGU41" s="51"/>
      <c r="CGV41" s="51"/>
      <c r="CGW41" s="51"/>
      <c r="CGX41" s="51"/>
      <c r="CGY41" s="51"/>
      <c r="CGZ41" s="51"/>
      <c r="CHA41" s="51"/>
      <c r="CHB41" s="51"/>
      <c r="CHC41" s="51"/>
      <c r="CHD41" s="51"/>
      <c r="CHE41" s="51"/>
      <c r="CHF41" s="51"/>
      <c r="CHG41" s="51"/>
      <c r="CHH41" s="51"/>
      <c r="CHI41" s="51"/>
      <c r="CHJ41" s="51"/>
      <c r="CHK41" s="51"/>
      <c r="CHL41" s="51"/>
      <c r="CHM41" s="51"/>
      <c r="CHN41" s="51"/>
      <c r="CHO41" s="51"/>
      <c r="CHP41" s="51"/>
      <c r="CHQ41" s="51"/>
      <c r="CHR41" s="51"/>
      <c r="CHS41" s="51"/>
      <c r="CHT41" s="51"/>
      <c r="CHU41" s="51"/>
      <c r="CHV41" s="51"/>
      <c r="CHW41" s="51"/>
      <c r="CHX41" s="51"/>
      <c r="CHY41" s="51"/>
      <c r="CHZ41" s="51"/>
      <c r="CIA41" s="51"/>
      <c r="CIB41" s="51"/>
      <c r="CIC41" s="51"/>
      <c r="CID41" s="51"/>
      <c r="CIE41" s="51"/>
      <c r="CIF41" s="51"/>
      <c r="CIG41" s="51"/>
      <c r="CIH41" s="51"/>
      <c r="CII41" s="51"/>
      <c r="CIJ41" s="51"/>
      <c r="CIK41" s="51"/>
      <c r="CIL41" s="51"/>
      <c r="CIM41" s="51"/>
      <c r="CIN41" s="51"/>
      <c r="CIO41" s="51"/>
      <c r="CIP41" s="51"/>
      <c r="CIQ41" s="51"/>
      <c r="CIR41" s="51"/>
      <c r="CIS41" s="51"/>
      <c r="CIT41" s="51"/>
      <c r="CIU41" s="51"/>
      <c r="CIV41" s="51"/>
      <c r="CIW41" s="51"/>
      <c r="CIX41" s="51"/>
      <c r="CIY41" s="51"/>
      <c r="CIZ41" s="51"/>
      <c r="CJA41" s="51"/>
      <c r="CJB41" s="51"/>
      <c r="CJC41" s="51"/>
      <c r="CJD41" s="51"/>
      <c r="CJE41" s="51"/>
      <c r="CJF41" s="51"/>
      <c r="CJG41" s="51"/>
      <c r="CJH41" s="51"/>
      <c r="CJI41" s="51"/>
      <c r="CJJ41" s="51"/>
      <c r="CJK41" s="51"/>
      <c r="CJL41" s="51"/>
      <c r="CJM41" s="51"/>
      <c r="CJN41" s="51"/>
      <c r="CJO41" s="51"/>
      <c r="CJP41" s="51"/>
      <c r="CJQ41" s="51"/>
      <c r="CJR41" s="51"/>
      <c r="CJS41" s="51"/>
      <c r="CJT41" s="51"/>
      <c r="CJU41" s="51"/>
      <c r="CJV41" s="51"/>
      <c r="CJW41" s="51"/>
      <c r="CJX41" s="51"/>
      <c r="CJY41" s="51"/>
      <c r="CJZ41" s="51"/>
      <c r="CKA41" s="51"/>
      <c r="CKB41" s="51"/>
      <c r="CKC41" s="51"/>
      <c r="CKD41" s="51"/>
      <c r="CKE41" s="51"/>
      <c r="CKF41" s="51"/>
      <c r="CKG41" s="51"/>
      <c r="CKH41" s="51"/>
      <c r="CKI41" s="51"/>
      <c r="CKJ41" s="51"/>
      <c r="CKK41" s="51"/>
      <c r="CKL41" s="51"/>
      <c r="CKM41" s="51"/>
      <c r="CKN41" s="51"/>
      <c r="CKO41" s="51"/>
      <c r="CKP41" s="51"/>
      <c r="CKQ41" s="51"/>
      <c r="CKR41" s="51"/>
      <c r="CKS41" s="51"/>
      <c r="CKT41" s="51"/>
      <c r="CKU41" s="51"/>
      <c r="CKV41" s="51"/>
      <c r="CKW41" s="51"/>
      <c r="CKX41" s="51"/>
      <c r="CKY41" s="51"/>
      <c r="CKZ41" s="51"/>
      <c r="CLA41" s="51"/>
      <c r="CLB41" s="51"/>
      <c r="CLC41" s="51"/>
      <c r="CLD41" s="51"/>
      <c r="CLE41" s="51"/>
      <c r="CLF41" s="51"/>
      <c r="CLG41" s="51"/>
      <c r="CLH41" s="51"/>
      <c r="CLI41" s="51"/>
      <c r="CLJ41" s="51"/>
      <c r="CLK41" s="51"/>
      <c r="CLL41" s="51"/>
      <c r="CLM41" s="51"/>
      <c r="CLN41" s="51"/>
      <c r="CLO41" s="51"/>
      <c r="CLP41" s="51"/>
      <c r="CLQ41" s="51"/>
      <c r="CLR41" s="51"/>
      <c r="CLS41" s="51"/>
      <c r="CLT41" s="51"/>
      <c r="CLU41" s="51"/>
      <c r="CLV41" s="51"/>
      <c r="CLW41" s="51"/>
      <c r="CLX41" s="51"/>
      <c r="CLY41" s="51"/>
      <c r="CLZ41" s="51"/>
      <c r="CMA41" s="51"/>
      <c r="CMB41" s="51"/>
      <c r="CMC41" s="51"/>
      <c r="CMD41" s="51"/>
      <c r="CME41" s="51"/>
      <c r="CMF41" s="51"/>
      <c r="CMG41" s="51"/>
      <c r="CMH41" s="51"/>
      <c r="CMI41" s="51"/>
      <c r="CMJ41" s="51"/>
      <c r="CMK41" s="51"/>
      <c r="CML41" s="51"/>
      <c r="CMM41" s="51"/>
      <c r="CMN41" s="51"/>
      <c r="CMO41" s="51"/>
      <c r="CMP41" s="51"/>
      <c r="CMQ41" s="51"/>
      <c r="CMR41" s="51"/>
      <c r="CMS41" s="51"/>
      <c r="CMT41" s="51"/>
      <c r="CMU41" s="51"/>
      <c r="CMV41" s="51"/>
      <c r="CMW41" s="51"/>
      <c r="CMX41" s="51"/>
      <c r="CMY41" s="51"/>
      <c r="CMZ41" s="51"/>
      <c r="CNA41" s="51"/>
      <c r="CNB41" s="51"/>
      <c r="CNC41" s="51"/>
      <c r="CND41" s="51"/>
      <c r="CNE41" s="51"/>
      <c r="CNF41" s="51"/>
      <c r="CNG41" s="51"/>
      <c r="CNH41" s="51"/>
      <c r="CNI41" s="51"/>
      <c r="CNJ41" s="51"/>
      <c r="CNK41" s="51"/>
      <c r="CNL41" s="51"/>
      <c r="CNM41" s="51"/>
      <c r="CNN41" s="51"/>
      <c r="CNO41" s="51"/>
      <c r="CNP41" s="51"/>
      <c r="CNQ41" s="51"/>
      <c r="CNR41" s="51"/>
      <c r="CNS41" s="51"/>
      <c r="CNT41" s="51"/>
      <c r="CNU41" s="51"/>
      <c r="CNV41" s="51"/>
      <c r="CNW41" s="51"/>
      <c r="CNX41" s="51"/>
      <c r="CNY41" s="51"/>
      <c r="CNZ41" s="51"/>
      <c r="COA41" s="51"/>
      <c r="COB41" s="51"/>
      <c r="COC41" s="51"/>
      <c r="COD41" s="51"/>
      <c r="COE41" s="51"/>
      <c r="COF41" s="51"/>
      <c r="COG41" s="51"/>
      <c r="COH41" s="51"/>
      <c r="COI41" s="51"/>
      <c r="COJ41" s="51"/>
      <c r="COK41" s="51"/>
      <c r="COL41" s="51"/>
      <c r="COM41" s="51"/>
      <c r="CON41" s="51"/>
      <c r="COO41" s="51"/>
      <c r="COP41" s="51"/>
      <c r="COQ41" s="51"/>
      <c r="COR41" s="51"/>
      <c r="COS41" s="51"/>
      <c r="COT41" s="51"/>
      <c r="COU41" s="51"/>
      <c r="COV41" s="51"/>
      <c r="COW41" s="51"/>
      <c r="COX41" s="51"/>
      <c r="COY41" s="51"/>
      <c r="COZ41" s="51"/>
      <c r="CPA41" s="51"/>
      <c r="CPB41" s="51"/>
      <c r="CPC41" s="51"/>
      <c r="CPD41" s="51"/>
      <c r="CPE41" s="51"/>
      <c r="CPF41" s="51"/>
      <c r="CPG41" s="51"/>
      <c r="CPH41" s="51"/>
      <c r="CPI41" s="51"/>
      <c r="CPJ41" s="51"/>
      <c r="CPK41" s="51"/>
      <c r="CPL41" s="51"/>
      <c r="CPM41" s="51"/>
      <c r="CPN41" s="51"/>
      <c r="CPO41" s="51"/>
      <c r="CPP41" s="51"/>
      <c r="CPQ41" s="51"/>
      <c r="CPR41" s="51"/>
      <c r="CPS41" s="51"/>
      <c r="CPT41" s="51"/>
      <c r="CPU41" s="51"/>
      <c r="CPV41" s="51"/>
      <c r="CPW41" s="51"/>
      <c r="CPX41" s="51"/>
      <c r="CPY41" s="51"/>
      <c r="CPZ41" s="51"/>
      <c r="CQA41" s="51"/>
      <c r="CQB41" s="51"/>
      <c r="CQC41" s="51"/>
      <c r="CQD41" s="51"/>
      <c r="CQE41" s="51"/>
      <c r="CQF41" s="51"/>
      <c r="CQG41" s="51"/>
      <c r="CQH41" s="51"/>
      <c r="CQI41" s="51"/>
      <c r="CQJ41" s="51"/>
      <c r="CQK41" s="51"/>
      <c r="CQL41" s="51"/>
      <c r="CQM41" s="51"/>
      <c r="CQN41" s="51"/>
      <c r="CQO41" s="51"/>
      <c r="CQP41" s="51"/>
      <c r="CQQ41" s="51"/>
      <c r="CQR41" s="51"/>
      <c r="CQS41" s="51"/>
      <c r="CQT41" s="51"/>
      <c r="CQU41" s="51"/>
      <c r="CQV41" s="51"/>
      <c r="CQW41" s="51"/>
      <c r="CQX41" s="51"/>
      <c r="CQY41" s="51"/>
      <c r="CQZ41" s="51"/>
      <c r="CRA41" s="51"/>
      <c r="CRB41" s="51"/>
      <c r="CRC41" s="51"/>
      <c r="CRD41" s="51"/>
      <c r="CRE41" s="51"/>
      <c r="CRF41" s="51"/>
      <c r="CRG41" s="51"/>
      <c r="CRH41" s="51"/>
      <c r="CRI41" s="51"/>
      <c r="CRJ41" s="51"/>
      <c r="CRK41" s="51"/>
      <c r="CRL41" s="51"/>
      <c r="CRM41" s="51"/>
      <c r="CRN41" s="51"/>
      <c r="CRO41" s="51"/>
      <c r="CRP41" s="51"/>
      <c r="CRQ41" s="51"/>
      <c r="CRR41" s="51"/>
      <c r="CRS41" s="51"/>
      <c r="CRT41" s="51"/>
      <c r="CRU41" s="51"/>
      <c r="CRV41" s="51"/>
      <c r="CRW41" s="51"/>
      <c r="CRX41" s="51"/>
      <c r="CRY41" s="51"/>
      <c r="CRZ41" s="51"/>
      <c r="CSA41" s="51"/>
      <c r="CSB41" s="51"/>
      <c r="CSC41" s="51"/>
      <c r="CSD41" s="51"/>
      <c r="CSE41" s="51"/>
      <c r="CSF41" s="51"/>
      <c r="CSG41" s="51"/>
      <c r="CSH41" s="51"/>
      <c r="CSI41" s="51"/>
      <c r="CSJ41" s="51"/>
      <c r="CSK41" s="51"/>
      <c r="CSL41" s="51"/>
      <c r="CSM41" s="51"/>
      <c r="CSN41" s="51"/>
      <c r="CSO41" s="51"/>
      <c r="CSP41" s="51"/>
      <c r="CSQ41" s="51"/>
      <c r="CSR41" s="51"/>
      <c r="CSS41" s="51"/>
      <c r="CST41" s="51"/>
      <c r="CSU41" s="51"/>
      <c r="CSV41" s="51"/>
      <c r="CSW41" s="51"/>
      <c r="CSX41" s="51"/>
      <c r="CSY41" s="51"/>
      <c r="CSZ41" s="51"/>
      <c r="CTA41" s="51"/>
      <c r="CTB41" s="51"/>
      <c r="CTC41" s="51"/>
      <c r="CTD41" s="51"/>
      <c r="CTE41" s="51"/>
      <c r="CTF41" s="51"/>
      <c r="CTG41" s="51"/>
      <c r="CTH41" s="51"/>
      <c r="CTI41" s="51"/>
      <c r="CTJ41" s="51"/>
      <c r="CTK41" s="51"/>
      <c r="CTL41" s="51"/>
      <c r="CTM41" s="51"/>
      <c r="CTN41" s="51"/>
      <c r="CTO41" s="51"/>
      <c r="CTP41" s="51"/>
      <c r="CTQ41" s="51"/>
      <c r="CTR41" s="51"/>
      <c r="CTS41" s="51"/>
      <c r="CTT41" s="51"/>
      <c r="CTU41" s="51"/>
      <c r="CTV41" s="51"/>
      <c r="CTW41" s="51"/>
      <c r="CTX41" s="51"/>
      <c r="CTY41" s="51"/>
      <c r="CTZ41" s="51"/>
      <c r="CUA41" s="51"/>
      <c r="CUB41" s="51"/>
      <c r="CUC41" s="51"/>
      <c r="CUD41" s="51"/>
      <c r="CUE41" s="51"/>
      <c r="CUF41" s="51"/>
      <c r="CUG41" s="51"/>
      <c r="CUH41" s="51"/>
      <c r="CUI41" s="51"/>
      <c r="CUJ41" s="51"/>
      <c r="CUK41" s="51"/>
      <c r="CUL41" s="51"/>
      <c r="CUM41" s="51"/>
      <c r="CUN41" s="51"/>
      <c r="CUO41" s="51"/>
      <c r="CUP41" s="51"/>
      <c r="CUQ41" s="51"/>
      <c r="CUR41" s="51"/>
      <c r="CUS41" s="51"/>
      <c r="CUT41" s="51"/>
      <c r="CUU41" s="51"/>
      <c r="CUV41" s="51"/>
      <c r="CUW41" s="51"/>
      <c r="CUX41" s="51"/>
      <c r="CUY41" s="51"/>
      <c r="CUZ41" s="51"/>
      <c r="CVA41" s="51"/>
      <c r="CVB41" s="51"/>
      <c r="CVC41" s="51"/>
      <c r="CVD41" s="51"/>
      <c r="CVE41" s="51"/>
      <c r="CVF41" s="51"/>
      <c r="CVG41" s="51"/>
      <c r="CVH41" s="51"/>
      <c r="CVI41" s="51"/>
      <c r="CVJ41" s="51"/>
      <c r="CVK41" s="51"/>
      <c r="CVL41" s="51"/>
      <c r="CVM41" s="51"/>
      <c r="CVN41" s="51"/>
      <c r="CVO41" s="51"/>
      <c r="CVP41" s="51"/>
      <c r="CVQ41" s="51"/>
      <c r="CVR41" s="51"/>
      <c r="CVS41" s="51"/>
      <c r="CVT41" s="51"/>
      <c r="CVU41" s="51"/>
      <c r="CVV41" s="51"/>
      <c r="CVW41" s="51"/>
      <c r="CVX41" s="51"/>
      <c r="CVY41" s="51"/>
      <c r="CVZ41" s="51"/>
      <c r="CWA41" s="51"/>
      <c r="CWB41" s="51"/>
      <c r="CWC41" s="51"/>
      <c r="CWD41" s="51"/>
      <c r="CWE41" s="51"/>
      <c r="CWF41" s="51"/>
      <c r="CWG41" s="51"/>
      <c r="CWH41" s="51"/>
      <c r="CWI41" s="51"/>
      <c r="CWJ41" s="51"/>
      <c r="CWK41" s="51"/>
      <c r="CWL41" s="51"/>
      <c r="CWM41" s="51"/>
      <c r="CWN41" s="51"/>
      <c r="CWO41" s="51"/>
      <c r="CWP41" s="51"/>
      <c r="CWQ41" s="51"/>
      <c r="CWR41" s="51"/>
      <c r="CWS41" s="51"/>
      <c r="CWT41" s="51"/>
      <c r="CWU41" s="51"/>
      <c r="CWV41" s="51"/>
      <c r="CWW41" s="51"/>
      <c r="CWX41" s="51"/>
      <c r="CWY41" s="51"/>
      <c r="CWZ41" s="51"/>
      <c r="CXA41" s="51"/>
      <c r="CXB41" s="51"/>
      <c r="CXC41" s="51"/>
      <c r="CXD41" s="51"/>
      <c r="CXE41" s="51"/>
      <c r="CXF41" s="51"/>
      <c r="CXG41" s="51"/>
      <c r="CXH41" s="51"/>
      <c r="CXI41" s="51"/>
      <c r="CXJ41" s="51"/>
      <c r="CXK41" s="51"/>
      <c r="CXL41" s="51"/>
      <c r="CXM41" s="51"/>
      <c r="CXN41" s="51"/>
      <c r="CXO41" s="51"/>
      <c r="CXP41" s="51"/>
      <c r="CXQ41" s="51"/>
      <c r="CXR41" s="51"/>
      <c r="CXS41" s="51"/>
      <c r="CXT41" s="51"/>
      <c r="CXU41" s="51"/>
      <c r="CXV41" s="51"/>
      <c r="CXW41" s="51"/>
      <c r="CXX41" s="51"/>
      <c r="CXY41" s="51"/>
      <c r="CXZ41" s="51"/>
      <c r="CYA41" s="51"/>
      <c r="CYB41" s="51"/>
      <c r="CYC41" s="51"/>
      <c r="CYD41" s="51"/>
      <c r="CYE41" s="51"/>
      <c r="CYF41" s="51"/>
      <c r="CYG41" s="51"/>
      <c r="CYH41" s="51"/>
      <c r="CYI41" s="51"/>
      <c r="CYJ41" s="51"/>
      <c r="CYK41" s="51"/>
      <c r="CYL41" s="51"/>
      <c r="CYM41" s="51"/>
      <c r="CYN41" s="51"/>
      <c r="CYO41" s="51"/>
      <c r="CYP41" s="51"/>
      <c r="CYQ41" s="51"/>
      <c r="CYR41" s="51"/>
      <c r="CYS41" s="51"/>
      <c r="CYT41" s="51"/>
      <c r="CYU41" s="51"/>
      <c r="CYV41" s="51"/>
      <c r="CYW41" s="51"/>
      <c r="CYX41" s="51"/>
      <c r="CYY41" s="51"/>
      <c r="CYZ41" s="51"/>
      <c r="CZA41" s="51"/>
      <c r="CZB41" s="51"/>
      <c r="CZC41" s="51"/>
      <c r="CZD41" s="51"/>
      <c r="CZE41" s="51"/>
      <c r="CZF41" s="51"/>
      <c r="CZG41" s="51"/>
      <c r="CZH41" s="51"/>
      <c r="CZI41" s="51"/>
      <c r="CZJ41" s="51"/>
      <c r="CZK41" s="51"/>
      <c r="CZL41" s="51"/>
      <c r="CZM41" s="51"/>
      <c r="CZN41" s="51"/>
      <c r="CZO41" s="51"/>
      <c r="CZP41" s="51"/>
      <c r="CZQ41" s="51"/>
      <c r="CZR41" s="51"/>
      <c r="CZS41" s="51"/>
      <c r="CZT41" s="51"/>
      <c r="CZU41" s="51"/>
      <c r="CZV41" s="51"/>
      <c r="CZW41" s="51"/>
      <c r="CZX41" s="51"/>
      <c r="CZY41" s="51"/>
      <c r="CZZ41" s="51"/>
      <c r="DAA41" s="51"/>
      <c r="DAB41" s="51"/>
      <c r="DAC41" s="51"/>
      <c r="DAD41" s="51"/>
      <c r="DAE41" s="51"/>
      <c r="DAF41" s="51"/>
      <c r="DAG41" s="51"/>
      <c r="DAH41" s="51"/>
      <c r="DAI41" s="51"/>
      <c r="DAJ41" s="51"/>
      <c r="DAK41" s="51"/>
      <c r="DAL41" s="51"/>
      <c r="DAM41" s="51"/>
      <c r="DAN41" s="51"/>
      <c r="DAO41" s="51"/>
      <c r="DAP41" s="51"/>
      <c r="DAQ41" s="51"/>
      <c r="DAR41" s="51"/>
      <c r="DAS41" s="51"/>
      <c r="DAT41" s="51"/>
      <c r="DAU41" s="51"/>
      <c r="DAV41" s="51"/>
      <c r="DAW41" s="51"/>
      <c r="DAX41" s="51"/>
      <c r="DAY41" s="51"/>
      <c r="DAZ41" s="51"/>
      <c r="DBA41" s="51"/>
      <c r="DBB41" s="51"/>
      <c r="DBC41" s="51"/>
      <c r="DBD41" s="51"/>
      <c r="DBE41" s="51"/>
      <c r="DBF41" s="51"/>
      <c r="DBG41" s="51"/>
      <c r="DBH41" s="51"/>
      <c r="DBI41" s="51"/>
      <c r="DBJ41" s="51"/>
      <c r="DBK41" s="51"/>
      <c r="DBL41" s="51"/>
      <c r="DBM41" s="51"/>
      <c r="DBN41" s="51"/>
      <c r="DBO41" s="51"/>
      <c r="DBP41" s="51"/>
      <c r="DBQ41" s="51"/>
      <c r="DBR41" s="51"/>
      <c r="DBS41" s="51"/>
      <c r="DBT41" s="51"/>
      <c r="DBU41" s="51"/>
      <c r="DBV41" s="51"/>
      <c r="DBW41" s="51"/>
      <c r="DBX41" s="51"/>
      <c r="DBY41" s="51"/>
      <c r="DBZ41" s="51"/>
      <c r="DCA41" s="51"/>
      <c r="DCB41" s="51"/>
      <c r="DCC41" s="51"/>
      <c r="DCD41" s="51"/>
      <c r="DCE41" s="51"/>
      <c r="DCF41" s="51"/>
      <c r="DCG41" s="51"/>
      <c r="DCH41" s="51"/>
      <c r="DCI41" s="51"/>
      <c r="DCJ41" s="51"/>
      <c r="DCK41" s="51"/>
      <c r="DCL41" s="51"/>
      <c r="DCM41" s="51"/>
      <c r="DCN41" s="51"/>
      <c r="DCO41" s="51"/>
      <c r="DCP41" s="51"/>
      <c r="DCQ41" s="51"/>
      <c r="DCR41" s="51"/>
      <c r="DCS41" s="51"/>
      <c r="DCT41" s="51"/>
      <c r="DCU41" s="51"/>
      <c r="DCV41" s="51"/>
      <c r="DCW41" s="51"/>
      <c r="DCX41" s="51"/>
      <c r="DCY41" s="51"/>
      <c r="DCZ41" s="51"/>
      <c r="DDA41" s="51"/>
      <c r="DDB41" s="51"/>
      <c r="DDC41" s="51"/>
      <c r="DDD41" s="51"/>
      <c r="DDE41" s="51"/>
      <c r="DDF41" s="51"/>
      <c r="DDG41" s="51"/>
      <c r="DDH41" s="51"/>
      <c r="DDI41" s="51"/>
      <c r="DDJ41" s="51"/>
      <c r="DDK41" s="51"/>
      <c r="DDL41" s="51"/>
      <c r="DDM41" s="51"/>
      <c r="DDN41" s="51"/>
      <c r="DDO41" s="51"/>
      <c r="DDP41" s="51"/>
      <c r="DDQ41" s="51"/>
      <c r="DDR41" s="51"/>
      <c r="DDS41" s="51"/>
      <c r="DDT41" s="51"/>
      <c r="DDU41" s="51"/>
      <c r="DDV41" s="51"/>
      <c r="DDW41" s="51"/>
      <c r="DDX41" s="51"/>
      <c r="DDY41" s="51"/>
      <c r="DDZ41" s="51"/>
      <c r="DEA41" s="51"/>
      <c r="DEB41" s="51"/>
      <c r="DEC41" s="51"/>
      <c r="DED41" s="51"/>
      <c r="DEE41" s="51"/>
      <c r="DEF41" s="51"/>
      <c r="DEG41" s="51"/>
      <c r="DEH41" s="51"/>
      <c r="DEI41" s="51"/>
      <c r="DEJ41" s="51"/>
      <c r="DEK41" s="51"/>
      <c r="DEL41" s="51"/>
      <c r="DEM41" s="51"/>
      <c r="DEN41" s="51"/>
      <c r="DEO41" s="51"/>
      <c r="DEP41" s="51"/>
      <c r="DEQ41" s="51"/>
      <c r="DER41" s="51"/>
      <c r="DES41" s="51"/>
      <c r="DET41" s="51"/>
      <c r="DEU41" s="51"/>
      <c r="DEV41" s="51"/>
      <c r="DEW41" s="51"/>
      <c r="DEX41" s="51"/>
      <c r="DEY41" s="51"/>
      <c r="DEZ41" s="51"/>
      <c r="DFA41" s="51"/>
      <c r="DFB41" s="51"/>
      <c r="DFC41" s="51"/>
      <c r="DFD41" s="51"/>
      <c r="DFE41" s="51"/>
      <c r="DFF41" s="51"/>
      <c r="DFG41" s="51"/>
      <c r="DFH41" s="51"/>
      <c r="DFI41" s="51"/>
      <c r="DFJ41" s="51"/>
      <c r="DFK41" s="51"/>
      <c r="DFL41" s="51"/>
      <c r="DFM41" s="51"/>
      <c r="DFN41" s="51"/>
      <c r="DFO41" s="51"/>
      <c r="DFP41" s="51"/>
      <c r="DFQ41" s="51"/>
      <c r="DFR41" s="51"/>
      <c r="DFS41" s="51"/>
      <c r="DFT41" s="51"/>
      <c r="DFU41" s="51"/>
      <c r="DFV41" s="51"/>
      <c r="DFW41" s="51"/>
      <c r="DFX41" s="51"/>
      <c r="DFY41" s="51"/>
      <c r="DFZ41" s="51"/>
      <c r="DGA41" s="51"/>
      <c r="DGB41" s="51"/>
      <c r="DGC41" s="51"/>
      <c r="DGD41" s="51"/>
      <c r="DGE41" s="51"/>
      <c r="DGF41" s="51"/>
      <c r="DGG41" s="51"/>
      <c r="DGH41" s="51"/>
      <c r="DGI41" s="51"/>
      <c r="DGJ41" s="51"/>
      <c r="DGK41" s="51"/>
      <c r="DGL41" s="51"/>
      <c r="DGM41" s="51"/>
      <c r="DGN41" s="51"/>
      <c r="DGO41" s="51"/>
      <c r="DGP41" s="51"/>
      <c r="DGQ41" s="51"/>
      <c r="DGR41" s="51"/>
      <c r="DGS41" s="51"/>
      <c r="DGT41" s="51"/>
      <c r="DGU41" s="51"/>
      <c r="DGV41" s="51"/>
      <c r="DGW41" s="51"/>
      <c r="DGX41" s="51"/>
      <c r="DGY41" s="51"/>
      <c r="DGZ41" s="51"/>
      <c r="DHA41" s="51"/>
      <c r="DHB41" s="51"/>
      <c r="DHC41" s="51"/>
      <c r="DHD41" s="51"/>
      <c r="DHE41" s="51"/>
      <c r="DHF41" s="51"/>
      <c r="DHG41" s="51"/>
      <c r="DHH41" s="51"/>
      <c r="DHI41" s="51"/>
      <c r="DHJ41" s="51"/>
      <c r="DHK41" s="51"/>
      <c r="DHL41" s="51"/>
      <c r="DHM41" s="51"/>
      <c r="DHN41" s="51"/>
      <c r="DHO41" s="51"/>
      <c r="DHP41" s="51"/>
      <c r="DHQ41" s="51"/>
      <c r="DHR41" s="51"/>
      <c r="DHS41" s="51"/>
      <c r="DHT41" s="51"/>
      <c r="DHU41" s="51"/>
      <c r="DHV41" s="51"/>
      <c r="DHW41" s="51"/>
      <c r="DHX41" s="51"/>
      <c r="DHY41" s="51"/>
      <c r="DHZ41" s="51"/>
      <c r="DIA41" s="51"/>
      <c r="DIB41" s="51"/>
      <c r="DIC41" s="51"/>
      <c r="DID41" s="51"/>
      <c r="DIE41" s="51"/>
      <c r="DIF41" s="51"/>
      <c r="DIG41" s="51"/>
      <c r="DIH41" s="51"/>
      <c r="DII41" s="51"/>
      <c r="DIJ41" s="51"/>
      <c r="DIK41" s="51"/>
      <c r="DIL41" s="51"/>
      <c r="DIM41" s="51"/>
      <c r="DIN41" s="51"/>
      <c r="DIO41" s="51"/>
      <c r="DIP41" s="51"/>
      <c r="DIQ41" s="51"/>
      <c r="DIR41" s="51"/>
      <c r="DIS41" s="51"/>
      <c r="DIT41" s="51"/>
      <c r="DIU41" s="51"/>
      <c r="DIV41" s="51"/>
      <c r="DIW41" s="51"/>
      <c r="DIX41" s="51"/>
      <c r="DIY41" s="51"/>
      <c r="DIZ41" s="51"/>
      <c r="DJA41" s="51"/>
      <c r="DJB41" s="51"/>
      <c r="DJC41" s="51"/>
      <c r="DJD41" s="51"/>
      <c r="DJE41" s="51"/>
      <c r="DJF41" s="51"/>
      <c r="DJG41" s="51"/>
      <c r="DJH41" s="51"/>
      <c r="DJI41" s="51"/>
      <c r="DJJ41" s="51"/>
      <c r="DJK41" s="51"/>
      <c r="DJL41" s="51"/>
      <c r="DJM41" s="51"/>
      <c r="DJN41" s="51"/>
      <c r="DJO41" s="51"/>
      <c r="DJP41" s="51"/>
      <c r="DJQ41" s="51"/>
      <c r="DJR41" s="51"/>
      <c r="DJS41" s="51"/>
      <c r="DJT41" s="51"/>
      <c r="DJU41" s="51"/>
      <c r="DJV41" s="51"/>
      <c r="DJW41" s="51"/>
      <c r="DJX41" s="51"/>
      <c r="DJY41" s="51"/>
      <c r="DJZ41" s="51"/>
      <c r="DKA41" s="51"/>
      <c r="DKB41" s="51"/>
      <c r="DKC41" s="51"/>
      <c r="DKD41" s="51"/>
      <c r="DKE41" s="51"/>
      <c r="DKF41" s="51"/>
      <c r="DKG41" s="51"/>
      <c r="DKH41" s="51"/>
      <c r="DKI41" s="51"/>
      <c r="DKJ41" s="51"/>
      <c r="DKK41" s="51"/>
      <c r="DKL41" s="51"/>
      <c r="DKM41" s="51"/>
      <c r="DKN41" s="51"/>
      <c r="DKO41" s="51"/>
      <c r="DKP41" s="51"/>
      <c r="DKQ41" s="51"/>
      <c r="DKR41" s="51"/>
      <c r="DKS41" s="51"/>
      <c r="DKT41" s="51"/>
      <c r="DKU41" s="51"/>
      <c r="DKV41" s="51"/>
      <c r="DKW41" s="51"/>
      <c r="DKX41" s="51"/>
      <c r="DKY41" s="51"/>
      <c r="DKZ41" s="51"/>
      <c r="DLA41" s="51"/>
      <c r="DLB41" s="51"/>
      <c r="DLC41" s="51"/>
      <c r="DLD41" s="51"/>
      <c r="DLE41" s="51"/>
      <c r="DLF41" s="51"/>
      <c r="DLG41" s="51"/>
      <c r="DLH41" s="51"/>
      <c r="DLI41" s="51"/>
      <c r="DLJ41" s="51"/>
      <c r="DLK41" s="51"/>
      <c r="DLL41" s="51"/>
      <c r="DLM41" s="51"/>
      <c r="DLN41" s="51"/>
      <c r="DLO41" s="51"/>
      <c r="DLP41" s="51"/>
      <c r="DLQ41" s="51"/>
      <c r="DLR41" s="51"/>
      <c r="DLS41" s="51"/>
      <c r="DLT41" s="51"/>
      <c r="DLU41" s="51"/>
      <c r="DLV41" s="51"/>
      <c r="DLW41" s="51"/>
      <c r="DLX41" s="51"/>
      <c r="DLY41" s="51"/>
      <c r="DLZ41" s="51"/>
      <c r="DMA41" s="51"/>
      <c r="DMB41" s="51"/>
      <c r="DMC41" s="51"/>
      <c r="DMD41" s="51"/>
      <c r="DME41" s="51"/>
      <c r="DMF41" s="51"/>
      <c r="DMG41" s="51"/>
      <c r="DMH41" s="51"/>
      <c r="DMI41" s="51"/>
      <c r="DMJ41" s="51"/>
      <c r="DMK41" s="51"/>
      <c r="DML41" s="51"/>
      <c r="DMM41" s="51"/>
      <c r="DMN41" s="51"/>
      <c r="DMO41" s="51"/>
      <c r="DMP41" s="51"/>
      <c r="DMQ41" s="51"/>
      <c r="DMR41" s="51"/>
      <c r="DMS41" s="51"/>
      <c r="DMT41" s="51"/>
      <c r="DMU41" s="51"/>
      <c r="DMV41" s="51"/>
      <c r="DMW41" s="51"/>
      <c r="DMX41" s="51"/>
      <c r="DMY41" s="51"/>
      <c r="DMZ41" s="51"/>
      <c r="DNA41" s="51"/>
      <c r="DNB41" s="51"/>
      <c r="DNC41" s="51"/>
      <c r="DND41" s="51"/>
      <c r="DNE41" s="51"/>
      <c r="DNF41" s="51"/>
      <c r="DNG41" s="51"/>
      <c r="DNH41" s="51"/>
      <c r="DNI41" s="51"/>
      <c r="DNJ41" s="51"/>
      <c r="DNK41" s="51"/>
      <c r="DNL41" s="51"/>
      <c r="DNM41" s="51"/>
      <c r="DNN41" s="51"/>
      <c r="DNO41" s="51"/>
      <c r="DNP41" s="51"/>
      <c r="DNQ41" s="51"/>
      <c r="DNR41" s="51"/>
      <c r="DNS41" s="51"/>
      <c r="DNT41" s="51"/>
      <c r="DNU41" s="51"/>
      <c r="DNV41" s="51"/>
      <c r="DNW41" s="51"/>
      <c r="DNX41" s="51"/>
      <c r="DNY41" s="51"/>
      <c r="DNZ41" s="51"/>
      <c r="DOA41" s="51"/>
      <c r="DOB41" s="51"/>
      <c r="DOC41" s="51"/>
      <c r="DOD41" s="51"/>
      <c r="DOE41" s="51"/>
      <c r="DOF41" s="51"/>
      <c r="DOG41" s="51"/>
      <c r="DOH41" s="51"/>
      <c r="DOI41" s="51"/>
      <c r="DOJ41" s="51"/>
      <c r="DOK41" s="51"/>
      <c r="DOL41" s="51"/>
      <c r="DOM41" s="51"/>
      <c r="DON41" s="51"/>
      <c r="DOO41" s="51"/>
      <c r="DOP41" s="51"/>
      <c r="DOQ41" s="51"/>
      <c r="DOR41" s="51"/>
      <c r="DOS41" s="51"/>
      <c r="DOT41" s="51"/>
      <c r="DOU41" s="51"/>
      <c r="DOV41" s="51"/>
      <c r="DOW41" s="51"/>
      <c r="DOX41" s="51"/>
      <c r="DOY41" s="51"/>
      <c r="DOZ41" s="51"/>
      <c r="DPA41" s="51"/>
      <c r="DPB41" s="51"/>
      <c r="DPC41" s="51"/>
      <c r="DPD41" s="51"/>
      <c r="DPE41" s="51"/>
      <c r="DPF41" s="51"/>
      <c r="DPG41" s="51"/>
      <c r="DPH41" s="51"/>
      <c r="DPI41" s="51"/>
      <c r="DPJ41" s="51"/>
      <c r="DPK41" s="51"/>
      <c r="DPL41" s="51"/>
      <c r="DPM41" s="51"/>
      <c r="DPN41" s="51"/>
      <c r="DPO41" s="51"/>
      <c r="DPP41" s="51"/>
      <c r="DPQ41" s="51"/>
      <c r="DPR41" s="51"/>
      <c r="DPS41" s="51"/>
      <c r="DPT41" s="51"/>
      <c r="DPU41" s="51"/>
      <c r="DPV41" s="51"/>
      <c r="DPW41" s="51"/>
      <c r="DPX41" s="51"/>
      <c r="DPY41" s="51"/>
      <c r="DPZ41" s="51"/>
      <c r="DQA41" s="51"/>
      <c r="DQB41" s="51"/>
      <c r="DQC41" s="51"/>
      <c r="DQD41" s="51"/>
      <c r="DQE41" s="51"/>
      <c r="DQF41" s="51"/>
      <c r="DQG41" s="51"/>
      <c r="DQH41" s="51"/>
      <c r="DQI41" s="51"/>
      <c r="DQJ41" s="51"/>
      <c r="DQK41" s="51"/>
      <c r="DQL41" s="51"/>
      <c r="DQM41" s="51"/>
      <c r="DQN41" s="51"/>
      <c r="DQO41" s="51"/>
      <c r="DQP41" s="51"/>
      <c r="DQQ41" s="51"/>
      <c r="DQR41" s="51"/>
      <c r="DQS41" s="51"/>
      <c r="DQT41" s="51"/>
      <c r="DQU41" s="51"/>
      <c r="DQV41" s="51"/>
      <c r="DQW41" s="51"/>
      <c r="DQX41" s="51"/>
      <c r="DQY41" s="51"/>
      <c r="DQZ41" s="51"/>
      <c r="DRA41" s="51"/>
      <c r="DRB41" s="51"/>
      <c r="DRC41" s="51"/>
      <c r="DRD41" s="51"/>
      <c r="DRE41" s="51"/>
      <c r="DRF41" s="51"/>
      <c r="DRG41" s="51"/>
      <c r="DRH41" s="51"/>
      <c r="DRI41" s="51"/>
      <c r="DRJ41" s="51"/>
      <c r="DRK41" s="51"/>
      <c r="DRL41" s="51"/>
      <c r="DRM41" s="51"/>
      <c r="DRN41" s="51"/>
      <c r="DRO41" s="51"/>
      <c r="DRP41" s="51"/>
      <c r="DRQ41" s="51"/>
      <c r="DRR41" s="51"/>
      <c r="DRS41" s="51"/>
      <c r="DRT41" s="51"/>
      <c r="DRU41" s="51"/>
      <c r="DRV41" s="51"/>
      <c r="DRW41" s="51"/>
      <c r="DRX41" s="51"/>
      <c r="DRY41" s="51"/>
      <c r="DRZ41" s="51"/>
      <c r="DSA41" s="51"/>
      <c r="DSB41" s="51"/>
      <c r="DSC41" s="51"/>
      <c r="DSD41" s="51"/>
      <c r="DSE41" s="51"/>
      <c r="DSF41" s="51"/>
      <c r="DSG41" s="51"/>
      <c r="DSH41" s="51"/>
      <c r="DSI41" s="51"/>
      <c r="DSJ41" s="51"/>
      <c r="DSK41" s="51"/>
      <c r="DSL41" s="51"/>
      <c r="DSM41" s="51"/>
      <c r="DSN41" s="51"/>
      <c r="DSO41" s="51"/>
      <c r="DSP41" s="51"/>
      <c r="DSQ41" s="51"/>
      <c r="DSR41" s="51"/>
      <c r="DSS41" s="51"/>
      <c r="DST41" s="51"/>
      <c r="DSU41" s="51"/>
      <c r="DSV41" s="51"/>
      <c r="DSW41" s="51"/>
      <c r="DSX41" s="51"/>
      <c r="DSY41" s="51"/>
      <c r="DSZ41" s="51"/>
      <c r="DTA41" s="51"/>
      <c r="DTB41" s="51"/>
      <c r="DTC41" s="51"/>
      <c r="DTD41" s="51"/>
      <c r="DTE41" s="51"/>
      <c r="DTF41" s="51"/>
      <c r="DTG41" s="51"/>
      <c r="DTH41" s="51"/>
      <c r="DTI41" s="51"/>
      <c r="DTJ41" s="51"/>
      <c r="DTK41" s="51"/>
      <c r="DTL41" s="51"/>
      <c r="DTM41" s="51"/>
      <c r="DTN41" s="51"/>
      <c r="DTO41" s="51"/>
      <c r="DTP41" s="51"/>
      <c r="DTQ41" s="51"/>
      <c r="DTR41" s="51"/>
      <c r="DTS41" s="51"/>
      <c r="DTT41" s="51"/>
      <c r="DTU41" s="51"/>
      <c r="DTV41" s="51"/>
      <c r="DTW41" s="51"/>
      <c r="DTX41" s="51"/>
      <c r="DTY41" s="51"/>
      <c r="DTZ41" s="51"/>
      <c r="DUA41" s="51"/>
      <c r="DUB41" s="51"/>
      <c r="DUC41" s="51"/>
      <c r="DUD41" s="51"/>
      <c r="DUE41" s="51"/>
      <c r="DUF41" s="51"/>
      <c r="DUG41" s="51"/>
      <c r="DUH41" s="51"/>
      <c r="DUI41" s="51"/>
      <c r="DUJ41" s="51"/>
      <c r="DUK41" s="51"/>
      <c r="DUL41" s="51"/>
      <c r="DUM41" s="51"/>
      <c r="DUN41" s="51"/>
      <c r="DUO41" s="51"/>
      <c r="DUP41" s="51"/>
      <c r="DUQ41" s="51"/>
      <c r="DUR41" s="51"/>
      <c r="DUS41" s="51"/>
      <c r="DUT41" s="51"/>
      <c r="DUU41" s="51"/>
      <c r="DUV41" s="51"/>
      <c r="DUW41" s="51"/>
      <c r="DUX41" s="51"/>
      <c r="DUY41" s="51"/>
      <c r="DUZ41" s="51"/>
      <c r="DVA41" s="51"/>
      <c r="DVB41" s="51"/>
      <c r="DVC41" s="51"/>
      <c r="DVD41" s="51"/>
      <c r="DVE41" s="51"/>
      <c r="DVF41" s="51"/>
      <c r="DVG41" s="51"/>
      <c r="DVH41" s="51"/>
      <c r="DVI41" s="51"/>
      <c r="DVJ41" s="51"/>
      <c r="DVK41" s="51"/>
      <c r="DVL41" s="51"/>
      <c r="DVM41" s="51"/>
      <c r="DVN41" s="51"/>
      <c r="DVO41" s="51"/>
      <c r="DVP41" s="51"/>
      <c r="DVQ41" s="51"/>
      <c r="DVR41" s="51"/>
      <c r="DVS41" s="51"/>
      <c r="DVT41" s="51"/>
      <c r="DVU41" s="51"/>
      <c r="DVV41" s="51"/>
      <c r="DVW41" s="51"/>
      <c r="DVX41" s="51"/>
      <c r="DVY41" s="51"/>
      <c r="DVZ41" s="51"/>
      <c r="DWA41" s="51"/>
      <c r="DWB41" s="51"/>
      <c r="DWC41" s="51"/>
      <c r="DWD41" s="51"/>
      <c r="DWE41" s="51"/>
      <c r="DWF41" s="51"/>
      <c r="DWG41" s="51"/>
      <c r="DWH41" s="51"/>
      <c r="DWI41" s="51"/>
      <c r="DWJ41" s="51"/>
      <c r="DWK41" s="51"/>
      <c r="DWL41" s="51"/>
      <c r="DWM41" s="51"/>
      <c r="DWN41" s="51"/>
      <c r="DWO41" s="51"/>
      <c r="DWP41" s="51"/>
      <c r="DWQ41" s="51"/>
      <c r="DWR41" s="51"/>
      <c r="DWS41" s="51"/>
      <c r="DWT41" s="51"/>
      <c r="DWU41" s="51"/>
      <c r="DWV41" s="51"/>
      <c r="DWW41" s="51"/>
      <c r="DWX41" s="51"/>
      <c r="DWY41" s="51"/>
      <c r="DWZ41" s="51"/>
      <c r="DXA41" s="51"/>
      <c r="DXB41" s="51"/>
      <c r="DXC41" s="51"/>
      <c r="DXD41" s="51"/>
      <c r="DXE41" s="51"/>
      <c r="DXF41" s="51"/>
      <c r="DXG41" s="51"/>
      <c r="DXH41" s="51"/>
      <c r="DXI41" s="51"/>
      <c r="DXJ41" s="51"/>
      <c r="DXK41" s="51"/>
      <c r="DXL41" s="51"/>
      <c r="DXM41" s="51"/>
      <c r="DXN41" s="51"/>
      <c r="DXO41" s="51"/>
      <c r="DXP41" s="51"/>
      <c r="DXQ41" s="51"/>
      <c r="DXR41" s="51"/>
      <c r="DXS41" s="51"/>
      <c r="DXT41" s="51"/>
      <c r="DXU41" s="51"/>
      <c r="DXV41" s="51"/>
      <c r="DXW41" s="51"/>
      <c r="DXX41" s="51"/>
      <c r="DXY41" s="51"/>
      <c r="DXZ41" s="51"/>
      <c r="DYA41" s="51"/>
      <c r="DYB41" s="51"/>
      <c r="DYC41" s="51"/>
      <c r="DYD41" s="51"/>
      <c r="DYE41" s="51"/>
      <c r="DYF41" s="51"/>
      <c r="DYG41" s="51"/>
      <c r="DYH41" s="51"/>
      <c r="DYI41" s="51"/>
      <c r="DYJ41" s="51"/>
      <c r="DYK41" s="51"/>
      <c r="DYL41" s="51"/>
      <c r="DYM41" s="51"/>
      <c r="DYN41" s="51"/>
      <c r="DYO41" s="51"/>
      <c r="DYP41" s="51"/>
      <c r="DYQ41" s="51"/>
      <c r="DYR41" s="51"/>
      <c r="DYS41" s="51"/>
      <c r="DYT41" s="51"/>
      <c r="DYU41" s="51"/>
      <c r="DYV41" s="51"/>
      <c r="DYW41" s="51"/>
      <c r="DYX41" s="51"/>
      <c r="DYY41" s="51"/>
      <c r="DYZ41" s="51"/>
      <c r="DZA41" s="51"/>
      <c r="DZB41" s="51"/>
      <c r="DZC41" s="51"/>
      <c r="DZD41" s="51"/>
      <c r="DZE41" s="51"/>
      <c r="DZF41" s="51"/>
      <c r="DZG41" s="51"/>
      <c r="DZH41" s="51"/>
      <c r="DZI41" s="51"/>
      <c r="DZJ41" s="51"/>
      <c r="DZK41" s="51"/>
      <c r="DZL41" s="51"/>
      <c r="DZM41" s="51"/>
      <c r="DZN41" s="51"/>
      <c r="DZO41" s="51"/>
      <c r="DZP41" s="51"/>
      <c r="DZQ41" s="51"/>
      <c r="DZR41" s="51"/>
      <c r="DZS41" s="51"/>
      <c r="DZT41" s="51"/>
      <c r="DZU41" s="51"/>
      <c r="DZV41" s="51"/>
      <c r="DZW41" s="51"/>
      <c r="DZX41" s="51"/>
      <c r="DZY41" s="51"/>
      <c r="DZZ41" s="51"/>
      <c r="EAA41" s="51"/>
      <c r="EAB41" s="51"/>
      <c r="EAC41" s="51"/>
      <c r="EAD41" s="51"/>
      <c r="EAE41" s="51"/>
      <c r="EAF41" s="51"/>
      <c r="EAG41" s="51"/>
      <c r="EAH41" s="51"/>
      <c r="EAI41" s="51"/>
      <c r="EAJ41" s="51"/>
      <c r="EAK41" s="51"/>
      <c r="EAL41" s="51"/>
      <c r="EAM41" s="51"/>
      <c r="EAN41" s="51"/>
      <c r="EAO41" s="51"/>
      <c r="EAP41" s="51"/>
      <c r="EAQ41" s="51"/>
      <c r="EAR41" s="51"/>
      <c r="EAS41" s="51"/>
      <c r="EAT41" s="51"/>
      <c r="EAU41" s="51"/>
      <c r="EAV41" s="51"/>
      <c r="EAW41" s="51"/>
      <c r="EAX41" s="51"/>
      <c r="EAY41" s="51"/>
      <c r="EAZ41" s="51"/>
      <c r="EBA41" s="51"/>
      <c r="EBB41" s="51"/>
      <c r="EBC41" s="51"/>
      <c r="EBD41" s="51"/>
      <c r="EBE41" s="51"/>
      <c r="EBF41" s="51"/>
      <c r="EBG41" s="51"/>
      <c r="EBH41" s="51"/>
      <c r="EBI41" s="51"/>
      <c r="EBJ41" s="51"/>
      <c r="EBK41" s="51"/>
      <c r="EBL41" s="51"/>
      <c r="EBM41" s="51"/>
      <c r="EBN41" s="51"/>
      <c r="EBO41" s="51"/>
      <c r="EBP41" s="51"/>
      <c r="EBQ41" s="51"/>
      <c r="EBR41" s="51"/>
      <c r="EBS41" s="51"/>
      <c r="EBT41" s="51"/>
      <c r="EBU41" s="51"/>
      <c r="EBV41" s="51"/>
      <c r="EBW41" s="51"/>
      <c r="EBX41" s="51"/>
      <c r="EBY41" s="51"/>
      <c r="EBZ41" s="51"/>
      <c r="ECA41" s="51"/>
      <c r="ECB41" s="51"/>
      <c r="ECC41" s="51"/>
      <c r="ECD41" s="51"/>
      <c r="ECE41" s="51"/>
      <c r="ECF41" s="51"/>
      <c r="ECG41" s="51"/>
      <c r="ECH41" s="51"/>
      <c r="ECI41" s="51"/>
      <c r="ECJ41" s="51"/>
      <c r="ECK41" s="51"/>
      <c r="ECL41" s="51"/>
      <c r="ECM41" s="51"/>
      <c r="ECN41" s="51"/>
      <c r="ECO41" s="51"/>
      <c r="ECP41" s="51"/>
      <c r="ECQ41" s="51"/>
      <c r="ECR41" s="51"/>
      <c r="ECS41" s="51"/>
      <c r="ECT41" s="51"/>
      <c r="ECU41" s="51"/>
      <c r="ECV41" s="51"/>
      <c r="ECW41" s="51"/>
      <c r="ECX41" s="51"/>
      <c r="ECY41" s="51"/>
      <c r="ECZ41" s="51"/>
      <c r="EDA41" s="51"/>
      <c r="EDB41" s="51"/>
      <c r="EDC41" s="51"/>
      <c r="EDD41" s="51"/>
      <c r="EDE41" s="51"/>
      <c r="EDF41" s="51"/>
      <c r="EDG41" s="51"/>
      <c r="EDH41" s="51"/>
      <c r="EDI41" s="51"/>
      <c r="EDJ41" s="51"/>
      <c r="EDK41" s="51"/>
      <c r="EDL41" s="51"/>
      <c r="EDM41" s="51"/>
      <c r="EDN41" s="51"/>
      <c r="EDO41" s="51"/>
      <c r="EDP41" s="51"/>
      <c r="EDQ41" s="51"/>
      <c r="EDR41" s="51"/>
      <c r="EDS41" s="51"/>
      <c r="EDT41" s="51"/>
      <c r="EDU41" s="51"/>
      <c r="EDV41" s="51"/>
      <c r="EDW41" s="51"/>
      <c r="EDX41" s="51"/>
      <c r="EDY41" s="51"/>
      <c r="EDZ41" s="51"/>
      <c r="EEA41" s="51"/>
      <c r="EEB41" s="51"/>
      <c r="EEC41" s="51"/>
      <c r="EED41" s="51"/>
      <c r="EEE41" s="51"/>
      <c r="EEF41" s="51"/>
      <c r="EEG41" s="51"/>
      <c r="EEH41" s="51"/>
      <c r="EEI41" s="51"/>
      <c r="EEJ41" s="51"/>
      <c r="EEK41" s="51"/>
      <c r="EEL41" s="51"/>
      <c r="EEM41" s="51"/>
      <c r="EEN41" s="51"/>
      <c r="EEO41" s="51"/>
      <c r="EEP41" s="51"/>
      <c r="EEQ41" s="51"/>
      <c r="EER41" s="51"/>
      <c r="EES41" s="51"/>
      <c r="EET41" s="51"/>
      <c r="EEU41" s="51"/>
      <c r="EEV41" s="51"/>
      <c r="EEW41" s="51"/>
      <c r="EEX41" s="51"/>
      <c r="EEY41" s="51"/>
      <c r="EEZ41" s="51"/>
      <c r="EFA41" s="51"/>
      <c r="EFB41" s="51"/>
      <c r="EFC41" s="51"/>
      <c r="EFD41" s="51"/>
      <c r="EFE41" s="51"/>
      <c r="EFF41" s="51"/>
      <c r="EFG41" s="51"/>
      <c r="EFH41" s="51"/>
      <c r="EFI41" s="51"/>
      <c r="EFJ41" s="51"/>
      <c r="EFK41" s="51"/>
      <c r="EFL41" s="51"/>
      <c r="EFM41" s="51"/>
      <c r="EFN41" s="51"/>
      <c r="EFO41" s="51"/>
      <c r="EFP41" s="51"/>
      <c r="EFQ41" s="51"/>
      <c r="EFR41" s="51"/>
      <c r="EFS41" s="51"/>
      <c r="EFT41" s="51"/>
      <c r="EFU41" s="51"/>
      <c r="EFV41" s="51"/>
      <c r="EFW41" s="51"/>
      <c r="EFX41" s="51"/>
      <c r="EFY41" s="51"/>
      <c r="EFZ41" s="51"/>
      <c r="EGA41" s="51"/>
      <c r="EGB41" s="51"/>
      <c r="EGC41" s="51"/>
      <c r="EGD41" s="51"/>
      <c r="EGE41" s="51"/>
      <c r="EGF41" s="51"/>
      <c r="EGG41" s="51"/>
      <c r="EGH41" s="51"/>
      <c r="EGI41" s="51"/>
      <c r="EGJ41" s="51"/>
      <c r="EGK41" s="51"/>
      <c r="EGL41" s="51"/>
      <c r="EGM41" s="51"/>
      <c r="EGN41" s="51"/>
      <c r="EGO41" s="51"/>
      <c r="EGP41" s="51"/>
      <c r="EGQ41" s="51"/>
      <c r="EGR41" s="51"/>
      <c r="EGS41" s="51"/>
      <c r="EGT41" s="51"/>
      <c r="EGU41" s="51"/>
      <c r="EGV41" s="51"/>
      <c r="EGW41" s="51"/>
      <c r="EGX41" s="51"/>
      <c r="EGY41" s="51"/>
      <c r="EGZ41" s="51"/>
      <c r="EHA41" s="51"/>
      <c r="EHB41" s="51"/>
      <c r="EHC41" s="51"/>
      <c r="EHD41" s="51"/>
      <c r="EHE41" s="51"/>
      <c r="EHF41" s="51"/>
      <c r="EHG41" s="51"/>
      <c r="EHH41" s="51"/>
      <c r="EHI41" s="51"/>
      <c r="EHJ41" s="51"/>
      <c r="EHK41" s="51"/>
      <c r="EHL41" s="51"/>
      <c r="EHM41" s="51"/>
      <c r="EHN41" s="51"/>
      <c r="EHO41" s="51"/>
      <c r="EHP41" s="51"/>
      <c r="EHQ41" s="51"/>
      <c r="EHR41" s="51"/>
      <c r="EHS41" s="51"/>
      <c r="EHT41" s="51"/>
      <c r="EHU41" s="51"/>
      <c r="EHV41" s="51"/>
      <c r="EHW41" s="51"/>
      <c r="EHX41" s="51"/>
      <c r="EHY41" s="51"/>
      <c r="EHZ41" s="51"/>
      <c r="EIA41" s="51"/>
      <c r="EIB41" s="51"/>
      <c r="EIC41" s="51"/>
      <c r="EID41" s="51"/>
      <c r="EIE41" s="51"/>
      <c r="EIF41" s="51"/>
      <c r="EIG41" s="51"/>
      <c r="EIH41" s="51"/>
      <c r="EII41" s="51"/>
      <c r="EIJ41" s="51"/>
      <c r="EIK41" s="51"/>
      <c r="EIL41" s="51"/>
      <c r="EIM41" s="51"/>
      <c r="EIN41" s="51"/>
      <c r="EIO41" s="51"/>
      <c r="EIP41" s="51"/>
      <c r="EIQ41" s="51"/>
      <c r="EIR41" s="51"/>
      <c r="EIS41" s="51"/>
      <c r="EIT41" s="51"/>
      <c r="EIU41" s="51"/>
      <c r="EIV41" s="51"/>
      <c r="EIW41" s="51"/>
      <c r="EIX41" s="51"/>
      <c r="EIY41" s="51"/>
      <c r="EIZ41" s="51"/>
      <c r="EJA41" s="51"/>
      <c r="EJB41" s="51"/>
      <c r="EJC41" s="51"/>
      <c r="EJD41" s="51"/>
      <c r="EJE41" s="51"/>
      <c r="EJF41" s="51"/>
      <c r="EJG41" s="51"/>
      <c r="EJH41" s="51"/>
      <c r="EJI41" s="51"/>
      <c r="EJJ41" s="51"/>
      <c r="EJK41" s="51"/>
      <c r="EJL41" s="51"/>
      <c r="EJM41" s="51"/>
      <c r="EJN41" s="51"/>
      <c r="EJO41" s="51"/>
      <c r="EJP41" s="51"/>
      <c r="EJQ41" s="51"/>
      <c r="EJR41" s="51"/>
      <c r="EJS41" s="51"/>
      <c r="EJT41" s="51"/>
      <c r="EJU41" s="51"/>
      <c r="EJV41" s="51"/>
      <c r="EJW41" s="51"/>
      <c r="EJX41" s="51"/>
      <c r="EJY41" s="51"/>
      <c r="EJZ41" s="51"/>
      <c r="EKA41" s="51"/>
      <c r="EKB41" s="51"/>
      <c r="EKC41" s="51"/>
      <c r="EKD41" s="51"/>
      <c r="EKE41" s="51"/>
      <c r="EKF41" s="51"/>
      <c r="EKG41" s="51"/>
      <c r="EKH41" s="51"/>
      <c r="EKI41" s="51"/>
      <c r="EKJ41" s="51"/>
      <c r="EKK41" s="51"/>
      <c r="EKL41" s="51"/>
      <c r="EKM41" s="51"/>
      <c r="EKN41" s="51"/>
      <c r="EKO41" s="51"/>
      <c r="EKP41" s="51"/>
      <c r="EKQ41" s="51"/>
      <c r="EKR41" s="51"/>
      <c r="EKS41" s="51"/>
      <c r="EKT41" s="51"/>
      <c r="EKU41" s="51"/>
      <c r="EKV41" s="51"/>
      <c r="EKW41" s="51"/>
      <c r="EKX41" s="51"/>
      <c r="EKY41" s="51"/>
      <c r="EKZ41" s="51"/>
      <c r="ELA41" s="51"/>
      <c r="ELB41" s="51"/>
      <c r="ELC41" s="51"/>
      <c r="ELD41" s="51"/>
      <c r="ELE41" s="51"/>
      <c r="ELF41" s="51"/>
      <c r="ELG41" s="51"/>
      <c r="ELH41" s="51"/>
      <c r="ELI41" s="51"/>
      <c r="ELJ41" s="51"/>
      <c r="ELK41" s="51"/>
      <c r="ELL41" s="51"/>
      <c r="ELM41" s="51"/>
      <c r="ELN41" s="51"/>
      <c r="ELO41" s="51"/>
      <c r="ELP41" s="51"/>
      <c r="ELQ41" s="51"/>
      <c r="ELR41" s="51"/>
      <c r="ELS41" s="51"/>
      <c r="ELT41" s="51"/>
      <c r="ELU41" s="51"/>
      <c r="ELV41" s="51"/>
      <c r="ELW41" s="51"/>
      <c r="ELX41" s="51"/>
      <c r="ELY41" s="51"/>
      <c r="ELZ41" s="51"/>
      <c r="EMA41" s="51"/>
      <c r="EMB41" s="51"/>
      <c r="EMC41" s="51"/>
      <c r="EMD41" s="51"/>
      <c r="EME41" s="51"/>
      <c r="EMF41" s="51"/>
      <c r="EMG41" s="51"/>
      <c r="EMH41" s="51"/>
      <c r="EMI41" s="51"/>
      <c r="EMJ41" s="51"/>
      <c r="EMK41" s="51"/>
      <c r="EML41" s="51"/>
      <c r="EMM41" s="51"/>
      <c r="EMN41" s="51"/>
      <c r="EMO41" s="51"/>
      <c r="EMP41" s="51"/>
      <c r="EMQ41" s="51"/>
      <c r="EMR41" s="51"/>
      <c r="EMS41" s="51"/>
      <c r="EMT41" s="51"/>
      <c r="EMU41" s="51"/>
      <c r="EMV41" s="51"/>
      <c r="EMW41" s="51"/>
      <c r="EMX41" s="51"/>
      <c r="EMY41" s="51"/>
      <c r="EMZ41" s="51"/>
      <c r="ENA41" s="51"/>
      <c r="ENB41" s="51"/>
      <c r="ENC41" s="51"/>
      <c r="END41" s="51"/>
      <c r="ENE41" s="51"/>
      <c r="ENF41" s="51"/>
      <c r="ENG41" s="51"/>
      <c r="ENH41" s="51"/>
      <c r="ENI41" s="51"/>
      <c r="ENJ41" s="51"/>
      <c r="ENK41" s="51"/>
      <c r="ENL41" s="51"/>
      <c r="ENM41" s="51"/>
      <c r="ENN41" s="51"/>
      <c r="ENO41" s="51"/>
      <c r="ENP41" s="51"/>
      <c r="ENQ41" s="51"/>
      <c r="ENR41" s="51"/>
      <c r="ENS41" s="51"/>
      <c r="ENT41" s="51"/>
      <c r="ENU41" s="51"/>
      <c r="ENV41" s="51"/>
      <c r="ENW41" s="51"/>
      <c r="ENX41" s="51"/>
      <c r="ENY41" s="51"/>
      <c r="ENZ41" s="51"/>
      <c r="EOA41" s="51"/>
      <c r="EOB41" s="51"/>
      <c r="EOC41" s="51"/>
      <c r="EOD41" s="51"/>
      <c r="EOE41" s="51"/>
      <c r="EOF41" s="51"/>
      <c r="EOG41" s="51"/>
      <c r="EOH41" s="51"/>
      <c r="EOI41" s="51"/>
      <c r="EOJ41" s="51"/>
      <c r="EOK41" s="51"/>
      <c r="EOL41" s="51"/>
      <c r="EOM41" s="51"/>
      <c r="EON41" s="51"/>
      <c r="EOO41" s="51"/>
      <c r="EOP41" s="51"/>
      <c r="EOQ41" s="51"/>
      <c r="EOR41" s="51"/>
      <c r="EOS41" s="51"/>
      <c r="EOT41" s="51"/>
      <c r="EOU41" s="51"/>
      <c r="EOV41" s="51"/>
      <c r="EOW41" s="51"/>
      <c r="EOX41" s="51"/>
      <c r="EOY41" s="51"/>
      <c r="EOZ41" s="51"/>
      <c r="EPA41" s="51"/>
      <c r="EPB41" s="51"/>
      <c r="EPC41" s="51"/>
      <c r="EPD41" s="51"/>
      <c r="EPE41" s="51"/>
      <c r="EPF41" s="51"/>
      <c r="EPG41" s="51"/>
      <c r="EPH41" s="51"/>
      <c r="EPI41" s="51"/>
      <c r="EPJ41" s="51"/>
      <c r="EPK41" s="51"/>
      <c r="EPL41" s="51"/>
      <c r="EPM41" s="51"/>
      <c r="EPN41" s="51"/>
      <c r="EPO41" s="51"/>
      <c r="EPP41" s="51"/>
      <c r="EPQ41" s="51"/>
      <c r="EPR41" s="51"/>
      <c r="EPS41" s="51"/>
      <c r="EPT41" s="51"/>
      <c r="EPU41" s="51"/>
      <c r="EPV41" s="51"/>
      <c r="EPW41" s="51"/>
      <c r="EPX41" s="51"/>
      <c r="EPY41" s="51"/>
      <c r="EPZ41" s="51"/>
      <c r="EQA41" s="51"/>
      <c r="EQB41" s="51"/>
      <c r="EQC41" s="51"/>
      <c r="EQD41" s="51"/>
      <c r="EQE41" s="51"/>
      <c r="EQF41" s="51"/>
      <c r="EQG41" s="51"/>
      <c r="EQH41" s="51"/>
      <c r="EQI41" s="51"/>
      <c r="EQJ41" s="51"/>
      <c r="EQK41" s="51"/>
      <c r="EQL41" s="51"/>
      <c r="EQM41" s="51"/>
      <c r="EQN41" s="51"/>
      <c r="EQO41" s="51"/>
      <c r="EQP41" s="51"/>
      <c r="EQQ41" s="51"/>
      <c r="EQR41" s="51"/>
      <c r="EQS41" s="51"/>
      <c r="EQT41" s="51"/>
      <c r="EQU41" s="51"/>
      <c r="EQV41" s="51"/>
      <c r="EQW41" s="51"/>
      <c r="EQX41" s="51"/>
      <c r="EQY41" s="51"/>
      <c r="EQZ41" s="51"/>
      <c r="ERA41" s="51"/>
      <c r="ERB41" s="51"/>
      <c r="ERC41" s="51"/>
      <c r="ERD41" s="51"/>
      <c r="ERE41" s="51"/>
      <c r="ERF41" s="51"/>
      <c r="ERG41" s="51"/>
      <c r="ERH41" s="51"/>
      <c r="ERI41" s="51"/>
      <c r="ERJ41" s="51"/>
      <c r="ERK41" s="51"/>
      <c r="ERL41" s="51"/>
      <c r="ERM41" s="51"/>
      <c r="ERN41" s="51"/>
      <c r="ERO41" s="51"/>
      <c r="ERP41" s="51"/>
      <c r="ERQ41" s="51"/>
      <c r="ERR41" s="51"/>
      <c r="ERS41" s="51"/>
      <c r="ERT41" s="51"/>
      <c r="ERU41" s="51"/>
      <c r="ERV41" s="51"/>
      <c r="ERW41" s="51"/>
      <c r="ERX41" s="51"/>
      <c r="ERY41" s="51"/>
      <c r="ERZ41" s="51"/>
      <c r="ESA41" s="51"/>
      <c r="ESB41" s="51"/>
      <c r="ESC41" s="51"/>
      <c r="ESD41" s="51"/>
      <c r="ESE41" s="51"/>
      <c r="ESF41" s="51"/>
      <c r="ESG41" s="51"/>
      <c r="ESH41" s="51"/>
      <c r="ESI41" s="51"/>
      <c r="ESJ41" s="51"/>
      <c r="ESK41" s="51"/>
      <c r="ESL41" s="51"/>
      <c r="ESM41" s="51"/>
      <c r="ESN41" s="51"/>
      <c r="ESO41" s="51"/>
      <c r="ESP41" s="51"/>
      <c r="ESQ41" s="51"/>
      <c r="ESR41" s="51"/>
      <c r="ESS41" s="51"/>
      <c r="EST41" s="51"/>
      <c r="ESU41" s="51"/>
      <c r="ESV41" s="51"/>
      <c r="ESW41" s="51"/>
      <c r="ESX41" s="51"/>
      <c r="ESY41" s="51"/>
      <c r="ESZ41" s="51"/>
      <c r="ETA41" s="51"/>
      <c r="ETB41" s="51"/>
      <c r="ETC41" s="51"/>
      <c r="ETD41" s="51"/>
      <c r="ETE41" s="51"/>
      <c r="ETF41" s="51"/>
      <c r="ETG41" s="51"/>
      <c r="ETH41" s="51"/>
      <c r="ETI41" s="51"/>
      <c r="ETJ41" s="51"/>
      <c r="ETK41" s="51"/>
      <c r="ETL41" s="51"/>
      <c r="ETM41" s="51"/>
      <c r="ETN41" s="51"/>
      <c r="ETO41" s="51"/>
      <c r="ETP41" s="51"/>
      <c r="ETQ41" s="51"/>
      <c r="ETR41" s="51"/>
      <c r="ETS41" s="51"/>
      <c r="ETT41" s="51"/>
      <c r="ETU41" s="51"/>
      <c r="ETV41" s="51"/>
      <c r="ETW41" s="51"/>
      <c r="ETX41" s="51"/>
      <c r="ETY41" s="51"/>
      <c r="ETZ41" s="51"/>
      <c r="EUA41" s="51"/>
      <c r="EUB41" s="51"/>
      <c r="EUC41" s="51"/>
      <c r="EUD41" s="51"/>
      <c r="EUE41" s="51"/>
      <c r="EUF41" s="51"/>
      <c r="EUG41" s="51"/>
      <c r="EUH41" s="51"/>
      <c r="EUI41" s="51"/>
      <c r="EUJ41" s="51"/>
      <c r="EUK41" s="51"/>
      <c r="EUL41" s="51"/>
      <c r="EUM41" s="51"/>
      <c r="EUN41" s="51"/>
      <c r="EUO41" s="51"/>
      <c r="EUP41" s="51"/>
      <c r="EUQ41" s="51"/>
      <c r="EUR41" s="51"/>
      <c r="EUS41" s="51"/>
      <c r="EUT41" s="51"/>
      <c r="EUU41" s="51"/>
      <c r="EUV41" s="51"/>
      <c r="EUW41" s="51"/>
      <c r="EUX41" s="51"/>
      <c r="EUY41" s="51"/>
      <c r="EUZ41" s="51"/>
      <c r="EVA41" s="51"/>
      <c r="EVB41" s="51"/>
      <c r="EVC41" s="51"/>
      <c r="EVD41" s="51"/>
      <c r="EVE41" s="51"/>
      <c r="EVF41" s="51"/>
      <c r="EVG41" s="51"/>
      <c r="EVH41" s="51"/>
      <c r="EVI41" s="51"/>
      <c r="EVJ41" s="51"/>
      <c r="EVK41" s="51"/>
      <c r="EVL41" s="51"/>
      <c r="EVM41" s="51"/>
      <c r="EVN41" s="51"/>
      <c r="EVO41" s="51"/>
      <c r="EVP41" s="51"/>
      <c r="EVQ41" s="51"/>
      <c r="EVR41" s="51"/>
      <c r="EVS41" s="51"/>
      <c r="EVT41" s="51"/>
      <c r="EVU41" s="51"/>
      <c r="EVV41" s="51"/>
      <c r="EVW41" s="51"/>
      <c r="EVX41" s="51"/>
      <c r="EVY41" s="51"/>
      <c r="EVZ41" s="51"/>
      <c r="EWA41" s="51"/>
      <c r="EWB41" s="51"/>
      <c r="EWC41" s="51"/>
      <c r="EWD41" s="51"/>
      <c r="EWE41" s="51"/>
      <c r="EWF41" s="51"/>
      <c r="EWG41" s="51"/>
      <c r="EWH41" s="51"/>
      <c r="EWI41" s="51"/>
      <c r="EWJ41" s="51"/>
      <c r="EWK41" s="51"/>
      <c r="EWL41" s="51"/>
      <c r="EWM41" s="51"/>
      <c r="EWN41" s="51"/>
      <c r="EWO41" s="51"/>
      <c r="EWP41" s="51"/>
      <c r="EWQ41" s="51"/>
      <c r="EWR41" s="51"/>
      <c r="EWS41" s="51"/>
      <c r="EWT41" s="51"/>
      <c r="EWU41" s="51"/>
      <c r="EWV41" s="51"/>
      <c r="EWW41" s="51"/>
      <c r="EWX41" s="51"/>
      <c r="EWY41" s="51"/>
      <c r="EWZ41" s="51"/>
      <c r="EXA41" s="51"/>
      <c r="EXB41" s="51"/>
      <c r="EXC41" s="51"/>
      <c r="EXD41" s="51"/>
      <c r="EXE41" s="51"/>
      <c r="EXF41" s="51"/>
      <c r="EXG41" s="51"/>
      <c r="EXH41" s="51"/>
      <c r="EXI41" s="51"/>
      <c r="EXJ41" s="51"/>
      <c r="EXK41" s="51"/>
      <c r="EXL41" s="51"/>
      <c r="EXM41" s="51"/>
      <c r="EXN41" s="51"/>
      <c r="EXO41" s="51"/>
      <c r="EXP41" s="51"/>
      <c r="EXQ41" s="51"/>
      <c r="EXR41" s="51"/>
      <c r="EXS41" s="51"/>
      <c r="EXT41" s="51"/>
      <c r="EXU41" s="51"/>
      <c r="EXV41" s="51"/>
      <c r="EXW41" s="51"/>
      <c r="EXX41" s="51"/>
      <c r="EXY41" s="51"/>
      <c r="EXZ41" s="51"/>
      <c r="EYA41" s="51"/>
      <c r="EYB41" s="51"/>
      <c r="EYC41" s="51"/>
      <c r="EYD41" s="51"/>
      <c r="EYE41" s="51"/>
      <c r="EYF41" s="51"/>
      <c r="EYG41" s="51"/>
      <c r="EYH41" s="51"/>
      <c r="EYI41" s="51"/>
      <c r="EYJ41" s="51"/>
      <c r="EYK41" s="51"/>
      <c r="EYL41" s="51"/>
      <c r="EYM41" s="51"/>
      <c r="EYN41" s="51"/>
      <c r="EYO41" s="51"/>
      <c r="EYP41" s="51"/>
      <c r="EYQ41" s="51"/>
      <c r="EYR41" s="51"/>
      <c r="EYS41" s="51"/>
      <c r="EYT41" s="51"/>
      <c r="EYU41" s="51"/>
      <c r="EYV41" s="51"/>
      <c r="EYW41" s="51"/>
      <c r="EYX41" s="51"/>
      <c r="EYY41" s="51"/>
      <c r="EYZ41" s="51"/>
      <c r="EZA41" s="51"/>
      <c r="EZB41" s="51"/>
      <c r="EZC41" s="51"/>
      <c r="EZD41" s="51"/>
      <c r="EZE41" s="51"/>
      <c r="EZF41" s="51"/>
      <c r="EZG41" s="51"/>
      <c r="EZH41" s="51"/>
      <c r="EZI41" s="51"/>
      <c r="EZJ41" s="51"/>
      <c r="EZK41" s="51"/>
      <c r="EZL41" s="51"/>
      <c r="EZM41" s="51"/>
      <c r="EZN41" s="51"/>
      <c r="EZO41" s="51"/>
      <c r="EZP41" s="51"/>
      <c r="EZQ41" s="51"/>
      <c r="EZR41" s="51"/>
      <c r="EZS41" s="51"/>
      <c r="EZT41" s="51"/>
      <c r="EZU41" s="51"/>
      <c r="EZV41" s="51"/>
      <c r="EZW41" s="51"/>
      <c r="EZX41" s="51"/>
      <c r="EZY41" s="51"/>
      <c r="EZZ41" s="51"/>
      <c r="FAA41" s="51"/>
      <c r="FAB41" s="51"/>
      <c r="FAC41" s="51"/>
      <c r="FAD41" s="51"/>
      <c r="FAE41" s="51"/>
      <c r="FAF41" s="51"/>
      <c r="FAG41" s="51"/>
      <c r="FAH41" s="51"/>
      <c r="FAI41" s="51"/>
      <c r="FAJ41" s="51"/>
      <c r="FAK41" s="51"/>
      <c r="FAL41" s="51"/>
      <c r="FAM41" s="51"/>
      <c r="FAN41" s="51"/>
      <c r="FAO41" s="51"/>
      <c r="FAP41" s="51"/>
      <c r="FAQ41" s="51"/>
      <c r="FAR41" s="51"/>
      <c r="FAS41" s="51"/>
      <c r="FAT41" s="51"/>
      <c r="FAU41" s="51"/>
      <c r="FAV41" s="51"/>
      <c r="FAW41" s="51"/>
      <c r="FAX41" s="51"/>
      <c r="FAY41" s="51"/>
      <c r="FAZ41" s="51"/>
      <c r="FBA41" s="51"/>
      <c r="FBB41" s="51"/>
      <c r="FBC41" s="51"/>
      <c r="FBD41" s="51"/>
      <c r="FBE41" s="51"/>
      <c r="FBF41" s="51"/>
      <c r="FBG41" s="51"/>
      <c r="FBH41" s="51"/>
      <c r="FBI41" s="51"/>
      <c r="FBJ41" s="51"/>
      <c r="FBK41" s="51"/>
      <c r="FBL41" s="51"/>
      <c r="FBM41" s="51"/>
      <c r="FBN41" s="51"/>
      <c r="FBO41" s="51"/>
      <c r="FBP41" s="51"/>
      <c r="FBQ41" s="51"/>
      <c r="FBR41" s="51"/>
      <c r="FBS41" s="51"/>
      <c r="FBT41" s="51"/>
      <c r="FBU41" s="51"/>
      <c r="FBV41" s="51"/>
      <c r="FBW41" s="51"/>
      <c r="FBX41" s="51"/>
      <c r="FBY41" s="51"/>
      <c r="FBZ41" s="51"/>
      <c r="FCA41" s="51"/>
      <c r="FCB41" s="51"/>
      <c r="FCC41" s="51"/>
      <c r="FCD41" s="51"/>
      <c r="FCE41" s="51"/>
      <c r="FCF41" s="51"/>
      <c r="FCG41" s="51"/>
      <c r="FCH41" s="51"/>
      <c r="FCI41" s="51"/>
      <c r="FCJ41" s="51"/>
      <c r="FCK41" s="51"/>
      <c r="FCL41" s="51"/>
      <c r="FCM41" s="51"/>
      <c r="FCN41" s="51"/>
      <c r="FCO41" s="51"/>
      <c r="FCP41" s="51"/>
      <c r="FCQ41" s="51"/>
      <c r="FCR41" s="51"/>
      <c r="FCS41" s="51"/>
      <c r="FCT41" s="51"/>
      <c r="FCU41" s="51"/>
      <c r="FCV41" s="51"/>
      <c r="FCW41" s="51"/>
      <c r="FCX41" s="51"/>
      <c r="FCY41" s="51"/>
      <c r="FCZ41" s="51"/>
      <c r="FDA41" s="51"/>
      <c r="FDB41" s="51"/>
      <c r="FDC41" s="51"/>
      <c r="FDD41" s="51"/>
      <c r="FDE41" s="51"/>
      <c r="FDF41" s="51"/>
      <c r="FDG41" s="51"/>
      <c r="FDH41" s="51"/>
      <c r="FDI41" s="51"/>
      <c r="FDJ41" s="51"/>
      <c r="FDK41" s="51"/>
      <c r="FDL41" s="51"/>
      <c r="FDM41" s="51"/>
      <c r="FDN41" s="51"/>
      <c r="FDO41" s="51"/>
      <c r="FDP41" s="51"/>
      <c r="FDQ41" s="51"/>
      <c r="FDR41" s="51"/>
      <c r="FDS41" s="51"/>
      <c r="FDT41" s="51"/>
      <c r="FDU41" s="51"/>
      <c r="FDV41" s="51"/>
      <c r="FDW41" s="51"/>
      <c r="FDX41" s="51"/>
      <c r="FDY41" s="51"/>
      <c r="FDZ41" s="51"/>
      <c r="FEA41" s="51"/>
      <c r="FEB41" s="51"/>
      <c r="FEC41" s="51"/>
      <c r="FED41" s="51"/>
      <c r="FEE41" s="51"/>
      <c r="FEF41" s="51"/>
      <c r="FEG41" s="51"/>
      <c r="FEH41" s="51"/>
      <c r="FEI41" s="51"/>
      <c r="FEJ41" s="51"/>
      <c r="FEK41" s="51"/>
      <c r="FEL41" s="51"/>
      <c r="FEM41" s="51"/>
      <c r="FEN41" s="51"/>
      <c r="FEO41" s="51"/>
      <c r="FEP41" s="51"/>
      <c r="FEQ41" s="51"/>
      <c r="FER41" s="51"/>
      <c r="FES41" s="51"/>
      <c r="FET41" s="51"/>
      <c r="FEU41" s="51"/>
      <c r="FEV41" s="51"/>
      <c r="FEW41" s="51"/>
      <c r="FEX41" s="51"/>
      <c r="FEY41" s="51"/>
      <c r="FEZ41" s="51"/>
      <c r="FFA41" s="51"/>
      <c r="FFB41" s="51"/>
      <c r="FFC41" s="51"/>
      <c r="FFD41" s="51"/>
      <c r="FFE41" s="51"/>
      <c r="FFF41" s="51"/>
      <c r="FFG41" s="51"/>
      <c r="FFH41" s="51"/>
      <c r="FFI41" s="51"/>
      <c r="FFJ41" s="51"/>
      <c r="FFK41" s="51"/>
      <c r="FFL41" s="51"/>
      <c r="FFM41" s="51"/>
      <c r="FFN41" s="51"/>
      <c r="FFO41" s="51"/>
      <c r="FFP41" s="51"/>
      <c r="FFQ41" s="51"/>
      <c r="FFR41" s="51"/>
      <c r="FFS41" s="51"/>
      <c r="FFT41" s="51"/>
      <c r="FFU41" s="51"/>
      <c r="FFV41" s="51"/>
      <c r="FFW41" s="51"/>
      <c r="FFX41" s="51"/>
      <c r="FFY41" s="51"/>
      <c r="FFZ41" s="51"/>
      <c r="FGA41" s="51"/>
      <c r="FGB41" s="51"/>
      <c r="FGC41" s="51"/>
      <c r="FGD41" s="51"/>
      <c r="FGE41" s="51"/>
      <c r="FGF41" s="51"/>
      <c r="FGG41" s="51"/>
      <c r="FGH41" s="51"/>
      <c r="FGI41" s="51"/>
      <c r="FGJ41" s="51"/>
      <c r="FGK41" s="51"/>
      <c r="FGL41" s="51"/>
      <c r="FGM41" s="51"/>
      <c r="FGN41" s="51"/>
      <c r="FGO41" s="51"/>
      <c r="FGP41" s="51"/>
      <c r="FGQ41" s="51"/>
      <c r="FGR41" s="51"/>
      <c r="FGS41" s="51"/>
      <c r="FGT41" s="51"/>
      <c r="FGU41" s="51"/>
      <c r="FGV41" s="51"/>
      <c r="FGW41" s="51"/>
      <c r="FGX41" s="51"/>
      <c r="FGY41" s="51"/>
      <c r="FGZ41" s="51"/>
      <c r="FHA41" s="51"/>
      <c r="FHB41" s="51"/>
      <c r="FHC41" s="51"/>
      <c r="FHD41" s="51"/>
      <c r="FHE41" s="51"/>
      <c r="FHF41" s="51"/>
      <c r="FHG41" s="51"/>
      <c r="FHH41" s="51"/>
      <c r="FHI41" s="51"/>
      <c r="FHJ41" s="51"/>
      <c r="FHK41" s="51"/>
      <c r="FHL41" s="51"/>
      <c r="FHM41" s="51"/>
      <c r="FHN41" s="51"/>
      <c r="FHO41" s="51"/>
      <c r="FHP41" s="51"/>
      <c r="FHQ41" s="51"/>
      <c r="FHR41" s="51"/>
      <c r="FHS41" s="51"/>
      <c r="FHT41" s="51"/>
      <c r="FHU41" s="51"/>
      <c r="FHV41" s="51"/>
      <c r="FHW41" s="51"/>
      <c r="FHX41" s="51"/>
      <c r="FHY41" s="51"/>
      <c r="FHZ41" s="51"/>
      <c r="FIA41" s="51"/>
      <c r="FIB41" s="51"/>
      <c r="FIC41" s="51"/>
      <c r="FID41" s="51"/>
      <c r="FIE41" s="51"/>
      <c r="FIF41" s="51"/>
      <c r="FIG41" s="51"/>
      <c r="FIH41" s="51"/>
      <c r="FII41" s="51"/>
      <c r="FIJ41" s="51"/>
      <c r="FIK41" s="51"/>
      <c r="FIL41" s="51"/>
      <c r="FIM41" s="51"/>
      <c r="FIN41" s="51"/>
      <c r="FIO41" s="51"/>
      <c r="FIP41" s="51"/>
      <c r="FIQ41" s="51"/>
      <c r="FIR41" s="51"/>
      <c r="FIS41" s="51"/>
      <c r="FIT41" s="51"/>
      <c r="FIU41" s="51"/>
      <c r="FIV41" s="51"/>
      <c r="FIW41" s="51"/>
      <c r="FIX41" s="51"/>
      <c r="FIY41" s="51"/>
      <c r="FIZ41" s="51"/>
      <c r="FJA41" s="51"/>
      <c r="FJB41" s="51"/>
      <c r="FJC41" s="51"/>
      <c r="FJD41" s="51"/>
      <c r="FJE41" s="51"/>
      <c r="FJF41" s="51"/>
      <c r="FJG41" s="51"/>
      <c r="FJH41" s="51"/>
      <c r="FJI41" s="51"/>
      <c r="FJJ41" s="51"/>
      <c r="FJK41" s="51"/>
      <c r="FJL41" s="51"/>
      <c r="FJM41" s="51"/>
      <c r="FJN41" s="51"/>
      <c r="FJO41" s="51"/>
      <c r="FJP41" s="51"/>
      <c r="FJQ41" s="51"/>
      <c r="FJR41" s="51"/>
      <c r="FJS41" s="51"/>
      <c r="FJT41" s="51"/>
      <c r="FJU41" s="51"/>
      <c r="FJV41" s="51"/>
      <c r="FJW41" s="51"/>
      <c r="FJX41" s="51"/>
      <c r="FJY41" s="51"/>
      <c r="FJZ41" s="51"/>
      <c r="FKA41" s="51"/>
      <c r="FKB41" s="51"/>
      <c r="FKC41" s="51"/>
      <c r="FKD41" s="51"/>
      <c r="FKE41" s="51"/>
      <c r="FKF41" s="51"/>
      <c r="FKG41" s="51"/>
      <c r="FKH41" s="51"/>
      <c r="FKI41" s="51"/>
      <c r="FKJ41" s="51"/>
      <c r="FKK41" s="51"/>
      <c r="FKL41" s="51"/>
      <c r="FKM41" s="51"/>
      <c r="FKN41" s="51"/>
      <c r="FKO41" s="51"/>
      <c r="FKP41" s="51"/>
      <c r="FKQ41" s="51"/>
      <c r="FKR41" s="51"/>
      <c r="FKS41" s="51"/>
      <c r="FKT41" s="51"/>
      <c r="FKU41" s="51"/>
      <c r="FKV41" s="51"/>
      <c r="FKW41" s="51"/>
      <c r="FKX41" s="51"/>
      <c r="FKY41" s="51"/>
      <c r="FKZ41" s="51"/>
      <c r="FLA41" s="51"/>
      <c r="FLB41" s="51"/>
      <c r="FLC41" s="51"/>
      <c r="FLD41" s="51"/>
      <c r="FLE41" s="51"/>
      <c r="FLF41" s="51"/>
      <c r="FLG41" s="51"/>
      <c r="FLH41" s="51"/>
      <c r="FLI41" s="51"/>
      <c r="FLJ41" s="51"/>
      <c r="FLK41" s="51"/>
      <c r="FLL41" s="51"/>
      <c r="FLM41" s="51"/>
      <c r="FLN41" s="51"/>
      <c r="FLO41" s="51"/>
      <c r="FLP41" s="51"/>
      <c r="FLQ41" s="51"/>
      <c r="FLR41" s="51"/>
      <c r="FLS41" s="51"/>
      <c r="FLT41" s="51"/>
      <c r="FLU41" s="51"/>
      <c r="FLV41" s="51"/>
      <c r="FLW41" s="51"/>
      <c r="FLX41" s="51"/>
      <c r="FLY41" s="51"/>
      <c r="FLZ41" s="51"/>
      <c r="FMA41" s="51"/>
      <c r="FMB41" s="51"/>
      <c r="FMC41" s="51"/>
      <c r="FMD41" s="51"/>
      <c r="FME41" s="51"/>
      <c r="FMF41" s="51"/>
      <c r="FMG41" s="51"/>
      <c r="FMH41" s="51"/>
      <c r="FMI41" s="51"/>
      <c r="FMJ41" s="51"/>
      <c r="FMK41" s="51"/>
      <c r="FML41" s="51"/>
      <c r="FMM41" s="51"/>
      <c r="FMN41" s="51"/>
      <c r="FMO41" s="51"/>
      <c r="FMP41" s="51"/>
      <c r="FMQ41" s="51"/>
      <c r="FMR41" s="51"/>
      <c r="FMS41" s="51"/>
      <c r="FMT41" s="51"/>
      <c r="FMU41" s="51"/>
      <c r="FMV41" s="51"/>
      <c r="FMW41" s="51"/>
      <c r="FMX41" s="51"/>
      <c r="FMY41" s="51"/>
      <c r="FMZ41" s="51"/>
      <c r="FNA41" s="51"/>
      <c r="FNB41" s="51"/>
      <c r="FNC41" s="51"/>
      <c r="FND41" s="51"/>
      <c r="FNE41" s="51"/>
      <c r="FNF41" s="51"/>
      <c r="FNG41" s="51"/>
      <c r="FNH41" s="51"/>
      <c r="FNI41" s="51"/>
      <c r="FNJ41" s="51"/>
      <c r="FNK41" s="51"/>
      <c r="FNL41" s="51"/>
      <c r="FNM41" s="51"/>
      <c r="FNN41" s="51"/>
      <c r="FNO41" s="51"/>
      <c r="FNP41" s="51"/>
      <c r="FNQ41" s="51"/>
      <c r="FNR41" s="51"/>
      <c r="FNS41" s="51"/>
      <c r="FNT41" s="51"/>
      <c r="FNU41" s="51"/>
      <c r="FNV41" s="51"/>
      <c r="FNW41" s="51"/>
      <c r="FNX41" s="51"/>
      <c r="FNY41" s="51"/>
      <c r="FNZ41" s="51"/>
      <c r="FOA41" s="51"/>
      <c r="FOB41" s="51"/>
      <c r="FOC41" s="51"/>
      <c r="FOD41" s="51"/>
      <c r="FOE41" s="51"/>
      <c r="FOF41" s="51"/>
      <c r="FOG41" s="51"/>
      <c r="FOH41" s="51"/>
      <c r="FOI41" s="51"/>
      <c r="FOJ41" s="51"/>
      <c r="FOK41" s="51"/>
      <c r="FOL41" s="51"/>
      <c r="FOM41" s="51"/>
      <c r="FON41" s="51"/>
      <c r="FOO41" s="51"/>
      <c r="FOP41" s="51"/>
      <c r="FOQ41" s="51"/>
      <c r="FOR41" s="51"/>
      <c r="FOS41" s="51"/>
      <c r="FOT41" s="51"/>
      <c r="FOU41" s="51"/>
      <c r="FOV41" s="51"/>
      <c r="FOW41" s="51"/>
      <c r="FOX41" s="51"/>
      <c r="FOY41" s="51"/>
      <c r="FOZ41" s="51"/>
      <c r="FPA41" s="51"/>
      <c r="FPB41" s="51"/>
      <c r="FPC41" s="51"/>
      <c r="FPD41" s="51"/>
      <c r="FPE41" s="51"/>
      <c r="FPF41" s="51"/>
      <c r="FPG41" s="51"/>
      <c r="FPH41" s="51"/>
      <c r="FPI41" s="51"/>
      <c r="FPJ41" s="51"/>
      <c r="FPK41" s="51"/>
      <c r="FPL41" s="51"/>
      <c r="FPM41" s="51"/>
      <c r="FPN41" s="51"/>
      <c r="FPO41" s="51"/>
      <c r="FPP41" s="51"/>
      <c r="FPQ41" s="51"/>
      <c r="FPR41" s="51"/>
      <c r="FPS41" s="51"/>
      <c r="FPT41" s="51"/>
      <c r="FPU41" s="51"/>
      <c r="FPV41" s="51"/>
      <c r="FPW41" s="51"/>
      <c r="FPX41" s="51"/>
      <c r="FPY41" s="51"/>
      <c r="FPZ41" s="51"/>
      <c r="FQA41" s="51"/>
      <c r="FQB41" s="51"/>
      <c r="FQC41" s="51"/>
      <c r="FQD41" s="51"/>
      <c r="FQE41" s="51"/>
      <c r="FQF41" s="51"/>
      <c r="FQG41" s="51"/>
      <c r="FQH41" s="51"/>
      <c r="FQI41" s="51"/>
      <c r="FQJ41" s="51"/>
      <c r="FQK41" s="51"/>
      <c r="FQL41" s="51"/>
      <c r="FQM41" s="51"/>
      <c r="FQN41" s="51"/>
      <c r="FQO41" s="51"/>
      <c r="FQP41" s="51"/>
      <c r="FQQ41" s="51"/>
      <c r="FQR41" s="51"/>
      <c r="FQS41" s="51"/>
      <c r="FQT41" s="51"/>
      <c r="FQU41" s="51"/>
      <c r="FQV41" s="51"/>
      <c r="FQW41" s="51"/>
      <c r="FQX41" s="51"/>
      <c r="FQY41" s="51"/>
      <c r="FQZ41" s="51"/>
      <c r="FRA41" s="51"/>
      <c r="FRB41" s="51"/>
      <c r="FRC41" s="51"/>
      <c r="FRD41" s="51"/>
      <c r="FRE41" s="51"/>
      <c r="FRF41" s="51"/>
      <c r="FRG41" s="51"/>
      <c r="FRH41" s="51"/>
      <c r="FRI41" s="51"/>
      <c r="FRJ41" s="51"/>
      <c r="FRK41" s="51"/>
      <c r="FRL41" s="51"/>
      <c r="FRM41" s="51"/>
      <c r="FRN41" s="51"/>
      <c r="FRO41" s="51"/>
      <c r="FRP41" s="51"/>
      <c r="FRQ41" s="51"/>
      <c r="FRR41" s="51"/>
      <c r="FRS41" s="51"/>
      <c r="FRT41" s="51"/>
      <c r="FRU41" s="51"/>
      <c r="FRV41" s="51"/>
      <c r="FRW41" s="51"/>
      <c r="FRX41" s="51"/>
      <c r="FRY41" s="51"/>
      <c r="FRZ41" s="51"/>
      <c r="FSA41" s="51"/>
      <c r="FSB41" s="51"/>
      <c r="FSC41" s="51"/>
      <c r="FSD41" s="51"/>
      <c r="FSE41" s="51"/>
      <c r="FSF41" s="51"/>
      <c r="FSG41" s="51"/>
      <c r="FSH41" s="51"/>
      <c r="FSI41" s="51"/>
      <c r="FSJ41" s="51"/>
      <c r="FSK41" s="51"/>
      <c r="FSL41" s="51"/>
      <c r="FSM41" s="51"/>
      <c r="FSN41" s="51"/>
      <c r="FSO41" s="51"/>
      <c r="FSP41" s="51"/>
      <c r="FSQ41" s="51"/>
      <c r="FSR41" s="51"/>
      <c r="FSS41" s="51"/>
      <c r="FST41" s="51"/>
      <c r="FSU41" s="51"/>
      <c r="FSV41" s="51"/>
      <c r="FSW41" s="51"/>
      <c r="FSX41" s="51"/>
      <c r="FSY41" s="51"/>
      <c r="FSZ41" s="51"/>
      <c r="FTA41" s="51"/>
      <c r="FTB41" s="51"/>
      <c r="FTC41" s="51"/>
      <c r="FTD41" s="51"/>
      <c r="FTE41" s="51"/>
      <c r="FTF41" s="51"/>
      <c r="FTG41" s="51"/>
      <c r="FTH41" s="51"/>
      <c r="FTI41" s="51"/>
      <c r="FTJ41" s="51"/>
      <c r="FTK41" s="51"/>
      <c r="FTL41" s="51"/>
      <c r="FTM41" s="51"/>
      <c r="FTN41" s="51"/>
      <c r="FTO41" s="51"/>
      <c r="FTP41" s="51"/>
      <c r="FTQ41" s="51"/>
      <c r="FTR41" s="51"/>
      <c r="FTS41" s="51"/>
      <c r="FTT41" s="51"/>
      <c r="FTU41" s="51"/>
      <c r="FTV41" s="51"/>
      <c r="FTW41" s="51"/>
      <c r="FTX41" s="51"/>
      <c r="FTY41" s="51"/>
      <c r="FTZ41" s="51"/>
      <c r="FUA41" s="51"/>
      <c r="FUB41" s="51"/>
      <c r="FUC41" s="51"/>
      <c r="FUD41" s="51"/>
      <c r="FUE41" s="51"/>
      <c r="FUF41" s="51"/>
      <c r="FUG41" s="51"/>
      <c r="FUH41" s="51"/>
      <c r="FUI41" s="51"/>
      <c r="FUJ41" s="51"/>
      <c r="FUK41" s="51"/>
      <c r="FUL41" s="51"/>
      <c r="FUM41" s="51"/>
      <c r="FUN41" s="51"/>
      <c r="FUO41" s="51"/>
      <c r="FUP41" s="51"/>
      <c r="FUQ41" s="51"/>
      <c r="FUR41" s="51"/>
      <c r="FUS41" s="51"/>
      <c r="FUT41" s="51"/>
      <c r="FUU41" s="51"/>
      <c r="FUV41" s="51"/>
      <c r="FUW41" s="51"/>
      <c r="FUX41" s="51"/>
      <c r="FUY41" s="51"/>
      <c r="FUZ41" s="51"/>
      <c r="FVA41" s="51"/>
      <c r="FVB41" s="51"/>
      <c r="FVC41" s="51"/>
      <c r="FVD41" s="51"/>
      <c r="FVE41" s="51"/>
      <c r="FVF41" s="51"/>
      <c r="FVG41" s="51"/>
      <c r="FVH41" s="51"/>
      <c r="FVI41" s="51"/>
      <c r="FVJ41" s="51"/>
      <c r="FVK41" s="51"/>
      <c r="FVL41" s="51"/>
      <c r="FVM41" s="51"/>
      <c r="FVN41" s="51"/>
      <c r="FVO41" s="51"/>
      <c r="FVP41" s="51"/>
      <c r="FVQ41" s="51"/>
      <c r="FVR41" s="51"/>
      <c r="FVS41" s="51"/>
      <c r="FVT41" s="51"/>
      <c r="FVU41" s="51"/>
      <c r="FVV41" s="51"/>
      <c r="FVW41" s="51"/>
      <c r="FVX41" s="51"/>
      <c r="FVY41" s="51"/>
      <c r="FVZ41" s="51"/>
      <c r="FWA41" s="51"/>
      <c r="FWB41" s="51"/>
      <c r="FWC41" s="51"/>
      <c r="FWD41" s="51"/>
      <c r="FWE41" s="51"/>
      <c r="FWF41" s="51"/>
      <c r="FWG41" s="51"/>
      <c r="FWH41" s="51"/>
      <c r="FWI41" s="51"/>
      <c r="FWJ41" s="51"/>
      <c r="FWK41" s="51"/>
      <c r="FWL41" s="51"/>
      <c r="FWM41" s="51"/>
      <c r="FWN41" s="51"/>
      <c r="FWO41" s="51"/>
      <c r="FWP41" s="51"/>
      <c r="FWQ41" s="51"/>
      <c r="FWR41" s="51"/>
      <c r="FWS41" s="51"/>
      <c r="FWT41" s="51"/>
      <c r="FWU41" s="51"/>
      <c r="FWV41" s="51"/>
      <c r="FWW41" s="51"/>
      <c r="FWX41" s="51"/>
      <c r="FWY41" s="51"/>
      <c r="FWZ41" s="51"/>
      <c r="FXA41" s="51"/>
      <c r="FXB41" s="51"/>
      <c r="FXC41" s="51"/>
      <c r="FXD41" s="51"/>
      <c r="FXE41" s="51"/>
      <c r="FXF41" s="51"/>
      <c r="FXG41" s="51"/>
      <c r="FXH41" s="51"/>
      <c r="FXI41" s="51"/>
      <c r="FXJ41" s="51"/>
      <c r="FXK41" s="51"/>
      <c r="FXL41" s="51"/>
      <c r="FXM41" s="51"/>
      <c r="FXN41" s="51"/>
      <c r="FXO41" s="51"/>
      <c r="FXP41" s="51"/>
      <c r="FXQ41" s="51"/>
      <c r="FXR41" s="51"/>
      <c r="FXS41" s="51"/>
      <c r="FXT41" s="51"/>
      <c r="FXU41" s="51"/>
      <c r="FXV41" s="51"/>
      <c r="FXW41" s="51"/>
      <c r="FXX41" s="51"/>
      <c r="FXY41" s="51"/>
      <c r="FXZ41" s="51"/>
      <c r="FYA41" s="51"/>
      <c r="FYB41" s="51"/>
      <c r="FYC41" s="51"/>
      <c r="FYD41" s="51"/>
      <c r="FYE41" s="51"/>
      <c r="FYF41" s="51"/>
      <c r="FYG41" s="51"/>
      <c r="FYH41" s="51"/>
      <c r="FYI41" s="51"/>
      <c r="FYJ41" s="51"/>
      <c r="FYK41" s="51"/>
      <c r="FYL41" s="51"/>
      <c r="FYM41" s="51"/>
      <c r="FYN41" s="51"/>
      <c r="FYO41" s="51"/>
      <c r="FYP41" s="51"/>
      <c r="FYQ41" s="51"/>
      <c r="FYR41" s="51"/>
      <c r="FYS41" s="51"/>
      <c r="FYT41" s="51"/>
      <c r="FYU41" s="51"/>
      <c r="FYV41" s="51"/>
      <c r="FYW41" s="51"/>
      <c r="FYX41" s="51"/>
      <c r="FYY41" s="51"/>
      <c r="FYZ41" s="51"/>
      <c r="FZA41" s="51"/>
      <c r="FZB41" s="51"/>
      <c r="FZC41" s="51"/>
      <c r="FZD41" s="51"/>
      <c r="FZE41" s="51"/>
      <c r="FZF41" s="51"/>
      <c r="FZG41" s="51"/>
      <c r="FZH41" s="51"/>
      <c r="FZI41" s="51"/>
      <c r="FZJ41" s="51"/>
      <c r="FZK41" s="51"/>
      <c r="FZL41" s="51"/>
      <c r="FZM41" s="51"/>
      <c r="FZN41" s="51"/>
      <c r="FZO41" s="51"/>
      <c r="FZP41" s="51"/>
      <c r="FZQ41" s="51"/>
      <c r="FZR41" s="51"/>
      <c r="FZS41" s="51"/>
      <c r="FZT41" s="51"/>
      <c r="FZU41" s="51"/>
      <c r="FZV41" s="51"/>
      <c r="FZW41" s="51"/>
      <c r="FZX41" s="51"/>
      <c r="FZY41" s="51"/>
      <c r="FZZ41" s="51"/>
      <c r="GAA41" s="51"/>
      <c r="GAB41" s="51"/>
      <c r="GAC41" s="51"/>
      <c r="GAD41" s="51"/>
      <c r="GAE41" s="51"/>
      <c r="GAF41" s="51"/>
      <c r="GAG41" s="51"/>
      <c r="GAH41" s="51"/>
      <c r="GAI41" s="51"/>
      <c r="GAJ41" s="51"/>
      <c r="GAK41" s="51"/>
      <c r="GAL41" s="51"/>
      <c r="GAM41" s="51"/>
      <c r="GAN41" s="51"/>
      <c r="GAO41" s="51"/>
      <c r="GAP41" s="51"/>
      <c r="GAQ41" s="51"/>
      <c r="GAR41" s="51"/>
      <c r="GAS41" s="51"/>
      <c r="GAT41" s="51"/>
      <c r="GAU41" s="51"/>
      <c r="GAV41" s="51"/>
      <c r="GAW41" s="51"/>
      <c r="GAX41" s="51"/>
      <c r="GAY41" s="51"/>
      <c r="GAZ41" s="51"/>
      <c r="GBA41" s="51"/>
      <c r="GBB41" s="51"/>
      <c r="GBC41" s="51"/>
      <c r="GBD41" s="51"/>
      <c r="GBE41" s="51"/>
      <c r="GBF41" s="51"/>
      <c r="GBG41" s="51"/>
      <c r="GBH41" s="51"/>
      <c r="GBI41" s="51"/>
      <c r="GBJ41" s="51"/>
      <c r="GBK41" s="51"/>
      <c r="GBL41" s="51"/>
      <c r="GBM41" s="51"/>
      <c r="GBN41" s="51"/>
      <c r="GBO41" s="51"/>
      <c r="GBP41" s="51"/>
      <c r="GBQ41" s="51"/>
      <c r="GBR41" s="51"/>
      <c r="GBS41" s="51"/>
      <c r="GBT41" s="51"/>
      <c r="GBU41" s="51"/>
      <c r="GBV41" s="51"/>
      <c r="GBW41" s="51"/>
      <c r="GBX41" s="51"/>
      <c r="GBY41" s="51"/>
      <c r="GBZ41" s="51"/>
      <c r="GCA41" s="51"/>
      <c r="GCB41" s="51"/>
      <c r="GCC41" s="51"/>
      <c r="GCD41" s="51"/>
      <c r="GCE41" s="51"/>
      <c r="GCF41" s="51"/>
      <c r="GCG41" s="51"/>
      <c r="GCH41" s="51"/>
      <c r="GCI41" s="51"/>
      <c r="GCJ41" s="51"/>
      <c r="GCK41" s="51"/>
      <c r="GCL41" s="51"/>
      <c r="GCM41" s="51"/>
      <c r="GCN41" s="51"/>
      <c r="GCO41" s="51"/>
      <c r="GCP41" s="51"/>
      <c r="GCQ41" s="51"/>
      <c r="GCR41" s="51"/>
      <c r="GCS41" s="51"/>
      <c r="GCT41" s="51"/>
      <c r="GCU41" s="51"/>
      <c r="GCV41" s="51"/>
      <c r="GCW41" s="51"/>
      <c r="GCX41" s="51"/>
      <c r="GCY41" s="51"/>
      <c r="GCZ41" s="51"/>
      <c r="GDA41" s="51"/>
      <c r="GDB41" s="51"/>
      <c r="GDC41" s="51"/>
      <c r="GDD41" s="51"/>
      <c r="GDE41" s="51"/>
      <c r="GDF41" s="51"/>
      <c r="GDG41" s="51"/>
      <c r="GDH41" s="51"/>
      <c r="GDI41" s="51"/>
      <c r="GDJ41" s="51"/>
      <c r="GDK41" s="51"/>
      <c r="GDL41" s="51"/>
      <c r="GDM41" s="51"/>
      <c r="GDN41" s="51"/>
      <c r="GDO41" s="51"/>
      <c r="GDP41" s="51"/>
      <c r="GDQ41" s="51"/>
      <c r="GDR41" s="51"/>
      <c r="GDS41" s="51"/>
      <c r="GDT41" s="51"/>
      <c r="GDU41" s="51"/>
      <c r="GDV41" s="51"/>
      <c r="GDW41" s="51"/>
      <c r="GDX41" s="51"/>
      <c r="GDY41" s="51"/>
      <c r="GDZ41" s="51"/>
      <c r="GEA41" s="51"/>
      <c r="GEB41" s="51"/>
      <c r="GEC41" s="51"/>
      <c r="GED41" s="51"/>
      <c r="GEE41" s="51"/>
      <c r="GEF41" s="51"/>
      <c r="GEG41" s="51"/>
      <c r="GEH41" s="51"/>
      <c r="GEI41" s="51"/>
      <c r="GEJ41" s="51"/>
      <c r="GEK41" s="51"/>
      <c r="GEL41" s="51"/>
      <c r="GEM41" s="51"/>
      <c r="GEN41" s="51"/>
      <c r="GEO41" s="51"/>
      <c r="GEP41" s="51"/>
      <c r="GEQ41" s="51"/>
      <c r="GER41" s="51"/>
      <c r="GES41" s="51"/>
      <c r="GET41" s="51"/>
      <c r="GEU41" s="51"/>
      <c r="GEV41" s="51"/>
      <c r="GEW41" s="51"/>
      <c r="GEX41" s="51"/>
      <c r="GEY41" s="51"/>
      <c r="GEZ41" s="51"/>
      <c r="GFA41" s="51"/>
      <c r="GFB41" s="51"/>
      <c r="GFC41" s="51"/>
      <c r="GFD41" s="51"/>
      <c r="GFE41" s="51"/>
      <c r="GFF41" s="51"/>
      <c r="GFG41" s="51"/>
      <c r="GFH41" s="51"/>
      <c r="GFI41" s="51"/>
      <c r="GFJ41" s="51"/>
      <c r="GFK41" s="51"/>
      <c r="GFL41" s="51"/>
      <c r="GFM41" s="51"/>
      <c r="GFN41" s="51"/>
      <c r="GFO41" s="51"/>
      <c r="GFP41" s="51"/>
      <c r="GFQ41" s="51"/>
      <c r="GFR41" s="51"/>
      <c r="GFS41" s="51"/>
      <c r="GFT41" s="51"/>
      <c r="GFU41" s="51"/>
      <c r="GFV41" s="51"/>
      <c r="GFW41" s="51"/>
      <c r="GFX41" s="51"/>
      <c r="GFY41" s="51"/>
      <c r="GFZ41" s="51"/>
      <c r="GGA41" s="51"/>
      <c r="GGB41" s="51"/>
      <c r="GGC41" s="51"/>
      <c r="GGD41" s="51"/>
      <c r="GGE41" s="51"/>
      <c r="GGF41" s="51"/>
      <c r="GGG41" s="51"/>
      <c r="GGH41" s="51"/>
      <c r="GGI41" s="51"/>
      <c r="GGJ41" s="51"/>
      <c r="GGK41" s="51"/>
      <c r="GGL41" s="51"/>
      <c r="GGM41" s="51"/>
      <c r="GGN41" s="51"/>
      <c r="GGO41" s="51"/>
      <c r="GGP41" s="51"/>
      <c r="GGQ41" s="51"/>
      <c r="GGR41" s="51"/>
      <c r="GGS41" s="51"/>
      <c r="GGT41" s="51"/>
      <c r="GGU41" s="51"/>
      <c r="GGV41" s="51"/>
      <c r="GGW41" s="51"/>
      <c r="GGX41" s="51"/>
      <c r="GGY41" s="51"/>
      <c r="GGZ41" s="51"/>
      <c r="GHA41" s="51"/>
      <c r="GHB41" s="51"/>
      <c r="GHC41" s="51"/>
      <c r="GHD41" s="51"/>
      <c r="GHE41" s="51"/>
      <c r="GHF41" s="51"/>
      <c r="GHG41" s="51"/>
      <c r="GHH41" s="51"/>
      <c r="GHI41" s="51"/>
      <c r="GHJ41" s="51"/>
      <c r="GHK41" s="51"/>
      <c r="GHL41" s="51"/>
      <c r="GHM41" s="51"/>
      <c r="GHN41" s="51"/>
      <c r="GHO41" s="51"/>
      <c r="GHP41" s="51"/>
      <c r="GHQ41" s="51"/>
      <c r="GHR41" s="51"/>
      <c r="GHS41" s="51"/>
      <c r="GHT41" s="51"/>
      <c r="GHU41" s="51"/>
      <c r="GHV41" s="51"/>
      <c r="GHW41" s="51"/>
      <c r="GHX41" s="51"/>
      <c r="GHY41" s="51"/>
      <c r="GHZ41" s="51"/>
      <c r="GIA41" s="51"/>
      <c r="GIB41" s="51"/>
      <c r="GIC41" s="51"/>
      <c r="GID41" s="51"/>
      <c r="GIE41" s="51"/>
      <c r="GIF41" s="51"/>
      <c r="GIG41" s="51"/>
      <c r="GIH41" s="51"/>
      <c r="GII41" s="51"/>
      <c r="GIJ41" s="51"/>
      <c r="GIK41" s="51"/>
      <c r="GIL41" s="51"/>
      <c r="GIM41" s="51"/>
      <c r="GIN41" s="51"/>
      <c r="GIO41" s="51"/>
      <c r="GIP41" s="51"/>
      <c r="GIQ41" s="51"/>
      <c r="GIR41" s="51"/>
      <c r="GIS41" s="51"/>
      <c r="GIT41" s="51"/>
      <c r="GIU41" s="51"/>
      <c r="GIV41" s="51"/>
      <c r="GIW41" s="51"/>
      <c r="GIX41" s="51"/>
      <c r="GIY41" s="51"/>
      <c r="GIZ41" s="51"/>
      <c r="GJA41" s="51"/>
      <c r="GJB41" s="51"/>
      <c r="GJC41" s="51"/>
      <c r="GJD41" s="51"/>
      <c r="GJE41" s="51"/>
      <c r="GJF41" s="51"/>
      <c r="GJG41" s="51"/>
      <c r="GJH41" s="51"/>
      <c r="GJI41" s="51"/>
      <c r="GJJ41" s="51"/>
      <c r="GJK41" s="51"/>
      <c r="GJL41" s="51"/>
      <c r="GJM41" s="51"/>
      <c r="GJN41" s="51"/>
      <c r="GJO41" s="51"/>
      <c r="GJP41" s="51"/>
      <c r="GJQ41" s="51"/>
      <c r="GJR41" s="51"/>
      <c r="GJS41" s="51"/>
      <c r="GJT41" s="51"/>
      <c r="GJU41" s="51"/>
      <c r="GJV41" s="51"/>
      <c r="GJW41" s="51"/>
      <c r="GJX41" s="51"/>
      <c r="GJY41" s="51"/>
      <c r="GJZ41" s="51"/>
      <c r="GKA41" s="51"/>
      <c r="GKB41" s="51"/>
      <c r="GKC41" s="51"/>
      <c r="GKD41" s="51"/>
      <c r="GKE41" s="51"/>
      <c r="GKF41" s="51"/>
      <c r="GKG41" s="51"/>
      <c r="GKH41" s="51"/>
      <c r="GKI41" s="51"/>
      <c r="GKJ41" s="51"/>
      <c r="GKK41" s="51"/>
      <c r="GKL41" s="51"/>
      <c r="GKM41" s="51"/>
      <c r="GKN41" s="51"/>
      <c r="GKO41" s="51"/>
      <c r="GKP41" s="51"/>
      <c r="GKQ41" s="51"/>
      <c r="GKR41" s="51"/>
      <c r="GKS41" s="51"/>
      <c r="GKT41" s="51"/>
      <c r="GKU41" s="51"/>
      <c r="GKV41" s="51"/>
      <c r="GKW41" s="51"/>
      <c r="GKX41" s="51"/>
      <c r="GKY41" s="51"/>
      <c r="GKZ41" s="51"/>
      <c r="GLA41" s="51"/>
      <c r="GLB41" s="51"/>
      <c r="GLC41" s="51"/>
      <c r="GLD41" s="51"/>
      <c r="GLE41" s="51"/>
      <c r="GLF41" s="51"/>
      <c r="GLG41" s="51"/>
      <c r="GLH41" s="51"/>
      <c r="GLI41" s="51"/>
      <c r="GLJ41" s="51"/>
      <c r="GLK41" s="51"/>
      <c r="GLL41" s="51"/>
      <c r="GLM41" s="51"/>
      <c r="GLN41" s="51"/>
      <c r="GLO41" s="51"/>
      <c r="GLP41" s="51"/>
      <c r="GLQ41" s="51"/>
      <c r="GLR41" s="51"/>
      <c r="GLS41" s="51"/>
      <c r="GLT41" s="51"/>
      <c r="GLU41" s="51"/>
      <c r="GLV41" s="51"/>
      <c r="GLW41" s="51"/>
      <c r="GLX41" s="51"/>
      <c r="GLY41" s="51"/>
      <c r="GLZ41" s="51"/>
      <c r="GMA41" s="51"/>
      <c r="GMB41" s="51"/>
      <c r="GMC41" s="51"/>
      <c r="GMD41" s="51"/>
      <c r="GME41" s="51"/>
      <c r="GMF41" s="51"/>
      <c r="GMG41" s="51"/>
      <c r="GMH41" s="51"/>
      <c r="GMI41" s="51"/>
      <c r="GMJ41" s="51"/>
      <c r="GMK41" s="51"/>
      <c r="GML41" s="51"/>
      <c r="GMM41" s="51"/>
      <c r="GMN41" s="51"/>
      <c r="GMO41" s="51"/>
      <c r="GMP41" s="51"/>
      <c r="GMQ41" s="51"/>
      <c r="GMR41" s="51"/>
      <c r="GMS41" s="51"/>
      <c r="GMT41" s="51"/>
      <c r="GMU41" s="51"/>
      <c r="GMV41" s="51"/>
      <c r="GMW41" s="51"/>
      <c r="GMX41" s="51"/>
      <c r="GMY41" s="51"/>
      <c r="GMZ41" s="51"/>
      <c r="GNA41" s="51"/>
      <c r="GNB41" s="51"/>
      <c r="GNC41" s="51"/>
      <c r="GND41" s="51"/>
      <c r="GNE41" s="51"/>
      <c r="GNF41" s="51"/>
      <c r="GNG41" s="51"/>
      <c r="GNH41" s="51"/>
      <c r="GNI41" s="51"/>
      <c r="GNJ41" s="51"/>
      <c r="GNK41" s="51"/>
      <c r="GNL41" s="51"/>
      <c r="GNM41" s="51"/>
      <c r="GNN41" s="51"/>
      <c r="GNO41" s="51"/>
      <c r="GNP41" s="51"/>
      <c r="GNQ41" s="51"/>
      <c r="GNR41" s="51"/>
      <c r="GNS41" s="51"/>
      <c r="GNT41" s="51"/>
      <c r="GNU41" s="51"/>
      <c r="GNV41" s="51"/>
      <c r="GNW41" s="51"/>
      <c r="GNX41" s="51"/>
      <c r="GNY41" s="51"/>
      <c r="GNZ41" s="51"/>
      <c r="GOA41" s="51"/>
      <c r="GOB41" s="51"/>
      <c r="GOC41" s="51"/>
      <c r="GOD41" s="51"/>
      <c r="GOE41" s="51"/>
      <c r="GOF41" s="51"/>
      <c r="GOG41" s="51"/>
      <c r="GOH41" s="51"/>
      <c r="GOI41" s="51"/>
      <c r="GOJ41" s="51"/>
      <c r="GOK41" s="51"/>
      <c r="GOL41" s="51"/>
      <c r="GOM41" s="51"/>
      <c r="GON41" s="51"/>
      <c r="GOO41" s="51"/>
      <c r="GOP41" s="51"/>
      <c r="GOQ41" s="51"/>
      <c r="GOR41" s="51"/>
      <c r="GOS41" s="51"/>
      <c r="GOT41" s="51"/>
      <c r="GOU41" s="51"/>
      <c r="GOV41" s="51"/>
      <c r="GOW41" s="51"/>
      <c r="GOX41" s="51"/>
      <c r="GOY41" s="51"/>
      <c r="GOZ41" s="51"/>
      <c r="GPA41" s="51"/>
      <c r="GPB41" s="51"/>
      <c r="GPC41" s="51"/>
      <c r="GPD41" s="51"/>
      <c r="GPE41" s="51"/>
      <c r="GPF41" s="51"/>
      <c r="GPG41" s="51"/>
      <c r="GPH41" s="51"/>
      <c r="GPI41" s="51"/>
      <c r="GPJ41" s="51"/>
      <c r="GPK41" s="51"/>
      <c r="GPL41" s="51"/>
      <c r="GPM41" s="51"/>
      <c r="GPN41" s="51"/>
      <c r="GPO41" s="51"/>
      <c r="GPP41" s="51"/>
      <c r="GPQ41" s="51"/>
      <c r="GPR41" s="51"/>
      <c r="GPS41" s="51"/>
      <c r="GPT41" s="51"/>
      <c r="GPU41" s="51"/>
      <c r="GPV41" s="51"/>
      <c r="GPW41" s="51"/>
      <c r="GPX41" s="51"/>
      <c r="GPY41" s="51"/>
      <c r="GPZ41" s="51"/>
      <c r="GQA41" s="51"/>
      <c r="GQB41" s="51"/>
      <c r="GQC41" s="51"/>
      <c r="GQD41" s="51"/>
      <c r="GQE41" s="51"/>
      <c r="GQF41" s="51"/>
      <c r="GQG41" s="51"/>
      <c r="GQH41" s="51"/>
      <c r="GQI41" s="51"/>
      <c r="GQJ41" s="51"/>
      <c r="GQK41" s="51"/>
      <c r="GQL41" s="51"/>
      <c r="GQM41" s="51"/>
      <c r="GQN41" s="51"/>
      <c r="GQO41" s="51"/>
      <c r="GQP41" s="51"/>
      <c r="GQQ41" s="51"/>
      <c r="GQR41" s="51"/>
      <c r="GQS41" s="51"/>
      <c r="GQT41" s="51"/>
      <c r="GQU41" s="51"/>
      <c r="GQV41" s="51"/>
      <c r="GQW41" s="51"/>
      <c r="GQX41" s="51"/>
      <c r="GQY41" s="51"/>
      <c r="GQZ41" s="51"/>
      <c r="GRA41" s="51"/>
      <c r="GRB41" s="51"/>
      <c r="GRC41" s="51"/>
      <c r="GRD41" s="51"/>
      <c r="GRE41" s="51"/>
      <c r="GRF41" s="51"/>
      <c r="GRG41" s="51"/>
      <c r="GRH41" s="51"/>
      <c r="GRI41" s="51"/>
      <c r="GRJ41" s="51"/>
      <c r="GRK41" s="51"/>
      <c r="GRL41" s="51"/>
      <c r="GRM41" s="51"/>
      <c r="GRN41" s="51"/>
      <c r="GRO41" s="51"/>
      <c r="GRP41" s="51"/>
      <c r="GRQ41" s="51"/>
      <c r="GRR41" s="51"/>
      <c r="GRS41" s="51"/>
      <c r="GRT41" s="51"/>
      <c r="GRU41" s="51"/>
      <c r="GRV41" s="51"/>
      <c r="GRW41" s="51"/>
      <c r="GRX41" s="51"/>
      <c r="GRY41" s="51"/>
      <c r="GRZ41" s="51"/>
      <c r="GSA41" s="51"/>
      <c r="GSB41" s="51"/>
      <c r="GSC41" s="51"/>
      <c r="GSD41" s="51"/>
      <c r="GSE41" s="51"/>
      <c r="GSF41" s="51"/>
      <c r="GSG41" s="51"/>
      <c r="GSH41" s="51"/>
      <c r="GSI41" s="51"/>
      <c r="GSJ41" s="51"/>
      <c r="GSK41" s="51"/>
      <c r="GSL41" s="51"/>
      <c r="GSM41" s="51"/>
      <c r="GSN41" s="51"/>
      <c r="GSO41" s="51"/>
      <c r="GSP41" s="51"/>
      <c r="GSQ41" s="51"/>
      <c r="GSR41" s="51"/>
      <c r="GSS41" s="51"/>
      <c r="GST41" s="51"/>
      <c r="GSU41" s="51"/>
      <c r="GSV41" s="51"/>
      <c r="GSW41" s="51"/>
      <c r="GSX41" s="51"/>
      <c r="GSY41" s="51"/>
      <c r="GSZ41" s="51"/>
      <c r="GTA41" s="51"/>
      <c r="GTB41" s="51"/>
      <c r="GTC41" s="51"/>
      <c r="GTD41" s="51"/>
      <c r="GTE41" s="51"/>
      <c r="GTF41" s="51"/>
      <c r="GTG41" s="51"/>
      <c r="GTH41" s="51"/>
      <c r="GTI41" s="51"/>
      <c r="GTJ41" s="51"/>
      <c r="GTK41" s="51"/>
      <c r="GTL41" s="51"/>
      <c r="GTM41" s="51"/>
      <c r="GTN41" s="51"/>
      <c r="GTO41" s="51"/>
      <c r="GTP41" s="51"/>
      <c r="GTQ41" s="51"/>
      <c r="GTR41" s="51"/>
      <c r="GTS41" s="51"/>
      <c r="GTT41" s="51"/>
      <c r="GTU41" s="51"/>
      <c r="GTV41" s="51"/>
      <c r="GTW41" s="51"/>
      <c r="GTX41" s="51"/>
      <c r="GTY41" s="51"/>
      <c r="GTZ41" s="51"/>
      <c r="GUA41" s="51"/>
      <c r="GUB41" s="51"/>
      <c r="GUC41" s="51"/>
      <c r="GUD41" s="51"/>
      <c r="GUE41" s="51"/>
      <c r="GUF41" s="51"/>
      <c r="GUG41" s="51"/>
      <c r="GUH41" s="51"/>
      <c r="GUI41" s="51"/>
      <c r="GUJ41" s="51"/>
      <c r="GUK41" s="51"/>
      <c r="GUL41" s="51"/>
      <c r="GUM41" s="51"/>
      <c r="GUN41" s="51"/>
      <c r="GUO41" s="51"/>
      <c r="GUP41" s="51"/>
      <c r="GUQ41" s="51"/>
      <c r="GUR41" s="51"/>
      <c r="GUS41" s="51"/>
      <c r="GUT41" s="51"/>
      <c r="GUU41" s="51"/>
      <c r="GUV41" s="51"/>
      <c r="GUW41" s="51"/>
      <c r="GUX41" s="51"/>
      <c r="GUY41" s="51"/>
      <c r="GUZ41" s="51"/>
      <c r="GVA41" s="51"/>
      <c r="GVB41" s="51"/>
      <c r="GVC41" s="51"/>
      <c r="GVD41" s="51"/>
      <c r="GVE41" s="51"/>
      <c r="GVF41" s="51"/>
      <c r="GVG41" s="51"/>
      <c r="GVH41" s="51"/>
      <c r="GVI41" s="51"/>
      <c r="GVJ41" s="51"/>
      <c r="GVK41" s="51"/>
      <c r="GVL41" s="51"/>
      <c r="GVM41" s="51"/>
      <c r="GVN41" s="51"/>
      <c r="GVO41" s="51"/>
      <c r="GVP41" s="51"/>
      <c r="GVQ41" s="51"/>
      <c r="GVR41" s="51"/>
      <c r="GVS41" s="51"/>
      <c r="GVT41" s="51"/>
      <c r="GVU41" s="51"/>
      <c r="GVV41" s="51"/>
      <c r="GVW41" s="51"/>
      <c r="GVX41" s="51"/>
      <c r="GVY41" s="51"/>
      <c r="GVZ41" s="51"/>
      <c r="GWA41" s="51"/>
      <c r="GWB41" s="51"/>
      <c r="GWC41" s="51"/>
      <c r="GWD41" s="51"/>
      <c r="GWE41" s="51"/>
      <c r="GWF41" s="51"/>
      <c r="GWG41" s="51"/>
      <c r="GWH41" s="51"/>
      <c r="GWI41" s="51"/>
      <c r="GWJ41" s="51"/>
      <c r="GWK41" s="51"/>
      <c r="GWL41" s="51"/>
      <c r="GWM41" s="51"/>
      <c r="GWN41" s="51"/>
      <c r="GWO41" s="51"/>
      <c r="GWP41" s="51"/>
      <c r="GWQ41" s="51"/>
      <c r="GWR41" s="51"/>
      <c r="GWS41" s="51"/>
      <c r="GWT41" s="51"/>
      <c r="GWU41" s="51"/>
      <c r="GWV41" s="51"/>
      <c r="GWW41" s="51"/>
      <c r="GWX41" s="51"/>
      <c r="GWY41" s="51"/>
      <c r="GWZ41" s="51"/>
      <c r="GXA41" s="51"/>
      <c r="GXB41" s="51"/>
      <c r="GXC41" s="51"/>
      <c r="GXD41" s="51"/>
      <c r="GXE41" s="51"/>
      <c r="GXF41" s="51"/>
      <c r="GXG41" s="51"/>
      <c r="GXH41" s="51"/>
      <c r="GXI41" s="51"/>
      <c r="GXJ41" s="51"/>
      <c r="GXK41" s="51"/>
      <c r="GXL41" s="51"/>
      <c r="GXM41" s="51"/>
      <c r="GXN41" s="51"/>
      <c r="GXO41" s="51"/>
      <c r="GXP41" s="51"/>
      <c r="GXQ41" s="51"/>
      <c r="GXR41" s="51"/>
      <c r="GXS41" s="51"/>
      <c r="GXT41" s="51"/>
      <c r="GXU41" s="51"/>
      <c r="GXV41" s="51"/>
      <c r="GXW41" s="51"/>
      <c r="GXX41" s="51"/>
      <c r="GXY41" s="51"/>
      <c r="GXZ41" s="51"/>
      <c r="GYA41" s="51"/>
      <c r="GYB41" s="51"/>
      <c r="GYC41" s="51"/>
      <c r="GYD41" s="51"/>
      <c r="GYE41" s="51"/>
      <c r="GYF41" s="51"/>
      <c r="GYG41" s="51"/>
      <c r="GYH41" s="51"/>
      <c r="GYI41" s="51"/>
      <c r="GYJ41" s="51"/>
      <c r="GYK41" s="51"/>
      <c r="GYL41" s="51"/>
      <c r="GYM41" s="51"/>
      <c r="GYN41" s="51"/>
      <c r="GYO41" s="51"/>
      <c r="GYP41" s="51"/>
      <c r="GYQ41" s="51"/>
      <c r="GYR41" s="51"/>
      <c r="GYS41" s="51"/>
      <c r="GYT41" s="51"/>
      <c r="GYU41" s="51"/>
      <c r="GYV41" s="51"/>
      <c r="GYW41" s="51"/>
      <c r="GYX41" s="51"/>
      <c r="GYY41" s="51"/>
      <c r="GYZ41" s="51"/>
      <c r="GZA41" s="51"/>
      <c r="GZB41" s="51"/>
      <c r="GZC41" s="51"/>
      <c r="GZD41" s="51"/>
      <c r="GZE41" s="51"/>
      <c r="GZF41" s="51"/>
      <c r="GZG41" s="51"/>
      <c r="GZH41" s="51"/>
      <c r="GZI41" s="51"/>
      <c r="GZJ41" s="51"/>
      <c r="GZK41" s="51"/>
      <c r="GZL41" s="51"/>
      <c r="GZM41" s="51"/>
      <c r="GZN41" s="51"/>
      <c r="GZO41" s="51"/>
      <c r="GZP41" s="51"/>
      <c r="GZQ41" s="51"/>
      <c r="GZR41" s="51"/>
      <c r="GZS41" s="51"/>
      <c r="GZT41" s="51"/>
      <c r="GZU41" s="51"/>
      <c r="GZV41" s="51"/>
      <c r="GZW41" s="51"/>
      <c r="GZX41" s="51"/>
      <c r="GZY41" s="51"/>
      <c r="GZZ41" s="51"/>
      <c r="HAA41" s="51"/>
      <c r="HAB41" s="51"/>
      <c r="HAC41" s="51"/>
      <c r="HAD41" s="51"/>
      <c r="HAE41" s="51"/>
      <c r="HAF41" s="51"/>
      <c r="HAG41" s="51"/>
      <c r="HAH41" s="51"/>
      <c r="HAI41" s="51"/>
      <c r="HAJ41" s="51"/>
      <c r="HAK41" s="51"/>
      <c r="HAL41" s="51"/>
      <c r="HAM41" s="51"/>
      <c r="HAN41" s="51"/>
      <c r="HAO41" s="51"/>
      <c r="HAP41" s="51"/>
      <c r="HAQ41" s="51"/>
      <c r="HAR41" s="51"/>
      <c r="HAS41" s="51"/>
      <c r="HAT41" s="51"/>
      <c r="HAU41" s="51"/>
      <c r="HAV41" s="51"/>
      <c r="HAW41" s="51"/>
      <c r="HAX41" s="51"/>
      <c r="HAY41" s="51"/>
      <c r="HAZ41" s="51"/>
      <c r="HBA41" s="51"/>
      <c r="HBB41" s="51"/>
      <c r="HBC41" s="51"/>
      <c r="HBD41" s="51"/>
      <c r="HBE41" s="51"/>
      <c r="HBF41" s="51"/>
      <c r="HBG41" s="51"/>
      <c r="HBH41" s="51"/>
      <c r="HBI41" s="51"/>
      <c r="HBJ41" s="51"/>
      <c r="HBK41" s="51"/>
      <c r="HBL41" s="51"/>
      <c r="HBM41" s="51"/>
      <c r="HBN41" s="51"/>
      <c r="HBO41" s="51"/>
      <c r="HBP41" s="51"/>
      <c r="HBQ41" s="51"/>
      <c r="HBR41" s="51"/>
      <c r="HBS41" s="51"/>
      <c r="HBT41" s="51"/>
      <c r="HBU41" s="51"/>
      <c r="HBV41" s="51"/>
      <c r="HBW41" s="51"/>
      <c r="HBX41" s="51"/>
      <c r="HBY41" s="51"/>
      <c r="HBZ41" s="51"/>
      <c r="HCA41" s="51"/>
      <c r="HCB41" s="51"/>
      <c r="HCC41" s="51"/>
      <c r="HCD41" s="51"/>
      <c r="HCE41" s="51"/>
      <c r="HCF41" s="51"/>
      <c r="HCG41" s="51"/>
      <c r="HCH41" s="51"/>
      <c r="HCI41" s="51"/>
      <c r="HCJ41" s="51"/>
      <c r="HCK41" s="51"/>
      <c r="HCL41" s="51"/>
      <c r="HCM41" s="51"/>
      <c r="HCN41" s="51"/>
      <c r="HCO41" s="51"/>
      <c r="HCP41" s="51"/>
      <c r="HCQ41" s="51"/>
      <c r="HCR41" s="51"/>
      <c r="HCS41" s="51"/>
      <c r="HCT41" s="51"/>
      <c r="HCU41" s="51"/>
      <c r="HCV41" s="51"/>
      <c r="HCW41" s="51"/>
      <c r="HCX41" s="51"/>
      <c r="HCY41" s="51"/>
      <c r="HCZ41" s="51"/>
      <c r="HDA41" s="51"/>
      <c r="HDB41" s="51"/>
      <c r="HDC41" s="51"/>
      <c r="HDD41" s="51"/>
      <c r="HDE41" s="51"/>
      <c r="HDF41" s="51"/>
      <c r="HDG41" s="51"/>
      <c r="HDH41" s="51"/>
      <c r="HDI41" s="51"/>
      <c r="HDJ41" s="51"/>
      <c r="HDK41" s="51"/>
      <c r="HDL41" s="51"/>
      <c r="HDM41" s="51"/>
      <c r="HDN41" s="51"/>
      <c r="HDO41" s="51"/>
      <c r="HDP41" s="51"/>
      <c r="HDQ41" s="51"/>
      <c r="HDR41" s="51"/>
      <c r="HDS41" s="51"/>
      <c r="HDT41" s="51"/>
      <c r="HDU41" s="51"/>
      <c r="HDV41" s="51"/>
      <c r="HDW41" s="51"/>
      <c r="HDX41" s="51"/>
      <c r="HDY41" s="51"/>
      <c r="HDZ41" s="51"/>
      <c r="HEA41" s="51"/>
      <c r="HEB41" s="51"/>
      <c r="HEC41" s="51"/>
      <c r="HED41" s="51"/>
      <c r="HEE41" s="51"/>
      <c r="HEF41" s="51"/>
      <c r="HEG41" s="51"/>
      <c r="HEH41" s="51"/>
      <c r="HEI41" s="51"/>
      <c r="HEJ41" s="51"/>
      <c r="HEK41" s="51"/>
      <c r="HEL41" s="51"/>
      <c r="HEM41" s="51"/>
      <c r="HEN41" s="51"/>
      <c r="HEO41" s="51"/>
      <c r="HEP41" s="51"/>
      <c r="HEQ41" s="51"/>
      <c r="HER41" s="51"/>
      <c r="HES41" s="51"/>
      <c r="HET41" s="51"/>
      <c r="HEU41" s="51"/>
      <c r="HEV41" s="51"/>
      <c r="HEW41" s="51"/>
      <c r="HEX41" s="51"/>
      <c r="HEY41" s="51"/>
      <c r="HEZ41" s="51"/>
      <c r="HFA41" s="51"/>
      <c r="HFB41" s="51"/>
      <c r="HFC41" s="51"/>
      <c r="HFD41" s="51"/>
      <c r="HFE41" s="51"/>
      <c r="HFF41" s="51"/>
      <c r="HFG41" s="51"/>
      <c r="HFH41" s="51"/>
      <c r="HFI41" s="51"/>
      <c r="HFJ41" s="51"/>
      <c r="HFK41" s="51"/>
      <c r="HFL41" s="51"/>
      <c r="HFM41" s="51"/>
      <c r="HFN41" s="51"/>
      <c r="HFO41" s="51"/>
      <c r="HFP41" s="51"/>
      <c r="HFQ41" s="51"/>
      <c r="HFR41" s="51"/>
      <c r="HFS41" s="51"/>
      <c r="HFT41" s="51"/>
      <c r="HFU41" s="51"/>
      <c r="HFV41" s="51"/>
      <c r="HFW41" s="51"/>
      <c r="HFX41" s="51"/>
      <c r="HFY41" s="51"/>
      <c r="HFZ41" s="51"/>
      <c r="HGA41" s="51"/>
      <c r="HGB41" s="51"/>
      <c r="HGC41" s="51"/>
      <c r="HGD41" s="51"/>
      <c r="HGE41" s="51"/>
      <c r="HGF41" s="51"/>
      <c r="HGG41" s="51"/>
      <c r="HGH41" s="51"/>
      <c r="HGI41" s="51"/>
      <c r="HGJ41" s="51"/>
      <c r="HGK41" s="51"/>
      <c r="HGL41" s="51"/>
      <c r="HGM41" s="51"/>
      <c r="HGN41" s="51"/>
      <c r="HGO41" s="51"/>
      <c r="HGP41" s="51"/>
      <c r="HGQ41" s="51"/>
      <c r="HGR41" s="51"/>
      <c r="HGS41" s="51"/>
      <c r="HGT41" s="51"/>
      <c r="HGU41" s="51"/>
      <c r="HGV41" s="51"/>
      <c r="HGW41" s="51"/>
      <c r="HGX41" s="51"/>
      <c r="HGY41" s="51"/>
      <c r="HGZ41" s="51"/>
      <c r="HHA41" s="51"/>
      <c r="HHB41" s="51"/>
      <c r="HHC41" s="51"/>
      <c r="HHD41" s="51"/>
      <c r="HHE41" s="51"/>
      <c r="HHF41" s="51"/>
      <c r="HHG41" s="51"/>
      <c r="HHH41" s="51"/>
      <c r="HHI41" s="51"/>
      <c r="HHJ41" s="51"/>
      <c r="HHK41" s="51"/>
      <c r="HHL41" s="51"/>
      <c r="HHM41" s="51"/>
      <c r="HHN41" s="51"/>
      <c r="HHO41" s="51"/>
      <c r="HHP41" s="51"/>
      <c r="HHQ41" s="51"/>
      <c r="HHR41" s="51"/>
      <c r="HHS41" s="51"/>
      <c r="HHT41" s="51"/>
      <c r="HHU41" s="51"/>
      <c r="HHV41" s="51"/>
      <c r="HHW41" s="51"/>
      <c r="HHX41" s="51"/>
      <c r="HHY41" s="51"/>
      <c r="HHZ41" s="51"/>
      <c r="HIA41" s="51"/>
      <c r="HIB41" s="51"/>
      <c r="HIC41" s="51"/>
      <c r="HID41" s="51"/>
      <c r="HIE41" s="51"/>
      <c r="HIF41" s="51"/>
      <c r="HIG41" s="51"/>
      <c r="HIH41" s="51"/>
      <c r="HII41" s="51"/>
      <c r="HIJ41" s="51"/>
      <c r="HIK41" s="51"/>
      <c r="HIL41" s="51"/>
      <c r="HIM41" s="51"/>
      <c r="HIN41" s="51"/>
      <c r="HIO41" s="51"/>
      <c r="HIP41" s="51"/>
      <c r="HIQ41" s="51"/>
      <c r="HIR41" s="51"/>
      <c r="HIS41" s="51"/>
      <c r="HIT41" s="51"/>
      <c r="HIU41" s="51"/>
      <c r="HIV41" s="51"/>
      <c r="HIW41" s="51"/>
      <c r="HIX41" s="51"/>
      <c r="HIY41" s="51"/>
      <c r="HIZ41" s="51"/>
      <c r="HJA41" s="51"/>
      <c r="HJB41" s="51"/>
      <c r="HJC41" s="51"/>
      <c r="HJD41" s="51"/>
      <c r="HJE41" s="51"/>
      <c r="HJF41" s="51"/>
      <c r="HJG41" s="51"/>
      <c r="HJH41" s="51"/>
      <c r="HJI41" s="51"/>
      <c r="HJJ41" s="51"/>
      <c r="HJK41" s="51"/>
      <c r="HJL41" s="51"/>
      <c r="HJM41" s="51"/>
      <c r="HJN41" s="51"/>
      <c r="HJO41" s="51"/>
      <c r="HJP41" s="51"/>
      <c r="HJQ41" s="51"/>
      <c r="HJR41" s="51"/>
      <c r="HJS41" s="51"/>
      <c r="HJT41" s="51"/>
      <c r="HJU41" s="51"/>
      <c r="HJV41" s="51"/>
      <c r="HJW41" s="51"/>
      <c r="HJX41" s="51"/>
      <c r="HJY41" s="51"/>
      <c r="HJZ41" s="51"/>
      <c r="HKA41" s="51"/>
      <c r="HKB41" s="51"/>
      <c r="HKC41" s="51"/>
      <c r="HKD41" s="51"/>
      <c r="HKE41" s="51"/>
      <c r="HKF41" s="51"/>
      <c r="HKG41" s="51"/>
      <c r="HKH41" s="51"/>
      <c r="HKI41" s="51"/>
      <c r="HKJ41" s="51"/>
      <c r="HKK41" s="51"/>
      <c r="HKL41" s="51"/>
      <c r="HKM41" s="51"/>
      <c r="HKN41" s="51"/>
      <c r="HKO41" s="51"/>
      <c r="HKP41" s="51"/>
      <c r="HKQ41" s="51"/>
      <c r="HKR41" s="51"/>
      <c r="HKS41" s="51"/>
      <c r="HKT41" s="51"/>
      <c r="HKU41" s="51"/>
      <c r="HKV41" s="51"/>
      <c r="HKW41" s="51"/>
      <c r="HKX41" s="51"/>
      <c r="HKY41" s="51"/>
      <c r="HKZ41" s="51"/>
      <c r="HLA41" s="51"/>
      <c r="HLB41" s="51"/>
      <c r="HLC41" s="51"/>
      <c r="HLD41" s="51"/>
      <c r="HLE41" s="51"/>
      <c r="HLF41" s="51"/>
      <c r="HLG41" s="51"/>
      <c r="HLH41" s="51"/>
      <c r="HLI41" s="51"/>
      <c r="HLJ41" s="51"/>
      <c r="HLK41" s="51"/>
      <c r="HLL41" s="51"/>
      <c r="HLM41" s="51"/>
      <c r="HLN41" s="51"/>
      <c r="HLO41" s="51"/>
      <c r="HLP41" s="51"/>
      <c r="HLQ41" s="51"/>
      <c r="HLR41" s="51"/>
      <c r="HLS41" s="51"/>
      <c r="HLT41" s="51"/>
      <c r="HLU41" s="51"/>
      <c r="HLV41" s="51"/>
      <c r="HLW41" s="51"/>
      <c r="HLX41" s="51"/>
      <c r="HLY41" s="51"/>
      <c r="HLZ41" s="51"/>
      <c r="HMA41" s="51"/>
      <c r="HMB41" s="51"/>
      <c r="HMC41" s="51"/>
      <c r="HMD41" s="51"/>
      <c r="HME41" s="51"/>
      <c r="HMF41" s="51"/>
      <c r="HMG41" s="51"/>
      <c r="HMH41" s="51"/>
      <c r="HMI41" s="51"/>
      <c r="HMJ41" s="51"/>
      <c r="HMK41" s="51"/>
      <c r="HML41" s="51"/>
      <c r="HMM41" s="51"/>
      <c r="HMN41" s="51"/>
      <c r="HMO41" s="51"/>
      <c r="HMP41" s="51"/>
      <c r="HMQ41" s="51"/>
      <c r="HMR41" s="51"/>
      <c r="HMS41" s="51"/>
      <c r="HMT41" s="51"/>
      <c r="HMU41" s="51"/>
      <c r="HMV41" s="51"/>
      <c r="HMW41" s="51"/>
      <c r="HMX41" s="51"/>
      <c r="HMY41" s="51"/>
      <c r="HMZ41" s="51"/>
      <c r="HNA41" s="51"/>
      <c r="HNB41" s="51"/>
      <c r="HNC41" s="51"/>
      <c r="HND41" s="51"/>
      <c r="HNE41" s="51"/>
      <c r="HNF41" s="51"/>
      <c r="HNG41" s="51"/>
      <c r="HNH41" s="51"/>
      <c r="HNI41" s="51"/>
      <c r="HNJ41" s="51"/>
      <c r="HNK41" s="51"/>
      <c r="HNL41" s="51"/>
      <c r="HNM41" s="51"/>
      <c r="HNN41" s="51"/>
      <c r="HNO41" s="51"/>
      <c r="HNP41" s="51"/>
      <c r="HNQ41" s="51"/>
      <c r="HNR41" s="51"/>
      <c r="HNS41" s="51"/>
      <c r="HNT41" s="51"/>
      <c r="HNU41" s="51"/>
      <c r="HNV41" s="51"/>
      <c r="HNW41" s="51"/>
      <c r="HNX41" s="51"/>
      <c r="HNY41" s="51"/>
      <c r="HNZ41" s="51"/>
      <c r="HOA41" s="51"/>
      <c r="HOB41" s="51"/>
      <c r="HOC41" s="51"/>
      <c r="HOD41" s="51"/>
      <c r="HOE41" s="51"/>
      <c r="HOF41" s="51"/>
      <c r="HOG41" s="51"/>
      <c r="HOH41" s="51"/>
      <c r="HOI41" s="51"/>
      <c r="HOJ41" s="51"/>
      <c r="HOK41" s="51"/>
      <c r="HOL41" s="51"/>
      <c r="HOM41" s="51"/>
      <c r="HON41" s="51"/>
      <c r="HOO41" s="51"/>
      <c r="HOP41" s="51"/>
      <c r="HOQ41" s="51"/>
      <c r="HOR41" s="51"/>
      <c r="HOS41" s="51"/>
      <c r="HOT41" s="51"/>
      <c r="HOU41" s="51"/>
      <c r="HOV41" s="51"/>
      <c r="HOW41" s="51"/>
      <c r="HOX41" s="51"/>
      <c r="HOY41" s="51"/>
      <c r="HOZ41" s="51"/>
      <c r="HPA41" s="51"/>
      <c r="HPB41" s="51"/>
      <c r="HPC41" s="51"/>
      <c r="HPD41" s="51"/>
      <c r="HPE41" s="51"/>
      <c r="HPF41" s="51"/>
      <c r="HPG41" s="51"/>
      <c r="HPH41" s="51"/>
      <c r="HPI41" s="51"/>
      <c r="HPJ41" s="51"/>
      <c r="HPK41" s="51"/>
      <c r="HPL41" s="51"/>
      <c r="HPM41" s="51"/>
      <c r="HPN41" s="51"/>
      <c r="HPO41" s="51"/>
      <c r="HPP41" s="51"/>
      <c r="HPQ41" s="51"/>
      <c r="HPR41" s="51"/>
      <c r="HPS41" s="51"/>
      <c r="HPT41" s="51"/>
      <c r="HPU41" s="51"/>
      <c r="HPV41" s="51"/>
      <c r="HPW41" s="51"/>
      <c r="HPX41" s="51"/>
      <c r="HPY41" s="51"/>
      <c r="HPZ41" s="51"/>
      <c r="HQA41" s="51"/>
      <c r="HQB41" s="51"/>
      <c r="HQC41" s="51"/>
      <c r="HQD41" s="51"/>
      <c r="HQE41" s="51"/>
      <c r="HQF41" s="51"/>
      <c r="HQG41" s="51"/>
      <c r="HQH41" s="51"/>
      <c r="HQI41" s="51"/>
      <c r="HQJ41" s="51"/>
      <c r="HQK41" s="51"/>
      <c r="HQL41" s="51"/>
      <c r="HQM41" s="51"/>
      <c r="HQN41" s="51"/>
      <c r="HQO41" s="51"/>
      <c r="HQP41" s="51"/>
      <c r="HQQ41" s="51"/>
      <c r="HQR41" s="51"/>
      <c r="HQS41" s="51"/>
      <c r="HQT41" s="51"/>
      <c r="HQU41" s="51"/>
      <c r="HQV41" s="51"/>
      <c r="HQW41" s="51"/>
      <c r="HQX41" s="51"/>
      <c r="HQY41" s="51"/>
      <c r="HQZ41" s="51"/>
      <c r="HRA41" s="51"/>
      <c r="HRB41" s="51"/>
      <c r="HRC41" s="51"/>
      <c r="HRD41" s="51"/>
      <c r="HRE41" s="51"/>
      <c r="HRF41" s="51"/>
      <c r="HRG41" s="51"/>
      <c r="HRH41" s="51"/>
      <c r="HRI41" s="51"/>
      <c r="HRJ41" s="51"/>
      <c r="HRK41" s="51"/>
      <c r="HRL41" s="51"/>
      <c r="HRM41" s="51"/>
      <c r="HRN41" s="51"/>
      <c r="HRO41" s="51"/>
      <c r="HRP41" s="51"/>
      <c r="HRQ41" s="51"/>
      <c r="HRR41" s="51"/>
      <c r="HRS41" s="51"/>
      <c r="HRT41" s="51"/>
      <c r="HRU41" s="51"/>
      <c r="HRV41" s="51"/>
      <c r="HRW41" s="51"/>
      <c r="HRX41" s="51"/>
      <c r="HRY41" s="51"/>
      <c r="HRZ41" s="51"/>
      <c r="HSA41" s="51"/>
      <c r="HSB41" s="51"/>
      <c r="HSC41" s="51"/>
      <c r="HSD41" s="51"/>
      <c r="HSE41" s="51"/>
      <c r="HSF41" s="51"/>
      <c r="HSG41" s="51"/>
      <c r="HSH41" s="51"/>
      <c r="HSI41" s="51"/>
      <c r="HSJ41" s="51"/>
      <c r="HSK41" s="51"/>
      <c r="HSL41" s="51"/>
      <c r="HSM41" s="51"/>
      <c r="HSN41" s="51"/>
      <c r="HSO41" s="51"/>
      <c r="HSP41" s="51"/>
      <c r="HSQ41" s="51"/>
      <c r="HSR41" s="51"/>
      <c r="HSS41" s="51"/>
      <c r="HST41" s="51"/>
      <c r="HSU41" s="51"/>
      <c r="HSV41" s="51"/>
      <c r="HSW41" s="51"/>
      <c r="HSX41" s="51"/>
      <c r="HSY41" s="51"/>
      <c r="HSZ41" s="51"/>
      <c r="HTA41" s="51"/>
      <c r="HTB41" s="51"/>
      <c r="HTC41" s="51"/>
      <c r="HTD41" s="51"/>
      <c r="HTE41" s="51"/>
      <c r="HTF41" s="51"/>
      <c r="HTG41" s="51"/>
      <c r="HTH41" s="51"/>
      <c r="HTI41" s="51"/>
      <c r="HTJ41" s="51"/>
      <c r="HTK41" s="51"/>
      <c r="HTL41" s="51"/>
      <c r="HTM41" s="51"/>
      <c r="HTN41" s="51"/>
      <c r="HTO41" s="51"/>
      <c r="HTP41" s="51"/>
      <c r="HTQ41" s="51"/>
      <c r="HTR41" s="51"/>
      <c r="HTS41" s="51"/>
      <c r="HTT41" s="51"/>
      <c r="HTU41" s="51"/>
      <c r="HTV41" s="51"/>
      <c r="HTW41" s="51"/>
      <c r="HTX41" s="51"/>
      <c r="HTY41" s="51"/>
      <c r="HTZ41" s="51"/>
      <c r="HUA41" s="51"/>
      <c r="HUB41" s="51"/>
      <c r="HUC41" s="51"/>
      <c r="HUD41" s="51"/>
      <c r="HUE41" s="51"/>
      <c r="HUF41" s="51"/>
      <c r="HUG41" s="51"/>
      <c r="HUH41" s="51"/>
      <c r="HUI41" s="51"/>
      <c r="HUJ41" s="51"/>
      <c r="HUK41" s="51"/>
      <c r="HUL41" s="51"/>
      <c r="HUM41" s="51"/>
      <c r="HUN41" s="51"/>
      <c r="HUO41" s="51"/>
      <c r="HUP41" s="51"/>
      <c r="HUQ41" s="51"/>
      <c r="HUR41" s="51"/>
      <c r="HUS41" s="51"/>
      <c r="HUT41" s="51"/>
      <c r="HUU41" s="51"/>
      <c r="HUV41" s="51"/>
      <c r="HUW41" s="51"/>
      <c r="HUX41" s="51"/>
      <c r="HUY41" s="51"/>
      <c r="HUZ41" s="51"/>
      <c r="HVA41" s="51"/>
      <c r="HVB41" s="51"/>
      <c r="HVC41" s="51"/>
      <c r="HVD41" s="51"/>
      <c r="HVE41" s="51"/>
      <c r="HVF41" s="51"/>
      <c r="HVG41" s="51"/>
      <c r="HVH41" s="51"/>
      <c r="HVI41" s="51"/>
      <c r="HVJ41" s="51"/>
      <c r="HVK41" s="51"/>
      <c r="HVL41" s="51"/>
      <c r="HVM41" s="51"/>
      <c r="HVN41" s="51"/>
      <c r="HVO41" s="51"/>
      <c r="HVP41" s="51"/>
      <c r="HVQ41" s="51"/>
      <c r="HVR41" s="51"/>
      <c r="HVS41" s="51"/>
      <c r="HVT41" s="51"/>
      <c r="HVU41" s="51"/>
      <c r="HVV41" s="51"/>
      <c r="HVW41" s="51"/>
      <c r="HVX41" s="51"/>
      <c r="HVY41" s="51"/>
      <c r="HVZ41" s="51"/>
      <c r="HWA41" s="51"/>
      <c r="HWB41" s="51"/>
      <c r="HWC41" s="51"/>
      <c r="HWD41" s="51"/>
      <c r="HWE41" s="51"/>
      <c r="HWF41" s="51"/>
      <c r="HWG41" s="51"/>
      <c r="HWH41" s="51"/>
      <c r="HWI41" s="51"/>
      <c r="HWJ41" s="51"/>
      <c r="HWK41" s="51"/>
      <c r="HWL41" s="51"/>
      <c r="HWM41" s="51"/>
      <c r="HWN41" s="51"/>
      <c r="HWO41" s="51"/>
      <c r="HWP41" s="51"/>
      <c r="HWQ41" s="51"/>
      <c r="HWR41" s="51"/>
      <c r="HWS41" s="51"/>
      <c r="HWT41" s="51"/>
      <c r="HWU41" s="51"/>
      <c r="HWV41" s="51"/>
      <c r="HWW41" s="51"/>
      <c r="HWX41" s="51"/>
      <c r="HWY41" s="51"/>
      <c r="HWZ41" s="51"/>
      <c r="HXA41" s="51"/>
      <c r="HXB41" s="51"/>
      <c r="HXC41" s="51"/>
      <c r="HXD41" s="51"/>
      <c r="HXE41" s="51"/>
      <c r="HXF41" s="51"/>
      <c r="HXG41" s="51"/>
      <c r="HXH41" s="51"/>
      <c r="HXI41" s="51"/>
      <c r="HXJ41" s="51"/>
      <c r="HXK41" s="51"/>
      <c r="HXL41" s="51"/>
      <c r="HXM41" s="51"/>
      <c r="HXN41" s="51"/>
      <c r="HXO41" s="51"/>
      <c r="HXP41" s="51"/>
      <c r="HXQ41" s="51"/>
      <c r="HXR41" s="51"/>
      <c r="HXS41" s="51"/>
      <c r="HXT41" s="51"/>
      <c r="HXU41" s="51"/>
      <c r="HXV41" s="51"/>
      <c r="HXW41" s="51"/>
      <c r="HXX41" s="51"/>
      <c r="HXY41" s="51"/>
      <c r="HXZ41" s="51"/>
      <c r="HYA41" s="51"/>
      <c r="HYB41" s="51"/>
      <c r="HYC41" s="51"/>
      <c r="HYD41" s="51"/>
      <c r="HYE41" s="51"/>
      <c r="HYF41" s="51"/>
      <c r="HYG41" s="51"/>
      <c r="HYH41" s="51"/>
      <c r="HYI41" s="51"/>
      <c r="HYJ41" s="51"/>
      <c r="HYK41" s="51"/>
      <c r="HYL41" s="51"/>
      <c r="HYM41" s="51"/>
      <c r="HYN41" s="51"/>
      <c r="HYO41" s="51"/>
      <c r="HYP41" s="51"/>
      <c r="HYQ41" s="51"/>
      <c r="HYR41" s="51"/>
      <c r="HYS41" s="51"/>
      <c r="HYT41" s="51"/>
      <c r="HYU41" s="51"/>
      <c r="HYV41" s="51"/>
      <c r="HYW41" s="51"/>
      <c r="HYX41" s="51"/>
      <c r="HYY41" s="51"/>
      <c r="HYZ41" s="51"/>
      <c r="HZA41" s="51"/>
      <c r="HZB41" s="51"/>
      <c r="HZC41" s="51"/>
      <c r="HZD41" s="51"/>
      <c r="HZE41" s="51"/>
      <c r="HZF41" s="51"/>
      <c r="HZG41" s="51"/>
      <c r="HZH41" s="51"/>
      <c r="HZI41" s="51"/>
      <c r="HZJ41" s="51"/>
      <c r="HZK41" s="51"/>
      <c r="HZL41" s="51"/>
      <c r="HZM41" s="51"/>
      <c r="HZN41" s="51"/>
      <c r="HZO41" s="51"/>
      <c r="HZP41" s="51"/>
      <c r="HZQ41" s="51"/>
      <c r="HZR41" s="51"/>
      <c r="HZS41" s="51"/>
      <c r="HZT41" s="51"/>
      <c r="HZU41" s="51"/>
      <c r="HZV41" s="51"/>
      <c r="HZW41" s="51"/>
      <c r="HZX41" s="51"/>
      <c r="HZY41" s="51"/>
      <c r="HZZ41" s="51"/>
      <c r="IAA41" s="51"/>
      <c r="IAB41" s="51"/>
      <c r="IAC41" s="51"/>
      <c r="IAD41" s="51"/>
      <c r="IAE41" s="51"/>
      <c r="IAF41" s="51"/>
      <c r="IAG41" s="51"/>
      <c r="IAH41" s="51"/>
      <c r="IAI41" s="51"/>
      <c r="IAJ41" s="51"/>
      <c r="IAK41" s="51"/>
      <c r="IAL41" s="51"/>
      <c r="IAM41" s="51"/>
      <c r="IAN41" s="51"/>
      <c r="IAO41" s="51"/>
      <c r="IAP41" s="51"/>
      <c r="IAQ41" s="51"/>
      <c r="IAR41" s="51"/>
      <c r="IAS41" s="51"/>
      <c r="IAT41" s="51"/>
      <c r="IAU41" s="51"/>
      <c r="IAV41" s="51"/>
      <c r="IAW41" s="51"/>
      <c r="IAX41" s="51"/>
      <c r="IAY41" s="51"/>
      <c r="IAZ41" s="51"/>
      <c r="IBA41" s="51"/>
      <c r="IBB41" s="51"/>
      <c r="IBC41" s="51"/>
      <c r="IBD41" s="51"/>
      <c r="IBE41" s="51"/>
      <c r="IBF41" s="51"/>
      <c r="IBG41" s="51"/>
      <c r="IBH41" s="51"/>
      <c r="IBI41" s="51"/>
      <c r="IBJ41" s="51"/>
      <c r="IBK41" s="51"/>
      <c r="IBL41" s="51"/>
      <c r="IBM41" s="51"/>
      <c r="IBN41" s="51"/>
      <c r="IBO41" s="51"/>
      <c r="IBP41" s="51"/>
      <c r="IBQ41" s="51"/>
      <c r="IBR41" s="51"/>
      <c r="IBS41" s="51"/>
      <c r="IBT41" s="51"/>
      <c r="IBU41" s="51"/>
      <c r="IBV41" s="51"/>
      <c r="IBW41" s="51"/>
      <c r="IBX41" s="51"/>
      <c r="IBY41" s="51"/>
      <c r="IBZ41" s="51"/>
      <c r="ICA41" s="51"/>
      <c r="ICB41" s="51"/>
      <c r="ICC41" s="51"/>
      <c r="ICD41" s="51"/>
      <c r="ICE41" s="51"/>
      <c r="ICF41" s="51"/>
      <c r="ICG41" s="51"/>
      <c r="ICH41" s="51"/>
      <c r="ICI41" s="51"/>
      <c r="ICJ41" s="51"/>
      <c r="ICK41" s="51"/>
      <c r="ICL41" s="51"/>
      <c r="ICM41" s="51"/>
      <c r="ICN41" s="51"/>
      <c r="ICO41" s="51"/>
      <c r="ICP41" s="51"/>
      <c r="ICQ41" s="51"/>
      <c r="ICR41" s="51"/>
      <c r="ICS41" s="51"/>
      <c r="ICT41" s="51"/>
      <c r="ICU41" s="51"/>
      <c r="ICV41" s="51"/>
      <c r="ICW41" s="51"/>
      <c r="ICX41" s="51"/>
      <c r="ICY41" s="51"/>
      <c r="ICZ41" s="51"/>
      <c r="IDA41" s="51"/>
      <c r="IDB41" s="51"/>
      <c r="IDC41" s="51"/>
      <c r="IDD41" s="51"/>
      <c r="IDE41" s="51"/>
      <c r="IDF41" s="51"/>
      <c r="IDG41" s="51"/>
      <c r="IDH41" s="51"/>
      <c r="IDI41" s="51"/>
      <c r="IDJ41" s="51"/>
      <c r="IDK41" s="51"/>
      <c r="IDL41" s="51"/>
      <c r="IDM41" s="51"/>
      <c r="IDN41" s="51"/>
      <c r="IDO41" s="51"/>
      <c r="IDP41" s="51"/>
      <c r="IDQ41" s="51"/>
      <c r="IDR41" s="51"/>
      <c r="IDS41" s="51"/>
      <c r="IDT41" s="51"/>
      <c r="IDU41" s="51"/>
      <c r="IDV41" s="51"/>
      <c r="IDW41" s="51"/>
      <c r="IDX41" s="51"/>
      <c r="IDY41" s="51"/>
      <c r="IDZ41" s="51"/>
      <c r="IEA41" s="51"/>
      <c r="IEB41" s="51"/>
      <c r="IEC41" s="51"/>
      <c r="IED41" s="51"/>
      <c r="IEE41" s="51"/>
      <c r="IEF41" s="51"/>
      <c r="IEG41" s="51"/>
      <c r="IEH41" s="51"/>
      <c r="IEI41" s="51"/>
      <c r="IEJ41" s="51"/>
      <c r="IEK41" s="51"/>
      <c r="IEL41" s="51"/>
      <c r="IEM41" s="51"/>
      <c r="IEN41" s="51"/>
      <c r="IEO41" s="51"/>
      <c r="IEP41" s="51"/>
      <c r="IEQ41" s="51"/>
      <c r="IER41" s="51"/>
      <c r="IES41" s="51"/>
      <c r="IET41" s="51"/>
      <c r="IEU41" s="51"/>
      <c r="IEV41" s="51"/>
      <c r="IEW41" s="51"/>
      <c r="IEX41" s="51"/>
      <c r="IEY41" s="51"/>
      <c r="IEZ41" s="51"/>
      <c r="IFA41" s="51"/>
      <c r="IFB41" s="51"/>
      <c r="IFC41" s="51"/>
      <c r="IFD41" s="51"/>
      <c r="IFE41" s="51"/>
      <c r="IFF41" s="51"/>
      <c r="IFG41" s="51"/>
      <c r="IFH41" s="51"/>
      <c r="IFI41" s="51"/>
      <c r="IFJ41" s="51"/>
      <c r="IFK41" s="51"/>
      <c r="IFL41" s="51"/>
      <c r="IFM41" s="51"/>
      <c r="IFN41" s="51"/>
      <c r="IFO41" s="51"/>
      <c r="IFP41" s="51"/>
      <c r="IFQ41" s="51"/>
      <c r="IFR41" s="51"/>
      <c r="IFS41" s="51"/>
      <c r="IFT41" s="51"/>
      <c r="IFU41" s="51"/>
      <c r="IFV41" s="51"/>
      <c r="IFW41" s="51"/>
      <c r="IFX41" s="51"/>
      <c r="IFY41" s="51"/>
      <c r="IFZ41" s="51"/>
      <c r="IGA41" s="51"/>
      <c r="IGB41" s="51"/>
      <c r="IGC41" s="51"/>
      <c r="IGD41" s="51"/>
      <c r="IGE41" s="51"/>
      <c r="IGF41" s="51"/>
      <c r="IGG41" s="51"/>
      <c r="IGH41" s="51"/>
      <c r="IGI41" s="51"/>
      <c r="IGJ41" s="51"/>
      <c r="IGK41" s="51"/>
      <c r="IGL41" s="51"/>
      <c r="IGM41" s="51"/>
      <c r="IGN41" s="51"/>
      <c r="IGO41" s="51"/>
      <c r="IGP41" s="51"/>
      <c r="IGQ41" s="51"/>
      <c r="IGR41" s="51"/>
      <c r="IGS41" s="51"/>
      <c r="IGT41" s="51"/>
      <c r="IGU41" s="51"/>
      <c r="IGV41" s="51"/>
      <c r="IGW41" s="51"/>
      <c r="IGX41" s="51"/>
      <c r="IGY41" s="51"/>
      <c r="IGZ41" s="51"/>
      <c r="IHA41" s="51"/>
      <c r="IHB41" s="51"/>
      <c r="IHC41" s="51"/>
      <c r="IHD41" s="51"/>
      <c r="IHE41" s="51"/>
      <c r="IHF41" s="51"/>
      <c r="IHG41" s="51"/>
      <c r="IHH41" s="51"/>
      <c r="IHI41" s="51"/>
      <c r="IHJ41" s="51"/>
      <c r="IHK41" s="51"/>
      <c r="IHL41" s="51"/>
      <c r="IHM41" s="51"/>
      <c r="IHN41" s="51"/>
      <c r="IHO41" s="51"/>
      <c r="IHP41" s="51"/>
      <c r="IHQ41" s="51"/>
      <c r="IHR41" s="51"/>
      <c r="IHS41" s="51"/>
      <c r="IHT41" s="51"/>
      <c r="IHU41" s="51"/>
      <c r="IHV41" s="51"/>
      <c r="IHW41" s="51"/>
      <c r="IHX41" s="51"/>
      <c r="IHY41" s="51"/>
      <c r="IHZ41" s="51"/>
      <c r="IIA41" s="51"/>
      <c r="IIB41" s="51"/>
      <c r="IIC41" s="51"/>
      <c r="IID41" s="51"/>
      <c r="IIE41" s="51"/>
      <c r="IIF41" s="51"/>
      <c r="IIG41" s="51"/>
      <c r="IIH41" s="51"/>
      <c r="III41" s="51"/>
      <c r="IIJ41" s="51"/>
      <c r="IIK41" s="51"/>
      <c r="IIL41" s="51"/>
      <c r="IIM41" s="51"/>
      <c r="IIN41" s="51"/>
      <c r="IIO41" s="51"/>
      <c r="IIP41" s="51"/>
      <c r="IIQ41" s="51"/>
      <c r="IIR41" s="51"/>
      <c r="IIS41" s="51"/>
      <c r="IIT41" s="51"/>
      <c r="IIU41" s="51"/>
      <c r="IIV41" s="51"/>
      <c r="IIW41" s="51"/>
      <c r="IIX41" s="51"/>
      <c r="IIY41" s="51"/>
      <c r="IIZ41" s="51"/>
      <c r="IJA41" s="51"/>
      <c r="IJB41" s="51"/>
      <c r="IJC41" s="51"/>
      <c r="IJD41" s="51"/>
      <c r="IJE41" s="51"/>
      <c r="IJF41" s="51"/>
      <c r="IJG41" s="51"/>
      <c r="IJH41" s="51"/>
      <c r="IJI41" s="51"/>
      <c r="IJJ41" s="51"/>
      <c r="IJK41" s="51"/>
      <c r="IJL41" s="51"/>
      <c r="IJM41" s="51"/>
      <c r="IJN41" s="51"/>
      <c r="IJO41" s="51"/>
      <c r="IJP41" s="51"/>
      <c r="IJQ41" s="51"/>
      <c r="IJR41" s="51"/>
      <c r="IJS41" s="51"/>
      <c r="IJT41" s="51"/>
      <c r="IJU41" s="51"/>
      <c r="IJV41" s="51"/>
      <c r="IJW41" s="51"/>
      <c r="IJX41" s="51"/>
      <c r="IJY41" s="51"/>
      <c r="IJZ41" s="51"/>
      <c r="IKA41" s="51"/>
      <c r="IKB41" s="51"/>
      <c r="IKC41" s="51"/>
      <c r="IKD41" s="51"/>
      <c r="IKE41" s="51"/>
      <c r="IKF41" s="51"/>
      <c r="IKG41" s="51"/>
      <c r="IKH41" s="51"/>
      <c r="IKI41" s="51"/>
      <c r="IKJ41" s="51"/>
      <c r="IKK41" s="51"/>
      <c r="IKL41" s="51"/>
      <c r="IKM41" s="51"/>
      <c r="IKN41" s="51"/>
      <c r="IKO41" s="51"/>
      <c r="IKP41" s="51"/>
      <c r="IKQ41" s="51"/>
      <c r="IKR41" s="51"/>
      <c r="IKS41" s="51"/>
      <c r="IKT41" s="51"/>
      <c r="IKU41" s="51"/>
      <c r="IKV41" s="51"/>
      <c r="IKW41" s="51"/>
      <c r="IKX41" s="51"/>
      <c r="IKY41" s="51"/>
      <c r="IKZ41" s="51"/>
      <c r="ILA41" s="51"/>
      <c r="ILB41" s="51"/>
      <c r="ILC41" s="51"/>
      <c r="ILD41" s="51"/>
      <c r="ILE41" s="51"/>
      <c r="ILF41" s="51"/>
      <c r="ILG41" s="51"/>
      <c r="ILH41" s="51"/>
      <c r="ILI41" s="51"/>
      <c r="ILJ41" s="51"/>
      <c r="ILK41" s="51"/>
      <c r="ILL41" s="51"/>
      <c r="ILM41" s="51"/>
      <c r="ILN41" s="51"/>
      <c r="ILO41" s="51"/>
      <c r="ILP41" s="51"/>
      <c r="ILQ41" s="51"/>
      <c r="ILR41" s="51"/>
      <c r="ILS41" s="51"/>
      <c r="ILT41" s="51"/>
      <c r="ILU41" s="51"/>
      <c r="ILV41" s="51"/>
      <c r="ILW41" s="51"/>
      <c r="ILX41" s="51"/>
      <c r="ILY41" s="51"/>
      <c r="ILZ41" s="51"/>
      <c r="IMA41" s="51"/>
      <c r="IMB41" s="51"/>
      <c r="IMC41" s="51"/>
      <c r="IMD41" s="51"/>
      <c r="IME41" s="51"/>
      <c r="IMF41" s="51"/>
      <c r="IMG41" s="51"/>
      <c r="IMH41" s="51"/>
      <c r="IMI41" s="51"/>
      <c r="IMJ41" s="51"/>
      <c r="IMK41" s="51"/>
      <c r="IML41" s="51"/>
      <c r="IMM41" s="51"/>
      <c r="IMN41" s="51"/>
      <c r="IMO41" s="51"/>
      <c r="IMP41" s="51"/>
      <c r="IMQ41" s="51"/>
      <c r="IMR41" s="51"/>
      <c r="IMS41" s="51"/>
      <c r="IMT41" s="51"/>
      <c r="IMU41" s="51"/>
      <c r="IMV41" s="51"/>
      <c r="IMW41" s="51"/>
      <c r="IMX41" s="51"/>
      <c r="IMY41" s="51"/>
      <c r="IMZ41" s="51"/>
      <c r="INA41" s="51"/>
      <c r="INB41" s="51"/>
      <c r="INC41" s="51"/>
      <c r="IND41" s="51"/>
      <c r="INE41" s="51"/>
      <c r="INF41" s="51"/>
      <c r="ING41" s="51"/>
      <c r="INH41" s="51"/>
      <c r="INI41" s="51"/>
      <c r="INJ41" s="51"/>
      <c r="INK41" s="51"/>
      <c r="INL41" s="51"/>
      <c r="INM41" s="51"/>
      <c r="INN41" s="51"/>
      <c r="INO41" s="51"/>
      <c r="INP41" s="51"/>
      <c r="INQ41" s="51"/>
      <c r="INR41" s="51"/>
      <c r="INS41" s="51"/>
      <c r="INT41" s="51"/>
      <c r="INU41" s="51"/>
      <c r="INV41" s="51"/>
      <c r="INW41" s="51"/>
      <c r="INX41" s="51"/>
      <c r="INY41" s="51"/>
      <c r="INZ41" s="51"/>
      <c r="IOA41" s="51"/>
      <c r="IOB41" s="51"/>
      <c r="IOC41" s="51"/>
      <c r="IOD41" s="51"/>
      <c r="IOE41" s="51"/>
      <c r="IOF41" s="51"/>
      <c r="IOG41" s="51"/>
      <c r="IOH41" s="51"/>
      <c r="IOI41" s="51"/>
      <c r="IOJ41" s="51"/>
      <c r="IOK41" s="51"/>
      <c r="IOL41" s="51"/>
      <c r="IOM41" s="51"/>
      <c r="ION41" s="51"/>
      <c r="IOO41" s="51"/>
      <c r="IOP41" s="51"/>
      <c r="IOQ41" s="51"/>
      <c r="IOR41" s="51"/>
      <c r="IOS41" s="51"/>
      <c r="IOT41" s="51"/>
      <c r="IOU41" s="51"/>
      <c r="IOV41" s="51"/>
      <c r="IOW41" s="51"/>
      <c r="IOX41" s="51"/>
      <c r="IOY41" s="51"/>
      <c r="IOZ41" s="51"/>
      <c r="IPA41" s="51"/>
      <c r="IPB41" s="51"/>
      <c r="IPC41" s="51"/>
      <c r="IPD41" s="51"/>
      <c r="IPE41" s="51"/>
      <c r="IPF41" s="51"/>
      <c r="IPG41" s="51"/>
      <c r="IPH41" s="51"/>
      <c r="IPI41" s="51"/>
      <c r="IPJ41" s="51"/>
      <c r="IPK41" s="51"/>
      <c r="IPL41" s="51"/>
      <c r="IPM41" s="51"/>
      <c r="IPN41" s="51"/>
      <c r="IPO41" s="51"/>
      <c r="IPP41" s="51"/>
      <c r="IPQ41" s="51"/>
      <c r="IPR41" s="51"/>
      <c r="IPS41" s="51"/>
      <c r="IPT41" s="51"/>
      <c r="IPU41" s="51"/>
      <c r="IPV41" s="51"/>
      <c r="IPW41" s="51"/>
      <c r="IPX41" s="51"/>
      <c r="IPY41" s="51"/>
      <c r="IPZ41" s="51"/>
      <c r="IQA41" s="51"/>
      <c r="IQB41" s="51"/>
      <c r="IQC41" s="51"/>
      <c r="IQD41" s="51"/>
      <c r="IQE41" s="51"/>
      <c r="IQF41" s="51"/>
      <c r="IQG41" s="51"/>
      <c r="IQH41" s="51"/>
      <c r="IQI41" s="51"/>
      <c r="IQJ41" s="51"/>
      <c r="IQK41" s="51"/>
      <c r="IQL41" s="51"/>
      <c r="IQM41" s="51"/>
      <c r="IQN41" s="51"/>
      <c r="IQO41" s="51"/>
      <c r="IQP41" s="51"/>
      <c r="IQQ41" s="51"/>
      <c r="IQR41" s="51"/>
      <c r="IQS41" s="51"/>
      <c r="IQT41" s="51"/>
      <c r="IQU41" s="51"/>
      <c r="IQV41" s="51"/>
      <c r="IQW41" s="51"/>
      <c r="IQX41" s="51"/>
      <c r="IQY41" s="51"/>
      <c r="IQZ41" s="51"/>
      <c r="IRA41" s="51"/>
      <c r="IRB41" s="51"/>
      <c r="IRC41" s="51"/>
      <c r="IRD41" s="51"/>
      <c r="IRE41" s="51"/>
      <c r="IRF41" s="51"/>
      <c r="IRG41" s="51"/>
      <c r="IRH41" s="51"/>
      <c r="IRI41" s="51"/>
      <c r="IRJ41" s="51"/>
      <c r="IRK41" s="51"/>
      <c r="IRL41" s="51"/>
      <c r="IRM41" s="51"/>
      <c r="IRN41" s="51"/>
      <c r="IRO41" s="51"/>
      <c r="IRP41" s="51"/>
      <c r="IRQ41" s="51"/>
      <c r="IRR41" s="51"/>
      <c r="IRS41" s="51"/>
      <c r="IRT41" s="51"/>
      <c r="IRU41" s="51"/>
      <c r="IRV41" s="51"/>
      <c r="IRW41" s="51"/>
      <c r="IRX41" s="51"/>
      <c r="IRY41" s="51"/>
      <c r="IRZ41" s="51"/>
      <c r="ISA41" s="51"/>
      <c r="ISB41" s="51"/>
      <c r="ISC41" s="51"/>
      <c r="ISD41" s="51"/>
      <c r="ISE41" s="51"/>
      <c r="ISF41" s="51"/>
      <c r="ISG41" s="51"/>
      <c r="ISH41" s="51"/>
      <c r="ISI41" s="51"/>
      <c r="ISJ41" s="51"/>
      <c r="ISK41" s="51"/>
      <c r="ISL41" s="51"/>
      <c r="ISM41" s="51"/>
      <c r="ISN41" s="51"/>
      <c r="ISO41" s="51"/>
      <c r="ISP41" s="51"/>
      <c r="ISQ41" s="51"/>
      <c r="ISR41" s="51"/>
      <c r="ISS41" s="51"/>
      <c r="IST41" s="51"/>
      <c r="ISU41" s="51"/>
      <c r="ISV41" s="51"/>
      <c r="ISW41" s="51"/>
      <c r="ISX41" s="51"/>
      <c r="ISY41" s="51"/>
      <c r="ISZ41" s="51"/>
      <c r="ITA41" s="51"/>
      <c r="ITB41" s="51"/>
      <c r="ITC41" s="51"/>
      <c r="ITD41" s="51"/>
      <c r="ITE41" s="51"/>
      <c r="ITF41" s="51"/>
      <c r="ITG41" s="51"/>
      <c r="ITH41" s="51"/>
      <c r="ITI41" s="51"/>
      <c r="ITJ41" s="51"/>
      <c r="ITK41" s="51"/>
      <c r="ITL41" s="51"/>
      <c r="ITM41" s="51"/>
      <c r="ITN41" s="51"/>
      <c r="ITO41" s="51"/>
      <c r="ITP41" s="51"/>
      <c r="ITQ41" s="51"/>
      <c r="ITR41" s="51"/>
      <c r="ITS41" s="51"/>
      <c r="ITT41" s="51"/>
      <c r="ITU41" s="51"/>
      <c r="ITV41" s="51"/>
      <c r="ITW41" s="51"/>
      <c r="ITX41" s="51"/>
      <c r="ITY41" s="51"/>
      <c r="ITZ41" s="51"/>
      <c r="IUA41" s="51"/>
      <c r="IUB41" s="51"/>
      <c r="IUC41" s="51"/>
      <c r="IUD41" s="51"/>
      <c r="IUE41" s="51"/>
      <c r="IUF41" s="51"/>
      <c r="IUG41" s="51"/>
      <c r="IUH41" s="51"/>
      <c r="IUI41" s="51"/>
      <c r="IUJ41" s="51"/>
      <c r="IUK41" s="51"/>
      <c r="IUL41" s="51"/>
      <c r="IUM41" s="51"/>
      <c r="IUN41" s="51"/>
      <c r="IUO41" s="51"/>
      <c r="IUP41" s="51"/>
      <c r="IUQ41" s="51"/>
      <c r="IUR41" s="51"/>
      <c r="IUS41" s="51"/>
      <c r="IUT41" s="51"/>
      <c r="IUU41" s="51"/>
      <c r="IUV41" s="51"/>
      <c r="IUW41" s="51"/>
      <c r="IUX41" s="51"/>
      <c r="IUY41" s="51"/>
      <c r="IUZ41" s="51"/>
      <c r="IVA41" s="51"/>
      <c r="IVB41" s="51"/>
      <c r="IVC41" s="51"/>
      <c r="IVD41" s="51"/>
      <c r="IVE41" s="51"/>
      <c r="IVF41" s="51"/>
      <c r="IVG41" s="51"/>
      <c r="IVH41" s="51"/>
      <c r="IVI41" s="51"/>
      <c r="IVJ41" s="51"/>
      <c r="IVK41" s="51"/>
      <c r="IVL41" s="51"/>
      <c r="IVM41" s="51"/>
      <c r="IVN41" s="51"/>
      <c r="IVO41" s="51"/>
      <c r="IVP41" s="51"/>
      <c r="IVQ41" s="51"/>
      <c r="IVR41" s="51"/>
      <c r="IVS41" s="51"/>
      <c r="IVT41" s="51"/>
      <c r="IVU41" s="51"/>
      <c r="IVV41" s="51"/>
      <c r="IVW41" s="51"/>
      <c r="IVX41" s="51"/>
      <c r="IVY41" s="51"/>
      <c r="IVZ41" s="51"/>
      <c r="IWA41" s="51"/>
      <c r="IWB41" s="51"/>
      <c r="IWC41" s="51"/>
      <c r="IWD41" s="51"/>
      <c r="IWE41" s="51"/>
      <c r="IWF41" s="51"/>
      <c r="IWG41" s="51"/>
      <c r="IWH41" s="51"/>
      <c r="IWI41" s="51"/>
      <c r="IWJ41" s="51"/>
      <c r="IWK41" s="51"/>
      <c r="IWL41" s="51"/>
      <c r="IWM41" s="51"/>
      <c r="IWN41" s="51"/>
      <c r="IWO41" s="51"/>
      <c r="IWP41" s="51"/>
      <c r="IWQ41" s="51"/>
      <c r="IWR41" s="51"/>
      <c r="IWS41" s="51"/>
      <c r="IWT41" s="51"/>
      <c r="IWU41" s="51"/>
      <c r="IWV41" s="51"/>
      <c r="IWW41" s="51"/>
      <c r="IWX41" s="51"/>
      <c r="IWY41" s="51"/>
      <c r="IWZ41" s="51"/>
      <c r="IXA41" s="51"/>
      <c r="IXB41" s="51"/>
      <c r="IXC41" s="51"/>
      <c r="IXD41" s="51"/>
      <c r="IXE41" s="51"/>
      <c r="IXF41" s="51"/>
      <c r="IXG41" s="51"/>
      <c r="IXH41" s="51"/>
      <c r="IXI41" s="51"/>
      <c r="IXJ41" s="51"/>
      <c r="IXK41" s="51"/>
      <c r="IXL41" s="51"/>
      <c r="IXM41" s="51"/>
      <c r="IXN41" s="51"/>
      <c r="IXO41" s="51"/>
      <c r="IXP41" s="51"/>
      <c r="IXQ41" s="51"/>
      <c r="IXR41" s="51"/>
      <c r="IXS41" s="51"/>
      <c r="IXT41" s="51"/>
      <c r="IXU41" s="51"/>
      <c r="IXV41" s="51"/>
      <c r="IXW41" s="51"/>
      <c r="IXX41" s="51"/>
      <c r="IXY41" s="51"/>
      <c r="IXZ41" s="51"/>
      <c r="IYA41" s="51"/>
      <c r="IYB41" s="51"/>
      <c r="IYC41" s="51"/>
      <c r="IYD41" s="51"/>
      <c r="IYE41" s="51"/>
      <c r="IYF41" s="51"/>
      <c r="IYG41" s="51"/>
      <c r="IYH41" s="51"/>
      <c r="IYI41" s="51"/>
      <c r="IYJ41" s="51"/>
      <c r="IYK41" s="51"/>
      <c r="IYL41" s="51"/>
      <c r="IYM41" s="51"/>
      <c r="IYN41" s="51"/>
      <c r="IYO41" s="51"/>
      <c r="IYP41" s="51"/>
      <c r="IYQ41" s="51"/>
      <c r="IYR41" s="51"/>
      <c r="IYS41" s="51"/>
      <c r="IYT41" s="51"/>
      <c r="IYU41" s="51"/>
      <c r="IYV41" s="51"/>
      <c r="IYW41" s="51"/>
      <c r="IYX41" s="51"/>
      <c r="IYY41" s="51"/>
      <c r="IYZ41" s="51"/>
      <c r="IZA41" s="51"/>
      <c r="IZB41" s="51"/>
      <c r="IZC41" s="51"/>
      <c r="IZD41" s="51"/>
      <c r="IZE41" s="51"/>
      <c r="IZF41" s="51"/>
      <c r="IZG41" s="51"/>
      <c r="IZH41" s="51"/>
      <c r="IZI41" s="51"/>
      <c r="IZJ41" s="51"/>
      <c r="IZK41" s="51"/>
      <c r="IZL41" s="51"/>
      <c r="IZM41" s="51"/>
      <c r="IZN41" s="51"/>
      <c r="IZO41" s="51"/>
      <c r="IZP41" s="51"/>
      <c r="IZQ41" s="51"/>
      <c r="IZR41" s="51"/>
      <c r="IZS41" s="51"/>
      <c r="IZT41" s="51"/>
      <c r="IZU41" s="51"/>
      <c r="IZV41" s="51"/>
      <c r="IZW41" s="51"/>
      <c r="IZX41" s="51"/>
      <c r="IZY41" s="51"/>
      <c r="IZZ41" s="51"/>
      <c r="JAA41" s="51"/>
      <c r="JAB41" s="51"/>
      <c r="JAC41" s="51"/>
      <c r="JAD41" s="51"/>
      <c r="JAE41" s="51"/>
      <c r="JAF41" s="51"/>
      <c r="JAG41" s="51"/>
      <c r="JAH41" s="51"/>
      <c r="JAI41" s="51"/>
      <c r="JAJ41" s="51"/>
      <c r="JAK41" s="51"/>
      <c r="JAL41" s="51"/>
      <c r="JAM41" s="51"/>
      <c r="JAN41" s="51"/>
      <c r="JAO41" s="51"/>
      <c r="JAP41" s="51"/>
      <c r="JAQ41" s="51"/>
      <c r="JAR41" s="51"/>
      <c r="JAS41" s="51"/>
      <c r="JAT41" s="51"/>
      <c r="JAU41" s="51"/>
      <c r="JAV41" s="51"/>
      <c r="JAW41" s="51"/>
      <c r="JAX41" s="51"/>
      <c r="JAY41" s="51"/>
      <c r="JAZ41" s="51"/>
      <c r="JBA41" s="51"/>
      <c r="JBB41" s="51"/>
      <c r="JBC41" s="51"/>
      <c r="JBD41" s="51"/>
      <c r="JBE41" s="51"/>
      <c r="JBF41" s="51"/>
      <c r="JBG41" s="51"/>
      <c r="JBH41" s="51"/>
      <c r="JBI41" s="51"/>
      <c r="JBJ41" s="51"/>
      <c r="JBK41" s="51"/>
      <c r="JBL41" s="51"/>
      <c r="JBM41" s="51"/>
      <c r="JBN41" s="51"/>
      <c r="JBO41" s="51"/>
      <c r="JBP41" s="51"/>
      <c r="JBQ41" s="51"/>
      <c r="JBR41" s="51"/>
      <c r="JBS41" s="51"/>
      <c r="JBT41" s="51"/>
      <c r="JBU41" s="51"/>
      <c r="JBV41" s="51"/>
      <c r="JBW41" s="51"/>
      <c r="JBX41" s="51"/>
      <c r="JBY41" s="51"/>
      <c r="JBZ41" s="51"/>
      <c r="JCA41" s="51"/>
      <c r="JCB41" s="51"/>
      <c r="JCC41" s="51"/>
      <c r="JCD41" s="51"/>
      <c r="JCE41" s="51"/>
      <c r="JCF41" s="51"/>
      <c r="JCG41" s="51"/>
      <c r="JCH41" s="51"/>
      <c r="JCI41" s="51"/>
      <c r="JCJ41" s="51"/>
      <c r="JCK41" s="51"/>
      <c r="JCL41" s="51"/>
      <c r="JCM41" s="51"/>
      <c r="JCN41" s="51"/>
      <c r="JCO41" s="51"/>
      <c r="JCP41" s="51"/>
      <c r="JCQ41" s="51"/>
      <c r="JCR41" s="51"/>
      <c r="JCS41" s="51"/>
      <c r="JCT41" s="51"/>
      <c r="JCU41" s="51"/>
      <c r="JCV41" s="51"/>
      <c r="JCW41" s="51"/>
      <c r="JCX41" s="51"/>
      <c r="JCY41" s="51"/>
      <c r="JCZ41" s="51"/>
      <c r="JDA41" s="51"/>
      <c r="JDB41" s="51"/>
      <c r="JDC41" s="51"/>
      <c r="JDD41" s="51"/>
      <c r="JDE41" s="51"/>
      <c r="JDF41" s="51"/>
      <c r="JDG41" s="51"/>
      <c r="JDH41" s="51"/>
      <c r="JDI41" s="51"/>
      <c r="JDJ41" s="51"/>
      <c r="JDK41" s="51"/>
      <c r="JDL41" s="51"/>
      <c r="JDM41" s="51"/>
      <c r="JDN41" s="51"/>
      <c r="JDO41" s="51"/>
      <c r="JDP41" s="51"/>
      <c r="JDQ41" s="51"/>
      <c r="JDR41" s="51"/>
      <c r="JDS41" s="51"/>
      <c r="JDT41" s="51"/>
      <c r="JDU41" s="51"/>
      <c r="JDV41" s="51"/>
      <c r="JDW41" s="51"/>
      <c r="JDX41" s="51"/>
      <c r="JDY41" s="51"/>
      <c r="JDZ41" s="51"/>
      <c r="JEA41" s="51"/>
      <c r="JEB41" s="51"/>
      <c r="JEC41" s="51"/>
      <c r="JED41" s="51"/>
      <c r="JEE41" s="51"/>
      <c r="JEF41" s="51"/>
      <c r="JEG41" s="51"/>
      <c r="JEH41" s="51"/>
      <c r="JEI41" s="51"/>
      <c r="JEJ41" s="51"/>
      <c r="JEK41" s="51"/>
      <c r="JEL41" s="51"/>
      <c r="JEM41" s="51"/>
      <c r="JEN41" s="51"/>
      <c r="JEO41" s="51"/>
      <c r="JEP41" s="51"/>
      <c r="JEQ41" s="51"/>
      <c r="JER41" s="51"/>
      <c r="JES41" s="51"/>
      <c r="JET41" s="51"/>
      <c r="JEU41" s="51"/>
      <c r="JEV41" s="51"/>
      <c r="JEW41" s="51"/>
      <c r="JEX41" s="51"/>
      <c r="JEY41" s="51"/>
      <c r="JEZ41" s="51"/>
      <c r="JFA41" s="51"/>
      <c r="JFB41" s="51"/>
      <c r="JFC41" s="51"/>
      <c r="JFD41" s="51"/>
      <c r="JFE41" s="51"/>
      <c r="JFF41" s="51"/>
      <c r="JFG41" s="51"/>
      <c r="JFH41" s="51"/>
      <c r="JFI41" s="51"/>
      <c r="JFJ41" s="51"/>
      <c r="JFK41" s="51"/>
      <c r="JFL41" s="51"/>
      <c r="JFM41" s="51"/>
      <c r="JFN41" s="51"/>
      <c r="JFO41" s="51"/>
      <c r="JFP41" s="51"/>
      <c r="JFQ41" s="51"/>
      <c r="JFR41" s="51"/>
      <c r="JFS41" s="51"/>
      <c r="JFT41" s="51"/>
      <c r="JFU41" s="51"/>
      <c r="JFV41" s="51"/>
      <c r="JFW41" s="51"/>
      <c r="JFX41" s="51"/>
      <c r="JFY41" s="51"/>
      <c r="JFZ41" s="51"/>
      <c r="JGA41" s="51"/>
      <c r="JGB41" s="51"/>
      <c r="JGC41" s="51"/>
      <c r="JGD41" s="51"/>
      <c r="JGE41" s="51"/>
      <c r="JGF41" s="51"/>
      <c r="JGG41" s="51"/>
      <c r="JGH41" s="51"/>
      <c r="JGI41" s="51"/>
      <c r="JGJ41" s="51"/>
      <c r="JGK41" s="51"/>
      <c r="JGL41" s="51"/>
      <c r="JGM41" s="51"/>
      <c r="JGN41" s="51"/>
      <c r="JGO41" s="51"/>
      <c r="JGP41" s="51"/>
      <c r="JGQ41" s="51"/>
      <c r="JGR41" s="51"/>
      <c r="JGS41" s="51"/>
      <c r="JGT41" s="51"/>
      <c r="JGU41" s="51"/>
      <c r="JGV41" s="51"/>
      <c r="JGW41" s="51"/>
      <c r="JGX41" s="51"/>
      <c r="JGY41" s="51"/>
      <c r="JGZ41" s="51"/>
      <c r="JHA41" s="51"/>
      <c r="JHB41" s="51"/>
      <c r="JHC41" s="51"/>
      <c r="JHD41" s="51"/>
      <c r="JHE41" s="51"/>
      <c r="JHF41" s="51"/>
      <c r="JHG41" s="51"/>
      <c r="JHH41" s="51"/>
      <c r="JHI41" s="51"/>
      <c r="JHJ41" s="51"/>
      <c r="JHK41" s="51"/>
      <c r="JHL41" s="51"/>
      <c r="JHM41" s="51"/>
      <c r="JHN41" s="51"/>
      <c r="JHO41" s="51"/>
      <c r="JHP41" s="51"/>
      <c r="JHQ41" s="51"/>
      <c r="JHR41" s="51"/>
      <c r="JHS41" s="51"/>
      <c r="JHT41" s="51"/>
      <c r="JHU41" s="51"/>
      <c r="JHV41" s="51"/>
      <c r="JHW41" s="51"/>
      <c r="JHX41" s="51"/>
      <c r="JHY41" s="51"/>
      <c r="JHZ41" s="51"/>
      <c r="JIA41" s="51"/>
      <c r="JIB41" s="51"/>
      <c r="JIC41" s="51"/>
      <c r="JID41" s="51"/>
      <c r="JIE41" s="51"/>
      <c r="JIF41" s="51"/>
      <c r="JIG41" s="51"/>
      <c r="JIH41" s="51"/>
      <c r="JII41" s="51"/>
      <c r="JIJ41" s="51"/>
      <c r="JIK41" s="51"/>
      <c r="JIL41" s="51"/>
      <c r="JIM41" s="51"/>
      <c r="JIN41" s="51"/>
      <c r="JIO41" s="51"/>
      <c r="JIP41" s="51"/>
      <c r="JIQ41" s="51"/>
      <c r="JIR41" s="51"/>
      <c r="JIS41" s="51"/>
      <c r="JIT41" s="51"/>
      <c r="JIU41" s="51"/>
      <c r="JIV41" s="51"/>
      <c r="JIW41" s="51"/>
      <c r="JIX41" s="51"/>
      <c r="JIY41" s="51"/>
      <c r="JIZ41" s="51"/>
      <c r="JJA41" s="51"/>
      <c r="JJB41" s="51"/>
      <c r="JJC41" s="51"/>
      <c r="JJD41" s="51"/>
      <c r="JJE41" s="51"/>
      <c r="JJF41" s="51"/>
      <c r="JJG41" s="51"/>
      <c r="JJH41" s="51"/>
      <c r="JJI41" s="51"/>
      <c r="JJJ41" s="51"/>
      <c r="JJK41" s="51"/>
      <c r="JJL41" s="51"/>
      <c r="JJM41" s="51"/>
      <c r="JJN41" s="51"/>
      <c r="JJO41" s="51"/>
      <c r="JJP41" s="51"/>
      <c r="JJQ41" s="51"/>
      <c r="JJR41" s="51"/>
      <c r="JJS41" s="51"/>
      <c r="JJT41" s="51"/>
      <c r="JJU41" s="51"/>
      <c r="JJV41" s="51"/>
      <c r="JJW41" s="51"/>
      <c r="JJX41" s="51"/>
      <c r="JJY41" s="51"/>
      <c r="JJZ41" s="51"/>
      <c r="JKA41" s="51"/>
      <c r="JKB41" s="51"/>
      <c r="JKC41" s="51"/>
      <c r="JKD41" s="51"/>
      <c r="JKE41" s="51"/>
      <c r="JKF41" s="51"/>
      <c r="JKG41" s="51"/>
      <c r="JKH41" s="51"/>
      <c r="JKI41" s="51"/>
      <c r="JKJ41" s="51"/>
      <c r="JKK41" s="51"/>
      <c r="JKL41" s="51"/>
      <c r="JKM41" s="51"/>
      <c r="JKN41" s="51"/>
      <c r="JKO41" s="51"/>
      <c r="JKP41" s="51"/>
      <c r="JKQ41" s="51"/>
      <c r="JKR41" s="51"/>
      <c r="JKS41" s="51"/>
      <c r="JKT41" s="51"/>
      <c r="JKU41" s="51"/>
      <c r="JKV41" s="51"/>
      <c r="JKW41" s="51"/>
      <c r="JKX41" s="51"/>
      <c r="JKY41" s="51"/>
      <c r="JKZ41" s="51"/>
      <c r="JLA41" s="51"/>
      <c r="JLB41" s="51"/>
      <c r="JLC41" s="51"/>
      <c r="JLD41" s="51"/>
      <c r="JLE41" s="51"/>
      <c r="JLF41" s="51"/>
      <c r="JLG41" s="51"/>
      <c r="JLH41" s="51"/>
      <c r="JLI41" s="51"/>
      <c r="JLJ41" s="51"/>
      <c r="JLK41" s="51"/>
      <c r="JLL41" s="51"/>
      <c r="JLM41" s="51"/>
      <c r="JLN41" s="51"/>
      <c r="JLO41" s="51"/>
      <c r="JLP41" s="51"/>
      <c r="JLQ41" s="51"/>
      <c r="JLR41" s="51"/>
      <c r="JLS41" s="51"/>
      <c r="JLT41" s="51"/>
      <c r="JLU41" s="51"/>
      <c r="JLV41" s="51"/>
      <c r="JLW41" s="51"/>
      <c r="JLX41" s="51"/>
      <c r="JLY41" s="51"/>
      <c r="JLZ41" s="51"/>
      <c r="JMA41" s="51"/>
      <c r="JMB41" s="51"/>
      <c r="JMC41" s="51"/>
      <c r="JMD41" s="51"/>
      <c r="JME41" s="51"/>
      <c r="JMF41" s="51"/>
      <c r="JMG41" s="51"/>
      <c r="JMH41" s="51"/>
      <c r="JMI41" s="51"/>
      <c r="JMJ41" s="51"/>
      <c r="JMK41" s="51"/>
      <c r="JML41" s="51"/>
      <c r="JMM41" s="51"/>
      <c r="JMN41" s="51"/>
      <c r="JMO41" s="51"/>
      <c r="JMP41" s="51"/>
      <c r="JMQ41" s="51"/>
      <c r="JMR41" s="51"/>
      <c r="JMS41" s="51"/>
      <c r="JMT41" s="51"/>
      <c r="JMU41" s="51"/>
      <c r="JMV41" s="51"/>
      <c r="JMW41" s="51"/>
      <c r="JMX41" s="51"/>
      <c r="JMY41" s="51"/>
      <c r="JMZ41" s="51"/>
      <c r="JNA41" s="51"/>
      <c r="JNB41" s="51"/>
      <c r="JNC41" s="51"/>
      <c r="JND41" s="51"/>
      <c r="JNE41" s="51"/>
      <c r="JNF41" s="51"/>
      <c r="JNG41" s="51"/>
      <c r="JNH41" s="51"/>
      <c r="JNI41" s="51"/>
      <c r="JNJ41" s="51"/>
      <c r="JNK41" s="51"/>
      <c r="JNL41" s="51"/>
      <c r="JNM41" s="51"/>
      <c r="JNN41" s="51"/>
      <c r="JNO41" s="51"/>
      <c r="JNP41" s="51"/>
      <c r="JNQ41" s="51"/>
      <c r="JNR41" s="51"/>
      <c r="JNS41" s="51"/>
      <c r="JNT41" s="51"/>
      <c r="JNU41" s="51"/>
      <c r="JNV41" s="51"/>
      <c r="JNW41" s="51"/>
      <c r="JNX41" s="51"/>
      <c r="JNY41" s="51"/>
      <c r="JNZ41" s="51"/>
      <c r="JOA41" s="51"/>
      <c r="JOB41" s="51"/>
      <c r="JOC41" s="51"/>
      <c r="JOD41" s="51"/>
      <c r="JOE41" s="51"/>
      <c r="JOF41" s="51"/>
      <c r="JOG41" s="51"/>
      <c r="JOH41" s="51"/>
      <c r="JOI41" s="51"/>
      <c r="JOJ41" s="51"/>
      <c r="JOK41" s="51"/>
      <c r="JOL41" s="51"/>
      <c r="JOM41" s="51"/>
      <c r="JON41" s="51"/>
      <c r="JOO41" s="51"/>
      <c r="JOP41" s="51"/>
      <c r="JOQ41" s="51"/>
      <c r="JOR41" s="51"/>
      <c r="JOS41" s="51"/>
      <c r="JOT41" s="51"/>
      <c r="JOU41" s="51"/>
      <c r="JOV41" s="51"/>
      <c r="JOW41" s="51"/>
      <c r="JOX41" s="51"/>
      <c r="JOY41" s="51"/>
      <c r="JOZ41" s="51"/>
      <c r="JPA41" s="51"/>
      <c r="JPB41" s="51"/>
      <c r="JPC41" s="51"/>
      <c r="JPD41" s="51"/>
      <c r="JPE41" s="51"/>
      <c r="JPF41" s="51"/>
      <c r="JPG41" s="51"/>
      <c r="JPH41" s="51"/>
      <c r="JPI41" s="51"/>
      <c r="JPJ41" s="51"/>
      <c r="JPK41" s="51"/>
      <c r="JPL41" s="51"/>
      <c r="JPM41" s="51"/>
      <c r="JPN41" s="51"/>
      <c r="JPO41" s="51"/>
      <c r="JPP41" s="51"/>
      <c r="JPQ41" s="51"/>
      <c r="JPR41" s="51"/>
      <c r="JPS41" s="51"/>
      <c r="JPT41" s="51"/>
      <c r="JPU41" s="51"/>
      <c r="JPV41" s="51"/>
      <c r="JPW41" s="51"/>
      <c r="JPX41" s="51"/>
      <c r="JPY41" s="51"/>
      <c r="JPZ41" s="51"/>
      <c r="JQA41" s="51"/>
      <c r="JQB41" s="51"/>
      <c r="JQC41" s="51"/>
      <c r="JQD41" s="51"/>
      <c r="JQE41" s="51"/>
      <c r="JQF41" s="51"/>
      <c r="JQG41" s="51"/>
      <c r="JQH41" s="51"/>
      <c r="JQI41" s="51"/>
      <c r="JQJ41" s="51"/>
      <c r="JQK41" s="51"/>
      <c r="JQL41" s="51"/>
      <c r="JQM41" s="51"/>
      <c r="JQN41" s="51"/>
      <c r="JQO41" s="51"/>
      <c r="JQP41" s="51"/>
      <c r="JQQ41" s="51"/>
      <c r="JQR41" s="51"/>
      <c r="JQS41" s="51"/>
      <c r="JQT41" s="51"/>
      <c r="JQU41" s="51"/>
      <c r="JQV41" s="51"/>
      <c r="JQW41" s="51"/>
      <c r="JQX41" s="51"/>
      <c r="JQY41" s="51"/>
      <c r="JQZ41" s="51"/>
      <c r="JRA41" s="51"/>
      <c r="JRB41" s="51"/>
      <c r="JRC41" s="51"/>
      <c r="JRD41" s="51"/>
      <c r="JRE41" s="51"/>
      <c r="JRF41" s="51"/>
      <c r="JRG41" s="51"/>
      <c r="JRH41" s="51"/>
      <c r="JRI41" s="51"/>
      <c r="JRJ41" s="51"/>
      <c r="JRK41" s="51"/>
      <c r="JRL41" s="51"/>
      <c r="JRM41" s="51"/>
      <c r="JRN41" s="51"/>
      <c r="JRO41" s="51"/>
      <c r="JRP41" s="51"/>
      <c r="JRQ41" s="51"/>
      <c r="JRR41" s="51"/>
      <c r="JRS41" s="51"/>
      <c r="JRT41" s="51"/>
      <c r="JRU41" s="51"/>
      <c r="JRV41" s="51"/>
      <c r="JRW41" s="51"/>
      <c r="JRX41" s="51"/>
      <c r="JRY41" s="51"/>
      <c r="JRZ41" s="51"/>
      <c r="JSA41" s="51"/>
      <c r="JSB41" s="51"/>
      <c r="JSC41" s="51"/>
      <c r="JSD41" s="51"/>
      <c r="JSE41" s="51"/>
      <c r="JSF41" s="51"/>
      <c r="JSG41" s="51"/>
      <c r="JSH41" s="51"/>
      <c r="JSI41" s="51"/>
      <c r="JSJ41" s="51"/>
      <c r="JSK41" s="51"/>
      <c r="JSL41" s="51"/>
      <c r="JSM41" s="51"/>
      <c r="JSN41" s="51"/>
      <c r="JSO41" s="51"/>
      <c r="JSP41" s="51"/>
      <c r="JSQ41" s="51"/>
      <c r="JSR41" s="51"/>
      <c r="JSS41" s="51"/>
      <c r="JST41" s="51"/>
      <c r="JSU41" s="51"/>
      <c r="JSV41" s="51"/>
      <c r="JSW41" s="51"/>
      <c r="JSX41" s="51"/>
      <c r="JSY41" s="51"/>
      <c r="JSZ41" s="51"/>
      <c r="JTA41" s="51"/>
      <c r="JTB41" s="51"/>
      <c r="JTC41" s="51"/>
      <c r="JTD41" s="51"/>
      <c r="JTE41" s="51"/>
      <c r="JTF41" s="51"/>
      <c r="JTG41" s="51"/>
      <c r="JTH41" s="51"/>
      <c r="JTI41" s="51"/>
      <c r="JTJ41" s="51"/>
      <c r="JTK41" s="51"/>
      <c r="JTL41" s="51"/>
      <c r="JTM41" s="51"/>
      <c r="JTN41" s="51"/>
      <c r="JTO41" s="51"/>
      <c r="JTP41" s="51"/>
      <c r="JTQ41" s="51"/>
      <c r="JTR41" s="51"/>
      <c r="JTS41" s="51"/>
      <c r="JTT41" s="51"/>
      <c r="JTU41" s="51"/>
      <c r="JTV41" s="51"/>
      <c r="JTW41" s="51"/>
      <c r="JTX41" s="51"/>
      <c r="JTY41" s="51"/>
      <c r="JTZ41" s="51"/>
      <c r="JUA41" s="51"/>
      <c r="JUB41" s="51"/>
      <c r="JUC41" s="51"/>
      <c r="JUD41" s="51"/>
      <c r="JUE41" s="51"/>
      <c r="JUF41" s="51"/>
      <c r="JUG41" s="51"/>
      <c r="JUH41" s="51"/>
      <c r="JUI41" s="51"/>
      <c r="JUJ41" s="51"/>
      <c r="JUK41" s="51"/>
      <c r="JUL41" s="51"/>
      <c r="JUM41" s="51"/>
      <c r="JUN41" s="51"/>
      <c r="JUO41" s="51"/>
      <c r="JUP41" s="51"/>
      <c r="JUQ41" s="51"/>
      <c r="JUR41" s="51"/>
      <c r="JUS41" s="51"/>
      <c r="JUT41" s="51"/>
      <c r="JUU41" s="51"/>
      <c r="JUV41" s="51"/>
      <c r="JUW41" s="51"/>
      <c r="JUX41" s="51"/>
      <c r="JUY41" s="51"/>
      <c r="JUZ41" s="51"/>
      <c r="JVA41" s="51"/>
      <c r="JVB41" s="51"/>
      <c r="JVC41" s="51"/>
      <c r="JVD41" s="51"/>
      <c r="JVE41" s="51"/>
      <c r="JVF41" s="51"/>
      <c r="JVG41" s="51"/>
      <c r="JVH41" s="51"/>
      <c r="JVI41" s="51"/>
      <c r="JVJ41" s="51"/>
      <c r="JVK41" s="51"/>
      <c r="JVL41" s="51"/>
      <c r="JVM41" s="51"/>
      <c r="JVN41" s="51"/>
      <c r="JVO41" s="51"/>
      <c r="JVP41" s="51"/>
      <c r="JVQ41" s="51"/>
      <c r="JVR41" s="51"/>
      <c r="JVS41" s="51"/>
      <c r="JVT41" s="51"/>
      <c r="JVU41" s="51"/>
      <c r="JVV41" s="51"/>
      <c r="JVW41" s="51"/>
      <c r="JVX41" s="51"/>
      <c r="JVY41" s="51"/>
      <c r="JVZ41" s="51"/>
      <c r="JWA41" s="51"/>
      <c r="JWB41" s="51"/>
      <c r="JWC41" s="51"/>
      <c r="JWD41" s="51"/>
      <c r="JWE41" s="51"/>
      <c r="JWF41" s="51"/>
      <c r="JWG41" s="51"/>
      <c r="JWH41" s="51"/>
      <c r="JWI41" s="51"/>
      <c r="JWJ41" s="51"/>
      <c r="JWK41" s="51"/>
      <c r="JWL41" s="51"/>
      <c r="JWM41" s="51"/>
      <c r="JWN41" s="51"/>
      <c r="JWO41" s="51"/>
      <c r="JWP41" s="51"/>
      <c r="JWQ41" s="51"/>
      <c r="JWR41" s="51"/>
      <c r="JWS41" s="51"/>
      <c r="JWT41" s="51"/>
      <c r="JWU41" s="51"/>
      <c r="JWV41" s="51"/>
      <c r="JWW41" s="51"/>
      <c r="JWX41" s="51"/>
      <c r="JWY41" s="51"/>
      <c r="JWZ41" s="51"/>
      <c r="JXA41" s="51"/>
      <c r="JXB41" s="51"/>
      <c r="JXC41" s="51"/>
      <c r="JXD41" s="51"/>
      <c r="JXE41" s="51"/>
      <c r="JXF41" s="51"/>
      <c r="JXG41" s="51"/>
      <c r="JXH41" s="51"/>
      <c r="JXI41" s="51"/>
      <c r="JXJ41" s="51"/>
      <c r="JXK41" s="51"/>
      <c r="JXL41" s="51"/>
      <c r="JXM41" s="51"/>
      <c r="JXN41" s="51"/>
      <c r="JXO41" s="51"/>
      <c r="JXP41" s="51"/>
      <c r="JXQ41" s="51"/>
      <c r="JXR41" s="51"/>
      <c r="JXS41" s="51"/>
      <c r="JXT41" s="51"/>
      <c r="JXU41" s="51"/>
      <c r="JXV41" s="51"/>
      <c r="JXW41" s="51"/>
      <c r="JXX41" s="51"/>
      <c r="JXY41" s="51"/>
      <c r="JXZ41" s="51"/>
      <c r="JYA41" s="51"/>
      <c r="JYB41" s="51"/>
      <c r="JYC41" s="51"/>
      <c r="JYD41" s="51"/>
      <c r="JYE41" s="51"/>
      <c r="JYF41" s="51"/>
      <c r="JYG41" s="51"/>
      <c r="JYH41" s="51"/>
      <c r="JYI41" s="51"/>
      <c r="JYJ41" s="51"/>
      <c r="JYK41" s="51"/>
      <c r="JYL41" s="51"/>
      <c r="JYM41" s="51"/>
      <c r="JYN41" s="51"/>
      <c r="JYO41" s="51"/>
      <c r="JYP41" s="51"/>
      <c r="JYQ41" s="51"/>
      <c r="JYR41" s="51"/>
      <c r="JYS41" s="51"/>
      <c r="JYT41" s="51"/>
      <c r="JYU41" s="51"/>
      <c r="JYV41" s="51"/>
      <c r="JYW41" s="51"/>
      <c r="JYX41" s="51"/>
      <c r="JYY41" s="51"/>
      <c r="JYZ41" s="51"/>
      <c r="JZA41" s="51"/>
      <c r="JZB41" s="51"/>
      <c r="JZC41" s="51"/>
      <c r="JZD41" s="51"/>
      <c r="JZE41" s="51"/>
      <c r="JZF41" s="51"/>
      <c r="JZG41" s="51"/>
      <c r="JZH41" s="51"/>
      <c r="JZI41" s="51"/>
      <c r="JZJ41" s="51"/>
      <c r="JZK41" s="51"/>
      <c r="JZL41" s="51"/>
      <c r="JZM41" s="51"/>
      <c r="JZN41" s="51"/>
      <c r="JZO41" s="51"/>
      <c r="JZP41" s="51"/>
      <c r="JZQ41" s="51"/>
      <c r="JZR41" s="51"/>
      <c r="JZS41" s="51"/>
      <c r="JZT41" s="51"/>
      <c r="JZU41" s="51"/>
      <c r="JZV41" s="51"/>
      <c r="JZW41" s="51"/>
      <c r="JZX41" s="51"/>
      <c r="JZY41" s="51"/>
      <c r="JZZ41" s="51"/>
      <c r="KAA41" s="51"/>
      <c r="KAB41" s="51"/>
      <c r="KAC41" s="51"/>
      <c r="KAD41" s="51"/>
      <c r="KAE41" s="51"/>
      <c r="KAF41" s="51"/>
      <c r="KAG41" s="51"/>
      <c r="KAH41" s="51"/>
      <c r="KAI41" s="51"/>
      <c r="KAJ41" s="51"/>
      <c r="KAK41" s="51"/>
      <c r="KAL41" s="51"/>
      <c r="KAM41" s="51"/>
      <c r="KAN41" s="51"/>
      <c r="KAO41" s="51"/>
      <c r="KAP41" s="51"/>
      <c r="KAQ41" s="51"/>
      <c r="KAR41" s="51"/>
      <c r="KAS41" s="51"/>
      <c r="KAT41" s="51"/>
      <c r="KAU41" s="51"/>
      <c r="KAV41" s="51"/>
      <c r="KAW41" s="51"/>
      <c r="KAX41" s="51"/>
      <c r="KAY41" s="51"/>
      <c r="KAZ41" s="51"/>
      <c r="KBA41" s="51"/>
      <c r="KBB41" s="51"/>
      <c r="KBC41" s="51"/>
      <c r="KBD41" s="51"/>
      <c r="KBE41" s="51"/>
      <c r="KBF41" s="51"/>
      <c r="KBG41" s="51"/>
      <c r="KBH41" s="51"/>
      <c r="KBI41" s="51"/>
      <c r="KBJ41" s="51"/>
      <c r="KBK41" s="51"/>
      <c r="KBL41" s="51"/>
      <c r="KBM41" s="51"/>
      <c r="KBN41" s="51"/>
      <c r="KBO41" s="51"/>
      <c r="KBP41" s="51"/>
      <c r="KBQ41" s="51"/>
      <c r="KBR41" s="51"/>
      <c r="KBS41" s="51"/>
      <c r="KBT41" s="51"/>
      <c r="KBU41" s="51"/>
      <c r="KBV41" s="51"/>
      <c r="KBW41" s="51"/>
      <c r="KBX41" s="51"/>
      <c r="KBY41" s="51"/>
      <c r="KBZ41" s="51"/>
      <c r="KCA41" s="51"/>
      <c r="KCB41" s="51"/>
      <c r="KCC41" s="51"/>
      <c r="KCD41" s="51"/>
      <c r="KCE41" s="51"/>
      <c r="KCF41" s="51"/>
      <c r="KCG41" s="51"/>
      <c r="KCH41" s="51"/>
      <c r="KCI41" s="51"/>
      <c r="KCJ41" s="51"/>
      <c r="KCK41" s="51"/>
      <c r="KCL41" s="51"/>
      <c r="KCM41" s="51"/>
      <c r="KCN41" s="51"/>
      <c r="KCO41" s="51"/>
      <c r="KCP41" s="51"/>
      <c r="KCQ41" s="51"/>
      <c r="KCR41" s="51"/>
      <c r="KCS41" s="51"/>
      <c r="KCT41" s="51"/>
      <c r="KCU41" s="51"/>
      <c r="KCV41" s="51"/>
      <c r="KCW41" s="51"/>
      <c r="KCX41" s="51"/>
      <c r="KCY41" s="51"/>
      <c r="KCZ41" s="51"/>
      <c r="KDA41" s="51"/>
      <c r="KDB41" s="51"/>
      <c r="KDC41" s="51"/>
      <c r="KDD41" s="51"/>
      <c r="KDE41" s="51"/>
      <c r="KDF41" s="51"/>
      <c r="KDG41" s="51"/>
      <c r="KDH41" s="51"/>
      <c r="KDI41" s="51"/>
      <c r="KDJ41" s="51"/>
      <c r="KDK41" s="51"/>
      <c r="KDL41" s="51"/>
      <c r="KDM41" s="51"/>
      <c r="KDN41" s="51"/>
      <c r="KDO41" s="51"/>
      <c r="KDP41" s="51"/>
      <c r="KDQ41" s="51"/>
      <c r="KDR41" s="51"/>
      <c r="KDS41" s="51"/>
      <c r="KDT41" s="51"/>
      <c r="KDU41" s="51"/>
      <c r="KDV41" s="51"/>
      <c r="KDW41" s="51"/>
      <c r="KDX41" s="51"/>
      <c r="KDY41" s="51"/>
      <c r="KDZ41" s="51"/>
      <c r="KEA41" s="51"/>
      <c r="KEB41" s="51"/>
      <c r="KEC41" s="51"/>
      <c r="KED41" s="51"/>
      <c r="KEE41" s="51"/>
      <c r="KEF41" s="51"/>
      <c r="KEG41" s="51"/>
      <c r="KEH41" s="51"/>
      <c r="KEI41" s="51"/>
      <c r="KEJ41" s="51"/>
      <c r="KEK41" s="51"/>
      <c r="KEL41" s="51"/>
      <c r="KEM41" s="51"/>
      <c r="KEN41" s="51"/>
      <c r="KEO41" s="51"/>
      <c r="KEP41" s="51"/>
      <c r="KEQ41" s="51"/>
      <c r="KER41" s="51"/>
      <c r="KES41" s="51"/>
      <c r="KET41" s="51"/>
      <c r="KEU41" s="51"/>
      <c r="KEV41" s="51"/>
      <c r="KEW41" s="51"/>
      <c r="KEX41" s="51"/>
      <c r="KEY41" s="51"/>
      <c r="KEZ41" s="51"/>
      <c r="KFA41" s="51"/>
      <c r="KFB41" s="51"/>
      <c r="KFC41" s="51"/>
      <c r="KFD41" s="51"/>
      <c r="KFE41" s="51"/>
      <c r="KFF41" s="51"/>
      <c r="KFG41" s="51"/>
      <c r="KFH41" s="51"/>
      <c r="KFI41" s="51"/>
      <c r="KFJ41" s="51"/>
      <c r="KFK41" s="51"/>
      <c r="KFL41" s="51"/>
      <c r="KFM41" s="51"/>
      <c r="KFN41" s="51"/>
      <c r="KFO41" s="51"/>
      <c r="KFP41" s="51"/>
      <c r="KFQ41" s="51"/>
      <c r="KFR41" s="51"/>
      <c r="KFS41" s="51"/>
      <c r="KFT41" s="51"/>
      <c r="KFU41" s="51"/>
      <c r="KFV41" s="51"/>
      <c r="KFW41" s="51"/>
      <c r="KFX41" s="51"/>
      <c r="KFY41" s="51"/>
      <c r="KFZ41" s="51"/>
      <c r="KGA41" s="51"/>
      <c r="KGB41" s="51"/>
      <c r="KGC41" s="51"/>
      <c r="KGD41" s="51"/>
      <c r="KGE41" s="51"/>
      <c r="KGF41" s="51"/>
      <c r="KGG41" s="51"/>
      <c r="KGH41" s="51"/>
      <c r="KGI41" s="51"/>
      <c r="KGJ41" s="51"/>
      <c r="KGK41" s="51"/>
      <c r="KGL41" s="51"/>
      <c r="KGM41" s="51"/>
      <c r="KGN41" s="51"/>
      <c r="KGO41" s="51"/>
      <c r="KGP41" s="51"/>
      <c r="KGQ41" s="51"/>
      <c r="KGR41" s="51"/>
      <c r="KGS41" s="51"/>
      <c r="KGT41" s="51"/>
      <c r="KGU41" s="51"/>
      <c r="KGV41" s="51"/>
      <c r="KGW41" s="51"/>
      <c r="KGX41" s="51"/>
      <c r="KGY41" s="51"/>
      <c r="KGZ41" s="51"/>
      <c r="KHA41" s="51"/>
      <c r="KHB41" s="51"/>
      <c r="KHC41" s="51"/>
      <c r="KHD41" s="51"/>
      <c r="KHE41" s="51"/>
      <c r="KHF41" s="51"/>
      <c r="KHG41" s="51"/>
      <c r="KHH41" s="51"/>
      <c r="KHI41" s="51"/>
      <c r="KHJ41" s="51"/>
      <c r="KHK41" s="51"/>
      <c r="KHL41" s="51"/>
      <c r="KHM41" s="51"/>
      <c r="KHN41" s="51"/>
      <c r="KHO41" s="51"/>
      <c r="KHP41" s="51"/>
      <c r="KHQ41" s="51"/>
      <c r="KHR41" s="51"/>
      <c r="KHS41" s="51"/>
      <c r="KHT41" s="51"/>
      <c r="KHU41" s="51"/>
      <c r="KHV41" s="51"/>
      <c r="KHW41" s="51"/>
      <c r="KHX41" s="51"/>
      <c r="KHY41" s="51"/>
      <c r="KHZ41" s="51"/>
      <c r="KIA41" s="51"/>
      <c r="KIB41" s="51"/>
      <c r="KIC41" s="51"/>
      <c r="KID41" s="51"/>
      <c r="KIE41" s="51"/>
      <c r="KIF41" s="51"/>
      <c r="KIG41" s="51"/>
      <c r="KIH41" s="51"/>
      <c r="KII41" s="51"/>
      <c r="KIJ41" s="51"/>
      <c r="KIK41" s="51"/>
      <c r="KIL41" s="51"/>
      <c r="KIM41" s="51"/>
      <c r="KIN41" s="51"/>
      <c r="KIO41" s="51"/>
      <c r="KIP41" s="51"/>
      <c r="KIQ41" s="51"/>
      <c r="KIR41" s="51"/>
      <c r="KIS41" s="51"/>
      <c r="KIT41" s="51"/>
      <c r="KIU41" s="51"/>
      <c r="KIV41" s="51"/>
      <c r="KIW41" s="51"/>
      <c r="KIX41" s="51"/>
      <c r="KIY41" s="51"/>
      <c r="KIZ41" s="51"/>
      <c r="KJA41" s="51"/>
      <c r="KJB41" s="51"/>
      <c r="KJC41" s="51"/>
      <c r="KJD41" s="51"/>
      <c r="KJE41" s="51"/>
      <c r="KJF41" s="51"/>
      <c r="KJG41" s="51"/>
      <c r="KJH41" s="51"/>
      <c r="KJI41" s="51"/>
      <c r="KJJ41" s="51"/>
      <c r="KJK41" s="51"/>
      <c r="KJL41" s="51"/>
      <c r="KJM41" s="51"/>
      <c r="KJN41" s="51"/>
      <c r="KJO41" s="51"/>
      <c r="KJP41" s="51"/>
      <c r="KJQ41" s="51"/>
      <c r="KJR41" s="51"/>
      <c r="KJS41" s="51"/>
      <c r="KJT41" s="51"/>
      <c r="KJU41" s="51"/>
      <c r="KJV41" s="51"/>
      <c r="KJW41" s="51"/>
      <c r="KJX41" s="51"/>
      <c r="KJY41" s="51"/>
      <c r="KJZ41" s="51"/>
      <c r="KKA41" s="51"/>
      <c r="KKB41" s="51"/>
      <c r="KKC41" s="51"/>
      <c r="KKD41" s="51"/>
      <c r="KKE41" s="51"/>
      <c r="KKF41" s="51"/>
      <c r="KKG41" s="51"/>
      <c r="KKH41" s="51"/>
      <c r="KKI41" s="51"/>
      <c r="KKJ41" s="51"/>
      <c r="KKK41" s="51"/>
      <c r="KKL41" s="51"/>
      <c r="KKM41" s="51"/>
      <c r="KKN41" s="51"/>
      <c r="KKO41" s="51"/>
      <c r="KKP41" s="51"/>
      <c r="KKQ41" s="51"/>
      <c r="KKR41" s="51"/>
      <c r="KKS41" s="51"/>
      <c r="KKT41" s="51"/>
      <c r="KKU41" s="51"/>
      <c r="KKV41" s="51"/>
      <c r="KKW41" s="51"/>
      <c r="KKX41" s="51"/>
      <c r="KKY41" s="51"/>
      <c r="KKZ41" s="51"/>
      <c r="KLA41" s="51"/>
      <c r="KLB41" s="51"/>
      <c r="KLC41" s="51"/>
      <c r="KLD41" s="51"/>
      <c r="KLE41" s="51"/>
      <c r="KLF41" s="51"/>
      <c r="KLG41" s="51"/>
      <c r="KLH41" s="51"/>
      <c r="KLI41" s="51"/>
      <c r="KLJ41" s="51"/>
      <c r="KLK41" s="51"/>
      <c r="KLL41" s="51"/>
      <c r="KLM41" s="51"/>
      <c r="KLN41" s="51"/>
      <c r="KLO41" s="51"/>
      <c r="KLP41" s="51"/>
      <c r="KLQ41" s="51"/>
      <c r="KLR41" s="51"/>
      <c r="KLS41" s="51"/>
      <c r="KLT41" s="51"/>
      <c r="KLU41" s="51"/>
      <c r="KLV41" s="51"/>
      <c r="KLW41" s="51"/>
      <c r="KLX41" s="51"/>
      <c r="KLY41" s="51"/>
      <c r="KLZ41" s="51"/>
      <c r="KMA41" s="51"/>
      <c r="KMB41" s="51"/>
      <c r="KMC41" s="51"/>
      <c r="KMD41" s="51"/>
      <c r="KME41" s="51"/>
      <c r="KMF41" s="51"/>
      <c r="KMG41" s="51"/>
      <c r="KMH41" s="51"/>
      <c r="KMI41" s="51"/>
      <c r="KMJ41" s="51"/>
      <c r="KMK41" s="51"/>
      <c r="KML41" s="51"/>
      <c r="KMM41" s="51"/>
      <c r="KMN41" s="51"/>
      <c r="KMO41" s="51"/>
      <c r="KMP41" s="51"/>
      <c r="KMQ41" s="51"/>
      <c r="KMR41" s="51"/>
      <c r="KMS41" s="51"/>
      <c r="KMT41" s="51"/>
      <c r="KMU41" s="51"/>
      <c r="KMV41" s="51"/>
      <c r="KMW41" s="51"/>
      <c r="KMX41" s="51"/>
      <c r="KMY41" s="51"/>
      <c r="KMZ41" s="51"/>
      <c r="KNA41" s="51"/>
      <c r="KNB41" s="51"/>
      <c r="KNC41" s="51"/>
      <c r="KND41" s="51"/>
      <c r="KNE41" s="51"/>
      <c r="KNF41" s="51"/>
      <c r="KNG41" s="51"/>
      <c r="KNH41" s="51"/>
      <c r="KNI41" s="51"/>
      <c r="KNJ41" s="51"/>
      <c r="KNK41" s="51"/>
      <c r="KNL41" s="51"/>
      <c r="KNM41" s="51"/>
      <c r="KNN41" s="51"/>
      <c r="KNO41" s="51"/>
      <c r="KNP41" s="51"/>
      <c r="KNQ41" s="51"/>
      <c r="KNR41" s="51"/>
      <c r="KNS41" s="51"/>
      <c r="KNT41" s="51"/>
      <c r="KNU41" s="51"/>
      <c r="KNV41" s="51"/>
      <c r="KNW41" s="51"/>
      <c r="KNX41" s="51"/>
      <c r="KNY41" s="51"/>
      <c r="KNZ41" s="51"/>
      <c r="KOA41" s="51"/>
      <c r="KOB41" s="51"/>
      <c r="KOC41" s="51"/>
      <c r="KOD41" s="51"/>
      <c r="KOE41" s="51"/>
      <c r="KOF41" s="51"/>
      <c r="KOG41" s="51"/>
      <c r="KOH41" s="51"/>
      <c r="KOI41" s="51"/>
      <c r="KOJ41" s="51"/>
      <c r="KOK41" s="51"/>
      <c r="KOL41" s="51"/>
      <c r="KOM41" s="51"/>
      <c r="KON41" s="51"/>
      <c r="KOO41" s="51"/>
      <c r="KOP41" s="51"/>
      <c r="KOQ41" s="51"/>
      <c r="KOR41" s="51"/>
      <c r="KOS41" s="51"/>
      <c r="KOT41" s="51"/>
      <c r="KOU41" s="51"/>
      <c r="KOV41" s="51"/>
      <c r="KOW41" s="51"/>
      <c r="KOX41" s="51"/>
      <c r="KOY41" s="51"/>
      <c r="KOZ41" s="51"/>
      <c r="KPA41" s="51"/>
      <c r="KPB41" s="51"/>
      <c r="KPC41" s="51"/>
      <c r="KPD41" s="51"/>
      <c r="KPE41" s="51"/>
      <c r="KPF41" s="51"/>
      <c r="KPG41" s="51"/>
      <c r="KPH41" s="51"/>
      <c r="KPI41" s="51"/>
      <c r="KPJ41" s="51"/>
      <c r="KPK41" s="51"/>
      <c r="KPL41" s="51"/>
      <c r="KPM41" s="51"/>
      <c r="KPN41" s="51"/>
      <c r="KPO41" s="51"/>
      <c r="KPP41" s="51"/>
      <c r="KPQ41" s="51"/>
      <c r="KPR41" s="51"/>
      <c r="KPS41" s="51"/>
      <c r="KPT41" s="51"/>
      <c r="KPU41" s="51"/>
      <c r="KPV41" s="51"/>
      <c r="KPW41" s="51"/>
      <c r="KPX41" s="51"/>
      <c r="KPY41" s="51"/>
      <c r="KPZ41" s="51"/>
      <c r="KQA41" s="51"/>
      <c r="KQB41" s="51"/>
      <c r="KQC41" s="51"/>
      <c r="KQD41" s="51"/>
      <c r="KQE41" s="51"/>
      <c r="KQF41" s="51"/>
      <c r="KQG41" s="51"/>
      <c r="KQH41" s="51"/>
      <c r="KQI41" s="51"/>
      <c r="KQJ41" s="51"/>
      <c r="KQK41" s="51"/>
      <c r="KQL41" s="51"/>
      <c r="KQM41" s="51"/>
      <c r="KQN41" s="51"/>
      <c r="KQO41" s="51"/>
      <c r="KQP41" s="51"/>
      <c r="KQQ41" s="51"/>
      <c r="KQR41" s="51"/>
      <c r="KQS41" s="51"/>
      <c r="KQT41" s="51"/>
      <c r="KQU41" s="51"/>
      <c r="KQV41" s="51"/>
      <c r="KQW41" s="51"/>
      <c r="KQX41" s="51"/>
      <c r="KQY41" s="51"/>
      <c r="KQZ41" s="51"/>
      <c r="KRA41" s="51"/>
      <c r="KRB41" s="51"/>
      <c r="KRC41" s="51"/>
      <c r="KRD41" s="51"/>
      <c r="KRE41" s="51"/>
      <c r="KRF41" s="51"/>
      <c r="KRG41" s="51"/>
      <c r="KRH41" s="51"/>
      <c r="KRI41" s="51"/>
      <c r="KRJ41" s="51"/>
      <c r="KRK41" s="51"/>
      <c r="KRL41" s="51"/>
      <c r="KRM41" s="51"/>
      <c r="KRN41" s="51"/>
      <c r="KRO41" s="51"/>
      <c r="KRP41" s="51"/>
      <c r="KRQ41" s="51"/>
      <c r="KRR41" s="51"/>
      <c r="KRS41" s="51"/>
      <c r="KRT41" s="51"/>
      <c r="KRU41" s="51"/>
      <c r="KRV41" s="51"/>
      <c r="KRW41" s="51"/>
      <c r="KRX41" s="51"/>
      <c r="KRY41" s="51"/>
      <c r="KRZ41" s="51"/>
      <c r="KSA41" s="51"/>
      <c r="KSB41" s="51"/>
      <c r="KSC41" s="51"/>
      <c r="KSD41" s="51"/>
      <c r="KSE41" s="51"/>
      <c r="KSF41" s="51"/>
      <c r="KSG41" s="51"/>
      <c r="KSH41" s="51"/>
      <c r="KSI41" s="51"/>
      <c r="KSJ41" s="51"/>
      <c r="KSK41" s="51"/>
      <c r="KSL41" s="51"/>
      <c r="KSM41" s="51"/>
      <c r="KSN41" s="51"/>
      <c r="KSO41" s="51"/>
      <c r="KSP41" s="51"/>
      <c r="KSQ41" s="51"/>
      <c r="KSR41" s="51"/>
      <c r="KSS41" s="51"/>
      <c r="KST41" s="51"/>
      <c r="KSU41" s="51"/>
      <c r="KSV41" s="51"/>
      <c r="KSW41" s="51"/>
      <c r="KSX41" s="51"/>
      <c r="KSY41" s="51"/>
      <c r="KSZ41" s="51"/>
      <c r="KTA41" s="51"/>
      <c r="KTB41" s="51"/>
      <c r="KTC41" s="51"/>
      <c r="KTD41" s="51"/>
      <c r="KTE41" s="51"/>
      <c r="KTF41" s="51"/>
      <c r="KTG41" s="51"/>
      <c r="KTH41" s="51"/>
      <c r="KTI41" s="51"/>
      <c r="KTJ41" s="51"/>
      <c r="KTK41" s="51"/>
      <c r="KTL41" s="51"/>
      <c r="KTM41" s="51"/>
      <c r="KTN41" s="51"/>
      <c r="KTO41" s="51"/>
      <c r="KTP41" s="51"/>
      <c r="KTQ41" s="51"/>
      <c r="KTR41" s="51"/>
      <c r="KTS41" s="51"/>
      <c r="KTT41" s="51"/>
      <c r="KTU41" s="51"/>
      <c r="KTV41" s="51"/>
      <c r="KTW41" s="51"/>
      <c r="KTX41" s="51"/>
      <c r="KTY41" s="51"/>
      <c r="KTZ41" s="51"/>
      <c r="KUA41" s="51"/>
      <c r="KUB41" s="51"/>
      <c r="KUC41" s="51"/>
      <c r="KUD41" s="51"/>
      <c r="KUE41" s="51"/>
      <c r="KUF41" s="51"/>
      <c r="KUG41" s="51"/>
      <c r="KUH41" s="51"/>
      <c r="KUI41" s="51"/>
      <c r="KUJ41" s="51"/>
      <c r="KUK41" s="51"/>
      <c r="KUL41" s="51"/>
      <c r="KUM41" s="51"/>
      <c r="KUN41" s="51"/>
      <c r="KUO41" s="51"/>
      <c r="KUP41" s="51"/>
      <c r="KUQ41" s="51"/>
      <c r="KUR41" s="51"/>
      <c r="KUS41" s="51"/>
      <c r="KUT41" s="51"/>
      <c r="KUU41" s="51"/>
      <c r="KUV41" s="51"/>
      <c r="KUW41" s="51"/>
      <c r="KUX41" s="51"/>
      <c r="KUY41" s="51"/>
      <c r="KUZ41" s="51"/>
      <c r="KVA41" s="51"/>
      <c r="KVB41" s="51"/>
      <c r="KVC41" s="51"/>
      <c r="KVD41" s="51"/>
      <c r="KVE41" s="51"/>
      <c r="KVF41" s="51"/>
      <c r="KVG41" s="51"/>
      <c r="KVH41" s="51"/>
      <c r="KVI41" s="51"/>
      <c r="KVJ41" s="51"/>
      <c r="KVK41" s="51"/>
      <c r="KVL41" s="51"/>
      <c r="KVM41" s="51"/>
      <c r="KVN41" s="51"/>
      <c r="KVO41" s="51"/>
      <c r="KVP41" s="51"/>
      <c r="KVQ41" s="51"/>
      <c r="KVR41" s="51"/>
      <c r="KVS41" s="51"/>
      <c r="KVT41" s="51"/>
      <c r="KVU41" s="51"/>
      <c r="KVV41" s="51"/>
      <c r="KVW41" s="51"/>
      <c r="KVX41" s="51"/>
      <c r="KVY41" s="51"/>
      <c r="KVZ41" s="51"/>
      <c r="KWA41" s="51"/>
      <c r="KWB41" s="51"/>
      <c r="KWC41" s="51"/>
      <c r="KWD41" s="51"/>
      <c r="KWE41" s="51"/>
      <c r="KWF41" s="51"/>
      <c r="KWG41" s="51"/>
      <c r="KWH41" s="51"/>
      <c r="KWI41" s="51"/>
      <c r="KWJ41" s="51"/>
      <c r="KWK41" s="51"/>
      <c r="KWL41" s="51"/>
      <c r="KWM41" s="51"/>
      <c r="KWN41" s="51"/>
      <c r="KWO41" s="51"/>
      <c r="KWP41" s="51"/>
      <c r="KWQ41" s="51"/>
      <c r="KWR41" s="51"/>
      <c r="KWS41" s="51"/>
      <c r="KWT41" s="51"/>
      <c r="KWU41" s="51"/>
      <c r="KWV41" s="51"/>
      <c r="KWW41" s="51"/>
      <c r="KWX41" s="51"/>
      <c r="KWY41" s="51"/>
      <c r="KWZ41" s="51"/>
      <c r="KXA41" s="51"/>
      <c r="KXB41" s="51"/>
      <c r="KXC41" s="51"/>
      <c r="KXD41" s="51"/>
      <c r="KXE41" s="51"/>
      <c r="KXF41" s="51"/>
      <c r="KXG41" s="51"/>
      <c r="KXH41" s="51"/>
      <c r="KXI41" s="51"/>
      <c r="KXJ41" s="51"/>
      <c r="KXK41" s="51"/>
      <c r="KXL41" s="51"/>
      <c r="KXM41" s="51"/>
      <c r="KXN41" s="51"/>
      <c r="KXO41" s="51"/>
      <c r="KXP41" s="51"/>
      <c r="KXQ41" s="51"/>
      <c r="KXR41" s="51"/>
      <c r="KXS41" s="51"/>
      <c r="KXT41" s="51"/>
      <c r="KXU41" s="51"/>
      <c r="KXV41" s="51"/>
      <c r="KXW41" s="51"/>
      <c r="KXX41" s="51"/>
      <c r="KXY41" s="51"/>
      <c r="KXZ41" s="51"/>
      <c r="KYA41" s="51"/>
      <c r="KYB41" s="51"/>
      <c r="KYC41" s="51"/>
      <c r="KYD41" s="51"/>
      <c r="KYE41" s="51"/>
      <c r="KYF41" s="51"/>
      <c r="KYG41" s="51"/>
      <c r="KYH41" s="51"/>
      <c r="KYI41" s="51"/>
      <c r="KYJ41" s="51"/>
      <c r="KYK41" s="51"/>
      <c r="KYL41" s="51"/>
      <c r="KYM41" s="51"/>
      <c r="KYN41" s="51"/>
      <c r="KYO41" s="51"/>
      <c r="KYP41" s="51"/>
      <c r="KYQ41" s="51"/>
      <c r="KYR41" s="51"/>
      <c r="KYS41" s="51"/>
      <c r="KYT41" s="51"/>
      <c r="KYU41" s="51"/>
      <c r="KYV41" s="51"/>
      <c r="KYW41" s="51"/>
      <c r="KYX41" s="51"/>
      <c r="KYY41" s="51"/>
      <c r="KYZ41" s="51"/>
      <c r="KZA41" s="51"/>
      <c r="KZB41" s="51"/>
      <c r="KZC41" s="51"/>
      <c r="KZD41" s="51"/>
      <c r="KZE41" s="51"/>
      <c r="KZF41" s="51"/>
      <c r="KZG41" s="51"/>
      <c r="KZH41" s="51"/>
      <c r="KZI41" s="51"/>
      <c r="KZJ41" s="51"/>
      <c r="KZK41" s="51"/>
      <c r="KZL41" s="51"/>
      <c r="KZM41" s="51"/>
      <c r="KZN41" s="51"/>
      <c r="KZO41" s="51"/>
      <c r="KZP41" s="51"/>
      <c r="KZQ41" s="51"/>
      <c r="KZR41" s="51"/>
      <c r="KZS41" s="51"/>
      <c r="KZT41" s="51"/>
      <c r="KZU41" s="51"/>
      <c r="KZV41" s="51"/>
      <c r="KZW41" s="51"/>
      <c r="KZX41" s="51"/>
      <c r="KZY41" s="51"/>
      <c r="KZZ41" s="51"/>
      <c r="LAA41" s="51"/>
      <c r="LAB41" s="51"/>
      <c r="LAC41" s="51"/>
      <c r="LAD41" s="51"/>
      <c r="LAE41" s="51"/>
      <c r="LAF41" s="51"/>
      <c r="LAG41" s="51"/>
      <c r="LAH41" s="51"/>
      <c r="LAI41" s="51"/>
      <c r="LAJ41" s="51"/>
      <c r="LAK41" s="51"/>
      <c r="LAL41" s="51"/>
      <c r="LAM41" s="51"/>
      <c r="LAN41" s="51"/>
      <c r="LAO41" s="51"/>
      <c r="LAP41" s="51"/>
      <c r="LAQ41" s="51"/>
      <c r="LAR41" s="51"/>
      <c r="LAS41" s="51"/>
      <c r="LAT41" s="51"/>
      <c r="LAU41" s="51"/>
      <c r="LAV41" s="51"/>
      <c r="LAW41" s="51"/>
      <c r="LAX41" s="51"/>
      <c r="LAY41" s="51"/>
      <c r="LAZ41" s="51"/>
      <c r="LBA41" s="51"/>
      <c r="LBB41" s="51"/>
      <c r="LBC41" s="51"/>
      <c r="LBD41" s="51"/>
      <c r="LBE41" s="51"/>
      <c r="LBF41" s="51"/>
      <c r="LBG41" s="51"/>
      <c r="LBH41" s="51"/>
      <c r="LBI41" s="51"/>
      <c r="LBJ41" s="51"/>
      <c r="LBK41" s="51"/>
      <c r="LBL41" s="51"/>
      <c r="LBM41" s="51"/>
      <c r="LBN41" s="51"/>
      <c r="LBO41" s="51"/>
      <c r="LBP41" s="51"/>
      <c r="LBQ41" s="51"/>
      <c r="LBR41" s="51"/>
      <c r="LBS41" s="51"/>
      <c r="LBT41" s="51"/>
      <c r="LBU41" s="51"/>
      <c r="LBV41" s="51"/>
      <c r="LBW41" s="51"/>
      <c r="LBX41" s="51"/>
      <c r="LBY41" s="51"/>
      <c r="LBZ41" s="51"/>
      <c r="LCA41" s="51"/>
      <c r="LCB41" s="51"/>
      <c r="LCC41" s="51"/>
      <c r="LCD41" s="51"/>
      <c r="LCE41" s="51"/>
      <c r="LCF41" s="51"/>
      <c r="LCG41" s="51"/>
      <c r="LCH41" s="51"/>
      <c r="LCI41" s="51"/>
      <c r="LCJ41" s="51"/>
      <c r="LCK41" s="51"/>
      <c r="LCL41" s="51"/>
      <c r="LCM41" s="51"/>
      <c r="LCN41" s="51"/>
      <c r="LCO41" s="51"/>
      <c r="LCP41" s="51"/>
      <c r="LCQ41" s="51"/>
      <c r="LCR41" s="51"/>
      <c r="LCS41" s="51"/>
      <c r="LCT41" s="51"/>
      <c r="LCU41" s="51"/>
      <c r="LCV41" s="51"/>
      <c r="LCW41" s="51"/>
      <c r="LCX41" s="51"/>
      <c r="LCY41" s="51"/>
      <c r="LCZ41" s="51"/>
      <c r="LDA41" s="51"/>
      <c r="LDB41" s="51"/>
      <c r="LDC41" s="51"/>
      <c r="LDD41" s="51"/>
      <c r="LDE41" s="51"/>
      <c r="LDF41" s="51"/>
      <c r="LDG41" s="51"/>
      <c r="LDH41" s="51"/>
      <c r="LDI41" s="51"/>
      <c r="LDJ41" s="51"/>
      <c r="LDK41" s="51"/>
      <c r="LDL41" s="51"/>
      <c r="LDM41" s="51"/>
      <c r="LDN41" s="51"/>
      <c r="LDO41" s="51"/>
      <c r="LDP41" s="51"/>
      <c r="LDQ41" s="51"/>
      <c r="LDR41" s="51"/>
      <c r="LDS41" s="51"/>
      <c r="LDT41" s="51"/>
      <c r="LDU41" s="51"/>
      <c r="LDV41" s="51"/>
      <c r="LDW41" s="51"/>
      <c r="LDX41" s="51"/>
      <c r="LDY41" s="51"/>
      <c r="LDZ41" s="51"/>
      <c r="LEA41" s="51"/>
      <c r="LEB41" s="51"/>
      <c r="LEC41" s="51"/>
      <c r="LED41" s="51"/>
      <c r="LEE41" s="51"/>
      <c r="LEF41" s="51"/>
      <c r="LEG41" s="51"/>
      <c r="LEH41" s="51"/>
      <c r="LEI41" s="51"/>
      <c r="LEJ41" s="51"/>
      <c r="LEK41" s="51"/>
      <c r="LEL41" s="51"/>
      <c r="LEM41" s="51"/>
      <c r="LEN41" s="51"/>
      <c r="LEO41" s="51"/>
      <c r="LEP41" s="51"/>
      <c r="LEQ41" s="51"/>
      <c r="LER41" s="51"/>
      <c r="LES41" s="51"/>
      <c r="LET41" s="51"/>
      <c r="LEU41" s="51"/>
      <c r="LEV41" s="51"/>
      <c r="LEW41" s="51"/>
      <c r="LEX41" s="51"/>
      <c r="LEY41" s="51"/>
      <c r="LEZ41" s="51"/>
      <c r="LFA41" s="51"/>
      <c r="LFB41" s="51"/>
      <c r="LFC41" s="51"/>
      <c r="LFD41" s="51"/>
      <c r="LFE41" s="51"/>
      <c r="LFF41" s="51"/>
      <c r="LFG41" s="51"/>
      <c r="LFH41" s="51"/>
      <c r="LFI41" s="51"/>
      <c r="LFJ41" s="51"/>
      <c r="LFK41" s="51"/>
      <c r="LFL41" s="51"/>
      <c r="LFM41" s="51"/>
      <c r="LFN41" s="51"/>
      <c r="LFO41" s="51"/>
      <c r="LFP41" s="51"/>
      <c r="LFQ41" s="51"/>
      <c r="LFR41" s="51"/>
      <c r="LFS41" s="51"/>
      <c r="LFT41" s="51"/>
      <c r="LFU41" s="51"/>
      <c r="LFV41" s="51"/>
      <c r="LFW41" s="51"/>
      <c r="LFX41" s="51"/>
      <c r="LFY41" s="51"/>
      <c r="LFZ41" s="51"/>
      <c r="LGA41" s="51"/>
      <c r="LGB41" s="51"/>
      <c r="LGC41" s="51"/>
      <c r="LGD41" s="51"/>
      <c r="LGE41" s="51"/>
      <c r="LGF41" s="51"/>
      <c r="LGG41" s="51"/>
      <c r="LGH41" s="51"/>
      <c r="LGI41" s="51"/>
      <c r="LGJ41" s="51"/>
      <c r="LGK41" s="51"/>
      <c r="LGL41" s="51"/>
      <c r="LGM41" s="51"/>
      <c r="LGN41" s="51"/>
      <c r="LGO41" s="51"/>
      <c r="LGP41" s="51"/>
      <c r="LGQ41" s="51"/>
      <c r="LGR41" s="51"/>
      <c r="LGS41" s="51"/>
      <c r="LGT41" s="51"/>
      <c r="LGU41" s="51"/>
      <c r="LGV41" s="51"/>
      <c r="LGW41" s="51"/>
      <c r="LGX41" s="51"/>
      <c r="LGY41" s="51"/>
      <c r="LGZ41" s="51"/>
      <c r="LHA41" s="51"/>
      <c r="LHB41" s="51"/>
      <c r="LHC41" s="51"/>
      <c r="LHD41" s="51"/>
      <c r="LHE41" s="51"/>
      <c r="LHF41" s="51"/>
      <c r="LHG41" s="51"/>
      <c r="LHH41" s="51"/>
      <c r="LHI41" s="51"/>
      <c r="LHJ41" s="51"/>
      <c r="LHK41" s="51"/>
      <c r="LHL41" s="51"/>
      <c r="LHM41" s="51"/>
      <c r="LHN41" s="51"/>
      <c r="LHO41" s="51"/>
      <c r="LHP41" s="51"/>
      <c r="LHQ41" s="51"/>
      <c r="LHR41" s="51"/>
      <c r="LHS41" s="51"/>
      <c r="LHT41" s="51"/>
      <c r="LHU41" s="51"/>
      <c r="LHV41" s="51"/>
      <c r="LHW41" s="51"/>
      <c r="LHX41" s="51"/>
      <c r="LHY41" s="51"/>
      <c r="LHZ41" s="51"/>
      <c r="LIA41" s="51"/>
      <c r="LIB41" s="51"/>
      <c r="LIC41" s="51"/>
      <c r="LID41" s="51"/>
      <c r="LIE41" s="51"/>
      <c r="LIF41" s="51"/>
      <c r="LIG41" s="51"/>
      <c r="LIH41" s="51"/>
      <c r="LII41" s="51"/>
      <c r="LIJ41" s="51"/>
      <c r="LIK41" s="51"/>
      <c r="LIL41" s="51"/>
      <c r="LIM41" s="51"/>
      <c r="LIN41" s="51"/>
      <c r="LIO41" s="51"/>
      <c r="LIP41" s="51"/>
      <c r="LIQ41" s="51"/>
      <c r="LIR41" s="51"/>
      <c r="LIS41" s="51"/>
      <c r="LIT41" s="51"/>
      <c r="LIU41" s="51"/>
      <c r="LIV41" s="51"/>
      <c r="LIW41" s="51"/>
      <c r="LIX41" s="51"/>
      <c r="LIY41" s="51"/>
      <c r="LIZ41" s="51"/>
      <c r="LJA41" s="51"/>
      <c r="LJB41" s="51"/>
      <c r="LJC41" s="51"/>
      <c r="LJD41" s="51"/>
      <c r="LJE41" s="51"/>
      <c r="LJF41" s="51"/>
      <c r="LJG41" s="51"/>
      <c r="LJH41" s="51"/>
      <c r="LJI41" s="51"/>
      <c r="LJJ41" s="51"/>
      <c r="LJK41" s="51"/>
      <c r="LJL41" s="51"/>
      <c r="LJM41" s="51"/>
      <c r="LJN41" s="51"/>
      <c r="LJO41" s="51"/>
      <c r="LJP41" s="51"/>
      <c r="LJQ41" s="51"/>
      <c r="LJR41" s="51"/>
      <c r="LJS41" s="51"/>
      <c r="LJT41" s="51"/>
      <c r="LJU41" s="51"/>
      <c r="LJV41" s="51"/>
      <c r="LJW41" s="51"/>
      <c r="LJX41" s="51"/>
      <c r="LJY41" s="51"/>
      <c r="LJZ41" s="51"/>
      <c r="LKA41" s="51"/>
      <c r="LKB41" s="51"/>
      <c r="LKC41" s="51"/>
      <c r="LKD41" s="51"/>
      <c r="LKE41" s="51"/>
      <c r="LKF41" s="51"/>
      <c r="LKG41" s="51"/>
      <c r="LKH41" s="51"/>
      <c r="LKI41" s="51"/>
      <c r="LKJ41" s="51"/>
      <c r="LKK41" s="51"/>
      <c r="LKL41" s="51"/>
      <c r="LKM41" s="51"/>
      <c r="LKN41" s="51"/>
      <c r="LKO41" s="51"/>
      <c r="LKP41" s="51"/>
      <c r="LKQ41" s="51"/>
      <c r="LKR41" s="51"/>
      <c r="LKS41" s="51"/>
      <c r="LKT41" s="51"/>
      <c r="LKU41" s="51"/>
      <c r="LKV41" s="51"/>
      <c r="LKW41" s="51"/>
      <c r="LKX41" s="51"/>
      <c r="LKY41" s="51"/>
      <c r="LKZ41" s="51"/>
      <c r="LLA41" s="51"/>
      <c r="LLB41" s="51"/>
      <c r="LLC41" s="51"/>
      <c r="LLD41" s="51"/>
      <c r="LLE41" s="51"/>
      <c r="LLF41" s="51"/>
      <c r="LLG41" s="51"/>
      <c r="LLH41" s="51"/>
      <c r="LLI41" s="51"/>
      <c r="LLJ41" s="51"/>
      <c r="LLK41" s="51"/>
      <c r="LLL41" s="51"/>
      <c r="LLM41" s="51"/>
      <c r="LLN41" s="51"/>
      <c r="LLO41" s="51"/>
      <c r="LLP41" s="51"/>
      <c r="LLQ41" s="51"/>
      <c r="LLR41" s="51"/>
      <c r="LLS41" s="51"/>
      <c r="LLT41" s="51"/>
      <c r="LLU41" s="51"/>
      <c r="LLV41" s="51"/>
      <c r="LLW41" s="51"/>
      <c r="LLX41" s="51"/>
      <c r="LLY41" s="51"/>
      <c r="LLZ41" s="51"/>
      <c r="LMA41" s="51"/>
      <c r="LMB41" s="51"/>
      <c r="LMC41" s="51"/>
      <c r="LMD41" s="51"/>
      <c r="LME41" s="51"/>
      <c r="LMF41" s="51"/>
      <c r="LMG41" s="51"/>
      <c r="LMH41" s="51"/>
      <c r="LMI41" s="51"/>
      <c r="LMJ41" s="51"/>
      <c r="LMK41" s="51"/>
      <c r="LML41" s="51"/>
      <c r="LMM41" s="51"/>
      <c r="LMN41" s="51"/>
      <c r="LMO41" s="51"/>
      <c r="LMP41" s="51"/>
      <c r="LMQ41" s="51"/>
      <c r="LMR41" s="51"/>
      <c r="LMS41" s="51"/>
      <c r="LMT41" s="51"/>
      <c r="LMU41" s="51"/>
      <c r="LMV41" s="51"/>
      <c r="LMW41" s="51"/>
      <c r="LMX41" s="51"/>
      <c r="LMY41" s="51"/>
      <c r="LMZ41" s="51"/>
      <c r="LNA41" s="51"/>
      <c r="LNB41" s="51"/>
      <c r="LNC41" s="51"/>
      <c r="LND41" s="51"/>
      <c r="LNE41" s="51"/>
      <c r="LNF41" s="51"/>
      <c r="LNG41" s="51"/>
      <c r="LNH41" s="51"/>
      <c r="LNI41" s="51"/>
      <c r="LNJ41" s="51"/>
      <c r="LNK41" s="51"/>
      <c r="LNL41" s="51"/>
      <c r="LNM41" s="51"/>
      <c r="LNN41" s="51"/>
      <c r="LNO41" s="51"/>
      <c r="LNP41" s="51"/>
      <c r="LNQ41" s="51"/>
      <c r="LNR41" s="51"/>
      <c r="LNS41" s="51"/>
      <c r="LNT41" s="51"/>
      <c r="LNU41" s="51"/>
      <c r="LNV41" s="51"/>
      <c r="LNW41" s="51"/>
      <c r="LNX41" s="51"/>
      <c r="LNY41" s="51"/>
      <c r="LNZ41" s="51"/>
      <c r="LOA41" s="51"/>
      <c r="LOB41" s="51"/>
      <c r="LOC41" s="51"/>
      <c r="LOD41" s="51"/>
      <c r="LOE41" s="51"/>
      <c r="LOF41" s="51"/>
      <c r="LOG41" s="51"/>
      <c r="LOH41" s="51"/>
      <c r="LOI41" s="51"/>
      <c r="LOJ41" s="51"/>
      <c r="LOK41" s="51"/>
      <c r="LOL41" s="51"/>
      <c r="LOM41" s="51"/>
      <c r="LON41" s="51"/>
      <c r="LOO41" s="51"/>
      <c r="LOP41" s="51"/>
      <c r="LOQ41" s="51"/>
      <c r="LOR41" s="51"/>
      <c r="LOS41" s="51"/>
      <c r="LOT41" s="51"/>
      <c r="LOU41" s="51"/>
      <c r="LOV41" s="51"/>
      <c r="LOW41" s="51"/>
      <c r="LOX41" s="51"/>
      <c r="LOY41" s="51"/>
      <c r="LOZ41" s="51"/>
      <c r="LPA41" s="51"/>
      <c r="LPB41" s="51"/>
      <c r="LPC41" s="51"/>
      <c r="LPD41" s="51"/>
      <c r="LPE41" s="51"/>
      <c r="LPF41" s="51"/>
      <c r="LPG41" s="51"/>
      <c r="LPH41" s="51"/>
      <c r="LPI41" s="51"/>
      <c r="LPJ41" s="51"/>
      <c r="LPK41" s="51"/>
      <c r="LPL41" s="51"/>
      <c r="LPM41" s="51"/>
      <c r="LPN41" s="51"/>
      <c r="LPO41" s="51"/>
      <c r="LPP41" s="51"/>
      <c r="LPQ41" s="51"/>
      <c r="LPR41" s="51"/>
      <c r="LPS41" s="51"/>
      <c r="LPT41" s="51"/>
      <c r="LPU41" s="51"/>
      <c r="LPV41" s="51"/>
      <c r="LPW41" s="51"/>
      <c r="LPX41" s="51"/>
      <c r="LPY41" s="51"/>
      <c r="LPZ41" s="51"/>
      <c r="LQA41" s="51"/>
      <c r="LQB41" s="51"/>
      <c r="LQC41" s="51"/>
      <c r="LQD41" s="51"/>
      <c r="LQE41" s="51"/>
      <c r="LQF41" s="51"/>
      <c r="LQG41" s="51"/>
      <c r="LQH41" s="51"/>
      <c r="LQI41" s="51"/>
      <c r="LQJ41" s="51"/>
      <c r="LQK41" s="51"/>
      <c r="LQL41" s="51"/>
      <c r="LQM41" s="51"/>
      <c r="LQN41" s="51"/>
      <c r="LQO41" s="51"/>
      <c r="LQP41" s="51"/>
      <c r="LQQ41" s="51"/>
      <c r="LQR41" s="51"/>
      <c r="LQS41" s="51"/>
      <c r="LQT41" s="51"/>
      <c r="LQU41" s="51"/>
      <c r="LQV41" s="51"/>
      <c r="LQW41" s="51"/>
      <c r="LQX41" s="51"/>
      <c r="LQY41" s="51"/>
      <c r="LQZ41" s="51"/>
      <c r="LRA41" s="51"/>
      <c r="LRB41" s="51"/>
      <c r="LRC41" s="51"/>
      <c r="LRD41" s="51"/>
      <c r="LRE41" s="51"/>
      <c r="LRF41" s="51"/>
      <c r="LRG41" s="51"/>
      <c r="LRH41" s="51"/>
      <c r="LRI41" s="51"/>
      <c r="LRJ41" s="51"/>
      <c r="LRK41" s="51"/>
      <c r="LRL41" s="51"/>
      <c r="LRM41" s="51"/>
      <c r="LRN41" s="51"/>
      <c r="LRO41" s="51"/>
      <c r="LRP41" s="51"/>
      <c r="LRQ41" s="51"/>
      <c r="LRR41" s="51"/>
      <c r="LRS41" s="51"/>
      <c r="LRT41" s="51"/>
      <c r="LRU41" s="51"/>
      <c r="LRV41" s="51"/>
      <c r="LRW41" s="51"/>
      <c r="LRX41" s="51"/>
      <c r="LRY41" s="51"/>
      <c r="LRZ41" s="51"/>
      <c r="LSA41" s="51"/>
      <c r="LSB41" s="51"/>
      <c r="LSC41" s="51"/>
      <c r="LSD41" s="51"/>
      <c r="LSE41" s="51"/>
      <c r="LSF41" s="51"/>
      <c r="LSG41" s="51"/>
      <c r="LSH41" s="51"/>
      <c r="LSI41" s="51"/>
      <c r="LSJ41" s="51"/>
      <c r="LSK41" s="51"/>
      <c r="LSL41" s="51"/>
      <c r="LSM41" s="51"/>
      <c r="LSN41" s="51"/>
      <c r="LSO41" s="51"/>
      <c r="LSP41" s="51"/>
      <c r="LSQ41" s="51"/>
      <c r="LSR41" s="51"/>
      <c r="LSS41" s="51"/>
      <c r="LST41" s="51"/>
      <c r="LSU41" s="51"/>
      <c r="LSV41" s="51"/>
      <c r="LSW41" s="51"/>
      <c r="LSX41" s="51"/>
      <c r="LSY41" s="51"/>
      <c r="LSZ41" s="51"/>
      <c r="LTA41" s="51"/>
      <c r="LTB41" s="51"/>
      <c r="LTC41" s="51"/>
      <c r="LTD41" s="51"/>
      <c r="LTE41" s="51"/>
      <c r="LTF41" s="51"/>
      <c r="LTG41" s="51"/>
      <c r="LTH41" s="51"/>
      <c r="LTI41" s="51"/>
      <c r="LTJ41" s="51"/>
      <c r="LTK41" s="51"/>
      <c r="LTL41" s="51"/>
      <c r="LTM41" s="51"/>
      <c r="LTN41" s="51"/>
      <c r="LTO41" s="51"/>
      <c r="LTP41" s="51"/>
      <c r="LTQ41" s="51"/>
      <c r="LTR41" s="51"/>
      <c r="LTS41" s="51"/>
      <c r="LTT41" s="51"/>
      <c r="LTU41" s="51"/>
      <c r="LTV41" s="51"/>
      <c r="LTW41" s="51"/>
      <c r="LTX41" s="51"/>
      <c r="LTY41" s="51"/>
      <c r="LTZ41" s="51"/>
      <c r="LUA41" s="51"/>
      <c r="LUB41" s="51"/>
      <c r="LUC41" s="51"/>
      <c r="LUD41" s="51"/>
      <c r="LUE41" s="51"/>
      <c r="LUF41" s="51"/>
      <c r="LUG41" s="51"/>
      <c r="LUH41" s="51"/>
      <c r="LUI41" s="51"/>
      <c r="LUJ41" s="51"/>
      <c r="LUK41" s="51"/>
      <c r="LUL41" s="51"/>
      <c r="LUM41" s="51"/>
      <c r="LUN41" s="51"/>
      <c r="LUO41" s="51"/>
      <c r="LUP41" s="51"/>
      <c r="LUQ41" s="51"/>
      <c r="LUR41" s="51"/>
      <c r="LUS41" s="51"/>
      <c r="LUT41" s="51"/>
      <c r="LUU41" s="51"/>
      <c r="LUV41" s="51"/>
      <c r="LUW41" s="51"/>
      <c r="LUX41" s="51"/>
      <c r="LUY41" s="51"/>
      <c r="LUZ41" s="51"/>
      <c r="LVA41" s="51"/>
      <c r="LVB41" s="51"/>
      <c r="LVC41" s="51"/>
      <c r="LVD41" s="51"/>
      <c r="LVE41" s="51"/>
      <c r="LVF41" s="51"/>
      <c r="LVG41" s="51"/>
      <c r="LVH41" s="51"/>
      <c r="LVI41" s="51"/>
      <c r="LVJ41" s="51"/>
      <c r="LVK41" s="51"/>
      <c r="LVL41" s="51"/>
      <c r="LVM41" s="51"/>
      <c r="LVN41" s="51"/>
      <c r="LVO41" s="51"/>
      <c r="LVP41" s="51"/>
      <c r="LVQ41" s="51"/>
      <c r="LVR41" s="51"/>
      <c r="LVS41" s="51"/>
      <c r="LVT41" s="51"/>
      <c r="LVU41" s="51"/>
      <c r="LVV41" s="51"/>
      <c r="LVW41" s="51"/>
      <c r="LVX41" s="51"/>
      <c r="LVY41" s="51"/>
      <c r="LVZ41" s="51"/>
      <c r="LWA41" s="51"/>
      <c r="LWB41" s="51"/>
      <c r="LWC41" s="51"/>
      <c r="LWD41" s="51"/>
      <c r="LWE41" s="51"/>
      <c r="LWF41" s="51"/>
      <c r="LWG41" s="51"/>
      <c r="LWH41" s="51"/>
      <c r="LWI41" s="51"/>
      <c r="LWJ41" s="51"/>
      <c r="LWK41" s="51"/>
      <c r="LWL41" s="51"/>
      <c r="LWM41" s="51"/>
      <c r="LWN41" s="51"/>
      <c r="LWO41" s="51"/>
      <c r="LWP41" s="51"/>
      <c r="LWQ41" s="51"/>
      <c r="LWR41" s="51"/>
      <c r="LWS41" s="51"/>
      <c r="LWT41" s="51"/>
      <c r="LWU41" s="51"/>
      <c r="LWV41" s="51"/>
      <c r="LWW41" s="51"/>
      <c r="LWX41" s="51"/>
      <c r="LWY41" s="51"/>
      <c r="LWZ41" s="51"/>
      <c r="LXA41" s="51"/>
      <c r="LXB41" s="51"/>
      <c r="LXC41" s="51"/>
      <c r="LXD41" s="51"/>
      <c r="LXE41" s="51"/>
      <c r="LXF41" s="51"/>
      <c r="LXG41" s="51"/>
      <c r="LXH41" s="51"/>
      <c r="LXI41" s="51"/>
      <c r="LXJ41" s="51"/>
      <c r="LXK41" s="51"/>
      <c r="LXL41" s="51"/>
      <c r="LXM41" s="51"/>
      <c r="LXN41" s="51"/>
      <c r="LXO41" s="51"/>
      <c r="LXP41" s="51"/>
      <c r="LXQ41" s="51"/>
      <c r="LXR41" s="51"/>
      <c r="LXS41" s="51"/>
      <c r="LXT41" s="51"/>
      <c r="LXU41" s="51"/>
      <c r="LXV41" s="51"/>
      <c r="LXW41" s="51"/>
      <c r="LXX41" s="51"/>
      <c r="LXY41" s="51"/>
      <c r="LXZ41" s="51"/>
      <c r="LYA41" s="51"/>
      <c r="LYB41" s="51"/>
      <c r="LYC41" s="51"/>
      <c r="LYD41" s="51"/>
      <c r="LYE41" s="51"/>
      <c r="LYF41" s="51"/>
      <c r="LYG41" s="51"/>
      <c r="LYH41" s="51"/>
      <c r="LYI41" s="51"/>
      <c r="LYJ41" s="51"/>
      <c r="LYK41" s="51"/>
      <c r="LYL41" s="51"/>
      <c r="LYM41" s="51"/>
      <c r="LYN41" s="51"/>
      <c r="LYO41" s="51"/>
      <c r="LYP41" s="51"/>
      <c r="LYQ41" s="51"/>
      <c r="LYR41" s="51"/>
      <c r="LYS41" s="51"/>
      <c r="LYT41" s="51"/>
      <c r="LYU41" s="51"/>
      <c r="LYV41" s="51"/>
      <c r="LYW41" s="51"/>
      <c r="LYX41" s="51"/>
      <c r="LYY41" s="51"/>
      <c r="LYZ41" s="51"/>
      <c r="LZA41" s="51"/>
      <c r="LZB41" s="51"/>
      <c r="LZC41" s="51"/>
      <c r="LZD41" s="51"/>
      <c r="LZE41" s="51"/>
      <c r="LZF41" s="51"/>
      <c r="LZG41" s="51"/>
      <c r="LZH41" s="51"/>
      <c r="LZI41" s="51"/>
      <c r="LZJ41" s="51"/>
      <c r="LZK41" s="51"/>
      <c r="LZL41" s="51"/>
      <c r="LZM41" s="51"/>
      <c r="LZN41" s="51"/>
      <c r="LZO41" s="51"/>
      <c r="LZP41" s="51"/>
      <c r="LZQ41" s="51"/>
      <c r="LZR41" s="51"/>
      <c r="LZS41" s="51"/>
      <c r="LZT41" s="51"/>
      <c r="LZU41" s="51"/>
      <c r="LZV41" s="51"/>
      <c r="LZW41" s="51"/>
      <c r="LZX41" s="51"/>
      <c r="LZY41" s="51"/>
      <c r="LZZ41" s="51"/>
      <c r="MAA41" s="51"/>
      <c r="MAB41" s="51"/>
      <c r="MAC41" s="51"/>
      <c r="MAD41" s="51"/>
      <c r="MAE41" s="51"/>
      <c r="MAF41" s="51"/>
      <c r="MAG41" s="51"/>
      <c r="MAH41" s="51"/>
      <c r="MAI41" s="51"/>
      <c r="MAJ41" s="51"/>
      <c r="MAK41" s="51"/>
      <c r="MAL41" s="51"/>
      <c r="MAM41" s="51"/>
      <c r="MAN41" s="51"/>
      <c r="MAO41" s="51"/>
      <c r="MAP41" s="51"/>
      <c r="MAQ41" s="51"/>
      <c r="MAR41" s="51"/>
      <c r="MAS41" s="51"/>
      <c r="MAT41" s="51"/>
      <c r="MAU41" s="51"/>
      <c r="MAV41" s="51"/>
      <c r="MAW41" s="51"/>
      <c r="MAX41" s="51"/>
      <c r="MAY41" s="51"/>
      <c r="MAZ41" s="51"/>
      <c r="MBA41" s="51"/>
      <c r="MBB41" s="51"/>
      <c r="MBC41" s="51"/>
      <c r="MBD41" s="51"/>
      <c r="MBE41" s="51"/>
      <c r="MBF41" s="51"/>
      <c r="MBG41" s="51"/>
      <c r="MBH41" s="51"/>
      <c r="MBI41" s="51"/>
      <c r="MBJ41" s="51"/>
      <c r="MBK41" s="51"/>
      <c r="MBL41" s="51"/>
      <c r="MBM41" s="51"/>
      <c r="MBN41" s="51"/>
      <c r="MBO41" s="51"/>
      <c r="MBP41" s="51"/>
      <c r="MBQ41" s="51"/>
      <c r="MBR41" s="51"/>
      <c r="MBS41" s="51"/>
      <c r="MBT41" s="51"/>
      <c r="MBU41" s="51"/>
      <c r="MBV41" s="51"/>
      <c r="MBW41" s="51"/>
      <c r="MBX41" s="51"/>
      <c r="MBY41" s="51"/>
      <c r="MBZ41" s="51"/>
      <c r="MCA41" s="51"/>
      <c r="MCB41" s="51"/>
      <c r="MCC41" s="51"/>
      <c r="MCD41" s="51"/>
      <c r="MCE41" s="51"/>
      <c r="MCF41" s="51"/>
      <c r="MCG41" s="51"/>
      <c r="MCH41" s="51"/>
      <c r="MCI41" s="51"/>
      <c r="MCJ41" s="51"/>
      <c r="MCK41" s="51"/>
      <c r="MCL41" s="51"/>
      <c r="MCM41" s="51"/>
      <c r="MCN41" s="51"/>
      <c r="MCO41" s="51"/>
      <c r="MCP41" s="51"/>
      <c r="MCQ41" s="51"/>
      <c r="MCR41" s="51"/>
      <c r="MCS41" s="51"/>
      <c r="MCT41" s="51"/>
      <c r="MCU41" s="51"/>
      <c r="MCV41" s="51"/>
      <c r="MCW41" s="51"/>
      <c r="MCX41" s="51"/>
      <c r="MCY41" s="51"/>
      <c r="MCZ41" s="51"/>
      <c r="MDA41" s="51"/>
      <c r="MDB41" s="51"/>
      <c r="MDC41" s="51"/>
      <c r="MDD41" s="51"/>
      <c r="MDE41" s="51"/>
      <c r="MDF41" s="51"/>
      <c r="MDG41" s="51"/>
      <c r="MDH41" s="51"/>
      <c r="MDI41" s="51"/>
      <c r="MDJ41" s="51"/>
      <c r="MDK41" s="51"/>
      <c r="MDL41" s="51"/>
      <c r="MDM41" s="51"/>
      <c r="MDN41" s="51"/>
      <c r="MDO41" s="51"/>
      <c r="MDP41" s="51"/>
      <c r="MDQ41" s="51"/>
      <c r="MDR41" s="51"/>
      <c r="MDS41" s="51"/>
      <c r="MDT41" s="51"/>
      <c r="MDU41" s="51"/>
      <c r="MDV41" s="51"/>
      <c r="MDW41" s="51"/>
      <c r="MDX41" s="51"/>
      <c r="MDY41" s="51"/>
      <c r="MDZ41" s="51"/>
      <c r="MEA41" s="51"/>
      <c r="MEB41" s="51"/>
      <c r="MEC41" s="51"/>
      <c r="MED41" s="51"/>
      <c r="MEE41" s="51"/>
      <c r="MEF41" s="51"/>
      <c r="MEG41" s="51"/>
      <c r="MEH41" s="51"/>
      <c r="MEI41" s="51"/>
      <c r="MEJ41" s="51"/>
      <c r="MEK41" s="51"/>
      <c r="MEL41" s="51"/>
      <c r="MEM41" s="51"/>
      <c r="MEN41" s="51"/>
      <c r="MEO41" s="51"/>
      <c r="MEP41" s="51"/>
      <c r="MEQ41" s="51"/>
      <c r="MER41" s="51"/>
      <c r="MES41" s="51"/>
      <c r="MET41" s="51"/>
      <c r="MEU41" s="51"/>
      <c r="MEV41" s="51"/>
      <c r="MEW41" s="51"/>
      <c r="MEX41" s="51"/>
      <c r="MEY41" s="51"/>
      <c r="MEZ41" s="51"/>
      <c r="MFA41" s="51"/>
      <c r="MFB41" s="51"/>
      <c r="MFC41" s="51"/>
      <c r="MFD41" s="51"/>
      <c r="MFE41" s="51"/>
      <c r="MFF41" s="51"/>
      <c r="MFG41" s="51"/>
      <c r="MFH41" s="51"/>
      <c r="MFI41" s="51"/>
      <c r="MFJ41" s="51"/>
      <c r="MFK41" s="51"/>
      <c r="MFL41" s="51"/>
      <c r="MFM41" s="51"/>
      <c r="MFN41" s="51"/>
      <c r="MFO41" s="51"/>
      <c r="MFP41" s="51"/>
      <c r="MFQ41" s="51"/>
      <c r="MFR41" s="51"/>
      <c r="MFS41" s="51"/>
      <c r="MFT41" s="51"/>
      <c r="MFU41" s="51"/>
      <c r="MFV41" s="51"/>
      <c r="MFW41" s="51"/>
      <c r="MFX41" s="51"/>
      <c r="MFY41" s="51"/>
      <c r="MFZ41" s="51"/>
      <c r="MGA41" s="51"/>
      <c r="MGB41" s="51"/>
      <c r="MGC41" s="51"/>
      <c r="MGD41" s="51"/>
      <c r="MGE41" s="51"/>
      <c r="MGF41" s="51"/>
      <c r="MGG41" s="51"/>
      <c r="MGH41" s="51"/>
      <c r="MGI41" s="51"/>
      <c r="MGJ41" s="51"/>
      <c r="MGK41" s="51"/>
      <c r="MGL41" s="51"/>
      <c r="MGM41" s="51"/>
      <c r="MGN41" s="51"/>
      <c r="MGO41" s="51"/>
      <c r="MGP41" s="51"/>
      <c r="MGQ41" s="51"/>
      <c r="MGR41" s="51"/>
      <c r="MGS41" s="51"/>
      <c r="MGT41" s="51"/>
      <c r="MGU41" s="51"/>
      <c r="MGV41" s="51"/>
      <c r="MGW41" s="51"/>
      <c r="MGX41" s="51"/>
      <c r="MGY41" s="51"/>
      <c r="MGZ41" s="51"/>
      <c r="MHA41" s="51"/>
      <c r="MHB41" s="51"/>
      <c r="MHC41" s="51"/>
      <c r="MHD41" s="51"/>
      <c r="MHE41" s="51"/>
      <c r="MHF41" s="51"/>
      <c r="MHG41" s="51"/>
      <c r="MHH41" s="51"/>
      <c r="MHI41" s="51"/>
      <c r="MHJ41" s="51"/>
      <c r="MHK41" s="51"/>
      <c r="MHL41" s="51"/>
      <c r="MHM41" s="51"/>
      <c r="MHN41" s="51"/>
      <c r="MHO41" s="51"/>
      <c r="MHP41" s="51"/>
      <c r="MHQ41" s="51"/>
      <c r="MHR41" s="51"/>
      <c r="MHS41" s="51"/>
      <c r="MHT41" s="51"/>
      <c r="MHU41" s="51"/>
      <c r="MHV41" s="51"/>
      <c r="MHW41" s="51"/>
      <c r="MHX41" s="51"/>
      <c r="MHY41" s="51"/>
      <c r="MHZ41" s="51"/>
      <c r="MIA41" s="51"/>
      <c r="MIB41" s="51"/>
      <c r="MIC41" s="51"/>
      <c r="MID41" s="51"/>
      <c r="MIE41" s="51"/>
      <c r="MIF41" s="51"/>
      <c r="MIG41" s="51"/>
      <c r="MIH41" s="51"/>
      <c r="MII41" s="51"/>
      <c r="MIJ41" s="51"/>
      <c r="MIK41" s="51"/>
      <c r="MIL41" s="51"/>
      <c r="MIM41" s="51"/>
      <c r="MIN41" s="51"/>
      <c r="MIO41" s="51"/>
      <c r="MIP41" s="51"/>
      <c r="MIQ41" s="51"/>
      <c r="MIR41" s="51"/>
      <c r="MIS41" s="51"/>
      <c r="MIT41" s="51"/>
      <c r="MIU41" s="51"/>
      <c r="MIV41" s="51"/>
      <c r="MIW41" s="51"/>
      <c r="MIX41" s="51"/>
      <c r="MIY41" s="51"/>
      <c r="MIZ41" s="51"/>
      <c r="MJA41" s="51"/>
      <c r="MJB41" s="51"/>
      <c r="MJC41" s="51"/>
      <c r="MJD41" s="51"/>
      <c r="MJE41" s="51"/>
      <c r="MJF41" s="51"/>
      <c r="MJG41" s="51"/>
      <c r="MJH41" s="51"/>
      <c r="MJI41" s="51"/>
      <c r="MJJ41" s="51"/>
      <c r="MJK41" s="51"/>
      <c r="MJL41" s="51"/>
      <c r="MJM41" s="51"/>
      <c r="MJN41" s="51"/>
      <c r="MJO41" s="51"/>
      <c r="MJP41" s="51"/>
      <c r="MJQ41" s="51"/>
      <c r="MJR41" s="51"/>
      <c r="MJS41" s="51"/>
      <c r="MJT41" s="51"/>
      <c r="MJU41" s="51"/>
      <c r="MJV41" s="51"/>
      <c r="MJW41" s="51"/>
      <c r="MJX41" s="51"/>
      <c r="MJY41" s="51"/>
      <c r="MJZ41" s="51"/>
      <c r="MKA41" s="51"/>
      <c r="MKB41" s="51"/>
      <c r="MKC41" s="51"/>
      <c r="MKD41" s="51"/>
      <c r="MKE41" s="51"/>
      <c r="MKF41" s="51"/>
      <c r="MKG41" s="51"/>
      <c r="MKH41" s="51"/>
      <c r="MKI41" s="51"/>
      <c r="MKJ41" s="51"/>
      <c r="MKK41" s="51"/>
      <c r="MKL41" s="51"/>
      <c r="MKM41" s="51"/>
      <c r="MKN41" s="51"/>
      <c r="MKO41" s="51"/>
      <c r="MKP41" s="51"/>
      <c r="MKQ41" s="51"/>
      <c r="MKR41" s="51"/>
      <c r="MKS41" s="51"/>
      <c r="MKT41" s="51"/>
      <c r="MKU41" s="51"/>
      <c r="MKV41" s="51"/>
      <c r="MKW41" s="51"/>
      <c r="MKX41" s="51"/>
      <c r="MKY41" s="51"/>
      <c r="MKZ41" s="51"/>
      <c r="MLA41" s="51"/>
      <c r="MLB41" s="51"/>
      <c r="MLC41" s="51"/>
      <c r="MLD41" s="51"/>
      <c r="MLE41" s="51"/>
      <c r="MLF41" s="51"/>
      <c r="MLG41" s="51"/>
      <c r="MLH41" s="51"/>
      <c r="MLI41" s="51"/>
      <c r="MLJ41" s="51"/>
      <c r="MLK41" s="51"/>
      <c r="MLL41" s="51"/>
      <c r="MLM41" s="51"/>
      <c r="MLN41" s="51"/>
      <c r="MLO41" s="51"/>
      <c r="MLP41" s="51"/>
      <c r="MLQ41" s="51"/>
      <c r="MLR41" s="51"/>
      <c r="MLS41" s="51"/>
      <c r="MLT41" s="51"/>
      <c r="MLU41" s="51"/>
      <c r="MLV41" s="51"/>
      <c r="MLW41" s="51"/>
      <c r="MLX41" s="51"/>
      <c r="MLY41" s="51"/>
      <c r="MLZ41" s="51"/>
      <c r="MMA41" s="51"/>
      <c r="MMB41" s="51"/>
      <c r="MMC41" s="51"/>
      <c r="MMD41" s="51"/>
      <c r="MME41" s="51"/>
      <c r="MMF41" s="51"/>
      <c r="MMG41" s="51"/>
      <c r="MMH41" s="51"/>
      <c r="MMI41" s="51"/>
      <c r="MMJ41" s="51"/>
      <c r="MMK41" s="51"/>
      <c r="MML41" s="51"/>
      <c r="MMM41" s="51"/>
      <c r="MMN41" s="51"/>
      <c r="MMO41" s="51"/>
      <c r="MMP41" s="51"/>
      <c r="MMQ41" s="51"/>
      <c r="MMR41" s="51"/>
      <c r="MMS41" s="51"/>
      <c r="MMT41" s="51"/>
      <c r="MMU41" s="51"/>
      <c r="MMV41" s="51"/>
      <c r="MMW41" s="51"/>
      <c r="MMX41" s="51"/>
      <c r="MMY41" s="51"/>
      <c r="MMZ41" s="51"/>
      <c r="MNA41" s="51"/>
      <c r="MNB41" s="51"/>
      <c r="MNC41" s="51"/>
      <c r="MND41" s="51"/>
      <c r="MNE41" s="51"/>
      <c r="MNF41" s="51"/>
      <c r="MNG41" s="51"/>
      <c r="MNH41" s="51"/>
      <c r="MNI41" s="51"/>
      <c r="MNJ41" s="51"/>
      <c r="MNK41" s="51"/>
      <c r="MNL41" s="51"/>
      <c r="MNM41" s="51"/>
      <c r="MNN41" s="51"/>
      <c r="MNO41" s="51"/>
      <c r="MNP41" s="51"/>
      <c r="MNQ41" s="51"/>
      <c r="MNR41" s="51"/>
      <c r="MNS41" s="51"/>
      <c r="MNT41" s="51"/>
      <c r="MNU41" s="51"/>
      <c r="MNV41" s="51"/>
      <c r="MNW41" s="51"/>
      <c r="MNX41" s="51"/>
      <c r="MNY41" s="51"/>
      <c r="MNZ41" s="51"/>
      <c r="MOA41" s="51"/>
      <c r="MOB41" s="51"/>
      <c r="MOC41" s="51"/>
      <c r="MOD41" s="51"/>
      <c r="MOE41" s="51"/>
      <c r="MOF41" s="51"/>
      <c r="MOG41" s="51"/>
      <c r="MOH41" s="51"/>
      <c r="MOI41" s="51"/>
      <c r="MOJ41" s="51"/>
      <c r="MOK41" s="51"/>
      <c r="MOL41" s="51"/>
      <c r="MOM41" s="51"/>
      <c r="MON41" s="51"/>
      <c r="MOO41" s="51"/>
      <c r="MOP41" s="51"/>
      <c r="MOQ41" s="51"/>
      <c r="MOR41" s="51"/>
      <c r="MOS41" s="51"/>
      <c r="MOT41" s="51"/>
      <c r="MOU41" s="51"/>
      <c r="MOV41" s="51"/>
      <c r="MOW41" s="51"/>
      <c r="MOX41" s="51"/>
      <c r="MOY41" s="51"/>
      <c r="MOZ41" s="51"/>
      <c r="MPA41" s="51"/>
      <c r="MPB41" s="51"/>
      <c r="MPC41" s="51"/>
      <c r="MPD41" s="51"/>
      <c r="MPE41" s="51"/>
      <c r="MPF41" s="51"/>
      <c r="MPG41" s="51"/>
      <c r="MPH41" s="51"/>
      <c r="MPI41" s="51"/>
      <c r="MPJ41" s="51"/>
      <c r="MPK41" s="51"/>
      <c r="MPL41" s="51"/>
      <c r="MPM41" s="51"/>
      <c r="MPN41" s="51"/>
      <c r="MPO41" s="51"/>
      <c r="MPP41" s="51"/>
      <c r="MPQ41" s="51"/>
      <c r="MPR41" s="51"/>
      <c r="MPS41" s="51"/>
      <c r="MPT41" s="51"/>
      <c r="MPU41" s="51"/>
      <c r="MPV41" s="51"/>
      <c r="MPW41" s="51"/>
      <c r="MPX41" s="51"/>
      <c r="MPY41" s="51"/>
      <c r="MPZ41" s="51"/>
      <c r="MQA41" s="51"/>
      <c r="MQB41" s="51"/>
      <c r="MQC41" s="51"/>
      <c r="MQD41" s="51"/>
      <c r="MQE41" s="51"/>
      <c r="MQF41" s="51"/>
      <c r="MQG41" s="51"/>
      <c r="MQH41" s="51"/>
      <c r="MQI41" s="51"/>
      <c r="MQJ41" s="51"/>
      <c r="MQK41" s="51"/>
      <c r="MQL41" s="51"/>
      <c r="MQM41" s="51"/>
      <c r="MQN41" s="51"/>
      <c r="MQO41" s="51"/>
      <c r="MQP41" s="51"/>
      <c r="MQQ41" s="51"/>
      <c r="MQR41" s="51"/>
      <c r="MQS41" s="51"/>
      <c r="MQT41" s="51"/>
      <c r="MQU41" s="51"/>
      <c r="MQV41" s="51"/>
      <c r="MQW41" s="51"/>
      <c r="MQX41" s="51"/>
      <c r="MQY41" s="51"/>
      <c r="MQZ41" s="51"/>
      <c r="MRA41" s="51"/>
      <c r="MRB41" s="51"/>
      <c r="MRC41" s="51"/>
      <c r="MRD41" s="51"/>
      <c r="MRE41" s="51"/>
      <c r="MRF41" s="51"/>
      <c r="MRG41" s="51"/>
      <c r="MRH41" s="51"/>
      <c r="MRI41" s="51"/>
      <c r="MRJ41" s="51"/>
      <c r="MRK41" s="51"/>
      <c r="MRL41" s="51"/>
      <c r="MRM41" s="51"/>
      <c r="MRN41" s="51"/>
      <c r="MRO41" s="51"/>
      <c r="MRP41" s="51"/>
      <c r="MRQ41" s="51"/>
      <c r="MRR41" s="51"/>
      <c r="MRS41" s="51"/>
      <c r="MRT41" s="51"/>
      <c r="MRU41" s="51"/>
      <c r="MRV41" s="51"/>
      <c r="MRW41" s="51"/>
      <c r="MRX41" s="51"/>
      <c r="MRY41" s="51"/>
      <c r="MRZ41" s="51"/>
      <c r="MSA41" s="51"/>
      <c r="MSB41" s="51"/>
      <c r="MSC41" s="51"/>
      <c r="MSD41" s="51"/>
      <c r="MSE41" s="51"/>
      <c r="MSF41" s="51"/>
      <c r="MSG41" s="51"/>
      <c r="MSH41" s="51"/>
      <c r="MSI41" s="51"/>
      <c r="MSJ41" s="51"/>
      <c r="MSK41" s="51"/>
      <c r="MSL41" s="51"/>
      <c r="MSM41" s="51"/>
      <c r="MSN41" s="51"/>
      <c r="MSO41" s="51"/>
      <c r="MSP41" s="51"/>
      <c r="MSQ41" s="51"/>
      <c r="MSR41" s="51"/>
      <c r="MSS41" s="51"/>
      <c r="MST41" s="51"/>
      <c r="MSU41" s="51"/>
      <c r="MSV41" s="51"/>
      <c r="MSW41" s="51"/>
      <c r="MSX41" s="51"/>
      <c r="MSY41" s="51"/>
      <c r="MSZ41" s="51"/>
      <c r="MTA41" s="51"/>
      <c r="MTB41" s="51"/>
      <c r="MTC41" s="51"/>
      <c r="MTD41" s="51"/>
      <c r="MTE41" s="51"/>
      <c r="MTF41" s="51"/>
      <c r="MTG41" s="51"/>
      <c r="MTH41" s="51"/>
      <c r="MTI41" s="51"/>
      <c r="MTJ41" s="51"/>
      <c r="MTK41" s="51"/>
      <c r="MTL41" s="51"/>
      <c r="MTM41" s="51"/>
      <c r="MTN41" s="51"/>
      <c r="MTO41" s="51"/>
      <c r="MTP41" s="51"/>
      <c r="MTQ41" s="51"/>
      <c r="MTR41" s="51"/>
      <c r="MTS41" s="51"/>
      <c r="MTT41" s="51"/>
      <c r="MTU41" s="51"/>
      <c r="MTV41" s="51"/>
      <c r="MTW41" s="51"/>
      <c r="MTX41" s="51"/>
      <c r="MTY41" s="51"/>
      <c r="MTZ41" s="51"/>
      <c r="MUA41" s="51"/>
      <c r="MUB41" s="51"/>
      <c r="MUC41" s="51"/>
      <c r="MUD41" s="51"/>
      <c r="MUE41" s="51"/>
      <c r="MUF41" s="51"/>
      <c r="MUG41" s="51"/>
      <c r="MUH41" s="51"/>
      <c r="MUI41" s="51"/>
      <c r="MUJ41" s="51"/>
      <c r="MUK41" s="51"/>
      <c r="MUL41" s="51"/>
      <c r="MUM41" s="51"/>
      <c r="MUN41" s="51"/>
      <c r="MUO41" s="51"/>
      <c r="MUP41" s="51"/>
      <c r="MUQ41" s="51"/>
      <c r="MUR41" s="51"/>
      <c r="MUS41" s="51"/>
      <c r="MUT41" s="51"/>
      <c r="MUU41" s="51"/>
      <c r="MUV41" s="51"/>
      <c r="MUW41" s="51"/>
      <c r="MUX41" s="51"/>
      <c r="MUY41" s="51"/>
      <c r="MUZ41" s="51"/>
      <c r="MVA41" s="51"/>
      <c r="MVB41" s="51"/>
      <c r="MVC41" s="51"/>
      <c r="MVD41" s="51"/>
      <c r="MVE41" s="51"/>
      <c r="MVF41" s="51"/>
      <c r="MVG41" s="51"/>
      <c r="MVH41" s="51"/>
      <c r="MVI41" s="51"/>
      <c r="MVJ41" s="51"/>
      <c r="MVK41" s="51"/>
      <c r="MVL41" s="51"/>
      <c r="MVM41" s="51"/>
      <c r="MVN41" s="51"/>
      <c r="MVO41" s="51"/>
      <c r="MVP41" s="51"/>
      <c r="MVQ41" s="51"/>
      <c r="MVR41" s="51"/>
      <c r="MVS41" s="51"/>
      <c r="MVT41" s="51"/>
      <c r="MVU41" s="51"/>
      <c r="MVV41" s="51"/>
      <c r="MVW41" s="51"/>
      <c r="MVX41" s="51"/>
      <c r="MVY41" s="51"/>
      <c r="MVZ41" s="51"/>
      <c r="MWA41" s="51"/>
      <c r="MWB41" s="51"/>
      <c r="MWC41" s="51"/>
      <c r="MWD41" s="51"/>
      <c r="MWE41" s="51"/>
      <c r="MWF41" s="51"/>
      <c r="MWG41" s="51"/>
      <c r="MWH41" s="51"/>
      <c r="MWI41" s="51"/>
      <c r="MWJ41" s="51"/>
      <c r="MWK41" s="51"/>
      <c r="MWL41" s="51"/>
      <c r="MWM41" s="51"/>
      <c r="MWN41" s="51"/>
      <c r="MWO41" s="51"/>
      <c r="MWP41" s="51"/>
      <c r="MWQ41" s="51"/>
      <c r="MWR41" s="51"/>
      <c r="MWS41" s="51"/>
      <c r="MWT41" s="51"/>
      <c r="MWU41" s="51"/>
      <c r="MWV41" s="51"/>
      <c r="MWW41" s="51"/>
      <c r="MWX41" s="51"/>
      <c r="MWY41" s="51"/>
      <c r="MWZ41" s="51"/>
      <c r="MXA41" s="51"/>
      <c r="MXB41" s="51"/>
      <c r="MXC41" s="51"/>
      <c r="MXD41" s="51"/>
      <c r="MXE41" s="51"/>
      <c r="MXF41" s="51"/>
      <c r="MXG41" s="51"/>
      <c r="MXH41" s="51"/>
      <c r="MXI41" s="51"/>
      <c r="MXJ41" s="51"/>
      <c r="MXK41" s="51"/>
      <c r="MXL41" s="51"/>
      <c r="MXM41" s="51"/>
      <c r="MXN41" s="51"/>
      <c r="MXO41" s="51"/>
      <c r="MXP41" s="51"/>
      <c r="MXQ41" s="51"/>
      <c r="MXR41" s="51"/>
      <c r="MXS41" s="51"/>
      <c r="MXT41" s="51"/>
      <c r="MXU41" s="51"/>
      <c r="MXV41" s="51"/>
      <c r="MXW41" s="51"/>
      <c r="MXX41" s="51"/>
      <c r="MXY41" s="51"/>
      <c r="MXZ41" s="51"/>
      <c r="MYA41" s="51"/>
      <c r="MYB41" s="51"/>
      <c r="MYC41" s="51"/>
      <c r="MYD41" s="51"/>
      <c r="MYE41" s="51"/>
      <c r="MYF41" s="51"/>
      <c r="MYG41" s="51"/>
      <c r="MYH41" s="51"/>
      <c r="MYI41" s="51"/>
      <c r="MYJ41" s="51"/>
      <c r="MYK41" s="51"/>
      <c r="MYL41" s="51"/>
      <c r="MYM41" s="51"/>
      <c r="MYN41" s="51"/>
      <c r="MYO41" s="51"/>
      <c r="MYP41" s="51"/>
      <c r="MYQ41" s="51"/>
      <c r="MYR41" s="51"/>
      <c r="MYS41" s="51"/>
      <c r="MYT41" s="51"/>
      <c r="MYU41" s="51"/>
      <c r="MYV41" s="51"/>
      <c r="MYW41" s="51"/>
      <c r="MYX41" s="51"/>
      <c r="MYY41" s="51"/>
      <c r="MYZ41" s="51"/>
      <c r="MZA41" s="51"/>
      <c r="MZB41" s="51"/>
      <c r="MZC41" s="51"/>
      <c r="MZD41" s="51"/>
      <c r="MZE41" s="51"/>
      <c r="MZF41" s="51"/>
      <c r="MZG41" s="51"/>
      <c r="MZH41" s="51"/>
      <c r="MZI41" s="51"/>
      <c r="MZJ41" s="51"/>
      <c r="MZK41" s="51"/>
      <c r="MZL41" s="51"/>
      <c r="MZM41" s="51"/>
      <c r="MZN41" s="51"/>
      <c r="MZO41" s="51"/>
      <c r="MZP41" s="51"/>
      <c r="MZQ41" s="51"/>
      <c r="MZR41" s="51"/>
      <c r="MZS41" s="51"/>
      <c r="MZT41" s="51"/>
      <c r="MZU41" s="51"/>
      <c r="MZV41" s="51"/>
      <c r="MZW41" s="51"/>
      <c r="MZX41" s="51"/>
      <c r="MZY41" s="51"/>
      <c r="MZZ41" s="51"/>
      <c r="NAA41" s="51"/>
      <c r="NAB41" s="51"/>
      <c r="NAC41" s="51"/>
      <c r="NAD41" s="51"/>
      <c r="NAE41" s="51"/>
      <c r="NAF41" s="51"/>
      <c r="NAG41" s="51"/>
      <c r="NAH41" s="51"/>
      <c r="NAI41" s="51"/>
      <c r="NAJ41" s="51"/>
      <c r="NAK41" s="51"/>
      <c r="NAL41" s="51"/>
      <c r="NAM41" s="51"/>
      <c r="NAN41" s="51"/>
      <c r="NAO41" s="51"/>
      <c r="NAP41" s="51"/>
      <c r="NAQ41" s="51"/>
      <c r="NAR41" s="51"/>
      <c r="NAS41" s="51"/>
      <c r="NAT41" s="51"/>
      <c r="NAU41" s="51"/>
      <c r="NAV41" s="51"/>
      <c r="NAW41" s="51"/>
      <c r="NAX41" s="51"/>
      <c r="NAY41" s="51"/>
      <c r="NAZ41" s="51"/>
      <c r="NBA41" s="51"/>
      <c r="NBB41" s="51"/>
      <c r="NBC41" s="51"/>
      <c r="NBD41" s="51"/>
      <c r="NBE41" s="51"/>
      <c r="NBF41" s="51"/>
      <c r="NBG41" s="51"/>
      <c r="NBH41" s="51"/>
      <c r="NBI41" s="51"/>
      <c r="NBJ41" s="51"/>
      <c r="NBK41" s="51"/>
      <c r="NBL41" s="51"/>
      <c r="NBM41" s="51"/>
      <c r="NBN41" s="51"/>
      <c r="NBO41" s="51"/>
      <c r="NBP41" s="51"/>
      <c r="NBQ41" s="51"/>
      <c r="NBR41" s="51"/>
      <c r="NBS41" s="51"/>
      <c r="NBT41" s="51"/>
      <c r="NBU41" s="51"/>
      <c r="NBV41" s="51"/>
      <c r="NBW41" s="51"/>
      <c r="NBX41" s="51"/>
      <c r="NBY41" s="51"/>
      <c r="NBZ41" s="51"/>
      <c r="NCA41" s="51"/>
      <c r="NCB41" s="51"/>
      <c r="NCC41" s="51"/>
      <c r="NCD41" s="51"/>
      <c r="NCE41" s="51"/>
      <c r="NCF41" s="51"/>
      <c r="NCG41" s="51"/>
      <c r="NCH41" s="51"/>
      <c r="NCI41" s="51"/>
      <c r="NCJ41" s="51"/>
      <c r="NCK41" s="51"/>
      <c r="NCL41" s="51"/>
      <c r="NCM41" s="51"/>
      <c r="NCN41" s="51"/>
      <c r="NCO41" s="51"/>
      <c r="NCP41" s="51"/>
      <c r="NCQ41" s="51"/>
      <c r="NCR41" s="51"/>
      <c r="NCS41" s="51"/>
      <c r="NCT41" s="51"/>
      <c r="NCU41" s="51"/>
      <c r="NCV41" s="51"/>
      <c r="NCW41" s="51"/>
      <c r="NCX41" s="51"/>
      <c r="NCY41" s="51"/>
      <c r="NCZ41" s="51"/>
      <c r="NDA41" s="51"/>
      <c r="NDB41" s="51"/>
      <c r="NDC41" s="51"/>
      <c r="NDD41" s="51"/>
      <c r="NDE41" s="51"/>
      <c r="NDF41" s="51"/>
      <c r="NDG41" s="51"/>
      <c r="NDH41" s="51"/>
      <c r="NDI41" s="51"/>
      <c r="NDJ41" s="51"/>
      <c r="NDK41" s="51"/>
      <c r="NDL41" s="51"/>
      <c r="NDM41" s="51"/>
      <c r="NDN41" s="51"/>
      <c r="NDO41" s="51"/>
      <c r="NDP41" s="51"/>
      <c r="NDQ41" s="51"/>
      <c r="NDR41" s="51"/>
      <c r="NDS41" s="51"/>
      <c r="NDT41" s="51"/>
      <c r="NDU41" s="51"/>
      <c r="NDV41" s="51"/>
      <c r="NDW41" s="51"/>
      <c r="NDX41" s="51"/>
      <c r="NDY41" s="51"/>
      <c r="NDZ41" s="51"/>
      <c r="NEA41" s="51"/>
      <c r="NEB41" s="51"/>
      <c r="NEC41" s="51"/>
      <c r="NED41" s="51"/>
      <c r="NEE41" s="51"/>
      <c r="NEF41" s="51"/>
      <c r="NEG41" s="51"/>
      <c r="NEH41" s="51"/>
      <c r="NEI41" s="51"/>
      <c r="NEJ41" s="51"/>
      <c r="NEK41" s="51"/>
      <c r="NEL41" s="51"/>
      <c r="NEM41" s="51"/>
      <c r="NEN41" s="51"/>
      <c r="NEO41" s="51"/>
      <c r="NEP41" s="51"/>
      <c r="NEQ41" s="51"/>
      <c r="NER41" s="51"/>
      <c r="NES41" s="51"/>
      <c r="NET41" s="51"/>
      <c r="NEU41" s="51"/>
      <c r="NEV41" s="51"/>
      <c r="NEW41" s="51"/>
      <c r="NEX41" s="51"/>
      <c r="NEY41" s="51"/>
      <c r="NEZ41" s="51"/>
      <c r="NFA41" s="51"/>
      <c r="NFB41" s="51"/>
      <c r="NFC41" s="51"/>
      <c r="NFD41" s="51"/>
      <c r="NFE41" s="51"/>
      <c r="NFF41" s="51"/>
      <c r="NFG41" s="51"/>
      <c r="NFH41" s="51"/>
      <c r="NFI41" s="51"/>
      <c r="NFJ41" s="51"/>
      <c r="NFK41" s="51"/>
      <c r="NFL41" s="51"/>
      <c r="NFM41" s="51"/>
      <c r="NFN41" s="51"/>
      <c r="NFO41" s="51"/>
      <c r="NFP41" s="51"/>
      <c r="NFQ41" s="51"/>
      <c r="NFR41" s="51"/>
      <c r="NFS41" s="51"/>
      <c r="NFT41" s="51"/>
      <c r="NFU41" s="51"/>
      <c r="NFV41" s="51"/>
      <c r="NFW41" s="51"/>
      <c r="NFX41" s="51"/>
      <c r="NFY41" s="51"/>
      <c r="NFZ41" s="51"/>
      <c r="NGA41" s="51"/>
      <c r="NGB41" s="51"/>
      <c r="NGC41" s="51"/>
      <c r="NGD41" s="51"/>
      <c r="NGE41" s="51"/>
      <c r="NGF41" s="51"/>
      <c r="NGG41" s="51"/>
      <c r="NGH41" s="51"/>
      <c r="NGI41" s="51"/>
      <c r="NGJ41" s="51"/>
      <c r="NGK41" s="51"/>
      <c r="NGL41" s="51"/>
      <c r="NGM41" s="51"/>
      <c r="NGN41" s="51"/>
      <c r="NGO41" s="51"/>
      <c r="NGP41" s="51"/>
      <c r="NGQ41" s="51"/>
      <c r="NGR41" s="51"/>
      <c r="NGS41" s="51"/>
      <c r="NGT41" s="51"/>
      <c r="NGU41" s="51"/>
      <c r="NGV41" s="51"/>
      <c r="NGW41" s="51"/>
      <c r="NGX41" s="51"/>
      <c r="NGY41" s="51"/>
      <c r="NGZ41" s="51"/>
      <c r="NHA41" s="51"/>
      <c r="NHB41" s="51"/>
      <c r="NHC41" s="51"/>
      <c r="NHD41" s="51"/>
      <c r="NHE41" s="51"/>
      <c r="NHF41" s="51"/>
      <c r="NHG41" s="51"/>
      <c r="NHH41" s="51"/>
      <c r="NHI41" s="51"/>
      <c r="NHJ41" s="51"/>
      <c r="NHK41" s="51"/>
      <c r="NHL41" s="51"/>
      <c r="NHM41" s="51"/>
      <c r="NHN41" s="51"/>
      <c r="NHO41" s="51"/>
      <c r="NHP41" s="51"/>
      <c r="NHQ41" s="51"/>
      <c r="NHR41" s="51"/>
      <c r="NHS41" s="51"/>
      <c r="NHT41" s="51"/>
      <c r="NHU41" s="51"/>
      <c r="NHV41" s="51"/>
      <c r="NHW41" s="51"/>
      <c r="NHX41" s="51"/>
      <c r="NHY41" s="51"/>
      <c r="NHZ41" s="51"/>
      <c r="NIA41" s="51"/>
      <c r="NIB41" s="51"/>
      <c r="NIC41" s="51"/>
      <c r="NID41" s="51"/>
      <c r="NIE41" s="51"/>
      <c r="NIF41" s="51"/>
      <c r="NIG41" s="51"/>
      <c r="NIH41" s="51"/>
      <c r="NII41" s="51"/>
      <c r="NIJ41" s="51"/>
      <c r="NIK41" s="51"/>
      <c r="NIL41" s="51"/>
      <c r="NIM41" s="51"/>
      <c r="NIN41" s="51"/>
      <c r="NIO41" s="51"/>
      <c r="NIP41" s="51"/>
      <c r="NIQ41" s="51"/>
      <c r="NIR41" s="51"/>
      <c r="NIS41" s="51"/>
      <c r="NIT41" s="51"/>
      <c r="NIU41" s="51"/>
      <c r="NIV41" s="51"/>
      <c r="NIW41" s="51"/>
      <c r="NIX41" s="51"/>
      <c r="NIY41" s="51"/>
      <c r="NIZ41" s="51"/>
      <c r="NJA41" s="51"/>
      <c r="NJB41" s="51"/>
      <c r="NJC41" s="51"/>
      <c r="NJD41" s="51"/>
      <c r="NJE41" s="51"/>
      <c r="NJF41" s="51"/>
      <c r="NJG41" s="51"/>
      <c r="NJH41" s="51"/>
      <c r="NJI41" s="51"/>
      <c r="NJJ41" s="51"/>
      <c r="NJK41" s="51"/>
      <c r="NJL41" s="51"/>
      <c r="NJM41" s="51"/>
      <c r="NJN41" s="51"/>
      <c r="NJO41" s="51"/>
      <c r="NJP41" s="51"/>
      <c r="NJQ41" s="51"/>
      <c r="NJR41" s="51"/>
      <c r="NJS41" s="51"/>
      <c r="NJT41" s="51"/>
      <c r="NJU41" s="51"/>
      <c r="NJV41" s="51"/>
      <c r="NJW41" s="51"/>
      <c r="NJX41" s="51"/>
      <c r="NJY41" s="51"/>
      <c r="NJZ41" s="51"/>
      <c r="NKA41" s="51"/>
      <c r="NKB41" s="51"/>
      <c r="NKC41" s="51"/>
      <c r="NKD41" s="51"/>
      <c r="NKE41" s="51"/>
      <c r="NKF41" s="51"/>
      <c r="NKG41" s="51"/>
      <c r="NKH41" s="51"/>
      <c r="NKI41" s="51"/>
      <c r="NKJ41" s="51"/>
      <c r="NKK41" s="51"/>
      <c r="NKL41" s="51"/>
      <c r="NKM41" s="51"/>
      <c r="NKN41" s="51"/>
      <c r="NKO41" s="51"/>
      <c r="NKP41" s="51"/>
      <c r="NKQ41" s="51"/>
      <c r="NKR41" s="51"/>
      <c r="NKS41" s="51"/>
      <c r="NKT41" s="51"/>
      <c r="NKU41" s="51"/>
      <c r="NKV41" s="51"/>
      <c r="NKW41" s="51"/>
      <c r="NKX41" s="51"/>
      <c r="NKY41" s="51"/>
      <c r="NKZ41" s="51"/>
      <c r="NLA41" s="51"/>
      <c r="NLB41" s="51"/>
      <c r="NLC41" s="51"/>
      <c r="NLD41" s="51"/>
      <c r="NLE41" s="51"/>
      <c r="NLF41" s="51"/>
      <c r="NLG41" s="51"/>
      <c r="NLH41" s="51"/>
      <c r="NLI41" s="51"/>
      <c r="NLJ41" s="51"/>
      <c r="NLK41" s="51"/>
      <c r="NLL41" s="51"/>
      <c r="NLM41" s="51"/>
      <c r="NLN41" s="51"/>
      <c r="NLO41" s="51"/>
      <c r="NLP41" s="51"/>
      <c r="NLQ41" s="51"/>
      <c r="NLR41" s="51"/>
      <c r="NLS41" s="51"/>
      <c r="NLT41" s="51"/>
      <c r="NLU41" s="51"/>
      <c r="NLV41" s="51"/>
      <c r="NLW41" s="51"/>
      <c r="NLX41" s="51"/>
      <c r="NLY41" s="51"/>
      <c r="NLZ41" s="51"/>
      <c r="NMA41" s="51"/>
      <c r="NMB41" s="51"/>
      <c r="NMC41" s="51"/>
      <c r="NMD41" s="51"/>
      <c r="NME41" s="51"/>
      <c r="NMF41" s="51"/>
      <c r="NMG41" s="51"/>
      <c r="NMH41" s="51"/>
      <c r="NMI41" s="51"/>
      <c r="NMJ41" s="51"/>
      <c r="NMK41" s="51"/>
      <c r="NML41" s="51"/>
      <c r="NMM41" s="51"/>
      <c r="NMN41" s="51"/>
      <c r="NMO41" s="51"/>
      <c r="NMP41" s="51"/>
      <c r="NMQ41" s="51"/>
      <c r="NMR41" s="51"/>
      <c r="NMS41" s="51"/>
      <c r="NMT41" s="51"/>
      <c r="NMU41" s="51"/>
      <c r="NMV41" s="51"/>
      <c r="NMW41" s="51"/>
      <c r="NMX41" s="51"/>
      <c r="NMY41" s="51"/>
      <c r="NMZ41" s="51"/>
      <c r="NNA41" s="51"/>
      <c r="NNB41" s="51"/>
      <c r="NNC41" s="51"/>
      <c r="NND41" s="51"/>
      <c r="NNE41" s="51"/>
      <c r="NNF41" s="51"/>
      <c r="NNG41" s="51"/>
      <c r="NNH41" s="51"/>
      <c r="NNI41" s="51"/>
      <c r="NNJ41" s="51"/>
      <c r="NNK41" s="51"/>
      <c r="NNL41" s="51"/>
      <c r="NNM41" s="51"/>
      <c r="NNN41" s="51"/>
      <c r="NNO41" s="51"/>
      <c r="NNP41" s="51"/>
      <c r="NNQ41" s="51"/>
      <c r="NNR41" s="51"/>
      <c r="NNS41" s="51"/>
      <c r="NNT41" s="51"/>
      <c r="NNU41" s="51"/>
      <c r="NNV41" s="51"/>
      <c r="NNW41" s="51"/>
      <c r="NNX41" s="51"/>
      <c r="NNY41" s="51"/>
      <c r="NNZ41" s="51"/>
      <c r="NOA41" s="51"/>
      <c r="NOB41" s="51"/>
      <c r="NOC41" s="51"/>
      <c r="NOD41" s="51"/>
      <c r="NOE41" s="51"/>
      <c r="NOF41" s="51"/>
      <c r="NOG41" s="51"/>
      <c r="NOH41" s="51"/>
      <c r="NOI41" s="51"/>
      <c r="NOJ41" s="51"/>
      <c r="NOK41" s="51"/>
      <c r="NOL41" s="51"/>
      <c r="NOM41" s="51"/>
      <c r="NON41" s="51"/>
      <c r="NOO41" s="51"/>
      <c r="NOP41" s="51"/>
      <c r="NOQ41" s="51"/>
      <c r="NOR41" s="51"/>
      <c r="NOS41" s="51"/>
      <c r="NOT41" s="51"/>
      <c r="NOU41" s="51"/>
      <c r="NOV41" s="51"/>
      <c r="NOW41" s="51"/>
      <c r="NOX41" s="51"/>
      <c r="NOY41" s="51"/>
      <c r="NOZ41" s="51"/>
      <c r="NPA41" s="51"/>
      <c r="NPB41" s="51"/>
      <c r="NPC41" s="51"/>
      <c r="NPD41" s="51"/>
      <c r="NPE41" s="51"/>
      <c r="NPF41" s="51"/>
      <c r="NPG41" s="51"/>
      <c r="NPH41" s="51"/>
      <c r="NPI41" s="51"/>
      <c r="NPJ41" s="51"/>
      <c r="NPK41" s="51"/>
      <c r="NPL41" s="51"/>
      <c r="NPM41" s="51"/>
      <c r="NPN41" s="51"/>
      <c r="NPO41" s="51"/>
      <c r="NPP41" s="51"/>
      <c r="NPQ41" s="51"/>
      <c r="NPR41" s="51"/>
      <c r="NPS41" s="51"/>
      <c r="NPT41" s="51"/>
      <c r="NPU41" s="51"/>
      <c r="NPV41" s="51"/>
      <c r="NPW41" s="51"/>
      <c r="NPX41" s="51"/>
      <c r="NPY41" s="51"/>
      <c r="NPZ41" s="51"/>
      <c r="NQA41" s="51"/>
      <c r="NQB41" s="51"/>
      <c r="NQC41" s="51"/>
      <c r="NQD41" s="51"/>
      <c r="NQE41" s="51"/>
      <c r="NQF41" s="51"/>
      <c r="NQG41" s="51"/>
      <c r="NQH41" s="51"/>
      <c r="NQI41" s="51"/>
      <c r="NQJ41" s="51"/>
      <c r="NQK41" s="51"/>
      <c r="NQL41" s="51"/>
      <c r="NQM41" s="51"/>
      <c r="NQN41" s="51"/>
      <c r="NQO41" s="51"/>
      <c r="NQP41" s="51"/>
      <c r="NQQ41" s="51"/>
      <c r="NQR41" s="51"/>
      <c r="NQS41" s="51"/>
      <c r="NQT41" s="51"/>
      <c r="NQU41" s="51"/>
      <c r="NQV41" s="51"/>
      <c r="NQW41" s="51"/>
      <c r="NQX41" s="51"/>
      <c r="NQY41" s="51"/>
      <c r="NQZ41" s="51"/>
      <c r="NRA41" s="51"/>
      <c r="NRB41" s="51"/>
      <c r="NRC41" s="51"/>
      <c r="NRD41" s="51"/>
      <c r="NRE41" s="51"/>
      <c r="NRF41" s="51"/>
      <c r="NRG41" s="51"/>
      <c r="NRH41" s="51"/>
      <c r="NRI41" s="51"/>
      <c r="NRJ41" s="51"/>
      <c r="NRK41" s="51"/>
      <c r="NRL41" s="51"/>
      <c r="NRM41" s="51"/>
      <c r="NRN41" s="51"/>
      <c r="NRO41" s="51"/>
      <c r="NRP41" s="51"/>
      <c r="NRQ41" s="51"/>
      <c r="NRR41" s="51"/>
      <c r="NRS41" s="51"/>
      <c r="NRT41" s="51"/>
      <c r="NRU41" s="51"/>
      <c r="NRV41" s="51"/>
      <c r="NRW41" s="51"/>
      <c r="NRX41" s="51"/>
      <c r="NRY41" s="51"/>
      <c r="NRZ41" s="51"/>
      <c r="NSA41" s="51"/>
      <c r="NSB41" s="51"/>
      <c r="NSC41" s="51"/>
      <c r="NSD41" s="51"/>
      <c r="NSE41" s="51"/>
      <c r="NSF41" s="51"/>
      <c r="NSG41" s="51"/>
      <c r="NSH41" s="51"/>
      <c r="NSI41" s="51"/>
      <c r="NSJ41" s="51"/>
      <c r="NSK41" s="51"/>
      <c r="NSL41" s="51"/>
      <c r="NSM41" s="51"/>
      <c r="NSN41" s="51"/>
      <c r="NSO41" s="51"/>
      <c r="NSP41" s="51"/>
      <c r="NSQ41" s="51"/>
      <c r="NSR41" s="51"/>
      <c r="NSS41" s="51"/>
      <c r="NST41" s="51"/>
      <c r="NSU41" s="51"/>
      <c r="NSV41" s="51"/>
      <c r="NSW41" s="51"/>
      <c r="NSX41" s="51"/>
      <c r="NSY41" s="51"/>
      <c r="NSZ41" s="51"/>
      <c r="NTA41" s="51"/>
      <c r="NTB41" s="51"/>
      <c r="NTC41" s="51"/>
      <c r="NTD41" s="51"/>
      <c r="NTE41" s="51"/>
      <c r="NTF41" s="51"/>
      <c r="NTG41" s="51"/>
      <c r="NTH41" s="51"/>
      <c r="NTI41" s="51"/>
      <c r="NTJ41" s="51"/>
      <c r="NTK41" s="51"/>
      <c r="NTL41" s="51"/>
      <c r="NTM41" s="51"/>
      <c r="NTN41" s="51"/>
      <c r="NTO41" s="51"/>
      <c r="NTP41" s="51"/>
      <c r="NTQ41" s="51"/>
      <c r="NTR41" s="51"/>
      <c r="NTS41" s="51"/>
      <c r="NTT41" s="51"/>
      <c r="NTU41" s="51"/>
      <c r="NTV41" s="51"/>
      <c r="NTW41" s="51"/>
      <c r="NTX41" s="51"/>
      <c r="NTY41" s="51"/>
      <c r="NTZ41" s="51"/>
      <c r="NUA41" s="51"/>
      <c r="NUB41" s="51"/>
      <c r="NUC41" s="51"/>
      <c r="NUD41" s="51"/>
      <c r="NUE41" s="51"/>
      <c r="NUF41" s="51"/>
      <c r="NUG41" s="51"/>
      <c r="NUH41" s="51"/>
      <c r="NUI41" s="51"/>
      <c r="NUJ41" s="51"/>
      <c r="NUK41" s="51"/>
      <c r="NUL41" s="51"/>
      <c r="NUM41" s="51"/>
      <c r="NUN41" s="51"/>
      <c r="NUO41" s="51"/>
      <c r="NUP41" s="51"/>
      <c r="NUQ41" s="51"/>
      <c r="NUR41" s="51"/>
      <c r="NUS41" s="51"/>
      <c r="NUT41" s="51"/>
      <c r="NUU41" s="51"/>
      <c r="NUV41" s="51"/>
      <c r="NUW41" s="51"/>
      <c r="NUX41" s="51"/>
      <c r="NUY41" s="51"/>
      <c r="NUZ41" s="51"/>
      <c r="NVA41" s="51"/>
      <c r="NVB41" s="51"/>
      <c r="NVC41" s="51"/>
      <c r="NVD41" s="51"/>
      <c r="NVE41" s="51"/>
      <c r="NVF41" s="51"/>
      <c r="NVG41" s="51"/>
      <c r="NVH41" s="51"/>
      <c r="NVI41" s="51"/>
      <c r="NVJ41" s="51"/>
      <c r="NVK41" s="51"/>
      <c r="NVL41" s="51"/>
      <c r="NVM41" s="51"/>
      <c r="NVN41" s="51"/>
      <c r="NVO41" s="51"/>
      <c r="NVP41" s="51"/>
      <c r="NVQ41" s="51"/>
      <c r="NVR41" s="51"/>
      <c r="NVS41" s="51"/>
      <c r="NVT41" s="51"/>
      <c r="NVU41" s="51"/>
      <c r="NVV41" s="51"/>
      <c r="NVW41" s="51"/>
      <c r="NVX41" s="51"/>
      <c r="NVY41" s="51"/>
      <c r="NVZ41" s="51"/>
      <c r="NWA41" s="51"/>
      <c r="NWB41" s="51"/>
      <c r="NWC41" s="51"/>
      <c r="NWD41" s="51"/>
      <c r="NWE41" s="51"/>
      <c r="NWF41" s="51"/>
      <c r="NWG41" s="51"/>
      <c r="NWH41" s="51"/>
      <c r="NWI41" s="51"/>
      <c r="NWJ41" s="51"/>
      <c r="NWK41" s="51"/>
      <c r="NWL41" s="51"/>
      <c r="NWM41" s="51"/>
      <c r="NWN41" s="51"/>
      <c r="NWO41" s="51"/>
      <c r="NWP41" s="51"/>
      <c r="NWQ41" s="51"/>
      <c r="NWR41" s="51"/>
      <c r="NWS41" s="51"/>
      <c r="NWT41" s="51"/>
      <c r="NWU41" s="51"/>
      <c r="NWV41" s="51"/>
      <c r="NWW41" s="51"/>
      <c r="NWX41" s="51"/>
      <c r="NWY41" s="51"/>
      <c r="NWZ41" s="51"/>
      <c r="NXA41" s="51"/>
      <c r="NXB41" s="51"/>
      <c r="NXC41" s="51"/>
      <c r="NXD41" s="51"/>
      <c r="NXE41" s="51"/>
      <c r="NXF41" s="51"/>
      <c r="NXG41" s="51"/>
      <c r="NXH41" s="51"/>
      <c r="NXI41" s="51"/>
      <c r="NXJ41" s="51"/>
      <c r="NXK41" s="51"/>
      <c r="NXL41" s="51"/>
      <c r="NXM41" s="51"/>
      <c r="NXN41" s="51"/>
      <c r="NXO41" s="51"/>
      <c r="NXP41" s="51"/>
      <c r="NXQ41" s="51"/>
      <c r="NXR41" s="51"/>
      <c r="NXS41" s="51"/>
      <c r="NXT41" s="51"/>
      <c r="NXU41" s="51"/>
      <c r="NXV41" s="51"/>
      <c r="NXW41" s="51"/>
      <c r="NXX41" s="51"/>
      <c r="NXY41" s="51"/>
      <c r="NXZ41" s="51"/>
      <c r="NYA41" s="51"/>
      <c r="NYB41" s="51"/>
      <c r="NYC41" s="51"/>
      <c r="NYD41" s="51"/>
      <c r="NYE41" s="51"/>
      <c r="NYF41" s="51"/>
      <c r="NYG41" s="51"/>
      <c r="NYH41" s="51"/>
      <c r="NYI41" s="51"/>
      <c r="NYJ41" s="51"/>
      <c r="NYK41" s="51"/>
      <c r="NYL41" s="51"/>
      <c r="NYM41" s="51"/>
      <c r="NYN41" s="51"/>
      <c r="NYO41" s="51"/>
      <c r="NYP41" s="51"/>
      <c r="NYQ41" s="51"/>
      <c r="NYR41" s="51"/>
      <c r="NYS41" s="51"/>
      <c r="NYT41" s="51"/>
      <c r="NYU41" s="51"/>
      <c r="NYV41" s="51"/>
      <c r="NYW41" s="51"/>
      <c r="NYX41" s="51"/>
      <c r="NYY41" s="51"/>
      <c r="NYZ41" s="51"/>
      <c r="NZA41" s="51"/>
      <c r="NZB41" s="51"/>
      <c r="NZC41" s="51"/>
      <c r="NZD41" s="51"/>
      <c r="NZE41" s="51"/>
      <c r="NZF41" s="51"/>
      <c r="NZG41" s="51"/>
      <c r="NZH41" s="51"/>
      <c r="NZI41" s="51"/>
      <c r="NZJ41" s="51"/>
      <c r="NZK41" s="51"/>
      <c r="NZL41" s="51"/>
      <c r="NZM41" s="51"/>
      <c r="NZN41" s="51"/>
      <c r="NZO41" s="51"/>
      <c r="NZP41" s="51"/>
      <c r="NZQ41" s="51"/>
      <c r="NZR41" s="51"/>
      <c r="NZS41" s="51"/>
      <c r="NZT41" s="51"/>
      <c r="NZU41" s="51"/>
      <c r="NZV41" s="51"/>
      <c r="NZW41" s="51"/>
      <c r="NZX41" s="51"/>
      <c r="NZY41" s="51"/>
      <c r="NZZ41" s="51"/>
      <c r="OAA41" s="51"/>
      <c r="OAB41" s="51"/>
      <c r="OAC41" s="51"/>
      <c r="OAD41" s="51"/>
      <c r="OAE41" s="51"/>
      <c r="OAF41" s="51"/>
      <c r="OAG41" s="51"/>
      <c r="OAH41" s="51"/>
      <c r="OAI41" s="51"/>
      <c r="OAJ41" s="51"/>
      <c r="OAK41" s="51"/>
      <c r="OAL41" s="51"/>
      <c r="OAM41" s="51"/>
      <c r="OAN41" s="51"/>
      <c r="OAO41" s="51"/>
      <c r="OAP41" s="51"/>
      <c r="OAQ41" s="51"/>
      <c r="OAR41" s="51"/>
      <c r="OAS41" s="51"/>
      <c r="OAT41" s="51"/>
      <c r="OAU41" s="51"/>
      <c r="OAV41" s="51"/>
      <c r="OAW41" s="51"/>
      <c r="OAX41" s="51"/>
      <c r="OAY41" s="51"/>
      <c r="OAZ41" s="51"/>
      <c r="OBA41" s="51"/>
      <c r="OBB41" s="51"/>
      <c r="OBC41" s="51"/>
      <c r="OBD41" s="51"/>
      <c r="OBE41" s="51"/>
      <c r="OBF41" s="51"/>
      <c r="OBG41" s="51"/>
      <c r="OBH41" s="51"/>
      <c r="OBI41" s="51"/>
      <c r="OBJ41" s="51"/>
      <c r="OBK41" s="51"/>
      <c r="OBL41" s="51"/>
      <c r="OBM41" s="51"/>
      <c r="OBN41" s="51"/>
      <c r="OBO41" s="51"/>
      <c r="OBP41" s="51"/>
      <c r="OBQ41" s="51"/>
      <c r="OBR41" s="51"/>
      <c r="OBS41" s="51"/>
      <c r="OBT41" s="51"/>
      <c r="OBU41" s="51"/>
      <c r="OBV41" s="51"/>
      <c r="OBW41" s="51"/>
      <c r="OBX41" s="51"/>
      <c r="OBY41" s="51"/>
      <c r="OBZ41" s="51"/>
      <c r="OCA41" s="51"/>
      <c r="OCB41" s="51"/>
      <c r="OCC41" s="51"/>
      <c r="OCD41" s="51"/>
      <c r="OCE41" s="51"/>
      <c r="OCF41" s="51"/>
      <c r="OCG41" s="51"/>
      <c r="OCH41" s="51"/>
      <c r="OCI41" s="51"/>
      <c r="OCJ41" s="51"/>
      <c r="OCK41" s="51"/>
      <c r="OCL41" s="51"/>
      <c r="OCM41" s="51"/>
      <c r="OCN41" s="51"/>
      <c r="OCO41" s="51"/>
      <c r="OCP41" s="51"/>
      <c r="OCQ41" s="51"/>
      <c r="OCR41" s="51"/>
      <c r="OCS41" s="51"/>
      <c r="OCT41" s="51"/>
      <c r="OCU41" s="51"/>
      <c r="OCV41" s="51"/>
      <c r="OCW41" s="51"/>
      <c r="OCX41" s="51"/>
      <c r="OCY41" s="51"/>
      <c r="OCZ41" s="51"/>
      <c r="ODA41" s="51"/>
      <c r="ODB41" s="51"/>
      <c r="ODC41" s="51"/>
      <c r="ODD41" s="51"/>
      <c r="ODE41" s="51"/>
      <c r="ODF41" s="51"/>
      <c r="ODG41" s="51"/>
      <c r="ODH41" s="51"/>
      <c r="ODI41" s="51"/>
      <c r="ODJ41" s="51"/>
      <c r="ODK41" s="51"/>
      <c r="ODL41" s="51"/>
      <c r="ODM41" s="51"/>
      <c r="ODN41" s="51"/>
      <c r="ODO41" s="51"/>
      <c r="ODP41" s="51"/>
      <c r="ODQ41" s="51"/>
      <c r="ODR41" s="51"/>
      <c r="ODS41" s="51"/>
      <c r="ODT41" s="51"/>
      <c r="ODU41" s="51"/>
      <c r="ODV41" s="51"/>
      <c r="ODW41" s="51"/>
      <c r="ODX41" s="51"/>
      <c r="ODY41" s="51"/>
      <c r="ODZ41" s="51"/>
      <c r="OEA41" s="51"/>
      <c r="OEB41" s="51"/>
      <c r="OEC41" s="51"/>
      <c r="OED41" s="51"/>
      <c r="OEE41" s="51"/>
      <c r="OEF41" s="51"/>
      <c r="OEG41" s="51"/>
      <c r="OEH41" s="51"/>
      <c r="OEI41" s="51"/>
      <c r="OEJ41" s="51"/>
      <c r="OEK41" s="51"/>
      <c r="OEL41" s="51"/>
      <c r="OEM41" s="51"/>
      <c r="OEN41" s="51"/>
      <c r="OEO41" s="51"/>
      <c r="OEP41" s="51"/>
      <c r="OEQ41" s="51"/>
      <c r="OER41" s="51"/>
      <c r="OES41" s="51"/>
      <c r="OET41" s="51"/>
      <c r="OEU41" s="51"/>
      <c r="OEV41" s="51"/>
      <c r="OEW41" s="51"/>
      <c r="OEX41" s="51"/>
      <c r="OEY41" s="51"/>
      <c r="OEZ41" s="51"/>
      <c r="OFA41" s="51"/>
      <c r="OFB41" s="51"/>
      <c r="OFC41" s="51"/>
      <c r="OFD41" s="51"/>
      <c r="OFE41" s="51"/>
      <c r="OFF41" s="51"/>
      <c r="OFG41" s="51"/>
      <c r="OFH41" s="51"/>
      <c r="OFI41" s="51"/>
      <c r="OFJ41" s="51"/>
      <c r="OFK41" s="51"/>
      <c r="OFL41" s="51"/>
      <c r="OFM41" s="51"/>
      <c r="OFN41" s="51"/>
      <c r="OFO41" s="51"/>
      <c r="OFP41" s="51"/>
      <c r="OFQ41" s="51"/>
      <c r="OFR41" s="51"/>
      <c r="OFS41" s="51"/>
      <c r="OFT41" s="51"/>
      <c r="OFU41" s="51"/>
      <c r="OFV41" s="51"/>
      <c r="OFW41" s="51"/>
      <c r="OFX41" s="51"/>
      <c r="OFY41" s="51"/>
      <c r="OFZ41" s="51"/>
      <c r="OGA41" s="51"/>
      <c r="OGB41" s="51"/>
      <c r="OGC41" s="51"/>
      <c r="OGD41" s="51"/>
      <c r="OGE41" s="51"/>
      <c r="OGF41" s="51"/>
      <c r="OGG41" s="51"/>
      <c r="OGH41" s="51"/>
      <c r="OGI41" s="51"/>
      <c r="OGJ41" s="51"/>
      <c r="OGK41" s="51"/>
      <c r="OGL41" s="51"/>
      <c r="OGM41" s="51"/>
      <c r="OGN41" s="51"/>
      <c r="OGO41" s="51"/>
      <c r="OGP41" s="51"/>
      <c r="OGQ41" s="51"/>
      <c r="OGR41" s="51"/>
      <c r="OGS41" s="51"/>
      <c r="OGT41" s="51"/>
      <c r="OGU41" s="51"/>
      <c r="OGV41" s="51"/>
      <c r="OGW41" s="51"/>
      <c r="OGX41" s="51"/>
      <c r="OGY41" s="51"/>
      <c r="OGZ41" s="51"/>
      <c r="OHA41" s="51"/>
      <c r="OHB41" s="51"/>
      <c r="OHC41" s="51"/>
      <c r="OHD41" s="51"/>
      <c r="OHE41" s="51"/>
      <c r="OHF41" s="51"/>
      <c r="OHG41" s="51"/>
      <c r="OHH41" s="51"/>
      <c r="OHI41" s="51"/>
      <c r="OHJ41" s="51"/>
      <c r="OHK41" s="51"/>
      <c r="OHL41" s="51"/>
      <c r="OHM41" s="51"/>
      <c r="OHN41" s="51"/>
      <c r="OHO41" s="51"/>
      <c r="OHP41" s="51"/>
      <c r="OHQ41" s="51"/>
      <c r="OHR41" s="51"/>
      <c r="OHS41" s="51"/>
      <c r="OHT41" s="51"/>
      <c r="OHU41" s="51"/>
      <c r="OHV41" s="51"/>
      <c r="OHW41" s="51"/>
      <c r="OHX41" s="51"/>
      <c r="OHY41" s="51"/>
      <c r="OHZ41" s="51"/>
      <c r="OIA41" s="51"/>
      <c r="OIB41" s="51"/>
      <c r="OIC41" s="51"/>
      <c r="OID41" s="51"/>
      <c r="OIE41" s="51"/>
      <c r="OIF41" s="51"/>
      <c r="OIG41" s="51"/>
      <c r="OIH41" s="51"/>
      <c r="OII41" s="51"/>
      <c r="OIJ41" s="51"/>
      <c r="OIK41" s="51"/>
      <c r="OIL41" s="51"/>
      <c r="OIM41" s="51"/>
      <c r="OIN41" s="51"/>
      <c r="OIO41" s="51"/>
      <c r="OIP41" s="51"/>
      <c r="OIQ41" s="51"/>
      <c r="OIR41" s="51"/>
      <c r="OIS41" s="51"/>
      <c r="OIT41" s="51"/>
      <c r="OIU41" s="51"/>
      <c r="OIV41" s="51"/>
      <c r="OIW41" s="51"/>
      <c r="OIX41" s="51"/>
      <c r="OIY41" s="51"/>
      <c r="OIZ41" s="51"/>
      <c r="OJA41" s="51"/>
      <c r="OJB41" s="51"/>
      <c r="OJC41" s="51"/>
      <c r="OJD41" s="51"/>
      <c r="OJE41" s="51"/>
      <c r="OJF41" s="51"/>
      <c r="OJG41" s="51"/>
      <c r="OJH41" s="51"/>
      <c r="OJI41" s="51"/>
      <c r="OJJ41" s="51"/>
      <c r="OJK41" s="51"/>
      <c r="OJL41" s="51"/>
      <c r="OJM41" s="51"/>
      <c r="OJN41" s="51"/>
      <c r="OJO41" s="51"/>
      <c r="OJP41" s="51"/>
      <c r="OJQ41" s="51"/>
      <c r="OJR41" s="51"/>
      <c r="OJS41" s="51"/>
      <c r="OJT41" s="51"/>
      <c r="OJU41" s="51"/>
      <c r="OJV41" s="51"/>
      <c r="OJW41" s="51"/>
      <c r="OJX41" s="51"/>
      <c r="OJY41" s="51"/>
      <c r="OJZ41" s="51"/>
      <c r="OKA41" s="51"/>
      <c r="OKB41" s="51"/>
      <c r="OKC41" s="51"/>
      <c r="OKD41" s="51"/>
      <c r="OKE41" s="51"/>
      <c r="OKF41" s="51"/>
      <c r="OKG41" s="51"/>
      <c r="OKH41" s="51"/>
      <c r="OKI41" s="51"/>
      <c r="OKJ41" s="51"/>
      <c r="OKK41" s="51"/>
      <c r="OKL41" s="51"/>
      <c r="OKM41" s="51"/>
      <c r="OKN41" s="51"/>
      <c r="OKO41" s="51"/>
      <c r="OKP41" s="51"/>
      <c r="OKQ41" s="51"/>
      <c r="OKR41" s="51"/>
      <c r="OKS41" s="51"/>
      <c r="OKT41" s="51"/>
      <c r="OKU41" s="51"/>
      <c r="OKV41" s="51"/>
      <c r="OKW41" s="51"/>
      <c r="OKX41" s="51"/>
      <c r="OKY41" s="51"/>
      <c r="OKZ41" s="51"/>
      <c r="OLA41" s="51"/>
      <c r="OLB41" s="51"/>
      <c r="OLC41" s="51"/>
      <c r="OLD41" s="51"/>
      <c r="OLE41" s="51"/>
      <c r="OLF41" s="51"/>
      <c r="OLG41" s="51"/>
      <c r="OLH41" s="51"/>
      <c r="OLI41" s="51"/>
      <c r="OLJ41" s="51"/>
      <c r="OLK41" s="51"/>
      <c r="OLL41" s="51"/>
      <c r="OLM41" s="51"/>
      <c r="OLN41" s="51"/>
      <c r="OLO41" s="51"/>
      <c r="OLP41" s="51"/>
      <c r="OLQ41" s="51"/>
      <c r="OLR41" s="51"/>
      <c r="OLS41" s="51"/>
      <c r="OLT41" s="51"/>
      <c r="OLU41" s="51"/>
      <c r="OLV41" s="51"/>
      <c r="OLW41" s="51"/>
      <c r="OLX41" s="51"/>
      <c r="OLY41" s="51"/>
      <c r="OLZ41" s="51"/>
      <c r="OMA41" s="51"/>
      <c r="OMB41" s="51"/>
      <c r="OMC41" s="51"/>
      <c r="OMD41" s="51"/>
      <c r="OME41" s="51"/>
      <c r="OMF41" s="51"/>
      <c r="OMG41" s="51"/>
      <c r="OMH41" s="51"/>
      <c r="OMI41" s="51"/>
      <c r="OMJ41" s="51"/>
      <c r="OMK41" s="51"/>
      <c r="OML41" s="51"/>
      <c r="OMM41" s="51"/>
      <c r="OMN41" s="51"/>
      <c r="OMO41" s="51"/>
      <c r="OMP41" s="51"/>
      <c r="OMQ41" s="51"/>
      <c r="OMR41" s="51"/>
      <c r="OMS41" s="51"/>
      <c r="OMT41" s="51"/>
      <c r="OMU41" s="51"/>
      <c r="OMV41" s="51"/>
      <c r="OMW41" s="51"/>
      <c r="OMX41" s="51"/>
      <c r="OMY41" s="51"/>
      <c r="OMZ41" s="51"/>
      <c r="ONA41" s="51"/>
      <c r="ONB41" s="51"/>
      <c r="ONC41" s="51"/>
      <c r="OND41" s="51"/>
      <c r="ONE41" s="51"/>
      <c r="ONF41" s="51"/>
      <c r="ONG41" s="51"/>
      <c r="ONH41" s="51"/>
      <c r="ONI41" s="51"/>
      <c r="ONJ41" s="51"/>
      <c r="ONK41" s="51"/>
      <c r="ONL41" s="51"/>
      <c r="ONM41" s="51"/>
      <c r="ONN41" s="51"/>
      <c r="ONO41" s="51"/>
      <c r="ONP41" s="51"/>
      <c r="ONQ41" s="51"/>
      <c r="ONR41" s="51"/>
      <c r="ONS41" s="51"/>
      <c r="ONT41" s="51"/>
      <c r="ONU41" s="51"/>
      <c r="ONV41" s="51"/>
      <c r="ONW41" s="51"/>
      <c r="ONX41" s="51"/>
      <c r="ONY41" s="51"/>
      <c r="ONZ41" s="51"/>
      <c r="OOA41" s="51"/>
      <c r="OOB41" s="51"/>
      <c r="OOC41" s="51"/>
      <c r="OOD41" s="51"/>
      <c r="OOE41" s="51"/>
      <c r="OOF41" s="51"/>
      <c r="OOG41" s="51"/>
      <c r="OOH41" s="51"/>
      <c r="OOI41" s="51"/>
      <c r="OOJ41" s="51"/>
      <c r="OOK41" s="51"/>
      <c r="OOL41" s="51"/>
      <c r="OOM41" s="51"/>
      <c r="OON41" s="51"/>
      <c r="OOO41" s="51"/>
      <c r="OOP41" s="51"/>
      <c r="OOQ41" s="51"/>
      <c r="OOR41" s="51"/>
      <c r="OOS41" s="51"/>
      <c r="OOT41" s="51"/>
      <c r="OOU41" s="51"/>
      <c r="OOV41" s="51"/>
      <c r="OOW41" s="51"/>
      <c r="OOX41" s="51"/>
      <c r="OOY41" s="51"/>
      <c r="OOZ41" s="51"/>
      <c r="OPA41" s="51"/>
      <c r="OPB41" s="51"/>
      <c r="OPC41" s="51"/>
      <c r="OPD41" s="51"/>
      <c r="OPE41" s="51"/>
      <c r="OPF41" s="51"/>
      <c r="OPG41" s="51"/>
      <c r="OPH41" s="51"/>
      <c r="OPI41" s="51"/>
      <c r="OPJ41" s="51"/>
      <c r="OPK41" s="51"/>
      <c r="OPL41" s="51"/>
      <c r="OPM41" s="51"/>
      <c r="OPN41" s="51"/>
      <c r="OPO41" s="51"/>
      <c r="OPP41" s="51"/>
      <c r="OPQ41" s="51"/>
      <c r="OPR41" s="51"/>
      <c r="OPS41" s="51"/>
      <c r="OPT41" s="51"/>
      <c r="OPU41" s="51"/>
      <c r="OPV41" s="51"/>
      <c r="OPW41" s="51"/>
      <c r="OPX41" s="51"/>
      <c r="OPY41" s="51"/>
      <c r="OPZ41" s="51"/>
      <c r="OQA41" s="51"/>
      <c r="OQB41" s="51"/>
      <c r="OQC41" s="51"/>
      <c r="OQD41" s="51"/>
      <c r="OQE41" s="51"/>
      <c r="OQF41" s="51"/>
      <c r="OQG41" s="51"/>
      <c r="OQH41" s="51"/>
      <c r="OQI41" s="51"/>
      <c r="OQJ41" s="51"/>
      <c r="OQK41" s="51"/>
      <c r="OQL41" s="51"/>
      <c r="OQM41" s="51"/>
      <c r="OQN41" s="51"/>
      <c r="OQO41" s="51"/>
      <c r="OQP41" s="51"/>
      <c r="OQQ41" s="51"/>
      <c r="OQR41" s="51"/>
      <c r="OQS41" s="51"/>
      <c r="OQT41" s="51"/>
      <c r="OQU41" s="51"/>
      <c r="OQV41" s="51"/>
      <c r="OQW41" s="51"/>
      <c r="OQX41" s="51"/>
      <c r="OQY41" s="51"/>
      <c r="OQZ41" s="51"/>
      <c r="ORA41" s="51"/>
      <c r="ORB41" s="51"/>
      <c r="ORC41" s="51"/>
      <c r="ORD41" s="51"/>
      <c r="ORE41" s="51"/>
      <c r="ORF41" s="51"/>
      <c r="ORG41" s="51"/>
      <c r="ORH41" s="51"/>
      <c r="ORI41" s="51"/>
      <c r="ORJ41" s="51"/>
      <c r="ORK41" s="51"/>
      <c r="ORL41" s="51"/>
      <c r="ORM41" s="51"/>
      <c r="ORN41" s="51"/>
      <c r="ORO41" s="51"/>
      <c r="ORP41" s="51"/>
      <c r="ORQ41" s="51"/>
      <c r="ORR41" s="51"/>
      <c r="ORS41" s="51"/>
      <c r="ORT41" s="51"/>
      <c r="ORU41" s="51"/>
      <c r="ORV41" s="51"/>
      <c r="ORW41" s="51"/>
      <c r="ORX41" s="51"/>
      <c r="ORY41" s="51"/>
      <c r="ORZ41" s="51"/>
      <c r="OSA41" s="51"/>
      <c r="OSB41" s="51"/>
      <c r="OSC41" s="51"/>
      <c r="OSD41" s="51"/>
      <c r="OSE41" s="51"/>
      <c r="OSF41" s="51"/>
      <c r="OSG41" s="51"/>
      <c r="OSH41" s="51"/>
      <c r="OSI41" s="51"/>
      <c r="OSJ41" s="51"/>
      <c r="OSK41" s="51"/>
      <c r="OSL41" s="51"/>
      <c r="OSM41" s="51"/>
      <c r="OSN41" s="51"/>
      <c r="OSO41" s="51"/>
      <c r="OSP41" s="51"/>
      <c r="OSQ41" s="51"/>
      <c r="OSR41" s="51"/>
      <c r="OSS41" s="51"/>
      <c r="OST41" s="51"/>
      <c r="OSU41" s="51"/>
      <c r="OSV41" s="51"/>
      <c r="OSW41" s="51"/>
      <c r="OSX41" s="51"/>
      <c r="OSY41" s="51"/>
      <c r="OSZ41" s="51"/>
      <c r="OTA41" s="51"/>
      <c r="OTB41" s="51"/>
      <c r="OTC41" s="51"/>
      <c r="OTD41" s="51"/>
      <c r="OTE41" s="51"/>
      <c r="OTF41" s="51"/>
      <c r="OTG41" s="51"/>
      <c r="OTH41" s="51"/>
      <c r="OTI41" s="51"/>
      <c r="OTJ41" s="51"/>
      <c r="OTK41" s="51"/>
      <c r="OTL41" s="51"/>
      <c r="OTM41" s="51"/>
      <c r="OTN41" s="51"/>
      <c r="OTO41" s="51"/>
      <c r="OTP41" s="51"/>
      <c r="OTQ41" s="51"/>
      <c r="OTR41" s="51"/>
      <c r="OTS41" s="51"/>
      <c r="OTT41" s="51"/>
      <c r="OTU41" s="51"/>
      <c r="OTV41" s="51"/>
      <c r="OTW41" s="51"/>
      <c r="OTX41" s="51"/>
      <c r="OTY41" s="51"/>
      <c r="OTZ41" s="51"/>
      <c r="OUA41" s="51"/>
      <c r="OUB41" s="51"/>
      <c r="OUC41" s="51"/>
      <c r="OUD41" s="51"/>
      <c r="OUE41" s="51"/>
      <c r="OUF41" s="51"/>
      <c r="OUG41" s="51"/>
      <c r="OUH41" s="51"/>
      <c r="OUI41" s="51"/>
      <c r="OUJ41" s="51"/>
      <c r="OUK41" s="51"/>
      <c r="OUL41" s="51"/>
      <c r="OUM41" s="51"/>
      <c r="OUN41" s="51"/>
      <c r="OUO41" s="51"/>
      <c r="OUP41" s="51"/>
      <c r="OUQ41" s="51"/>
      <c r="OUR41" s="51"/>
      <c r="OUS41" s="51"/>
      <c r="OUT41" s="51"/>
      <c r="OUU41" s="51"/>
      <c r="OUV41" s="51"/>
      <c r="OUW41" s="51"/>
      <c r="OUX41" s="51"/>
      <c r="OUY41" s="51"/>
      <c r="OUZ41" s="51"/>
      <c r="OVA41" s="51"/>
      <c r="OVB41" s="51"/>
      <c r="OVC41" s="51"/>
      <c r="OVD41" s="51"/>
      <c r="OVE41" s="51"/>
      <c r="OVF41" s="51"/>
      <c r="OVG41" s="51"/>
      <c r="OVH41" s="51"/>
      <c r="OVI41" s="51"/>
      <c r="OVJ41" s="51"/>
      <c r="OVK41" s="51"/>
      <c r="OVL41" s="51"/>
      <c r="OVM41" s="51"/>
      <c r="OVN41" s="51"/>
      <c r="OVO41" s="51"/>
      <c r="OVP41" s="51"/>
      <c r="OVQ41" s="51"/>
      <c r="OVR41" s="51"/>
      <c r="OVS41" s="51"/>
      <c r="OVT41" s="51"/>
      <c r="OVU41" s="51"/>
      <c r="OVV41" s="51"/>
      <c r="OVW41" s="51"/>
      <c r="OVX41" s="51"/>
      <c r="OVY41" s="51"/>
      <c r="OVZ41" s="51"/>
      <c r="OWA41" s="51"/>
      <c r="OWB41" s="51"/>
      <c r="OWC41" s="51"/>
      <c r="OWD41" s="51"/>
      <c r="OWE41" s="51"/>
      <c r="OWF41" s="51"/>
      <c r="OWG41" s="51"/>
      <c r="OWH41" s="51"/>
      <c r="OWI41" s="51"/>
      <c r="OWJ41" s="51"/>
      <c r="OWK41" s="51"/>
      <c r="OWL41" s="51"/>
      <c r="OWM41" s="51"/>
      <c r="OWN41" s="51"/>
      <c r="OWO41" s="51"/>
      <c r="OWP41" s="51"/>
      <c r="OWQ41" s="51"/>
      <c r="OWR41" s="51"/>
      <c r="OWS41" s="51"/>
      <c r="OWT41" s="51"/>
      <c r="OWU41" s="51"/>
      <c r="OWV41" s="51"/>
      <c r="OWW41" s="51"/>
      <c r="OWX41" s="51"/>
      <c r="OWY41" s="51"/>
      <c r="OWZ41" s="51"/>
      <c r="OXA41" s="51"/>
      <c r="OXB41" s="51"/>
      <c r="OXC41" s="51"/>
      <c r="OXD41" s="51"/>
      <c r="OXE41" s="51"/>
      <c r="OXF41" s="51"/>
      <c r="OXG41" s="51"/>
      <c r="OXH41" s="51"/>
      <c r="OXI41" s="51"/>
      <c r="OXJ41" s="51"/>
      <c r="OXK41" s="51"/>
      <c r="OXL41" s="51"/>
      <c r="OXM41" s="51"/>
      <c r="OXN41" s="51"/>
      <c r="OXO41" s="51"/>
      <c r="OXP41" s="51"/>
      <c r="OXQ41" s="51"/>
      <c r="OXR41" s="51"/>
      <c r="OXS41" s="51"/>
      <c r="OXT41" s="51"/>
      <c r="OXU41" s="51"/>
      <c r="OXV41" s="51"/>
      <c r="OXW41" s="51"/>
      <c r="OXX41" s="51"/>
      <c r="OXY41" s="51"/>
      <c r="OXZ41" s="51"/>
      <c r="OYA41" s="51"/>
      <c r="OYB41" s="51"/>
      <c r="OYC41" s="51"/>
      <c r="OYD41" s="51"/>
      <c r="OYE41" s="51"/>
      <c r="OYF41" s="51"/>
      <c r="OYG41" s="51"/>
      <c r="OYH41" s="51"/>
      <c r="OYI41" s="51"/>
      <c r="OYJ41" s="51"/>
      <c r="OYK41" s="51"/>
      <c r="OYL41" s="51"/>
      <c r="OYM41" s="51"/>
      <c r="OYN41" s="51"/>
      <c r="OYO41" s="51"/>
      <c r="OYP41" s="51"/>
      <c r="OYQ41" s="51"/>
      <c r="OYR41" s="51"/>
      <c r="OYS41" s="51"/>
      <c r="OYT41" s="51"/>
      <c r="OYU41" s="51"/>
      <c r="OYV41" s="51"/>
      <c r="OYW41" s="51"/>
      <c r="OYX41" s="51"/>
      <c r="OYY41" s="51"/>
      <c r="OYZ41" s="51"/>
      <c r="OZA41" s="51"/>
      <c r="OZB41" s="51"/>
      <c r="OZC41" s="51"/>
      <c r="OZD41" s="51"/>
      <c r="OZE41" s="51"/>
      <c r="OZF41" s="51"/>
      <c r="OZG41" s="51"/>
      <c r="OZH41" s="51"/>
      <c r="OZI41" s="51"/>
      <c r="OZJ41" s="51"/>
      <c r="OZK41" s="51"/>
      <c r="OZL41" s="51"/>
      <c r="OZM41" s="51"/>
      <c r="OZN41" s="51"/>
      <c r="OZO41" s="51"/>
      <c r="OZP41" s="51"/>
      <c r="OZQ41" s="51"/>
      <c r="OZR41" s="51"/>
      <c r="OZS41" s="51"/>
      <c r="OZT41" s="51"/>
      <c r="OZU41" s="51"/>
      <c r="OZV41" s="51"/>
      <c r="OZW41" s="51"/>
      <c r="OZX41" s="51"/>
      <c r="OZY41" s="51"/>
      <c r="OZZ41" s="51"/>
      <c r="PAA41" s="51"/>
      <c r="PAB41" s="51"/>
      <c r="PAC41" s="51"/>
      <c r="PAD41" s="51"/>
      <c r="PAE41" s="51"/>
      <c r="PAF41" s="51"/>
      <c r="PAG41" s="51"/>
      <c r="PAH41" s="51"/>
      <c r="PAI41" s="51"/>
      <c r="PAJ41" s="51"/>
      <c r="PAK41" s="51"/>
      <c r="PAL41" s="51"/>
      <c r="PAM41" s="51"/>
      <c r="PAN41" s="51"/>
      <c r="PAO41" s="51"/>
      <c r="PAP41" s="51"/>
      <c r="PAQ41" s="51"/>
      <c r="PAR41" s="51"/>
      <c r="PAS41" s="51"/>
      <c r="PAT41" s="51"/>
      <c r="PAU41" s="51"/>
      <c r="PAV41" s="51"/>
      <c r="PAW41" s="51"/>
      <c r="PAX41" s="51"/>
      <c r="PAY41" s="51"/>
      <c r="PAZ41" s="51"/>
      <c r="PBA41" s="51"/>
      <c r="PBB41" s="51"/>
      <c r="PBC41" s="51"/>
      <c r="PBD41" s="51"/>
      <c r="PBE41" s="51"/>
      <c r="PBF41" s="51"/>
      <c r="PBG41" s="51"/>
      <c r="PBH41" s="51"/>
      <c r="PBI41" s="51"/>
      <c r="PBJ41" s="51"/>
      <c r="PBK41" s="51"/>
      <c r="PBL41" s="51"/>
      <c r="PBM41" s="51"/>
      <c r="PBN41" s="51"/>
      <c r="PBO41" s="51"/>
      <c r="PBP41" s="51"/>
      <c r="PBQ41" s="51"/>
      <c r="PBR41" s="51"/>
      <c r="PBS41" s="51"/>
      <c r="PBT41" s="51"/>
      <c r="PBU41" s="51"/>
      <c r="PBV41" s="51"/>
      <c r="PBW41" s="51"/>
      <c r="PBX41" s="51"/>
      <c r="PBY41" s="51"/>
      <c r="PBZ41" s="51"/>
      <c r="PCA41" s="51"/>
      <c r="PCB41" s="51"/>
      <c r="PCC41" s="51"/>
      <c r="PCD41" s="51"/>
      <c r="PCE41" s="51"/>
      <c r="PCF41" s="51"/>
      <c r="PCG41" s="51"/>
      <c r="PCH41" s="51"/>
      <c r="PCI41" s="51"/>
      <c r="PCJ41" s="51"/>
      <c r="PCK41" s="51"/>
      <c r="PCL41" s="51"/>
      <c r="PCM41" s="51"/>
      <c r="PCN41" s="51"/>
      <c r="PCO41" s="51"/>
      <c r="PCP41" s="51"/>
      <c r="PCQ41" s="51"/>
      <c r="PCR41" s="51"/>
      <c r="PCS41" s="51"/>
      <c r="PCT41" s="51"/>
      <c r="PCU41" s="51"/>
      <c r="PCV41" s="51"/>
      <c r="PCW41" s="51"/>
      <c r="PCX41" s="51"/>
      <c r="PCY41" s="51"/>
      <c r="PCZ41" s="51"/>
      <c r="PDA41" s="51"/>
      <c r="PDB41" s="51"/>
      <c r="PDC41" s="51"/>
      <c r="PDD41" s="51"/>
      <c r="PDE41" s="51"/>
      <c r="PDF41" s="51"/>
      <c r="PDG41" s="51"/>
      <c r="PDH41" s="51"/>
      <c r="PDI41" s="51"/>
      <c r="PDJ41" s="51"/>
      <c r="PDK41" s="51"/>
      <c r="PDL41" s="51"/>
      <c r="PDM41" s="51"/>
      <c r="PDN41" s="51"/>
      <c r="PDO41" s="51"/>
      <c r="PDP41" s="51"/>
      <c r="PDQ41" s="51"/>
      <c r="PDR41" s="51"/>
      <c r="PDS41" s="51"/>
      <c r="PDT41" s="51"/>
      <c r="PDU41" s="51"/>
      <c r="PDV41" s="51"/>
      <c r="PDW41" s="51"/>
      <c r="PDX41" s="51"/>
      <c r="PDY41" s="51"/>
      <c r="PDZ41" s="51"/>
      <c r="PEA41" s="51"/>
      <c r="PEB41" s="51"/>
      <c r="PEC41" s="51"/>
      <c r="PED41" s="51"/>
      <c r="PEE41" s="51"/>
      <c r="PEF41" s="51"/>
      <c r="PEG41" s="51"/>
      <c r="PEH41" s="51"/>
      <c r="PEI41" s="51"/>
      <c r="PEJ41" s="51"/>
      <c r="PEK41" s="51"/>
      <c r="PEL41" s="51"/>
      <c r="PEM41" s="51"/>
      <c r="PEN41" s="51"/>
      <c r="PEO41" s="51"/>
      <c r="PEP41" s="51"/>
      <c r="PEQ41" s="51"/>
      <c r="PER41" s="51"/>
      <c r="PES41" s="51"/>
      <c r="PET41" s="51"/>
      <c r="PEU41" s="51"/>
      <c r="PEV41" s="51"/>
      <c r="PEW41" s="51"/>
      <c r="PEX41" s="51"/>
      <c r="PEY41" s="51"/>
      <c r="PEZ41" s="51"/>
      <c r="PFA41" s="51"/>
      <c r="PFB41" s="51"/>
      <c r="PFC41" s="51"/>
      <c r="PFD41" s="51"/>
      <c r="PFE41" s="51"/>
      <c r="PFF41" s="51"/>
      <c r="PFG41" s="51"/>
      <c r="PFH41" s="51"/>
      <c r="PFI41" s="51"/>
      <c r="PFJ41" s="51"/>
      <c r="PFK41" s="51"/>
      <c r="PFL41" s="51"/>
      <c r="PFM41" s="51"/>
      <c r="PFN41" s="51"/>
      <c r="PFO41" s="51"/>
      <c r="PFP41" s="51"/>
      <c r="PFQ41" s="51"/>
      <c r="PFR41" s="51"/>
      <c r="PFS41" s="51"/>
      <c r="PFT41" s="51"/>
      <c r="PFU41" s="51"/>
      <c r="PFV41" s="51"/>
      <c r="PFW41" s="51"/>
      <c r="PFX41" s="51"/>
      <c r="PFY41" s="51"/>
      <c r="PFZ41" s="51"/>
      <c r="PGA41" s="51"/>
      <c r="PGB41" s="51"/>
      <c r="PGC41" s="51"/>
      <c r="PGD41" s="51"/>
      <c r="PGE41" s="51"/>
      <c r="PGF41" s="51"/>
      <c r="PGG41" s="51"/>
      <c r="PGH41" s="51"/>
      <c r="PGI41" s="51"/>
      <c r="PGJ41" s="51"/>
      <c r="PGK41" s="51"/>
      <c r="PGL41" s="51"/>
      <c r="PGM41" s="51"/>
      <c r="PGN41" s="51"/>
      <c r="PGO41" s="51"/>
      <c r="PGP41" s="51"/>
      <c r="PGQ41" s="51"/>
      <c r="PGR41" s="51"/>
      <c r="PGS41" s="51"/>
      <c r="PGT41" s="51"/>
      <c r="PGU41" s="51"/>
      <c r="PGV41" s="51"/>
      <c r="PGW41" s="51"/>
      <c r="PGX41" s="51"/>
      <c r="PGY41" s="51"/>
      <c r="PGZ41" s="51"/>
      <c r="PHA41" s="51"/>
      <c r="PHB41" s="51"/>
      <c r="PHC41" s="51"/>
      <c r="PHD41" s="51"/>
      <c r="PHE41" s="51"/>
      <c r="PHF41" s="51"/>
      <c r="PHG41" s="51"/>
      <c r="PHH41" s="51"/>
      <c r="PHI41" s="51"/>
      <c r="PHJ41" s="51"/>
      <c r="PHK41" s="51"/>
      <c r="PHL41" s="51"/>
      <c r="PHM41" s="51"/>
      <c r="PHN41" s="51"/>
      <c r="PHO41" s="51"/>
      <c r="PHP41" s="51"/>
      <c r="PHQ41" s="51"/>
      <c r="PHR41" s="51"/>
      <c r="PHS41" s="51"/>
      <c r="PHT41" s="51"/>
      <c r="PHU41" s="51"/>
      <c r="PHV41" s="51"/>
      <c r="PHW41" s="51"/>
      <c r="PHX41" s="51"/>
      <c r="PHY41" s="51"/>
      <c r="PHZ41" s="51"/>
      <c r="PIA41" s="51"/>
      <c r="PIB41" s="51"/>
      <c r="PIC41" s="51"/>
      <c r="PID41" s="51"/>
      <c r="PIE41" s="51"/>
      <c r="PIF41" s="51"/>
      <c r="PIG41" s="51"/>
      <c r="PIH41" s="51"/>
      <c r="PII41" s="51"/>
      <c r="PIJ41" s="51"/>
      <c r="PIK41" s="51"/>
      <c r="PIL41" s="51"/>
      <c r="PIM41" s="51"/>
      <c r="PIN41" s="51"/>
      <c r="PIO41" s="51"/>
      <c r="PIP41" s="51"/>
      <c r="PIQ41" s="51"/>
      <c r="PIR41" s="51"/>
      <c r="PIS41" s="51"/>
      <c r="PIT41" s="51"/>
      <c r="PIU41" s="51"/>
      <c r="PIV41" s="51"/>
      <c r="PIW41" s="51"/>
      <c r="PIX41" s="51"/>
      <c r="PIY41" s="51"/>
      <c r="PIZ41" s="51"/>
      <c r="PJA41" s="51"/>
      <c r="PJB41" s="51"/>
      <c r="PJC41" s="51"/>
      <c r="PJD41" s="51"/>
      <c r="PJE41" s="51"/>
      <c r="PJF41" s="51"/>
      <c r="PJG41" s="51"/>
      <c r="PJH41" s="51"/>
      <c r="PJI41" s="51"/>
      <c r="PJJ41" s="51"/>
      <c r="PJK41" s="51"/>
      <c r="PJL41" s="51"/>
      <c r="PJM41" s="51"/>
      <c r="PJN41" s="51"/>
      <c r="PJO41" s="51"/>
      <c r="PJP41" s="51"/>
      <c r="PJQ41" s="51"/>
      <c r="PJR41" s="51"/>
      <c r="PJS41" s="51"/>
      <c r="PJT41" s="51"/>
      <c r="PJU41" s="51"/>
      <c r="PJV41" s="51"/>
      <c r="PJW41" s="51"/>
      <c r="PJX41" s="51"/>
      <c r="PJY41" s="51"/>
      <c r="PJZ41" s="51"/>
      <c r="PKA41" s="51"/>
      <c r="PKB41" s="51"/>
      <c r="PKC41" s="51"/>
      <c r="PKD41" s="51"/>
      <c r="PKE41" s="51"/>
      <c r="PKF41" s="51"/>
      <c r="PKG41" s="51"/>
      <c r="PKH41" s="51"/>
      <c r="PKI41" s="51"/>
      <c r="PKJ41" s="51"/>
      <c r="PKK41" s="51"/>
      <c r="PKL41" s="51"/>
      <c r="PKM41" s="51"/>
      <c r="PKN41" s="51"/>
      <c r="PKO41" s="51"/>
      <c r="PKP41" s="51"/>
      <c r="PKQ41" s="51"/>
      <c r="PKR41" s="51"/>
      <c r="PKS41" s="51"/>
      <c r="PKT41" s="51"/>
      <c r="PKU41" s="51"/>
      <c r="PKV41" s="51"/>
      <c r="PKW41" s="51"/>
      <c r="PKX41" s="51"/>
      <c r="PKY41" s="51"/>
      <c r="PKZ41" s="51"/>
      <c r="PLA41" s="51"/>
      <c r="PLB41" s="51"/>
      <c r="PLC41" s="51"/>
      <c r="PLD41" s="51"/>
      <c r="PLE41" s="51"/>
      <c r="PLF41" s="51"/>
      <c r="PLG41" s="51"/>
      <c r="PLH41" s="51"/>
      <c r="PLI41" s="51"/>
      <c r="PLJ41" s="51"/>
      <c r="PLK41" s="51"/>
      <c r="PLL41" s="51"/>
      <c r="PLM41" s="51"/>
      <c r="PLN41" s="51"/>
      <c r="PLO41" s="51"/>
      <c r="PLP41" s="51"/>
      <c r="PLQ41" s="51"/>
      <c r="PLR41" s="51"/>
      <c r="PLS41" s="51"/>
      <c r="PLT41" s="51"/>
      <c r="PLU41" s="51"/>
      <c r="PLV41" s="51"/>
      <c r="PLW41" s="51"/>
      <c r="PLX41" s="51"/>
      <c r="PLY41" s="51"/>
      <c r="PLZ41" s="51"/>
      <c r="PMA41" s="51"/>
      <c r="PMB41" s="51"/>
      <c r="PMC41" s="51"/>
      <c r="PMD41" s="51"/>
      <c r="PME41" s="51"/>
      <c r="PMF41" s="51"/>
      <c r="PMG41" s="51"/>
      <c r="PMH41" s="51"/>
      <c r="PMI41" s="51"/>
      <c r="PMJ41" s="51"/>
      <c r="PMK41" s="51"/>
      <c r="PML41" s="51"/>
      <c r="PMM41" s="51"/>
      <c r="PMN41" s="51"/>
      <c r="PMO41" s="51"/>
      <c r="PMP41" s="51"/>
      <c r="PMQ41" s="51"/>
      <c r="PMR41" s="51"/>
      <c r="PMS41" s="51"/>
      <c r="PMT41" s="51"/>
      <c r="PMU41" s="51"/>
      <c r="PMV41" s="51"/>
      <c r="PMW41" s="51"/>
      <c r="PMX41" s="51"/>
      <c r="PMY41" s="51"/>
      <c r="PMZ41" s="51"/>
      <c r="PNA41" s="51"/>
      <c r="PNB41" s="51"/>
      <c r="PNC41" s="51"/>
      <c r="PND41" s="51"/>
      <c r="PNE41" s="51"/>
      <c r="PNF41" s="51"/>
      <c r="PNG41" s="51"/>
      <c r="PNH41" s="51"/>
      <c r="PNI41" s="51"/>
      <c r="PNJ41" s="51"/>
      <c r="PNK41" s="51"/>
      <c r="PNL41" s="51"/>
      <c r="PNM41" s="51"/>
      <c r="PNN41" s="51"/>
      <c r="PNO41" s="51"/>
      <c r="PNP41" s="51"/>
      <c r="PNQ41" s="51"/>
      <c r="PNR41" s="51"/>
      <c r="PNS41" s="51"/>
      <c r="PNT41" s="51"/>
      <c r="PNU41" s="51"/>
      <c r="PNV41" s="51"/>
      <c r="PNW41" s="51"/>
      <c r="PNX41" s="51"/>
      <c r="PNY41" s="51"/>
      <c r="PNZ41" s="51"/>
      <c r="POA41" s="51"/>
      <c r="POB41" s="51"/>
      <c r="POC41" s="51"/>
      <c r="POD41" s="51"/>
      <c r="POE41" s="51"/>
      <c r="POF41" s="51"/>
      <c r="POG41" s="51"/>
      <c r="POH41" s="51"/>
      <c r="POI41" s="51"/>
      <c r="POJ41" s="51"/>
      <c r="POK41" s="51"/>
      <c r="POL41" s="51"/>
      <c r="POM41" s="51"/>
      <c r="PON41" s="51"/>
      <c r="POO41" s="51"/>
      <c r="POP41" s="51"/>
      <c r="POQ41" s="51"/>
      <c r="POR41" s="51"/>
      <c r="POS41" s="51"/>
      <c r="POT41" s="51"/>
      <c r="POU41" s="51"/>
      <c r="POV41" s="51"/>
      <c r="POW41" s="51"/>
      <c r="POX41" s="51"/>
      <c r="POY41" s="51"/>
      <c r="POZ41" s="51"/>
      <c r="PPA41" s="51"/>
      <c r="PPB41" s="51"/>
      <c r="PPC41" s="51"/>
      <c r="PPD41" s="51"/>
      <c r="PPE41" s="51"/>
      <c r="PPF41" s="51"/>
      <c r="PPG41" s="51"/>
      <c r="PPH41" s="51"/>
      <c r="PPI41" s="51"/>
      <c r="PPJ41" s="51"/>
      <c r="PPK41" s="51"/>
      <c r="PPL41" s="51"/>
      <c r="PPM41" s="51"/>
      <c r="PPN41" s="51"/>
      <c r="PPO41" s="51"/>
      <c r="PPP41" s="51"/>
      <c r="PPQ41" s="51"/>
      <c r="PPR41" s="51"/>
      <c r="PPS41" s="51"/>
      <c r="PPT41" s="51"/>
      <c r="PPU41" s="51"/>
      <c r="PPV41" s="51"/>
      <c r="PPW41" s="51"/>
      <c r="PPX41" s="51"/>
      <c r="PPY41" s="51"/>
      <c r="PPZ41" s="51"/>
      <c r="PQA41" s="51"/>
      <c r="PQB41" s="51"/>
      <c r="PQC41" s="51"/>
      <c r="PQD41" s="51"/>
      <c r="PQE41" s="51"/>
      <c r="PQF41" s="51"/>
      <c r="PQG41" s="51"/>
      <c r="PQH41" s="51"/>
      <c r="PQI41" s="51"/>
      <c r="PQJ41" s="51"/>
      <c r="PQK41" s="51"/>
      <c r="PQL41" s="51"/>
      <c r="PQM41" s="51"/>
      <c r="PQN41" s="51"/>
      <c r="PQO41" s="51"/>
      <c r="PQP41" s="51"/>
      <c r="PQQ41" s="51"/>
      <c r="PQR41" s="51"/>
      <c r="PQS41" s="51"/>
      <c r="PQT41" s="51"/>
      <c r="PQU41" s="51"/>
      <c r="PQV41" s="51"/>
      <c r="PQW41" s="51"/>
      <c r="PQX41" s="51"/>
      <c r="PQY41" s="51"/>
      <c r="PQZ41" s="51"/>
      <c r="PRA41" s="51"/>
      <c r="PRB41" s="51"/>
      <c r="PRC41" s="51"/>
      <c r="PRD41" s="51"/>
      <c r="PRE41" s="51"/>
      <c r="PRF41" s="51"/>
      <c r="PRG41" s="51"/>
      <c r="PRH41" s="51"/>
      <c r="PRI41" s="51"/>
      <c r="PRJ41" s="51"/>
      <c r="PRK41" s="51"/>
      <c r="PRL41" s="51"/>
      <c r="PRM41" s="51"/>
      <c r="PRN41" s="51"/>
      <c r="PRO41" s="51"/>
      <c r="PRP41" s="51"/>
      <c r="PRQ41" s="51"/>
      <c r="PRR41" s="51"/>
      <c r="PRS41" s="51"/>
      <c r="PRT41" s="51"/>
      <c r="PRU41" s="51"/>
      <c r="PRV41" s="51"/>
      <c r="PRW41" s="51"/>
      <c r="PRX41" s="51"/>
      <c r="PRY41" s="51"/>
      <c r="PRZ41" s="51"/>
      <c r="PSA41" s="51"/>
      <c r="PSB41" s="51"/>
      <c r="PSC41" s="51"/>
      <c r="PSD41" s="51"/>
      <c r="PSE41" s="51"/>
      <c r="PSF41" s="51"/>
      <c r="PSG41" s="51"/>
      <c r="PSH41" s="51"/>
      <c r="PSI41" s="51"/>
      <c r="PSJ41" s="51"/>
      <c r="PSK41" s="51"/>
      <c r="PSL41" s="51"/>
      <c r="PSM41" s="51"/>
      <c r="PSN41" s="51"/>
      <c r="PSO41" s="51"/>
      <c r="PSP41" s="51"/>
      <c r="PSQ41" s="51"/>
      <c r="PSR41" s="51"/>
      <c r="PSS41" s="51"/>
      <c r="PST41" s="51"/>
      <c r="PSU41" s="51"/>
      <c r="PSV41" s="51"/>
      <c r="PSW41" s="51"/>
      <c r="PSX41" s="51"/>
      <c r="PSY41" s="51"/>
      <c r="PSZ41" s="51"/>
      <c r="PTA41" s="51"/>
      <c r="PTB41" s="51"/>
      <c r="PTC41" s="51"/>
      <c r="PTD41" s="51"/>
      <c r="PTE41" s="51"/>
      <c r="PTF41" s="51"/>
      <c r="PTG41" s="51"/>
      <c r="PTH41" s="51"/>
      <c r="PTI41" s="51"/>
      <c r="PTJ41" s="51"/>
      <c r="PTK41" s="51"/>
      <c r="PTL41" s="51"/>
      <c r="PTM41" s="51"/>
      <c r="PTN41" s="51"/>
      <c r="PTO41" s="51"/>
      <c r="PTP41" s="51"/>
      <c r="PTQ41" s="51"/>
      <c r="PTR41" s="51"/>
      <c r="PTS41" s="51"/>
      <c r="PTT41" s="51"/>
      <c r="PTU41" s="51"/>
      <c r="PTV41" s="51"/>
      <c r="PTW41" s="51"/>
      <c r="PTX41" s="51"/>
      <c r="PTY41" s="51"/>
      <c r="PTZ41" s="51"/>
      <c r="PUA41" s="51"/>
      <c r="PUB41" s="51"/>
      <c r="PUC41" s="51"/>
      <c r="PUD41" s="51"/>
      <c r="PUE41" s="51"/>
      <c r="PUF41" s="51"/>
      <c r="PUG41" s="51"/>
      <c r="PUH41" s="51"/>
      <c r="PUI41" s="51"/>
      <c r="PUJ41" s="51"/>
      <c r="PUK41" s="51"/>
      <c r="PUL41" s="51"/>
      <c r="PUM41" s="51"/>
      <c r="PUN41" s="51"/>
      <c r="PUO41" s="51"/>
      <c r="PUP41" s="51"/>
      <c r="PUQ41" s="51"/>
      <c r="PUR41" s="51"/>
      <c r="PUS41" s="51"/>
      <c r="PUT41" s="51"/>
      <c r="PUU41" s="51"/>
      <c r="PUV41" s="51"/>
      <c r="PUW41" s="51"/>
      <c r="PUX41" s="51"/>
      <c r="PUY41" s="51"/>
      <c r="PUZ41" s="51"/>
      <c r="PVA41" s="51"/>
      <c r="PVB41" s="51"/>
      <c r="PVC41" s="51"/>
      <c r="PVD41" s="51"/>
      <c r="PVE41" s="51"/>
      <c r="PVF41" s="51"/>
      <c r="PVG41" s="51"/>
      <c r="PVH41" s="51"/>
      <c r="PVI41" s="51"/>
      <c r="PVJ41" s="51"/>
      <c r="PVK41" s="51"/>
      <c r="PVL41" s="51"/>
      <c r="PVM41" s="51"/>
      <c r="PVN41" s="51"/>
      <c r="PVO41" s="51"/>
      <c r="PVP41" s="51"/>
      <c r="PVQ41" s="51"/>
      <c r="PVR41" s="51"/>
      <c r="PVS41" s="51"/>
      <c r="PVT41" s="51"/>
      <c r="PVU41" s="51"/>
      <c r="PVV41" s="51"/>
      <c r="PVW41" s="51"/>
      <c r="PVX41" s="51"/>
      <c r="PVY41" s="51"/>
      <c r="PVZ41" s="51"/>
      <c r="PWA41" s="51"/>
      <c r="PWB41" s="51"/>
      <c r="PWC41" s="51"/>
      <c r="PWD41" s="51"/>
      <c r="PWE41" s="51"/>
      <c r="PWF41" s="51"/>
      <c r="PWG41" s="51"/>
      <c r="PWH41" s="51"/>
      <c r="PWI41" s="51"/>
      <c r="PWJ41" s="51"/>
      <c r="PWK41" s="51"/>
      <c r="PWL41" s="51"/>
      <c r="PWM41" s="51"/>
      <c r="PWN41" s="51"/>
      <c r="PWO41" s="51"/>
      <c r="PWP41" s="51"/>
      <c r="PWQ41" s="51"/>
      <c r="PWR41" s="51"/>
      <c r="PWS41" s="51"/>
      <c r="PWT41" s="51"/>
      <c r="PWU41" s="51"/>
      <c r="PWV41" s="51"/>
      <c r="PWW41" s="51"/>
      <c r="PWX41" s="51"/>
      <c r="PWY41" s="51"/>
      <c r="PWZ41" s="51"/>
      <c r="PXA41" s="51"/>
      <c r="PXB41" s="51"/>
      <c r="PXC41" s="51"/>
      <c r="PXD41" s="51"/>
      <c r="PXE41" s="51"/>
      <c r="PXF41" s="51"/>
      <c r="PXG41" s="51"/>
      <c r="PXH41" s="51"/>
      <c r="PXI41" s="51"/>
      <c r="PXJ41" s="51"/>
      <c r="PXK41" s="51"/>
      <c r="PXL41" s="51"/>
      <c r="PXM41" s="51"/>
      <c r="PXN41" s="51"/>
      <c r="PXO41" s="51"/>
      <c r="PXP41" s="51"/>
      <c r="PXQ41" s="51"/>
      <c r="PXR41" s="51"/>
      <c r="PXS41" s="51"/>
      <c r="PXT41" s="51"/>
      <c r="PXU41" s="51"/>
      <c r="PXV41" s="51"/>
      <c r="PXW41" s="51"/>
      <c r="PXX41" s="51"/>
      <c r="PXY41" s="51"/>
      <c r="PXZ41" s="51"/>
      <c r="PYA41" s="51"/>
      <c r="PYB41" s="51"/>
      <c r="PYC41" s="51"/>
      <c r="PYD41" s="51"/>
      <c r="PYE41" s="51"/>
      <c r="PYF41" s="51"/>
      <c r="PYG41" s="51"/>
      <c r="PYH41" s="51"/>
      <c r="PYI41" s="51"/>
      <c r="PYJ41" s="51"/>
      <c r="PYK41" s="51"/>
      <c r="PYL41" s="51"/>
      <c r="PYM41" s="51"/>
      <c r="PYN41" s="51"/>
      <c r="PYO41" s="51"/>
      <c r="PYP41" s="51"/>
      <c r="PYQ41" s="51"/>
      <c r="PYR41" s="51"/>
      <c r="PYS41" s="51"/>
      <c r="PYT41" s="51"/>
      <c r="PYU41" s="51"/>
      <c r="PYV41" s="51"/>
      <c r="PYW41" s="51"/>
      <c r="PYX41" s="51"/>
      <c r="PYY41" s="51"/>
      <c r="PYZ41" s="51"/>
      <c r="PZA41" s="51"/>
      <c r="PZB41" s="51"/>
      <c r="PZC41" s="51"/>
      <c r="PZD41" s="51"/>
      <c r="PZE41" s="51"/>
      <c r="PZF41" s="51"/>
      <c r="PZG41" s="51"/>
      <c r="PZH41" s="51"/>
      <c r="PZI41" s="51"/>
      <c r="PZJ41" s="51"/>
      <c r="PZK41" s="51"/>
      <c r="PZL41" s="51"/>
      <c r="PZM41" s="51"/>
      <c r="PZN41" s="51"/>
      <c r="PZO41" s="51"/>
      <c r="PZP41" s="51"/>
      <c r="PZQ41" s="51"/>
      <c r="PZR41" s="51"/>
      <c r="PZS41" s="51"/>
      <c r="PZT41" s="51"/>
      <c r="PZU41" s="51"/>
      <c r="PZV41" s="51"/>
      <c r="PZW41" s="51"/>
      <c r="PZX41" s="51"/>
      <c r="PZY41" s="51"/>
      <c r="PZZ41" s="51"/>
      <c r="QAA41" s="51"/>
      <c r="QAB41" s="51"/>
      <c r="QAC41" s="51"/>
      <c r="QAD41" s="51"/>
      <c r="QAE41" s="51"/>
      <c r="QAF41" s="51"/>
      <c r="QAG41" s="51"/>
      <c r="QAH41" s="51"/>
      <c r="QAI41" s="51"/>
      <c r="QAJ41" s="51"/>
      <c r="QAK41" s="51"/>
      <c r="QAL41" s="51"/>
      <c r="QAM41" s="51"/>
      <c r="QAN41" s="51"/>
      <c r="QAO41" s="51"/>
      <c r="QAP41" s="51"/>
      <c r="QAQ41" s="51"/>
      <c r="QAR41" s="51"/>
      <c r="QAS41" s="51"/>
      <c r="QAT41" s="51"/>
      <c r="QAU41" s="51"/>
      <c r="QAV41" s="51"/>
      <c r="QAW41" s="51"/>
      <c r="QAX41" s="51"/>
      <c r="QAY41" s="51"/>
      <c r="QAZ41" s="51"/>
      <c r="QBA41" s="51"/>
      <c r="QBB41" s="51"/>
      <c r="QBC41" s="51"/>
      <c r="QBD41" s="51"/>
      <c r="QBE41" s="51"/>
      <c r="QBF41" s="51"/>
      <c r="QBG41" s="51"/>
      <c r="QBH41" s="51"/>
      <c r="QBI41" s="51"/>
      <c r="QBJ41" s="51"/>
      <c r="QBK41" s="51"/>
      <c r="QBL41" s="51"/>
      <c r="QBM41" s="51"/>
      <c r="QBN41" s="51"/>
      <c r="QBO41" s="51"/>
      <c r="QBP41" s="51"/>
      <c r="QBQ41" s="51"/>
      <c r="QBR41" s="51"/>
      <c r="QBS41" s="51"/>
      <c r="QBT41" s="51"/>
      <c r="QBU41" s="51"/>
      <c r="QBV41" s="51"/>
      <c r="QBW41" s="51"/>
      <c r="QBX41" s="51"/>
      <c r="QBY41" s="51"/>
      <c r="QBZ41" s="51"/>
      <c r="QCA41" s="51"/>
      <c r="QCB41" s="51"/>
      <c r="QCC41" s="51"/>
      <c r="QCD41" s="51"/>
      <c r="QCE41" s="51"/>
      <c r="QCF41" s="51"/>
      <c r="QCG41" s="51"/>
      <c r="QCH41" s="51"/>
      <c r="QCI41" s="51"/>
      <c r="QCJ41" s="51"/>
      <c r="QCK41" s="51"/>
      <c r="QCL41" s="51"/>
      <c r="QCM41" s="51"/>
      <c r="QCN41" s="51"/>
      <c r="QCO41" s="51"/>
      <c r="QCP41" s="51"/>
      <c r="QCQ41" s="51"/>
      <c r="QCR41" s="51"/>
      <c r="QCS41" s="51"/>
      <c r="QCT41" s="51"/>
      <c r="QCU41" s="51"/>
      <c r="QCV41" s="51"/>
      <c r="QCW41" s="51"/>
      <c r="QCX41" s="51"/>
      <c r="QCY41" s="51"/>
      <c r="QCZ41" s="51"/>
      <c r="QDA41" s="51"/>
      <c r="QDB41" s="51"/>
      <c r="QDC41" s="51"/>
      <c r="QDD41" s="51"/>
      <c r="QDE41" s="51"/>
      <c r="QDF41" s="51"/>
      <c r="QDG41" s="51"/>
      <c r="QDH41" s="51"/>
      <c r="QDI41" s="51"/>
      <c r="QDJ41" s="51"/>
      <c r="QDK41" s="51"/>
      <c r="QDL41" s="51"/>
      <c r="QDM41" s="51"/>
      <c r="QDN41" s="51"/>
      <c r="QDO41" s="51"/>
      <c r="QDP41" s="51"/>
      <c r="QDQ41" s="51"/>
      <c r="QDR41" s="51"/>
      <c r="QDS41" s="51"/>
      <c r="QDT41" s="51"/>
      <c r="QDU41" s="51"/>
      <c r="QDV41" s="51"/>
      <c r="QDW41" s="51"/>
      <c r="QDX41" s="51"/>
      <c r="QDY41" s="51"/>
      <c r="QDZ41" s="51"/>
      <c r="QEA41" s="51"/>
      <c r="QEB41" s="51"/>
      <c r="QEC41" s="51"/>
      <c r="QED41" s="51"/>
      <c r="QEE41" s="51"/>
      <c r="QEF41" s="51"/>
      <c r="QEG41" s="51"/>
      <c r="QEH41" s="51"/>
      <c r="QEI41" s="51"/>
      <c r="QEJ41" s="51"/>
      <c r="QEK41" s="51"/>
      <c r="QEL41" s="51"/>
      <c r="QEM41" s="51"/>
      <c r="QEN41" s="51"/>
      <c r="QEO41" s="51"/>
      <c r="QEP41" s="51"/>
      <c r="QEQ41" s="51"/>
      <c r="QER41" s="51"/>
      <c r="QES41" s="51"/>
      <c r="QET41" s="51"/>
      <c r="QEU41" s="51"/>
      <c r="QEV41" s="51"/>
      <c r="QEW41" s="51"/>
      <c r="QEX41" s="51"/>
      <c r="QEY41" s="51"/>
      <c r="QEZ41" s="51"/>
      <c r="QFA41" s="51"/>
      <c r="QFB41" s="51"/>
      <c r="QFC41" s="51"/>
      <c r="QFD41" s="51"/>
      <c r="QFE41" s="51"/>
      <c r="QFF41" s="51"/>
      <c r="QFG41" s="51"/>
      <c r="QFH41" s="51"/>
      <c r="QFI41" s="51"/>
      <c r="QFJ41" s="51"/>
      <c r="QFK41" s="51"/>
      <c r="QFL41" s="51"/>
      <c r="QFM41" s="51"/>
      <c r="QFN41" s="51"/>
      <c r="QFO41" s="51"/>
      <c r="QFP41" s="51"/>
      <c r="QFQ41" s="51"/>
      <c r="QFR41" s="51"/>
      <c r="QFS41" s="51"/>
      <c r="QFT41" s="51"/>
      <c r="QFU41" s="51"/>
      <c r="QFV41" s="51"/>
      <c r="QFW41" s="51"/>
      <c r="QFX41" s="51"/>
      <c r="QFY41" s="51"/>
      <c r="QFZ41" s="51"/>
      <c r="QGA41" s="51"/>
      <c r="QGB41" s="51"/>
      <c r="QGC41" s="51"/>
      <c r="QGD41" s="51"/>
      <c r="QGE41" s="51"/>
      <c r="QGF41" s="51"/>
      <c r="QGG41" s="51"/>
      <c r="QGH41" s="51"/>
      <c r="QGI41" s="51"/>
      <c r="QGJ41" s="51"/>
      <c r="QGK41" s="51"/>
      <c r="QGL41" s="51"/>
      <c r="QGM41" s="51"/>
      <c r="QGN41" s="51"/>
      <c r="QGO41" s="51"/>
      <c r="QGP41" s="51"/>
      <c r="QGQ41" s="51"/>
      <c r="QGR41" s="51"/>
      <c r="QGS41" s="51"/>
      <c r="QGT41" s="51"/>
      <c r="QGU41" s="51"/>
      <c r="QGV41" s="51"/>
      <c r="QGW41" s="51"/>
      <c r="QGX41" s="51"/>
      <c r="QGY41" s="51"/>
      <c r="QGZ41" s="51"/>
      <c r="QHA41" s="51"/>
      <c r="QHB41" s="51"/>
      <c r="QHC41" s="51"/>
      <c r="QHD41" s="51"/>
      <c r="QHE41" s="51"/>
      <c r="QHF41" s="51"/>
      <c r="QHG41" s="51"/>
      <c r="QHH41" s="51"/>
      <c r="QHI41" s="51"/>
      <c r="QHJ41" s="51"/>
      <c r="QHK41" s="51"/>
      <c r="QHL41" s="51"/>
      <c r="QHM41" s="51"/>
      <c r="QHN41" s="51"/>
      <c r="QHO41" s="51"/>
      <c r="QHP41" s="51"/>
      <c r="QHQ41" s="51"/>
      <c r="QHR41" s="51"/>
      <c r="QHS41" s="51"/>
      <c r="QHT41" s="51"/>
      <c r="QHU41" s="51"/>
      <c r="QHV41" s="51"/>
      <c r="QHW41" s="51"/>
      <c r="QHX41" s="51"/>
      <c r="QHY41" s="51"/>
      <c r="QHZ41" s="51"/>
      <c r="QIA41" s="51"/>
      <c r="QIB41" s="51"/>
      <c r="QIC41" s="51"/>
      <c r="QID41" s="51"/>
      <c r="QIE41" s="51"/>
      <c r="QIF41" s="51"/>
      <c r="QIG41" s="51"/>
      <c r="QIH41" s="51"/>
      <c r="QII41" s="51"/>
      <c r="QIJ41" s="51"/>
      <c r="QIK41" s="51"/>
      <c r="QIL41" s="51"/>
      <c r="QIM41" s="51"/>
      <c r="QIN41" s="51"/>
      <c r="QIO41" s="51"/>
      <c r="QIP41" s="51"/>
      <c r="QIQ41" s="51"/>
      <c r="QIR41" s="51"/>
      <c r="QIS41" s="51"/>
      <c r="QIT41" s="51"/>
      <c r="QIU41" s="51"/>
      <c r="QIV41" s="51"/>
      <c r="QIW41" s="51"/>
      <c r="QIX41" s="51"/>
      <c r="QIY41" s="51"/>
      <c r="QIZ41" s="51"/>
      <c r="QJA41" s="51"/>
      <c r="QJB41" s="51"/>
      <c r="QJC41" s="51"/>
      <c r="QJD41" s="51"/>
      <c r="QJE41" s="51"/>
      <c r="QJF41" s="51"/>
      <c r="QJG41" s="51"/>
      <c r="QJH41" s="51"/>
      <c r="QJI41" s="51"/>
      <c r="QJJ41" s="51"/>
      <c r="QJK41" s="51"/>
      <c r="QJL41" s="51"/>
      <c r="QJM41" s="51"/>
      <c r="QJN41" s="51"/>
      <c r="QJO41" s="51"/>
      <c r="QJP41" s="51"/>
      <c r="QJQ41" s="51"/>
      <c r="QJR41" s="51"/>
      <c r="QJS41" s="51"/>
      <c r="QJT41" s="51"/>
      <c r="QJU41" s="51"/>
      <c r="QJV41" s="51"/>
      <c r="QJW41" s="51"/>
      <c r="QJX41" s="51"/>
      <c r="QJY41" s="51"/>
      <c r="QJZ41" s="51"/>
      <c r="QKA41" s="51"/>
      <c r="QKB41" s="51"/>
      <c r="QKC41" s="51"/>
      <c r="QKD41" s="51"/>
      <c r="QKE41" s="51"/>
      <c r="QKF41" s="51"/>
      <c r="QKG41" s="51"/>
      <c r="QKH41" s="51"/>
      <c r="QKI41" s="51"/>
      <c r="QKJ41" s="51"/>
      <c r="QKK41" s="51"/>
      <c r="QKL41" s="51"/>
      <c r="QKM41" s="51"/>
      <c r="QKN41" s="51"/>
      <c r="QKO41" s="51"/>
      <c r="QKP41" s="51"/>
      <c r="QKQ41" s="51"/>
      <c r="QKR41" s="51"/>
      <c r="QKS41" s="51"/>
      <c r="QKT41" s="51"/>
      <c r="QKU41" s="51"/>
      <c r="QKV41" s="51"/>
      <c r="QKW41" s="51"/>
      <c r="QKX41" s="51"/>
      <c r="QKY41" s="51"/>
      <c r="QKZ41" s="51"/>
      <c r="QLA41" s="51"/>
      <c r="QLB41" s="51"/>
      <c r="QLC41" s="51"/>
      <c r="QLD41" s="51"/>
      <c r="QLE41" s="51"/>
      <c r="QLF41" s="51"/>
      <c r="QLG41" s="51"/>
      <c r="QLH41" s="51"/>
      <c r="QLI41" s="51"/>
      <c r="QLJ41" s="51"/>
      <c r="QLK41" s="51"/>
      <c r="QLL41" s="51"/>
      <c r="QLM41" s="51"/>
      <c r="QLN41" s="51"/>
      <c r="QLO41" s="51"/>
      <c r="QLP41" s="51"/>
      <c r="QLQ41" s="51"/>
      <c r="QLR41" s="51"/>
      <c r="QLS41" s="51"/>
      <c r="QLT41" s="51"/>
      <c r="QLU41" s="51"/>
      <c r="QLV41" s="51"/>
      <c r="QLW41" s="51"/>
      <c r="QLX41" s="51"/>
      <c r="QLY41" s="51"/>
      <c r="QLZ41" s="51"/>
      <c r="QMA41" s="51"/>
      <c r="QMB41" s="51"/>
      <c r="QMC41" s="51"/>
      <c r="QMD41" s="51"/>
      <c r="QME41" s="51"/>
      <c r="QMF41" s="51"/>
      <c r="QMG41" s="51"/>
      <c r="QMH41" s="51"/>
      <c r="QMI41" s="51"/>
      <c r="QMJ41" s="51"/>
      <c r="QMK41" s="51"/>
      <c r="QML41" s="51"/>
      <c r="QMM41" s="51"/>
      <c r="QMN41" s="51"/>
      <c r="QMO41" s="51"/>
      <c r="QMP41" s="51"/>
      <c r="QMQ41" s="51"/>
      <c r="QMR41" s="51"/>
      <c r="QMS41" s="51"/>
      <c r="QMT41" s="51"/>
      <c r="QMU41" s="51"/>
      <c r="QMV41" s="51"/>
      <c r="QMW41" s="51"/>
      <c r="QMX41" s="51"/>
      <c r="QMY41" s="51"/>
      <c r="QMZ41" s="51"/>
      <c r="QNA41" s="51"/>
      <c r="QNB41" s="51"/>
      <c r="QNC41" s="51"/>
      <c r="QND41" s="51"/>
      <c r="QNE41" s="51"/>
      <c r="QNF41" s="51"/>
      <c r="QNG41" s="51"/>
      <c r="QNH41" s="51"/>
      <c r="QNI41" s="51"/>
      <c r="QNJ41" s="51"/>
      <c r="QNK41" s="51"/>
      <c r="QNL41" s="51"/>
      <c r="QNM41" s="51"/>
      <c r="QNN41" s="51"/>
      <c r="QNO41" s="51"/>
      <c r="QNP41" s="51"/>
      <c r="QNQ41" s="51"/>
      <c r="QNR41" s="51"/>
      <c r="QNS41" s="51"/>
      <c r="QNT41" s="51"/>
      <c r="QNU41" s="51"/>
      <c r="QNV41" s="51"/>
      <c r="QNW41" s="51"/>
      <c r="QNX41" s="51"/>
      <c r="QNY41" s="51"/>
      <c r="QNZ41" s="51"/>
      <c r="QOA41" s="51"/>
      <c r="QOB41" s="51"/>
      <c r="QOC41" s="51"/>
      <c r="QOD41" s="51"/>
      <c r="QOE41" s="51"/>
      <c r="QOF41" s="51"/>
      <c r="QOG41" s="51"/>
      <c r="QOH41" s="51"/>
      <c r="QOI41" s="51"/>
      <c r="QOJ41" s="51"/>
      <c r="QOK41" s="51"/>
      <c r="QOL41" s="51"/>
      <c r="QOM41" s="51"/>
      <c r="QON41" s="51"/>
      <c r="QOO41" s="51"/>
      <c r="QOP41" s="51"/>
      <c r="QOQ41" s="51"/>
      <c r="QOR41" s="51"/>
      <c r="QOS41" s="51"/>
      <c r="QOT41" s="51"/>
      <c r="QOU41" s="51"/>
      <c r="QOV41" s="51"/>
      <c r="QOW41" s="51"/>
      <c r="QOX41" s="51"/>
      <c r="QOY41" s="51"/>
      <c r="QOZ41" s="51"/>
      <c r="QPA41" s="51"/>
      <c r="QPB41" s="51"/>
      <c r="QPC41" s="51"/>
      <c r="QPD41" s="51"/>
      <c r="QPE41" s="51"/>
      <c r="QPF41" s="51"/>
      <c r="QPG41" s="51"/>
      <c r="QPH41" s="51"/>
      <c r="QPI41" s="51"/>
      <c r="QPJ41" s="51"/>
      <c r="QPK41" s="51"/>
      <c r="QPL41" s="51"/>
      <c r="QPM41" s="51"/>
      <c r="QPN41" s="51"/>
      <c r="QPO41" s="51"/>
      <c r="QPP41" s="51"/>
      <c r="QPQ41" s="51"/>
      <c r="QPR41" s="51"/>
      <c r="QPS41" s="51"/>
      <c r="QPT41" s="51"/>
      <c r="QPU41" s="51"/>
      <c r="QPV41" s="51"/>
      <c r="QPW41" s="51"/>
      <c r="QPX41" s="51"/>
      <c r="QPY41" s="51"/>
      <c r="QPZ41" s="51"/>
      <c r="QQA41" s="51"/>
      <c r="QQB41" s="51"/>
      <c r="QQC41" s="51"/>
      <c r="QQD41" s="51"/>
      <c r="QQE41" s="51"/>
      <c r="QQF41" s="51"/>
      <c r="QQG41" s="51"/>
      <c r="QQH41" s="51"/>
      <c r="QQI41" s="51"/>
      <c r="QQJ41" s="51"/>
      <c r="QQK41" s="51"/>
      <c r="QQL41" s="51"/>
      <c r="QQM41" s="51"/>
      <c r="QQN41" s="51"/>
      <c r="QQO41" s="51"/>
      <c r="QQP41" s="51"/>
      <c r="QQQ41" s="51"/>
      <c r="QQR41" s="51"/>
      <c r="QQS41" s="51"/>
      <c r="QQT41" s="51"/>
      <c r="QQU41" s="51"/>
      <c r="QQV41" s="51"/>
      <c r="QQW41" s="51"/>
      <c r="QQX41" s="51"/>
      <c r="QQY41" s="51"/>
      <c r="QQZ41" s="51"/>
      <c r="QRA41" s="51"/>
      <c r="QRB41" s="51"/>
      <c r="QRC41" s="51"/>
      <c r="QRD41" s="51"/>
      <c r="QRE41" s="51"/>
      <c r="QRF41" s="51"/>
      <c r="QRG41" s="51"/>
      <c r="QRH41" s="51"/>
      <c r="QRI41" s="51"/>
      <c r="QRJ41" s="51"/>
      <c r="QRK41" s="51"/>
      <c r="QRL41" s="51"/>
      <c r="QRM41" s="51"/>
      <c r="QRN41" s="51"/>
      <c r="QRO41" s="51"/>
      <c r="QRP41" s="51"/>
      <c r="QRQ41" s="51"/>
      <c r="QRR41" s="51"/>
      <c r="QRS41" s="51"/>
      <c r="QRT41" s="51"/>
      <c r="QRU41" s="51"/>
      <c r="QRV41" s="51"/>
      <c r="QRW41" s="51"/>
      <c r="QRX41" s="51"/>
      <c r="QRY41" s="51"/>
      <c r="QRZ41" s="51"/>
      <c r="QSA41" s="51"/>
      <c r="QSB41" s="51"/>
      <c r="QSC41" s="51"/>
      <c r="QSD41" s="51"/>
      <c r="QSE41" s="51"/>
      <c r="QSF41" s="51"/>
      <c r="QSG41" s="51"/>
      <c r="QSH41" s="51"/>
      <c r="QSI41" s="51"/>
      <c r="QSJ41" s="51"/>
      <c r="QSK41" s="51"/>
      <c r="QSL41" s="51"/>
      <c r="QSM41" s="51"/>
      <c r="QSN41" s="51"/>
      <c r="QSO41" s="51"/>
      <c r="QSP41" s="51"/>
      <c r="QSQ41" s="51"/>
      <c r="QSR41" s="51"/>
      <c r="QSS41" s="51"/>
      <c r="QST41" s="51"/>
      <c r="QSU41" s="51"/>
      <c r="QSV41" s="51"/>
      <c r="QSW41" s="51"/>
      <c r="QSX41" s="51"/>
      <c r="QSY41" s="51"/>
      <c r="QSZ41" s="51"/>
      <c r="QTA41" s="51"/>
      <c r="QTB41" s="51"/>
      <c r="QTC41" s="51"/>
      <c r="QTD41" s="51"/>
      <c r="QTE41" s="51"/>
      <c r="QTF41" s="51"/>
      <c r="QTG41" s="51"/>
      <c r="QTH41" s="51"/>
      <c r="QTI41" s="51"/>
      <c r="QTJ41" s="51"/>
      <c r="QTK41" s="51"/>
      <c r="QTL41" s="51"/>
      <c r="QTM41" s="51"/>
      <c r="QTN41" s="51"/>
      <c r="QTO41" s="51"/>
      <c r="QTP41" s="51"/>
      <c r="QTQ41" s="51"/>
      <c r="QTR41" s="51"/>
      <c r="QTS41" s="51"/>
      <c r="QTT41" s="51"/>
      <c r="QTU41" s="51"/>
      <c r="QTV41" s="51"/>
      <c r="QTW41" s="51"/>
      <c r="QTX41" s="51"/>
      <c r="QTY41" s="51"/>
      <c r="QTZ41" s="51"/>
      <c r="QUA41" s="51"/>
      <c r="QUB41" s="51"/>
      <c r="QUC41" s="51"/>
      <c r="QUD41" s="51"/>
      <c r="QUE41" s="51"/>
      <c r="QUF41" s="51"/>
      <c r="QUG41" s="51"/>
      <c r="QUH41" s="51"/>
      <c r="QUI41" s="51"/>
      <c r="QUJ41" s="51"/>
      <c r="QUK41" s="51"/>
      <c r="QUL41" s="51"/>
      <c r="QUM41" s="51"/>
      <c r="QUN41" s="51"/>
      <c r="QUO41" s="51"/>
      <c r="QUP41" s="51"/>
      <c r="QUQ41" s="51"/>
      <c r="QUR41" s="51"/>
      <c r="QUS41" s="51"/>
      <c r="QUT41" s="51"/>
      <c r="QUU41" s="51"/>
      <c r="QUV41" s="51"/>
      <c r="QUW41" s="51"/>
      <c r="QUX41" s="51"/>
      <c r="QUY41" s="51"/>
      <c r="QUZ41" s="51"/>
      <c r="QVA41" s="51"/>
      <c r="QVB41" s="51"/>
      <c r="QVC41" s="51"/>
      <c r="QVD41" s="51"/>
      <c r="QVE41" s="51"/>
      <c r="QVF41" s="51"/>
      <c r="QVG41" s="51"/>
      <c r="QVH41" s="51"/>
      <c r="QVI41" s="51"/>
      <c r="QVJ41" s="51"/>
      <c r="QVK41" s="51"/>
      <c r="QVL41" s="51"/>
      <c r="QVM41" s="51"/>
      <c r="QVN41" s="51"/>
      <c r="QVO41" s="51"/>
      <c r="QVP41" s="51"/>
      <c r="QVQ41" s="51"/>
      <c r="QVR41" s="51"/>
      <c r="QVS41" s="51"/>
      <c r="QVT41" s="51"/>
      <c r="QVU41" s="51"/>
      <c r="QVV41" s="51"/>
      <c r="QVW41" s="51"/>
      <c r="QVX41" s="51"/>
      <c r="QVY41" s="51"/>
      <c r="QVZ41" s="51"/>
      <c r="QWA41" s="51"/>
      <c r="QWB41" s="51"/>
      <c r="QWC41" s="51"/>
      <c r="QWD41" s="51"/>
      <c r="QWE41" s="51"/>
      <c r="QWF41" s="51"/>
      <c r="QWG41" s="51"/>
      <c r="QWH41" s="51"/>
      <c r="QWI41" s="51"/>
      <c r="QWJ41" s="51"/>
      <c r="QWK41" s="51"/>
      <c r="QWL41" s="51"/>
      <c r="QWM41" s="51"/>
      <c r="QWN41" s="51"/>
      <c r="QWO41" s="51"/>
      <c r="QWP41" s="51"/>
      <c r="QWQ41" s="51"/>
      <c r="QWR41" s="51"/>
      <c r="QWS41" s="51"/>
      <c r="QWT41" s="51"/>
      <c r="QWU41" s="51"/>
      <c r="QWV41" s="51"/>
      <c r="QWW41" s="51"/>
      <c r="QWX41" s="51"/>
      <c r="QWY41" s="51"/>
      <c r="QWZ41" s="51"/>
      <c r="QXA41" s="51"/>
      <c r="QXB41" s="51"/>
      <c r="QXC41" s="51"/>
      <c r="QXD41" s="51"/>
      <c r="QXE41" s="51"/>
      <c r="QXF41" s="51"/>
      <c r="QXG41" s="51"/>
      <c r="QXH41" s="51"/>
      <c r="QXI41" s="51"/>
      <c r="QXJ41" s="51"/>
      <c r="QXK41" s="51"/>
      <c r="QXL41" s="51"/>
      <c r="QXM41" s="51"/>
      <c r="QXN41" s="51"/>
      <c r="QXO41" s="51"/>
      <c r="QXP41" s="51"/>
      <c r="QXQ41" s="51"/>
      <c r="QXR41" s="51"/>
      <c r="QXS41" s="51"/>
      <c r="QXT41" s="51"/>
      <c r="QXU41" s="51"/>
      <c r="QXV41" s="51"/>
      <c r="QXW41" s="51"/>
      <c r="QXX41" s="51"/>
      <c r="QXY41" s="51"/>
      <c r="QXZ41" s="51"/>
      <c r="QYA41" s="51"/>
      <c r="QYB41" s="51"/>
      <c r="QYC41" s="51"/>
      <c r="QYD41" s="51"/>
      <c r="QYE41" s="51"/>
      <c r="QYF41" s="51"/>
      <c r="QYG41" s="51"/>
      <c r="QYH41" s="51"/>
      <c r="QYI41" s="51"/>
      <c r="QYJ41" s="51"/>
      <c r="QYK41" s="51"/>
      <c r="QYL41" s="51"/>
      <c r="QYM41" s="51"/>
      <c r="QYN41" s="51"/>
      <c r="QYO41" s="51"/>
      <c r="QYP41" s="51"/>
      <c r="QYQ41" s="51"/>
      <c r="QYR41" s="51"/>
      <c r="QYS41" s="51"/>
      <c r="QYT41" s="51"/>
      <c r="QYU41" s="51"/>
      <c r="QYV41" s="51"/>
      <c r="QYW41" s="51"/>
      <c r="QYX41" s="51"/>
      <c r="QYY41" s="51"/>
      <c r="QYZ41" s="51"/>
      <c r="QZA41" s="51"/>
      <c r="QZB41" s="51"/>
      <c r="QZC41" s="51"/>
      <c r="QZD41" s="51"/>
      <c r="QZE41" s="51"/>
      <c r="QZF41" s="51"/>
      <c r="QZG41" s="51"/>
      <c r="QZH41" s="51"/>
      <c r="QZI41" s="51"/>
      <c r="QZJ41" s="51"/>
      <c r="QZK41" s="51"/>
      <c r="QZL41" s="51"/>
      <c r="QZM41" s="51"/>
      <c r="QZN41" s="51"/>
      <c r="QZO41" s="51"/>
      <c r="QZP41" s="51"/>
      <c r="QZQ41" s="51"/>
      <c r="QZR41" s="51"/>
      <c r="QZS41" s="51"/>
      <c r="QZT41" s="51"/>
      <c r="QZU41" s="51"/>
      <c r="QZV41" s="51"/>
      <c r="QZW41" s="51"/>
      <c r="QZX41" s="51"/>
      <c r="QZY41" s="51"/>
      <c r="QZZ41" s="51"/>
      <c r="RAA41" s="51"/>
      <c r="RAB41" s="51"/>
      <c r="RAC41" s="51"/>
      <c r="RAD41" s="51"/>
      <c r="RAE41" s="51"/>
      <c r="RAF41" s="51"/>
      <c r="RAG41" s="51"/>
      <c r="RAH41" s="51"/>
      <c r="RAI41" s="51"/>
      <c r="RAJ41" s="51"/>
      <c r="RAK41" s="51"/>
      <c r="RAL41" s="51"/>
      <c r="RAM41" s="51"/>
      <c r="RAN41" s="51"/>
      <c r="RAO41" s="51"/>
      <c r="RAP41" s="51"/>
      <c r="RAQ41" s="51"/>
      <c r="RAR41" s="51"/>
      <c r="RAS41" s="51"/>
      <c r="RAT41" s="51"/>
      <c r="RAU41" s="51"/>
      <c r="RAV41" s="51"/>
      <c r="RAW41" s="51"/>
      <c r="RAX41" s="51"/>
      <c r="RAY41" s="51"/>
      <c r="RAZ41" s="51"/>
      <c r="RBA41" s="51"/>
      <c r="RBB41" s="51"/>
      <c r="RBC41" s="51"/>
      <c r="RBD41" s="51"/>
      <c r="RBE41" s="51"/>
      <c r="RBF41" s="51"/>
      <c r="RBG41" s="51"/>
      <c r="RBH41" s="51"/>
      <c r="RBI41" s="51"/>
      <c r="RBJ41" s="51"/>
      <c r="RBK41" s="51"/>
      <c r="RBL41" s="51"/>
      <c r="RBM41" s="51"/>
      <c r="RBN41" s="51"/>
      <c r="RBO41" s="51"/>
      <c r="RBP41" s="51"/>
      <c r="RBQ41" s="51"/>
      <c r="RBR41" s="51"/>
      <c r="RBS41" s="51"/>
      <c r="RBT41" s="51"/>
      <c r="RBU41" s="51"/>
      <c r="RBV41" s="51"/>
      <c r="RBW41" s="51"/>
      <c r="RBX41" s="51"/>
      <c r="RBY41" s="51"/>
      <c r="RBZ41" s="51"/>
      <c r="RCA41" s="51"/>
      <c r="RCB41" s="51"/>
      <c r="RCC41" s="51"/>
      <c r="RCD41" s="51"/>
      <c r="RCE41" s="51"/>
      <c r="RCF41" s="51"/>
      <c r="RCG41" s="51"/>
      <c r="RCH41" s="51"/>
      <c r="RCI41" s="51"/>
      <c r="RCJ41" s="51"/>
      <c r="RCK41" s="51"/>
      <c r="RCL41" s="51"/>
      <c r="RCM41" s="51"/>
      <c r="RCN41" s="51"/>
      <c r="RCO41" s="51"/>
      <c r="RCP41" s="51"/>
      <c r="RCQ41" s="51"/>
      <c r="RCR41" s="51"/>
      <c r="RCS41" s="51"/>
      <c r="RCT41" s="51"/>
      <c r="RCU41" s="51"/>
      <c r="RCV41" s="51"/>
      <c r="RCW41" s="51"/>
      <c r="RCX41" s="51"/>
      <c r="RCY41" s="51"/>
      <c r="RCZ41" s="51"/>
      <c r="RDA41" s="51"/>
      <c r="RDB41" s="51"/>
      <c r="RDC41" s="51"/>
      <c r="RDD41" s="51"/>
      <c r="RDE41" s="51"/>
      <c r="RDF41" s="51"/>
      <c r="RDG41" s="51"/>
      <c r="RDH41" s="51"/>
      <c r="RDI41" s="51"/>
      <c r="RDJ41" s="51"/>
      <c r="RDK41" s="51"/>
      <c r="RDL41" s="51"/>
      <c r="RDM41" s="51"/>
      <c r="RDN41" s="51"/>
      <c r="RDO41" s="51"/>
      <c r="RDP41" s="51"/>
      <c r="RDQ41" s="51"/>
      <c r="RDR41" s="51"/>
      <c r="RDS41" s="51"/>
      <c r="RDT41" s="51"/>
      <c r="RDU41" s="51"/>
      <c r="RDV41" s="51"/>
      <c r="RDW41" s="51"/>
      <c r="RDX41" s="51"/>
      <c r="RDY41" s="51"/>
      <c r="RDZ41" s="51"/>
      <c r="REA41" s="51"/>
      <c r="REB41" s="51"/>
      <c r="REC41" s="51"/>
      <c r="RED41" s="51"/>
      <c r="REE41" s="51"/>
      <c r="REF41" s="51"/>
      <c r="REG41" s="51"/>
      <c r="REH41" s="51"/>
      <c r="REI41" s="51"/>
      <c r="REJ41" s="51"/>
      <c r="REK41" s="51"/>
      <c r="REL41" s="51"/>
      <c r="REM41" s="51"/>
      <c r="REN41" s="51"/>
      <c r="REO41" s="51"/>
      <c r="REP41" s="51"/>
      <c r="REQ41" s="51"/>
      <c r="RER41" s="51"/>
      <c r="RES41" s="51"/>
      <c r="RET41" s="51"/>
      <c r="REU41" s="51"/>
      <c r="REV41" s="51"/>
      <c r="REW41" s="51"/>
      <c r="REX41" s="51"/>
      <c r="REY41" s="51"/>
      <c r="REZ41" s="51"/>
      <c r="RFA41" s="51"/>
      <c r="RFB41" s="51"/>
      <c r="RFC41" s="51"/>
      <c r="RFD41" s="51"/>
      <c r="RFE41" s="51"/>
      <c r="RFF41" s="51"/>
      <c r="RFG41" s="51"/>
      <c r="RFH41" s="51"/>
      <c r="RFI41" s="51"/>
      <c r="RFJ41" s="51"/>
      <c r="RFK41" s="51"/>
      <c r="RFL41" s="51"/>
      <c r="RFM41" s="51"/>
      <c r="RFN41" s="51"/>
      <c r="RFO41" s="51"/>
      <c r="RFP41" s="51"/>
      <c r="RFQ41" s="51"/>
      <c r="RFR41" s="51"/>
      <c r="RFS41" s="51"/>
      <c r="RFT41" s="51"/>
      <c r="RFU41" s="51"/>
      <c r="RFV41" s="51"/>
      <c r="RFW41" s="51"/>
      <c r="RFX41" s="51"/>
      <c r="RFY41" s="51"/>
      <c r="RFZ41" s="51"/>
      <c r="RGA41" s="51"/>
      <c r="RGB41" s="51"/>
      <c r="RGC41" s="51"/>
      <c r="RGD41" s="51"/>
      <c r="RGE41" s="51"/>
      <c r="RGF41" s="51"/>
      <c r="RGG41" s="51"/>
      <c r="RGH41" s="51"/>
      <c r="RGI41" s="51"/>
      <c r="RGJ41" s="51"/>
      <c r="RGK41" s="51"/>
      <c r="RGL41" s="51"/>
      <c r="RGM41" s="51"/>
      <c r="RGN41" s="51"/>
      <c r="RGO41" s="51"/>
      <c r="RGP41" s="51"/>
      <c r="RGQ41" s="51"/>
      <c r="RGR41" s="51"/>
      <c r="RGS41" s="51"/>
      <c r="RGT41" s="51"/>
      <c r="RGU41" s="51"/>
      <c r="RGV41" s="51"/>
      <c r="RGW41" s="51"/>
      <c r="RGX41" s="51"/>
      <c r="RGY41" s="51"/>
      <c r="RGZ41" s="51"/>
      <c r="RHA41" s="51"/>
      <c r="RHB41" s="51"/>
      <c r="RHC41" s="51"/>
      <c r="RHD41" s="51"/>
      <c r="RHE41" s="51"/>
      <c r="RHF41" s="51"/>
      <c r="RHG41" s="51"/>
      <c r="RHH41" s="51"/>
      <c r="RHI41" s="51"/>
      <c r="RHJ41" s="51"/>
      <c r="RHK41" s="51"/>
      <c r="RHL41" s="51"/>
      <c r="RHM41" s="51"/>
      <c r="RHN41" s="51"/>
      <c r="RHO41" s="51"/>
      <c r="RHP41" s="51"/>
      <c r="RHQ41" s="51"/>
      <c r="RHR41" s="51"/>
      <c r="RHS41" s="51"/>
      <c r="RHT41" s="51"/>
      <c r="RHU41" s="51"/>
      <c r="RHV41" s="51"/>
      <c r="RHW41" s="51"/>
      <c r="RHX41" s="51"/>
      <c r="RHY41" s="51"/>
      <c r="RHZ41" s="51"/>
      <c r="RIA41" s="51"/>
      <c r="RIB41" s="51"/>
      <c r="RIC41" s="51"/>
      <c r="RID41" s="51"/>
      <c r="RIE41" s="51"/>
      <c r="RIF41" s="51"/>
      <c r="RIG41" s="51"/>
      <c r="RIH41" s="51"/>
      <c r="RII41" s="51"/>
      <c r="RIJ41" s="51"/>
      <c r="RIK41" s="51"/>
      <c r="RIL41" s="51"/>
      <c r="RIM41" s="51"/>
      <c r="RIN41" s="51"/>
      <c r="RIO41" s="51"/>
      <c r="RIP41" s="51"/>
      <c r="RIQ41" s="51"/>
      <c r="RIR41" s="51"/>
      <c r="RIS41" s="51"/>
      <c r="RIT41" s="51"/>
      <c r="RIU41" s="51"/>
      <c r="RIV41" s="51"/>
      <c r="RIW41" s="51"/>
      <c r="RIX41" s="51"/>
      <c r="RIY41" s="51"/>
      <c r="RIZ41" s="51"/>
      <c r="RJA41" s="51"/>
      <c r="RJB41" s="51"/>
      <c r="RJC41" s="51"/>
      <c r="RJD41" s="51"/>
      <c r="RJE41" s="51"/>
      <c r="RJF41" s="51"/>
      <c r="RJG41" s="51"/>
      <c r="RJH41" s="51"/>
      <c r="RJI41" s="51"/>
      <c r="RJJ41" s="51"/>
      <c r="RJK41" s="51"/>
      <c r="RJL41" s="51"/>
      <c r="RJM41" s="51"/>
      <c r="RJN41" s="51"/>
      <c r="RJO41" s="51"/>
      <c r="RJP41" s="51"/>
      <c r="RJQ41" s="51"/>
      <c r="RJR41" s="51"/>
      <c r="RJS41" s="51"/>
      <c r="RJT41" s="51"/>
      <c r="RJU41" s="51"/>
      <c r="RJV41" s="51"/>
      <c r="RJW41" s="51"/>
      <c r="RJX41" s="51"/>
      <c r="RJY41" s="51"/>
      <c r="RJZ41" s="51"/>
      <c r="RKA41" s="51"/>
      <c r="RKB41" s="51"/>
      <c r="RKC41" s="51"/>
      <c r="RKD41" s="51"/>
      <c r="RKE41" s="51"/>
      <c r="RKF41" s="51"/>
      <c r="RKG41" s="51"/>
      <c r="RKH41" s="51"/>
      <c r="RKI41" s="51"/>
      <c r="RKJ41" s="51"/>
      <c r="RKK41" s="51"/>
      <c r="RKL41" s="51"/>
      <c r="RKM41" s="51"/>
      <c r="RKN41" s="51"/>
      <c r="RKO41" s="51"/>
      <c r="RKP41" s="51"/>
      <c r="RKQ41" s="51"/>
      <c r="RKR41" s="51"/>
      <c r="RKS41" s="51"/>
      <c r="RKT41" s="51"/>
      <c r="RKU41" s="51"/>
      <c r="RKV41" s="51"/>
      <c r="RKW41" s="51"/>
      <c r="RKX41" s="51"/>
      <c r="RKY41" s="51"/>
      <c r="RKZ41" s="51"/>
      <c r="RLA41" s="51"/>
      <c r="RLB41" s="51"/>
      <c r="RLC41" s="51"/>
      <c r="RLD41" s="51"/>
      <c r="RLE41" s="51"/>
      <c r="RLF41" s="51"/>
      <c r="RLG41" s="51"/>
      <c r="RLH41" s="51"/>
      <c r="RLI41" s="51"/>
      <c r="RLJ41" s="51"/>
      <c r="RLK41" s="51"/>
      <c r="RLL41" s="51"/>
      <c r="RLM41" s="51"/>
      <c r="RLN41" s="51"/>
      <c r="RLO41" s="51"/>
      <c r="RLP41" s="51"/>
      <c r="RLQ41" s="51"/>
      <c r="RLR41" s="51"/>
      <c r="RLS41" s="51"/>
      <c r="RLT41" s="51"/>
      <c r="RLU41" s="51"/>
      <c r="RLV41" s="51"/>
      <c r="RLW41" s="51"/>
      <c r="RLX41" s="51"/>
      <c r="RLY41" s="51"/>
      <c r="RLZ41" s="51"/>
      <c r="RMA41" s="51"/>
      <c r="RMB41" s="51"/>
      <c r="RMC41" s="51"/>
      <c r="RMD41" s="51"/>
      <c r="RME41" s="51"/>
      <c r="RMF41" s="51"/>
      <c r="RMG41" s="51"/>
      <c r="RMH41" s="51"/>
      <c r="RMI41" s="51"/>
      <c r="RMJ41" s="51"/>
      <c r="RMK41" s="51"/>
      <c r="RML41" s="51"/>
      <c r="RMM41" s="51"/>
      <c r="RMN41" s="51"/>
      <c r="RMO41" s="51"/>
      <c r="RMP41" s="51"/>
      <c r="RMQ41" s="51"/>
      <c r="RMR41" s="51"/>
      <c r="RMS41" s="51"/>
      <c r="RMT41" s="51"/>
      <c r="RMU41" s="51"/>
      <c r="RMV41" s="51"/>
      <c r="RMW41" s="51"/>
      <c r="RMX41" s="51"/>
      <c r="RMY41" s="51"/>
      <c r="RMZ41" s="51"/>
      <c r="RNA41" s="51"/>
      <c r="RNB41" s="51"/>
      <c r="RNC41" s="51"/>
      <c r="RND41" s="51"/>
      <c r="RNE41" s="51"/>
      <c r="RNF41" s="51"/>
      <c r="RNG41" s="51"/>
      <c r="RNH41" s="51"/>
      <c r="RNI41" s="51"/>
      <c r="RNJ41" s="51"/>
      <c r="RNK41" s="51"/>
      <c r="RNL41" s="51"/>
      <c r="RNM41" s="51"/>
      <c r="RNN41" s="51"/>
      <c r="RNO41" s="51"/>
      <c r="RNP41" s="51"/>
      <c r="RNQ41" s="51"/>
      <c r="RNR41" s="51"/>
      <c r="RNS41" s="51"/>
      <c r="RNT41" s="51"/>
      <c r="RNU41" s="51"/>
      <c r="RNV41" s="51"/>
      <c r="RNW41" s="51"/>
      <c r="RNX41" s="51"/>
      <c r="RNY41" s="51"/>
      <c r="RNZ41" s="51"/>
      <c r="ROA41" s="51"/>
      <c r="ROB41" s="51"/>
      <c r="ROC41" s="51"/>
      <c r="ROD41" s="51"/>
      <c r="ROE41" s="51"/>
      <c r="ROF41" s="51"/>
      <c r="ROG41" s="51"/>
      <c r="ROH41" s="51"/>
      <c r="ROI41" s="51"/>
      <c r="ROJ41" s="51"/>
      <c r="ROK41" s="51"/>
      <c r="ROL41" s="51"/>
      <c r="ROM41" s="51"/>
      <c r="RON41" s="51"/>
      <c r="ROO41" s="51"/>
      <c r="ROP41" s="51"/>
      <c r="ROQ41" s="51"/>
      <c r="ROR41" s="51"/>
      <c r="ROS41" s="51"/>
      <c r="ROT41" s="51"/>
      <c r="ROU41" s="51"/>
      <c r="ROV41" s="51"/>
      <c r="ROW41" s="51"/>
      <c r="ROX41" s="51"/>
      <c r="ROY41" s="51"/>
      <c r="ROZ41" s="51"/>
      <c r="RPA41" s="51"/>
      <c r="RPB41" s="51"/>
      <c r="RPC41" s="51"/>
      <c r="RPD41" s="51"/>
      <c r="RPE41" s="51"/>
      <c r="RPF41" s="51"/>
      <c r="RPG41" s="51"/>
      <c r="RPH41" s="51"/>
      <c r="RPI41" s="51"/>
      <c r="RPJ41" s="51"/>
      <c r="RPK41" s="51"/>
      <c r="RPL41" s="51"/>
      <c r="RPM41" s="51"/>
      <c r="RPN41" s="51"/>
      <c r="RPO41" s="51"/>
      <c r="RPP41" s="51"/>
      <c r="RPQ41" s="51"/>
      <c r="RPR41" s="51"/>
      <c r="RPS41" s="51"/>
      <c r="RPT41" s="51"/>
      <c r="RPU41" s="51"/>
      <c r="RPV41" s="51"/>
      <c r="RPW41" s="51"/>
      <c r="RPX41" s="51"/>
      <c r="RPY41" s="51"/>
      <c r="RPZ41" s="51"/>
      <c r="RQA41" s="51"/>
      <c r="RQB41" s="51"/>
      <c r="RQC41" s="51"/>
      <c r="RQD41" s="51"/>
      <c r="RQE41" s="51"/>
      <c r="RQF41" s="51"/>
      <c r="RQG41" s="51"/>
      <c r="RQH41" s="51"/>
      <c r="RQI41" s="51"/>
      <c r="RQJ41" s="51"/>
      <c r="RQK41" s="51"/>
      <c r="RQL41" s="51"/>
      <c r="RQM41" s="51"/>
      <c r="RQN41" s="51"/>
      <c r="RQO41" s="51"/>
      <c r="RQP41" s="51"/>
      <c r="RQQ41" s="51"/>
      <c r="RQR41" s="51"/>
      <c r="RQS41" s="51"/>
      <c r="RQT41" s="51"/>
      <c r="RQU41" s="51"/>
      <c r="RQV41" s="51"/>
      <c r="RQW41" s="51"/>
      <c r="RQX41" s="51"/>
      <c r="RQY41" s="51"/>
      <c r="RQZ41" s="51"/>
      <c r="RRA41" s="51"/>
      <c r="RRB41" s="51"/>
      <c r="RRC41" s="51"/>
      <c r="RRD41" s="51"/>
      <c r="RRE41" s="51"/>
      <c r="RRF41" s="51"/>
      <c r="RRG41" s="51"/>
      <c r="RRH41" s="51"/>
      <c r="RRI41" s="51"/>
      <c r="RRJ41" s="51"/>
      <c r="RRK41" s="51"/>
      <c r="RRL41" s="51"/>
      <c r="RRM41" s="51"/>
      <c r="RRN41" s="51"/>
      <c r="RRO41" s="51"/>
      <c r="RRP41" s="51"/>
      <c r="RRQ41" s="51"/>
      <c r="RRR41" s="51"/>
      <c r="RRS41" s="51"/>
      <c r="RRT41" s="51"/>
      <c r="RRU41" s="51"/>
      <c r="RRV41" s="51"/>
      <c r="RRW41" s="51"/>
      <c r="RRX41" s="51"/>
      <c r="RRY41" s="51"/>
      <c r="RRZ41" s="51"/>
      <c r="RSA41" s="51"/>
      <c r="RSB41" s="51"/>
      <c r="RSC41" s="51"/>
      <c r="RSD41" s="51"/>
      <c r="RSE41" s="51"/>
      <c r="RSF41" s="51"/>
      <c r="RSG41" s="51"/>
      <c r="RSH41" s="51"/>
      <c r="RSI41" s="51"/>
      <c r="RSJ41" s="51"/>
      <c r="RSK41" s="51"/>
      <c r="RSL41" s="51"/>
      <c r="RSM41" s="51"/>
      <c r="RSN41" s="51"/>
      <c r="RSO41" s="51"/>
      <c r="RSP41" s="51"/>
      <c r="RSQ41" s="51"/>
      <c r="RSR41" s="51"/>
      <c r="RSS41" s="51"/>
      <c r="RST41" s="51"/>
      <c r="RSU41" s="51"/>
      <c r="RSV41" s="51"/>
      <c r="RSW41" s="51"/>
      <c r="RSX41" s="51"/>
      <c r="RSY41" s="51"/>
      <c r="RSZ41" s="51"/>
      <c r="RTA41" s="51"/>
      <c r="RTB41" s="51"/>
      <c r="RTC41" s="51"/>
      <c r="RTD41" s="51"/>
      <c r="RTE41" s="51"/>
      <c r="RTF41" s="51"/>
      <c r="RTG41" s="51"/>
      <c r="RTH41" s="51"/>
      <c r="RTI41" s="51"/>
      <c r="RTJ41" s="51"/>
      <c r="RTK41" s="51"/>
      <c r="RTL41" s="51"/>
      <c r="RTM41" s="51"/>
      <c r="RTN41" s="51"/>
      <c r="RTO41" s="51"/>
      <c r="RTP41" s="51"/>
      <c r="RTQ41" s="51"/>
      <c r="RTR41" s="51"/>
      <c r="RTS41" s="51"/>
      <c r="RTT41" s="51"/>
      <c r="RTU41" s="51"/>
      <c r="RTV41" s="51"/>
      <c r="RTW41" s="51"/>
      <c r="RTX41" s="51"/>
      <c r="RTY41" s="51"/>
      <c r="RTZ41" s="51"/>
      <c r="RUA41" s="51"/>
      <c r="RUB41" s="51"/>
      <c r="RUC41" s="51"/>
      <c r="RUD41" s="51"/>
      <c r="RUE41" s="51"/>
      <c r="RUF41" s="51"/>
      <c r="RUG41" s="51"/>
      <c r="RUH41" s="51"/>
      <c r="RUI41" s="51"/>
      <c r="RUJ41" s="51"/>
      <c r="RUK41" s="51"/>
      <c r="RUL41" s="51"/>
      <c r="RUM41" s="51"/>
      <c r="RUN41" s="51"/>
      <c r="RUO41" s="51"/>
      <c r="RUP41" s="51"/>
      <c r="RUQ41" s="51"/>
      <c r="RUR41" s="51"/>
      <c r="RUS41" s="51"/>
      <c r="RUT41" s="51"/>
      <c r="RUU41" s="51"/>
      <c r="RUV41" s="51"/>
      <c r="RUW41" s="51"/>
      <c r="RUX41" s="51"/>
      <c r="RUY41" s="51"/>
      <c r="RUZ41" s="51"/>
      <c r="RVA41" s="51"/>
      <c r="RVB41" s="51"/>
      <c r="RVC41" s="51"/>
      <c r="RVD41" s="51"/>
      <c r="RVE41" s="51"/>
      <c r="RVF41" s="51"/>
      <c r="RVG41" s="51"/>
      <c r="RVH41" s="51"/>
      <c r="RVI41" s="51"/>
      <c r="RVJ41" s="51"/>
      <c r="RVK41" s="51"/>
      <c r="RVL41" s="51"/>
      <c r="RVM41" s="51"/>
      <c r="RVN41" s="51"/>
      <c r="RVO41" s="51"/>
      <c r="RVP41" s="51"/>
      <c r="RVQ41" s="51"/>
      <c r="RVR41" s="51"/>
      <c r="RVS41" s="51"/>
      <c r="RVT41" s="51"/>
      <c r="RVU41" s="51"/>
      <c r="RVV41" s="51"/>
      <c r="RVW41" s="51"/>
      <c r="RVX41" s="51"/>
      <c r="RVY41" s="51"/>
      <c r="RVZ41" s="51"/>
      <c r="RWA41" s="51"/>
      <c r="RWB41" s="51"/>
      <c r="RWC41" s="51"/>
      <c r="RWD41" s="51"/>
      <c r="RWE41" s="51"/>
      <c r="RWF41" s="51"/>
      <c r="RWG41" s="51"/>
      <c r="RWH41" s="51"/>
      <c r="RWI41" s="51"/>
      <c r="RWJ41" s="51"/>
      <c r="RWK41" s="51"/>
      <c r="RWL41" s="51"/>
      <c r="RWM41" s="51"/>
      <c r="RWN41" s="51"/>
      <c r="RWO41" s="51"/>
      <c r="RWP41" s="51"/>
      <c r="RWQ41" s="51"/>
      <c r="RWR41" s="51"/>
      <c r="RWS41" s="51"/>
      <c r="RWT41" s="51"/>
      <c r="RWU41" s="51"/>
      <c r="RWV41" s="51"/>
      <c r="RWW41" s="51"/>
      <c r="RWX41" s="51"/>
      <c r="RWY41" s="51"/>
      <c r="RWZ41" s="51"/>
      <c r="RXA41" s="51"/>
      <c r="RXB41" s="51"/>
      <c r="RXC41" s="51"/>
      <c r="RXD41" s="51"/>
      <c r="RXE41" s="51"/>
      <c r="RXF41" s="51"/>
      <c r="RXG41" s="51"/>
      <c r="RXH41" s="51"/>
      <c r="RXI41" s="51"/>
      <c r="RXJ41" s="51"/>
      <c r="RXK41" s="51"/>
      <c r="RXL41" s="51"/>
      <c r="RXM41" s="51"/>
      <c r="RXN41" s="51"/>
      <c r="RXO41" s="51"/>
      <c r="RXP41" s="51"/>
      <c r="RXQ41" s="51"/>
      <c r="RXR41" s="51"/>
      <c r="RXS41" s="51"/>
      <c r="RXT41" s="51"/>
      <c r="RXU41" s="51"/>
      <c r="RXV41" s="51"/>
      <c r="RXW41" s="51"/>
      <c r="RXX41" s="51"/>
      <c r="RXY41" s="51"/>
      <c r="RXZ41" s="51"/>
      <c r="RYA41" s="51"/>
      <c r="RYB41" s="51"/>
      <c r="RYC41" s="51"/>
      <c r="RYD41" s="51"/>
      <c r="RYE41" s="51"/>
      <c r="RYF41" s="51"/>
      <c r="RYG41" s="51"/>
      <c r="RYH41" s="51"/>
      <c r="RYI41" s="51"/>
      <c r="RYJ41" s="51"/>
      <c r="RYK41" s="51"/>
      <c r="RYL41" s="51"/>
      <c r="RYM41" s="51"/>
      <c r="RYN41" s="51"/>
      <c r="RYO41" s="51"/>
      <c r="RYP41" s="51"/>
      <c r="RYQ41" s="51"/>
      <c r="RYR41" s="51"/>
      <c r="RYS41" s="51"/>
      <c r="RYT41" s="51"/>
      <c r="RYU41" s="51"/>
      <c r="RYV41" s="51"/>
      <c r="RYW41" s="51"/>
      <c r="RYX41" s="51"/>
      <c r="RYY41" s="51"/>
      <c r="RYZ41" s="51"/>
      <c r="RZA41" s="51"/>
      <c r="RZB41" s="51"/>
      <c r="RZC41" s="51"/>
      <c r="RZD41" s="51"/>
      <c r="RZE41" s="51"/>
      <c r="RZF41" s="51"/>
      <c r="RZG41" s="51"/>
      <c r="RZH41" s="51"/>
      <c r="RZI41" s="51"/>
      <c r="RZJ41" s="51"/>
      <c r="RZK41" s="51"/>
      <c r="RZL41" s="51"/>
      <c r="RZM41" s="51"/>
      <c r="RZN41" s="51"/>
      <c r="RZO41" s="51"/>
      <c r="RZP41" s="51"/>
      <c r="RZQ41" s="51"/>
      <c r="RZR41" s="51"/>
      <c r="RZS41" s="51"/>
      <c r="RZT41" s="51"/>
      <c r="RZU41" s="51"/>
      <c r="RZV41" s="51"/>
      <c r="RZW41" s="51"/>
      <c r="RZX41" s="51"/>
      <c r="RZY41" s="51"/>
      <c r="RZZ41" s="51"/>
      <c r="SAA41" s="51"/>
      <c r="SAB41" s="51"/>
      <c r="SAC41" s="51"/>
      <c r="SAD41" s="51"/>
      <c r="SAE41" s="51"/>
      <c r="SAF41" s="51"/>
      <c r="SAG41" s="51"/>
      <c r="SAH41" s="51"/>
      <c r="SAI41" s="51"/>
      <c r="SAJ41" s="51"/>
      <c r="SAK41" s="51"/>
      <c r="SAL41" s="51"/>
      <c r="SAM41" s="51"/>
      <c r="SAN41" s="51"/>
      <c r="SAO41" s="51"/>
      <c r="SAP41" s="51"/>
      <c r="SAQ41" s="51"/>
      <c r="SAR41" s="51"/>
      <c r="SAS41" s="51"/>
      <c r="SAT41" s="51"/>
      <c r="SAU41" s="51"/>
      <c r="SAV41" s="51"/>
      <c r="SAW41" s="51"/>
      <c r="SAX41" s="51"/>
      <c r="SAY41" s="51"/>
      <c r="SAZ41" s="51"/>
      <c r="SBA41" s="51"/>
      <c r="SBB41" s="51"/>
      <c r="SBC41" s="51"/>
      <c r="SBD41" s="51"/>
      <c r="SBE41" s="51"/>
      <c r="SBF41" s="51"/>
      <c r="SBG41" s="51"/>
      <c r="SBH41" s="51"/>
      <c r="SBI41" s="51"/>
      <c r="SBJ41" s="51"/>
      <c r="SBK41" s="51"/>
      <c r="SBL41" s="51"/>
      <c r="SBM41" s="51"/>
      <c r="SBN41" s="51"/>
      <c r="SBO41" s="51"/>
      <c r="SBP41" s="51"/>
      <c r="SBQ41" s="51"/>
      <c r="SBR41" s="51"/>
      <c r="SBS41" s="51"/>
      <c r="SBT41" s="51"/>
      <c r="SBU41" s="51"/>
      <c r="SBV41" s="51"/>
      <c r="SBW41" s="51"/>
      <c r="SBX41" s="51"/>
      <c r="SBY41" s="51"/>
      <c r="SBZ41" s="51"/>
      <c r="SCA41" s="51"/>
      <c r="SCB41" s="51"/>
      <c r="SCC41" s="51"/>
      <c r="SCD41" s="51"/>
      <c r="SCE41" s="51"/>
      <c r="SCF41" s="51"/>
      <c r="SCG41" s="51"/>
      <c r="SCH41" s="51"/>
      <c r="SCI41" s="51"/>
      <c r="SCJ41" s="51"/>
      <c r="SCK41" s="51"/>
      <c r="SCL41" s="51"/>
      <c r="SCM41" s="51"/>
      <c r="SCN41" s="51"/>
      <c r="SCO41" s="51"/>
      <c r="SCP41" s="51"/>
      <c r="SCQ41" s="51"/>
      <c r="SCR41" s="51"/>
      <c r="SCS41" s="51"/>
      <c r="SCT41" s="51"/>
      <c r="SCU41" s="51"/>
      <c r="SCV41" s="51"/>
      <c r="SCW41" s="51"/>
      <c r="SCX41" s="51"/>
      <c r="SCY41" s="51"/>
      <c r="SCZ41" s="51"/>
      <c r="SDA41" s="51"/>
      <c r="SDB41" s="51"/>
      <c r="SDC41" s="51"/>
      <c r="SDD41" s="51"/>
      <c r="SDE41" s="51"/>
      <c r="SDF41" s="51"/>
      <c r="SDG41" s="51"/>
      <c r="SDH41" s="51"/>
      <c r="SDI41" s="51"/>
      <c r="SDJ41" s="51"/>
      <c r="SDK41" s="51"/>
      <c r="SDL41" s="51"/>
      <c r="SDM41" s="51"/>
      <c r="SDN41" s="51"/>
      <c r="SDO41" s="51"/>
      <c r="SDP41" s="51"/>
      <c r="SDQ41" s="51"/>
      <c r="SDR41" s="51"/>
      <c r="SDS41" s="51"/>
      <c r="SDT41" s="51"/>
      <c r="SDU41" s="51"/>
      <c r="SDV41" s="51"/>
      <c r="SDW41" s="51"/>
      <c r="SDX41" s="51"/>
      <c r="SDY41" s="51"/>
      <c r="SDZ41" s="51"/>
      <c r="SEA41" s="51"/>
      <c r="SEB41" s="51"/>
      <c r="SEC41" s="51"/>
      <c r="SED41" s="51"/>
      <c r="SEE41" s="51"/>
      <c r="SEF41" s="51"/>
      <c r="SEG41" s="51"/>
      <c r="SEH41" s="51"/>
      <c r="SEI41" s="51"/>
      <c r="SEJ41" s="51"/>
      <c r="SEK41" s="51"/>
      <c r="SEL41" s="51"/>
      <c r="SEM41" s="51"/>
      <c r="SEN41" s="51"/>
      <c r="SEO41" s="51"/>
      <c r="SEP41" s="51"/>
      <c r="SEQ41" s="51"/>
      <c r="SER41" s="51"/>
      <c r="SES41" s="51"/>
      <c r="SET41" s="51"/>
      <c r="SEU41" s="51"/>
      <c r="SEV41" s="51"/>
      <c r="SEW41" s="51"/>
      <c r="SEX41" s="51"/>
      <c r="SEY41" s="51"/>
      <c r="SEZ41" s="51"/>
      <c r="SFA41" s="51"/>
      <c r="SFB41" s="51"/>
      <c r="SFC41" s="51"/>
      <c r="SFD41" s="51"/>
      <c r="SFE41" s="51"/>
      <c r="SFF41" s="51"/>
      <c r="SFG41" s="51"/>
      <c r="SFH41" s="51"/>
      <c r="SFI41" s="51"/>
      <c r="SFJ41" s="51"/>
      <c r="SFK41" s="51"/>
      <c r="SFL41" s="51"/>
      <c r="SFM41" s="51"/>
      <c r="SFN41" s="51"/>
      <c r="SFO41" s="51"/>
      <c r="SFP41" s="51"/>
      <c r="SFQ41" s="51"/>
      <c r="SFR41" s="51"/>
      <c r="SFS41" s="51"/>
      <c r="SFT41" s="51"/>
      <c r="SFU41" s="51"/>
      <c r="SFV41" s="51"/>
      <c r="SFW41" s="51"/>
      <c r="SFX41" s="51"/>
      <c r="SFY41" s="51"/>
      <c r="SFZ41" s="51"/>
      <c r="SGA41" s="51"/>
      <c r="SGB41" s="51"/>
      <c r="SGC41" s="51"/>
      <c r="SGD41" s="51"/>
      <c r="SGE41" s="51"/>
      <c r="SGF41" s="51"/>
      <c r="SGG41" s="51"/>
      <c r="SGH41" s="51"/>
      <c r="SGI41" s="51"/>
      <c r="SGJ41" s="51"/>
      <c r="SGK41" s="51"/>
      <c r="SGL41" s="51"/>
      <c r="SGM41" s="51"/>
      <c r="SGN41" s="51"/>
      <c r="SGO41" s="51"/>
      <c r="SGP41" s="51"/>
      <c r="SGQ41" s="51"/>
      <c r="SGR41" s="51"/>
      <c r="SGS41" s="51"/>
      <c r="SGT41" s="51"/>
      <c r="SGU41" s="51"/>
      <c r="SGV41" s="51"/>
      <c r="SGW41" s="51"/>
      <c r="SGX41" s="51"/>
      <c r="SGY41" s="51"/>
      <c r="SGZ41" s="51"/>
      <c r="SHA41" s="51"/>
      <c r="SHB41" s="51"/>
      <c r="SHC41" s="51"/>
      <c r="SHD41" s="51"/>
      <c r="SHE41" s="51"/>
      <c r="SHF41" s="51"/>
      <c r="SHG41" s="51"/>
      <c r="SHH41" s="51"/>
      <c r="SHI41" s="51"/>
      <c r="SHJ41" s="51"/>
      <c r="SHK41" s="51"/>
      <c r="SHL41" s="51"/>
      <c r="SHM41" s="51"/>
      <c r="SHN41" s="51"/>
      <c r="SHO41" s="51"/>
      <c r="SHP41" s="51"/>
      <c r="SHQ41" s="51"/>
      <c r="SHR41" s="51"/>
      <c r="SHS41" s="51"/>
      <c r="SHT41" s="51"/>
      <c r="SHU41" s="51"/>
      <c r="SHV41" s="51"/>
      <c r="SHW41" s="51"/>
      <c r="SHX41" s="51"/>
      <c r="SHY41" s="51"/>
      <c r="SHZ41" s="51"/>
      <c r="SIA41" s="51"/>
      <c r="SIB41" s="51"/>
      <c r="SIC41" s="51"/>
      <c r="SID41" s="51"/>
      <c r="SIE41" s="51"/>
      <c r="SIF41" s="51"/>
      <c r="SIG41" s="51"/>
      <c r="SIH41" s="51"/>
      <c r="SII41" s="51"/>
      <c r="SIJ41" s="51"/>
      <c r="SIK41" s="51"/>
      <c r="SIL41" s="51"/>
      <c r="SIM41" s="51"/>
      <c r="SIN41" s="51"/>
      <c r="SIO41" s="51"/>
      <c r="SIP41" s="51"/>
      <c r="SIQ41" s="51"/>
      <c r="SIR41" s="51"/>
      <c r="SIS41" s="51"/>
      <c r="SIT41" s="51"/>
      <c r="SIU41" s="51"/>
      <c r="SIV41" s="51"/>
      <c r="SIW41" s="51"/>
      <c r="SIX41" s="51"/>
      <c r="SIY41" s="51"/>
      <c r="SIZ41" s="51"/>
      <c r="SJA41" s="51"/>
      <c r="SJB41" s="51"/>
      <c r="SJC41" s="51"/>
      <c r="SJD41" s="51"/>
      <c r="SJE41" s="51"/>
      <c r="SJF41" s="51"/>
      <c r="SJG41" s="51"/>
      <c r="SJH41" s="51"/>
      <c r="SJI41" s="51"/>
      <c r="SJJ41" s="51"/>
      <c r="SJK41" s="51"/>
      <c r="SJL41" s="51"/>
      <c r="SJM41" s="51"/>
      <c r="SJN41" s="51"/>
      <c r="SJO41" s="51"/>
      <c r="SJP41" s="51"/>
      <c r="SJQ41" s="51"/>
      <c r="SJR41" s="51"/>
      <c r="SJS41" s="51"/>
      <c r="SJT41" s="51"/>
      <c r="SJU41" s="51"/>
      <c r="SJV41" s="51"/>
      <c r="SJW41" s="51"/>
      <c r="SJX41" s="51"/>
      <c r="SJY41" s="51"/>
      <c r="SJZ41" s="51"/>
      <c r="SKA41" s="51"/>
      <c r="SKB41" s="51"/>
      <c r="SKC41" s="51"/>
      <c r="SKD41" s="51"/>
      <c r="SKE41" s="51"/>
      <c r="SKF41" s="51"/>
      <c r="SKG41" s="51"/>
      <c r="SKH41" s="51"/>
      <c r="SKI41" s="51"/>
      <c r="SKJ41" s="51"/>
      <c r="SKK41" s="51"/>
      <c r="SKL41" s="51"/>
      <c r="SKM41" s="51"/>
      <c r="SKN41" s="51"/>
      <c r="SKO41" s="51"/>
      <c r="SKP41" s="51"/>
      <c r="SKQ41" s="51"/>
      <c r="SKR41" s="51"/>
      <c r="SKS41" s="51"/>
      <c r="SKT41" s="51"/>
      <c r="SKU41" s="51"/>
      <c r="SKV41" s="51"/>
      <c r="SKW41" s="51"/>
      <c r="SKX41" s="51"/>
      <c r="SKY41" s="51"/>
      <c r="SKZ41" s="51"/>
      <c r="SLA41" s="51"/>
      <c r="SLB41" s="51"/>
      <c r="SLC41" s="51"/>
      <c r="SLD41" s="51"/>
      <c r="SLE41" s="51"/>
      <c r="SLF41" s="51"/>
      <c r="SLG41" s="51"/>
      <c r="SLH41" s="51"/>
      <c r="SLI41" s="51"/>
      <c r="SLJ41" s="51"/>
      <c r="SLK41" s="51"/>
      <c r="SLL41" s="51"/>
      <c r="SLM41" s="51"/>
      <c r="SLN41" s="51"/>
      <c r="SLO41" s="51"/>
      <c r="SLP41" s="51"/>
      <c r="SLQ41" s="51"/>
      <c r="SLR41" s="51"/>
      <c r="SLS41" s="51"/>
      <c r="SLT41" s="51"/>
      <c r="SLU41" s="51"/>
      <c r="SLV41" s="51"/>
      <c r="SLW41" s="51"/>
      <c r="SLX41" s="51"/>
      <c r="SLY41" s="51"/>
      <c r="SLZ41" s="51"/>
      <c r="SMA41" s="51"/>
      <c r="SMB41" s="51"/>
      <c r="SMC41" s="51"/>
      <c r="SMD41" s="51"/>
      <c r="SME41" s="51"/>
      <c r="SMF41" s="51"/>
      <c r="SMG41" s="51"/>
      <c r="SMH41" s="51"/>
      <c r="SMI41" s="51"/>
      <c r="SMJ41" s="51"/>
      <c r="SMK41" s="51"/>
      <c r="SML41" s="51"/>
      <c r="SMM41" s="51"/>
      <c r="SMN41" s="51"/>
      <c r="SMO41" s="51"/>
      <c r="SMP41" s="51"/>
      <c r="SMQ41" s="51"/>
      <c r="SMR41" s="51"/>
      <c r="SMS41" s="51"/>
      <c r="SMT41" s="51"/>
      <c r="SMU41" s="51"/>
      <c r="SMV41" s="51"/>
      <c r="SMW41" s="51"/>
      <c r="SMX41" s="51"/>
      <c r="SMY41" s="51"/>
      <c r="SMZ41" s="51"/>
      <c r="SNA41" s="51"/>
      <c r="SNB41" s="51"/>
      <c r="SNC41" s="51"/>
      <c r="SND41" s="51"/>
      <c r="SNE41" s="51"/>
      <c r="SNF41" s="51"/>
      <c r="SNG41" s="51"/>
      <c r="SNH41" s="51"/>
      <c r="SNI41" s="51"/>
      <c r="SNJ41" s="51"/>
      <c r="SNK41" s="51"/>
      <c r="SNL41" s="51"/>
      <c r="SNM41" s="51"/>
      <c r="SNN41" s="51"/>
      <c r="SNO41" s="51"/>
      <c r="SNP41" s="51"/>
      <c r="SNQ41" s="51"/>
      <c r="SNR41" s="51"/>
      <c r="SNS41" s="51"/>
      <c r="SNT41" s="51"/>
      <c r="SNU41" s="51"/>
      <c r="SNV41" s="51"/>
      <c r="SNW41" s="51"/>
      <c r="SNX41" s="51"/>
      <c r="SNY41" s="51"/>
      <c r="SNZ41" s="51"/>
      <c r="SOA41" s="51"/>
      <c r="SOB41" s="51"/>
      <c r="SOC41" s="51"/>
      <c r="SOD41" s="51"/>
      <c r="SOE41" s="51"/>
      <c r="SOF41" s="51"/>
      <c r="SOG41" s="51"/>
      <c r="SOH41" s="51"/>
      <c r="SOI41" s="51"/>
      <c r="SOJ41" s="51"/>
      <c r="SOK41" s="51"/>
      <c r="SOL41" s="51"/>
      <c r="SOM41" s="51"/>
      <c r="SON41" s="51"/>
      <c r="SOO41" s="51"/>
      <c r="SOP41" s="51"/>
      <c r="SOQ41" s="51"/>
      <c r="SOR41" s="51"/>
      <c r="SOS41" s="51"/>
      <c r="SOT41" s="51"/>
      <c r="SOU41" s="51"/>
      <c r="SOV41" s="51"/>
      <c r="SOW41" s="51"/>
      <c r="SOX41" s="51"/>
      <c r="SOY41" s="51"/>
      <c r="SOZ41" s="51"/>
      <c r="SPA41" s="51"/>
      <c r="SPB41" s="51"/>
      <c r="SPC41" s="51"/>
      <c r="SPD41" s="51"/>
      <c r="SPE41" s="51"/>
      <c r="SPF41" s="51"/>
      <c r="SPG41" s="51"/>
      <c r="SPH41" s="51"/>
      <c r="SPI41" s="51"/>
      <c r="SPJ41" s="51"/>
      <c r="SPK41" s="51"/>
      <c r="SPL41" s="51"/>
      <c r="SPM41" s="51"/>
      <c r="SPN41" s="51"/>
      <c r="SPO41" s="51"/>
      <c r="SPP41" s="51"/>
      <c r="SPQ41" s="51"/>
      <c r="SPR41" s="51"/>
      <c r="SPS41" s="51"/>
      <c r="SPT41" s="51"/>
      <c r="SPU41" s="51"/>
      <c r="SPV41" s="51"/>
      <c r="SPW41" s="51"/>
      <c r="SPX41" s="51"/>
      <c r="SPY41" s="51"/>
      <c r="SPZ41" s="51"/>
      <c r="SQA41" s="51"/>
      <c r="SQB41" s="51"/>
      <c r="SQC41" s="51"/>
      <c r="SQD41" s="51"/>
      <c r="SQE41" s="51"/>
      <c r="SQF41" s="51"/>
      <c r="SQG41" s="51"/>
      <c r="SQH41" s="51"/>
      <c r="SQI41" s="51"/>
      <c r="SQJ41" s="51"/>
      <c r="SQK41" s="51"/>
      <c r="SQL41" s="51"/>
      <c r="SQM41" s="51"/>
      <c r="SQN41" s="51"/>
      <c r="SQO41" s="51"/>
      <c r="SQP41" s="51"/>
      <c r="SQQ41" s="51"/>
      <c r="SQR41" s="51"/>
      <c r="SQS41" s="51"/>
      <c r="SQT41" s="51"/>
      <c r="SQU41" s="51"/>
      <c r="SQV41" s="51"/>
      <c r="SQW41" s="51"/>
      <c r="SQX41" s="51"/>
      <c r="SQY41" s="51"/>
      <c r="SQZ41" s="51"/>
      <c r="SRA41" s="51"/>
      <c r="SRB41" s="51"/>
      <c r="SRC41" s="51"/>
      <c r="SRD41" s="51"/>
      <c r="SRE41" s="51"/>
      <c r="SRF41" s="51"/>
      <c r="SRG41" s="51"/>
      <c r="SRH41" s="51"/>
      <c r="SRI41" s="51"/>
      <c r="SRJ41" s="51"/>
      <c r="SRK41" s="51"/>
      <c r="SRL41" s="51"/>
      <c r="SRM41" s="51"/>
      <c r="SRN41" s="51"/>
      <c r="SRO41" s="51"/>
      <c r="SRP41" s="51"/>
      <c r="SRQ41" s="51"/>
      <c r="SRR41" s="51"/>
      <c r="SRS41" s="51"/>
      <c r="SRT41" s="51"/>
      <c r="SRU41" s="51"/>
      <c r="SRV41" s="51"/>
      <c r="SRW41" s="51"/>
      <c r="SRX41" s="51"/>
      <c r="SRY41" s="51"/>
      <c r="SRZ41" s="51"/>
      <c r="SSA41" s="51"/>
      <c r="SSB41" s="51"/>
      <c r="SSC41" s="51"/>
      <c r="SSD41" s="51"/>
      <c r="SSE41" s="51"/>
      <c r="SSF41" s="51"/>
      <c r="SSG41" s="51"/>
      <c r="SSH41" s="51"/>
      <c r="SSI41" s="51"/>
      <c r="SSJ41" s="51"/>
      <c r="SSK41" s="51"/>
      <c r="SSL41" s="51"/>
      <c r="SSM41" s="51"/>
      <c r="SSN41" s="51"/>
      <c r="SSO41" s="51"/>
      <c r="SSP41" s="51"/>
      <c r="SSQ41" s="51"/>
      <c r="SSR41" s="51"/>
      <c r="SSS41" s="51"/>
      <c r="SST41" s="51"/>
      <c r="SSU41" s="51"/>
      <c r="SSV41" s="51"/>
      <c r="SSW41" s="51"/>
      <c r="SSX41" s="51"/>
      <c r="SSY41" s="51"/>
      <c r="SSZ41" s="51"/>
      <c r="STA41" s="51"/>
      <c r="STB41" s="51"/>
      <c r="STC41" s="51"/>
      <c r="STD41" s="51"/>
      <c r="STE41" s="51"/>
      <c r="STF41" s="51"/>
      <c r="STG41" s="51"/>
      <c r="STH41" s="51"/>
      <c r="STI41" s="51"/>
      <c r="STJ41" s="51"/>
      <c r="STK41" s="51"/>
      <c r="STL41" s="51"/>
      <c r="STM41" s="51"/>
      <c r="STN41" s="51"/>
      <c r="STO41" s="51"/>
      <c r="STP41" s="51"/>
      <c r="STQ41" s="51"/>
      <c r="STR41" s="51"/>
      <c r="STS41" s="51"/>
      <c r="STT41" s="51"/>
      <c r="STU41" s="51"/>
      <c r="STV41" s="51"/>
      <c r="STW41" s="51"/>
      <c r="STX41" s="51"/>
      <c r="STY41" s="51"/>
      <c r="STZ41" s="51"/>
      <c r="SUA41" s="51"/>
      <c r="SUB41" s="51"/>
      <c r="SUC41" s="51"/>
      <c r="SUD41" s="51"/>
      <c r="SUE41" s="51"/>
      <c r="SUF41" s="51"/>
      <c r="SUG41" s="51"/>
      <c r="SUH41" s="51"/>
      <c r="SUI41" s="51"/>
      <c r="SUJ41" s="51"/>
      <c r="SUK41" s="51"/>
      <c r="SUL41" s="51"/>
      <c r="SUM41" s="51"/>
      <c r="SUN41" s="51"/>
      <c r="SUO41" s="51"/>
      <c r="SUP41" s="51"/>
      <c r="SUQ41" s="51"/>
      <c r="SUR41" s="51"/>
      <c r="SUS41" s="51"/>
      <c r="SUT41" s="51"/>
      <c r="SUU41" s="51"/>
      <c r="SUV41" s="51"/>
      <c r="SUW41" s="51"/>
      <c r="SUX41" s="51"/>
      <c r="SUY41" s="51"/>
      <c r="SUZ41" s="51"/>
      <c r="SVA41" s="51"/>
      <c r="SVB41" s="51"/>
      <c r="SVC41" s="51"/>
      <c r="SVD41" s="51"/>
      <c r="SVE41" s="51"/>
      <c r="SVF41" s="51"/>
      <c r="SVG41" s="51"/>
      <c r="SVH41" s="51"/>
      <c r="SVI41" s="51"/>
      <c r="SVJ41" s="51"/>
      <c r="SVK41" s="51"/>
      <c r="SVL41" s="51"/>
      <c r="SVM41" s="51"/>
      <c r="SVN41" s="51"/>
      <c r="SVO41" s="51"/>
      <c r="SVP41" s="51"/>
      <c r="SVQ41" s="51"/>
      <c r="SVR41" s="51"/>
      <c r="SVS41" s="51"/>
      <c r="SVT41" s="51"/>
      <c r="SVU41" s="51"/>
      <c r="SVV41" s="51"/>
      <c r="SVW41" s="51"/>
      <c r="SVX41" s="51"/>
      <c r="SVY41" s="51"/>
      <c r="SVZ41" s="51"/>
      <c r="SWA41" s="51"/>
      <c r="SWB41" s="51"/>
      <c r="SWC41" s="51"/>
      <c r="SWD41" s="51"/>
      <c r="SWE41" s="51"/>
      <c r="SWF41" s="51"/>
      <c r="SWG41" s="51"/>
      <c r="SWH41" s="51"/>
      <c r="SWI41" s="51"/>
      <c r="SWJ41" s="51"/>
      <c r="SWK41" s="51"/>
      <c r="SWL41" s="51"/>
      <c r="SWM41" s="51"/>
      <c r="SWN41" s="51"/>
      <c r="SWO41" s="51"/>
      <c r="SWP41" s="51"/>
      <c r="SWQ41" s="51"/>
      <c r="SWR41" s="51"/>
      <c r="SWS41" s="51"/>
      <c r="SWT41" s="51"/>
      <c r="SWU41" s="51"/>
      <c r="SWV41" s="51"/>
      <c r="SWW41" s="51"/>
      <c r="SWX41" s="51"/>
      <c r="SWY41" s="51"/>
      <c r="SWZ41" s="51"/>
      <c r="SXA41" s="51"/>
      <c r="SXB41" s="51"/>
      <c r="SXC41" s="51"/>
      <c r="SXD41" s="51"/>
      <c r="SXE41" s="51"/>
      <c r="SXF41" s="51"/>
      <c r="SXG41" s="51"/>
      <c r="SXH41" s="51"/>
      <c r="SXI41" s="51"/>
      <c r="SXJ41" s="51"/>
      <c r="SXK41" s="51"/>
      <c r="SXL41" s="51"/>
      <c r="SXM41" s="51"/>
      <c r="SXN41" s="51"/>
      <c r="SXO41" s="51"/>
      <c r="SXP41" s="51"/>
      <c r="SXQ41" s="51"/>
      <c r="SXR41" s="51"/>
      <c r="SXS41" s="51"/>
      <c r="SXT41" s="51"/>
      <c r="SXU41" s="51"/>
      <c r="SXV41" s="51"/>
      <c r="SXW41" s="51"/>
      <c r="SXX41" s="51"/>
      <c r="SXY41" s="51"/>
      <c r="SXZ41" s="51"/>
      <c r="SYA41" s="51"/>
      <c r="SYB41" s="51"/>
      <c r="SYC41" s="51"/>
      <c r="SYD41" s="51"/>
      <c r="SYE41" s="51"/>
      <c r="SYF41" s="51"/>
      <c r="SYG41" s="51"/>
      <c r="SYH41" s="51"/>
      <c r="SYI41" s="51"/>
      <c r="SYJ41" s="51"/>
      <c r="SYK41" s="51"/>
      <c r="SYL41" s="51"/>
      <c r="SYM41" s="51"/>
      <c r="SYN41" s="51"/>
      <c r="SYO41" s="51"/>
      <c r="SYP41" s="51"/>
      <c r="SYQ41" s="51"/>
      <c r="SYR41" s="51"/>
      <c r="SYS41" s="51"/>
      <c r="SYT41" s="51"/>
      <c r="SYU41" s="51"/>
      <c r="SYV41" s="51"/>
      <c r="SYW41" s="51"/>
      <c r="SYX41" s="51"/>
      <c r="SYY41" s="51"/>
      <c r="SYZ41" s="51"/>
      <c r="SZA41" s="51"/>
      <c r="SZB41" s="51"/>
      <c r="SZC41" s="51"/>
      <c r="SZD41" s="51"/>
      <c r="SZE41" s="51"/>
      <c r="SZF41" s="51"/>
      <c r="SZG41" s="51"/>
      <c r="SZH41" s="51"/>
      <c r="SZI41" s="51"/>
      <c r="SZJ41" s="51"/>
      <c r="SZK41" s="51"/>
      <c r="SZL41" s="51"/>
      <c r="SZM41" s="51"/>
      <c r="SZN41" s="51"/>
      <c r="SZO41" s="51"/>
      <c r="SZP41" s="51"/>
      <c r="SZQ41" s="51"/>
      <c r="SZR41" s="51"/>
      <c r="SZS41" s="51"/>
      <c r="SZT41" s="51"/>
      <c r="SZU41" s="51"/>
      <c r="SZV41" s="51"/>
      <c r="SZW41" s="51"/>
      <c r="SZX41" s="51"/>
      <c r="SZY41" s="51"/>
      <c r="SZZ41" s="51"/>
      <c r="TAA41" s="51"/>
      <c r="TAB41" s="51"/>
      <c r="TAC41" s="51"/>
      <c r="TAD41" s="51"/>
      <c r="TAE41" s="51"/>
      <c r="TAF41" s="51"/>
      <c r="TAG41" s="51"/>
      <c r="TAH41" s="51"/>
      <c r="TAI41" s="51"/>
      <c r="TAJ41" s="51"/>
      <c r="TAK41" s="51"/>
      <c r="TAL41" s="51"/>
      <c r="TAM41" s="51"/>
      <c r="TAN41" s="51"/>
      <c r="TAO41" s="51"/>
      <c r="TAP41" s="51"/>
      <c r="TAQ41" s="51"/>
      <c r="TAR41" s="51"/>
      <c r="TAS41" s="51"/>
      <c r="TAT41" s="51"/>
      <c r="TAU41" s="51"/>
      <c r="TAV41" s="51"/>
      <c r="TAW41" s="51"/>
      <c r="TAX41" s="51"/>
      <c r="TAY41" s="51"/>
      <c r="TAZ41" s="51"/>
      <c r="TBA41" s="51"/>
      <c r="TBB41" s="51"/>
      <c r="TBC41" s="51"/>
      <c r="TBD41" s="51"/>
      <c r="TBE41" s="51"/>
      <c r="TBF41" s="51"/>
      <c r="TBG41" s="51"/>
      <c r="TBH41" s="51"/>
      <c r="TBI41" s="51"/>
      <c r="TBJ41" s="51"/>
      <c r="TBK41" s="51"/>
      <c r="TBL41" s="51"/>
      <c r="TBM41" s="51"/>
      <c r="TBN41" s="51"/>
      <c r="TBO41" s="51"/>
      <c r="TBP41" s="51"/>
      <c r="TBQ41" s="51"/>
      <c r="TBR41" s="51"/>
      <c r="TBS41" s="51"/>
      <c r="TBT41" s="51"/>
      <c r="TBU41" s="51"/>
      <c r="TBV41" s="51"/>
      <c r="TBW41" s="51"/>
      <c r="TBX41" s="51"/>
      <c r="TBY41" s="51"/>
      <c r="TBZ41" s="51"/>
      <c r="TCA41" s="51"/>
      <c r="TCB41" s="51"/>
      <c r="TCC41" s="51"/>
      <c r="TCD41" s="51"/>
      <c r="TCE41" s="51"/>
      <c r="TCF41" s="51"/>
      <c r="TCG41" s="51"/>
      <c r="TCH41" s="51"/>
      <c r="TCI41" s="51"/>
      <c r="TCJ41" s="51"/>
      <c r="TCK41" s="51"/>
      <c r="TCL41" s="51"/>
      <c r="TCM41" s="51"/>
      <c r="TCN41" s="51"/>
      <c r="TCO41" s="51"/>
      <c r="TCP41" s="51"/>
      <c r="TCQ41" s="51"/>
      <c r="TCR41" s="51"/>
      <c r="TCS41" s="51"/>
      <c r="TCT41" s="51"/>
      <c r="TCU41" s="51"/>
      <c r="TCV41" s="51"/>
      <c r="TCW41" s="51"/>
      <c r="TCX41" s="51"/>
      <c r="TCY41" s="51"/>
      <c r="TCZ41" s="51"/>
      <c r="TDA41" s="51"/>
      <c r="TDB41" s="51"/>
      <c r="TDC41" s="51"/>
      <c r="TDD41" s="51"/>
      <c r="TDE41" s="51"/>
      <c r="TDF41" s="51"/>
      <c r="TDG41" s="51"/>
      <c r="TDH41" s="51"/>
      <c r="TDI41" s="51"/>
      <c r="TDJ41" s="51"/>
      <c r="TDK41" s="51"/>
      <c r="TDL41" s="51"/>
      <c r="TDM41" s="51"/>
      <c r="TDN41" s="51"/>
      <c r="TDO41" s="51"/>
      <c r="TDP41" s="51"/>
      <c r="TDQ41" s="51"/>
      <c r="TDR41" s="51"/>
      <c r="TDS41" s="51"/>
      <c r="TDT41" s="51"/>
      <c r="TDU41" s="51"/>
      <c r="TDV41" s="51"/>
      <c r="TDW41" s="51"/>
      <c r="TDX41" s="51"/>
      <c r="TDY41" s="51"/>
      <c r="TDZ41" s="51"/>
      <c r="TEA41" s="51"/>
      <c r="TEB41" s="51"/>
      <c r="TEC41" s="51"/>
      <c r="TED41" s="51"/>
      <c r="TEE41" s="51"/>
      <c r="TEF41" s="51"/>
      <c r="TEG41" s="51"/>
      <c r="TEH41" s="51"/>
      <c r="TEI41" s="51"/>
      <c r="TEJ41" s="51"/>
      <c r="TEK41" s="51"/>
      <c r="TEL41" s="51"/>
      <c r="TEM41" s="51"/>
      <c r="TEN41" s="51"/>
      <c r="TEO41" s="51"/>
      <c r="TEP41" s="51"/>
      <c r="TEQ41" s="51"/>
      <c r="TER41" s="51"/>
      <c r="TES41" s="51"/>
      <c r="TET41" s="51"/>
      <c r="TEU41" s="51"/>
      <c r="TEV41" s="51"/>
      <c r="TEW41" s="51"/>
      <c r="TEX41" s="51"/>
      <c r="TEY41" s="51"/>
      <c r="TEZ41" s="51"/>
      <c r="TFA41" s="51"/>
      <c r="TFB41" s="51"/>
      <c r="TFC41" s="51"/>
      <c r="TFD41" s="51"/>
      <c r="TFE41" s="51"/>
      <c r="TFF41" s="51"/>
      <c r="TFG41" s="51"/>
      <c r="TFH41" s="51"/>
      <c r="TFI41" s="51"/>
      <c r="TFJ41" s="51"/>
      <c r="TFK41" s="51"/>
      <c r="TFL41" s="51"/>
      <c r="TFM41" s="51"/>
      <c r="TFN41" s="51"/>
      <c r="TFO41" s="51"/>
      <c r="TFP41" s="51"/>
      <c r="TFQ41" s="51"/>
      <c r="TFR41" s="51"/>
      <c r="TFS41" s="51"/>
      <c r="TFT41" s="51"/>
      <c r="TFU41" s="51"/>
      <c r="TFV41" s="51"/>
      <c r="TFW41" s="51"/>
      <c r="TFX41" s="51"/>
      <c r="TFY41" s="51"/>
      <c r="TFZ41" s="51"/>
      <c r="TGA41" s="51"/>
      <c r="TGB41" s="51"/>
      <c r="TGC41" s="51"/>
      <c r="TGD41" s="51"/>
      <c r="TGE41" s="51"/>
      <c r="TGF41" s="51"/>
      <c r="TGG41" s="51"/>
      <c r="TGH41" s="51"/>
      <c r="TGI41" s="51"/>
      <c r="TGJ41" s="51"/>
      <c r="TGK41" s="51"/>
      <c r="TGL41" s="51"/>
      <c r="TGM41" s="51"/>
      <c r="TGN41" s="51"/>
      <c r="TGO41" s="51"/>
      <c r="TGP41" s="51"/>
      <c r="TGQ41" s="51"/>
      <c r="TGR41" s="51"/>
      <c r="TGS41" s="51"/>
      <c r="TGT41" s="51"/>
      <c r="TGU41" s="51"/>
      <c r="TGV41" s="51"/>
      <c r="TGW41" s="51"/>
      <c r="TGX41" s="51"/>
      <c r="TGY41" s="51"/>
      <c r="TGZ41" s="51"/>
      <c r="THA41" s="51"/>
      <c r="THB41" s="51"/>
      <c r="THC41" s="51"/>
      <c r="THD41" s="51"/>
      <c r="THE41" s="51"/>
      <c r="THF41" s="51"/>
      <c r="THG41" s="51"/>
      <c r="THH41" s="51"/>
      <c r="THI41" s="51"/>
      <c r="THJ41" s="51"/>
      <c r="THK41" s="51"/>
      <c r="THL41" s="51"/>
      <c r="THM41" s="51"/>
      <c r="THN41" s="51"/>
      <c r="THO41" s="51"/>
      <c r="THP41" s="51"/>
      <c r="THQ41" s="51"/>
      <c r="THR41" s="51"/>
      <c r="THS41" s="51"/>
      <c r="THT41" s="51"/>
      <c r="THU41" s="51"/>
      <c r="THV41" s="51"/>
      <c r="THW41" s="51"/>
      <c r="THX41" s="51"/>
      <c r="THY41" s="51"/>
      <c r="THZ41" s="51"/>
      <c r="TIA41" s="51"/>
      <c r="TIB41" s="51"/>
      <c r="TIC41" s="51"/>
      <c r="TID41" s="51"/>
      <c r="TIE41" s="51"/>
      <c r="TIF41" s="51"/>
      <c r="TIG41" s="51"/>
      <c r="TIH41" s="51"/>
      <c r="TII41" s="51"/>
      <c r="TIJ41" s="51"/>
      <c r="TIK41" s="51"/>
      <c r="TIL41" s="51"/>
      <c r="TIM41" s="51"/>
      <c r="TIN41" s="51"/>
      <c r="TIO41" s="51"/>
      <c r="TIP41" s="51"/>
      <c r="TIQ41" s="51"/>
      <c r="TIR41" s="51"/>
      <c r="TIS41" s="51"/>
      <c r="TIT41" s="51"/>
      <c r="TIU41" s="51"/>
      <c r="TIV41" s="51"/>
      <c r="TIW41" s="51"/>
      <c r="TIX41" s="51"/>
      <c r="TIY41" s="51"/>
      <c r="TIZ41" s="51"/>
      <c r="TJA41" s="51"/>
      <c r="TJB41" s="51"/>
      <c r="TJC41" s="51"/>
      <c r="TJD41" s="51"/>
      <c r="TJE41" s="51"/>
      <c r="TJF41" s="51"/>
      <c r="TJG41" s="51"/>
      <c r="TJH41" s="51"/>
      <c r="TJI41" s="51"/>
      <c r="TJJ41" s="51"/>
      <c r="TJK41" s="51"/>
      <c r="TJL41" s="51"/>
      <c r="TJM41" s="51"/>
      <c r="TJN41" s="51"/>
      <c r="TJO41" s="51"/>
      <c r="TJP41" s="51"/>
      <c r="TJQ41" s="51"/>
      <c r="TJR41" s="51"/>
      <c r="TJS41" s="51"/>
      <c r="TJT41" s="51"/>
      <c r="TJU41" s="51"/>
      <c r="TJV41" s="51"/>
      <c r="TJW41" s="51"/>
      <c r="TJX41" s="51"/>
      <c r="TJY41" s="51"/>
      <c r="TJZ41" s="51"/>
      <c r="TKA41" s="51"/>
      <c r="TKB41" s="51"/>
      <c r="TKC41" s="51"/>
      <c r="TKD41" s="51"/>
      <c r="TKE41" s="51"/>
      <c r="TKF41" s="51"/>
      <c r="TKG41" s="51"/>
      <c r="TKH41" s="51"/>
      <c r="TKI41" s="51"/>
      <c r="TKJ41" s="51"/>
      <c r="TKK41" s="51"/>
      <c r="TKL41" s="51"/>
      <c r="TKM41" s="51"/>
      <c r="TKN41" s="51"/>
      <c r="TKO41" s="51"/>
      <c r="TKP41" s="51"/>
      <c r="TKQ41" s="51"/>
      <c r="TKR41" s="51"/>
      <c r="TKS41" s="51"/>
      <c r="TKT41" s="51"/>
      <c r="TKU41" s="51"/>
      <c r="TKV41" s="51"/>
      <c r="TKW41" s="51"/>
      <c r="TKX41" s="51"/>
      <c r="TKY41" s="51"/>
      <c r="TKZ41" s="51"/>
      <c r="TLA41" s="51"/>
      <c r="TLB41" s="51"/>
      <c r="TLC41" s="51"/>
      <c r="TLD41" s="51"/>
      <c r="TLE41" s="51"/>
      <c r="TLF41" s="51"/>
      <c r="TLG41" s="51"/>
      <c r="TLH41" s="51"/>
      <c r="TLI41" s="51"/>
      <c r="TLJ41" s="51"/>
      <c r="TLK41" s="51"/>
      <c r="TLL41" s="51"/>
      <c r="TLM41" s="51"/>
      <c r="TLN41" s="51"/>
      <c r="TLO41" s="51"/>
      <c r="TLP41" s="51"/>
      <c r="TLQ41" s="51"/>
      <c r="TLR41" s="51"/>
      <c r="TLS41" s="51"/>
      <c r="TLT41" s="51"/>
      <c r="TLU41" s="51"/>
      <c r="TLV41" s="51"/>
      <c r="TLW41" s="51"/>
      <c r="TLX41" s="51"/>
      <c r="TLY41" s="51"/>
      <c r="TLZ41" s="51"/>
      <c r="TMA41" s="51"/>
      <c r="TMB41" s="51"/>
      <c r="TMC41" s="51"/>
      <c r="TMD41" s="51"/>
      <c r="TME41" s="51"/>
      <c r="TMF41" s="51"/>
      <c r="TMG41" s="51"/>
      <c r="TMH41" s="51"/>
      <c r="TMI41" s="51"/>
      <c r="TMJ41" s="51"/>
      <c r="TMK41" s="51"/>
      <c r="TML41" s="51"/>
      <c r="TMM41" s="51"/>
      <c r="TMN41" s="51"/>
      <c r="TMO41" s="51"/>
      <c r="TMP41" s="51"/>
      <c r="TMQ41" s="51"/>
      <c r="TMR41" s="51"/>
      <c r="TMS41" s="51"/>
      <c r="TMT41" s="51"/>
      <c r="TMU41" s="51"/>
      <c r="TMV41" s="51"/>
      <c r="TMW41" s="51"/>
      <c r="TMX41" s="51"/>
      <c r="TMY41" s="51"/>
      <c r="TMZ41" s="51"/>
      <c r="TNA41" s="51"/>
      <c r="TNB41" s="51"/>
      <c r="TNC41" s="51"/>
      <c r="TND41" s="51"/>
      <c r="TNE41" s="51"/>
      <c r="TNF41" s="51"/>
      <c r="TNG41" s="51"/>
      <c r="TNH41" s="51"/>
      <c r="TNI41" s="51"/>
      <c r="TNJ41" s="51"/>
      <c r="TNK41" s="51"/>
      <c r="TNL41" s="51"/>
      <c r="TNM41" s="51"/>
      <c r="TNN41" s="51"/>
      <c r="TNO41" s="51"/>
      <c r="TNP41" s="51"/>
      <c r="TNQ41" s="51"/>
      <c r="TNR41" s="51"/>
      <c r="TNS41" s="51"/>
      <c r="TNT41" s="51"/>
      <c r="TNU41" s="51"/>
      <c r="TNV41" s="51"/>
      <c r="TNW41" s="51"/>
      <c r="TNX41" s="51"/>
      <c r="TNY41" s="51"/>
      <c r="TNZ41" s="51"/>
      <c r="TOA41" s="51"/>
      <c r="TOB41" s="51"/>
      <c r="TOC41" s="51"/>
      <c r="TOD41" s="51"/>
      <c r="TOE41" s="51"/>
      <c r="TOF41" s="51"/>
      <c r="TOG41" s="51"/>
      <c r="TOH41" s="51"/>
      <c r="TOI41" s="51"/>
      <c r="TOJ41" s="51"/>
      <c r="TOK41" s="51"/>
      <c r="TOL41" s="51"/>
      <c r="TOM41" s="51"/>
      <c r="TON41" s="51"/>
      <c r="TOO41" s="51"/>
      <c r="TOP41" s="51"/>
      <c r="TOQ41" s="51"/>
      <c r="TOR41" s="51"/>
      <c r="TOS41" s="51"/>
      <c r="TOT41" s="51"/>
      <c r="TOU41" s="51"/>
      <c r="TOV41" s="51"/>
      <c r="TOW41" s="51"/>
      <c r="TOX41" s="51"/>
      <c r="TOY41" s="51"/>
      <c r="TOZ41" s="51"/>
      <c r="TPA41" s="51"/>
      <c r="TPB41" s="51"/>
      <c r="TPC41" s="51"/>
      <c r="TPD41" s="51"/>
      <c r="TPE41" s="51"/>
      <c r="TPF41" s="51"/>
      <c r="TPG41" s="51"/>
      <c r="TPH41" s="51"/>
      <c r="TPI41" s="51"/>
      <c r="TPJ41" s="51"/>
      <c r="TPK41" s="51"/>
      <c r="TPL41" s="51"/>
      <c r="TPM41" s="51"/>
      <c r="TPN41" s="51"/>
      <c r="TPO41" s="51"/>
      <c r="TPP41" s="51"/>
      <c r="TPQ41" s="51"/>
      <c r="TPR41" s="51"/>
      <c r="TPS41" s="51"/>
      <c r="TPT41" s="51"/>
      <c r="TPU41" s="51"/>
      <c r="TPV41" s="51"/>
      <c r="TPW41" s="51"/>
      <c r="TPX41" s="51"/>
      <c r="TPY41" s="51"/>
      <c r="TPZ41" s="51"/>
      <c r="TQA41" s="51"/>
      <c r="TQB41" s="51"/>
      <c r="TQC41" s="51"/>
      <c r="TQD41" s="51"/>
      <c r="TQE41" s="51"/>
      <c r="TQF41" s="51"/>
      <c r="TQG41" s="51"/>
      <c r="TQH41" s="51"/>
      <c r="TQI41" s="51"/>
      <c r="TQJ41" s="51"/>
      <c r="TQK41" s="51"/>
      <c r="TQL41" s="51"/>
      <c r="TQM41" s="51"/>
      <c r="TQN41" s="51"/>
      <c r="TQO41" s="51"/>
      <c r="TQP41" s="51"/>
      <c r="TQQ41" s="51"/>
      <c r="TQR41" s="51"/>
      <c r="TQS41" s="51"/>
      <c r="TQT41" s="51"/>
      <c r="TQU41" s="51"/>
      <c r="TQV41" s="51"/>
      <c r="TQW41" s="51"/>
      <c r="TQX41" s="51"/>
      <c r="TQY41" s="51"/>
      <c r="TQZ41" s="51"/>
      <c r="TRA41" s="51"/>
      <c r="TRB41" s="51"/>
      <c r="TRC41" s="51"/>
      <c r="TRD41" s="51"/>
      <c r="TRE41" s="51"/>
      <c r="TRF41" s="51"/>
      <c r="TRG41" s="51"/>
      <c r="TRH41" s="51"/>
      <c r="TRI41" s="51"/>
      <c r="TRJ41" s="51"/>
      <c r="TRK41" s="51"/>
      <c r="TRL41" s="51"/>
      <c r="TRM41" s="51"/>
      <c r="TRN41" s="51"/>
      <c r="TRO41" s="51"/>
      <c r="TRP41" s="51"/>
      <c r="TRQ41" s="51"/>
      <c r="TRR41" s="51"/>
      <c r="TRS41" s="51"/>
      <c r="TRT41" s="51"/>
      <c r="TRU41" s="51"/>
      <c r="TRV41" s="51"/>
      <c r="TRW41" s="51"/>
      <c r="TRX41" s="51"/>
      <c r="TRY41" s="51"/>
      <c r="TRZ41" s="51"/>
      <c r="TSA41" s="51"/>
      <c r="TSB41" s="51"/>
      <c r="TSC41" s="51"/>
      <c r="TSD41" s="51"/>
      <c r="TSE41" s="51"/>
      <c r="TSF41" s="51"/>
      <c r="TSG41" s="51"/>
      <c r="TSH41" s="51"/>
      <c r="TSI41" s="51"/>
      <c r="TSJ41" s="51"/>
      <c r="TSK41" s="51"/>
      <c r="TSL41" s="51"/>
      <c r="TSM41" s="51"/>
      <c r="TSN41" s="51"/>
      <c r="TSO41" s="51"/>
      <c r="TSP41" s="51"/>
      <c r="TSQ41" s="51"/>
      <c r="TSR41" s="51"/>
      <c r="TSS41" s="51"/>
      <c r="TST41" s="51"/>
      <c r="TSU41" s="51"/>
      <c r="TSV41" s="51"/>
      <c r="TSW41" s="51"/>
      <c r="TSX41" s="51"/>
      <c r="TSY41" s="51"/>
      <c r="TSZ41" s="51"/>
      <c r="TTA41" s="51"/>
      <c r="TTB41" s="51"/>
      <c r="TTC41" s="51"/>
      <c r="TTD41" s="51"/>
      <c r="TTE41" s="51"/>
      <c r="TTF41" s="51"/>
      <c r="TTG41" s="51"/>
      <c r="TTH41" s="51"/>
      <c r="TTI41" s="51"/>
      <c r="TTJ41" s="51"/>
      <c r="TTK41" s="51"/>
      <c r="TTL41" s="51"/>
      <c r="TTM41" s="51"/>
      <c r="TTN41" s="51"/>
      <c r="TTO41" s="51"/>
      <c r="TTP41" s="51"/>
      <c r="TTQ41" s="51"/>
      <c r="TTR41" s="51"/>
      <c r="TTS41" s="51"/>
      <c r="TTT41" s="51"/>
      <c r="TTU41" s="51"/>
      <c r="TTV41" s="51"/>
      <c r="TTW41" s="51"/>
      <c r="TTX41" s="51"/>
      <c r="TTY41" s="51"/>
      <c r="TTZ41" s="51"/>
      <c r="TUA41" s="51"/>
      <c r="TUB41" s="51"/>
      <c r="TUC41" s="51"/>
      <c r="TUD41" s="51"/>
      <c r="TUE41" s="51"/>
      <c r="TUF41" s="51"/>
      <c r="TUG41" s="51"/>
      <c r="TUH41" s="51"/>
      <c r="TUI41" s="51"/>
      <c r="TUJ41" s="51"/>
      <c r="TUK41" s="51"/>
      <c r="TUL41" s="51"/>
      <c r="TUM41" s="51"/>
      <c r="TUN41" s="51"/>
      <c r="TUO41" s="51"/>
      <c r="TUP41" s="51"/>
      <c r="TUQ41" s="51"/>
      <c r="TUR41" s="51"/>
      <c r="TUS41" s="51"/>
      <c r="TUT41" s="51"/>
      <c r="TUU41" s="51"/>
      <c r="TUV41" s="51"/>
      <c r="TUW41" s="51"/>
      <c r="TUX41" s="51"/>
      <c r="TUY41" s="51"/>
      <c r="TUZ41" s="51"/>
      <c r="TVA41" s="51"/>
      <c r="TVB41" s="51"/>
      <c r="TVC41" s="51"/>
      <c r="TVD41" s="51"/>
      <c r="TVE41" s="51"/>
      <c r="TVF41" s="51"/>
      <c r="TVG41" s="51"/>
      <c r="TVH41" s="51"/>
      <c r="TVI41" s="51"/>
      <c r="TVJ41" s="51"/>
      <c r="TVK41" s="51"/>
      <c r="TVL41" s="51"/>
      <c r="TVM41" s="51"/>
      <c r="TVN41" s="51"/>
      <c r="TVO41" s="51"/>
      <c r="TVP41" s="51"/>
      <c r="TVQ41" s="51"/>
      <c r="TVR41" s="51"/>
      <c r="TVS41" s="51"/>
      <c r="TVT41" s="51"/>
      <c r="TVU41" s="51"/>
      <c r="TVV41" s="51"/>
      <c r="TVW41" s="51"/>
      <c r="TVX41" s="51"/>
      <c r="TVY41" s="51"/>
      <c r="TVZ41" s="51"/>
      <c r="TWA41" s="51"/>
      <c r="TWB41" s="51"/>
      <c r="TWC41" s="51"/>
      <c r="TWD41" s="51"/>
      <c r="TWE41" s="51"/>
      <c r="TWF41" s="51"/>
      <c r="TWG41" s="51"/>
      <c r="TWH41" s="51"/>
      <c r="TWI41" s="51"/>
      <c r="TWJ41" s="51"/>
      <c r="TWK41" s="51"/>
      <c r="TWL41" s="51"/>
      <c r="TWM41" s="51"/>
      <c r="TWN41" s="51"/>
      <c r="TWO41" s="51"/>
      <c r="TWP41" s="51"/>
      <c r="TWQ41" s="51"/>
      <c r="TWR41" s="51"/>
      <c r="TWS41" s="51"/>
      <c r="TWT41" s="51"/>
      <c r="TWU41" s="51"/>
      <c r="TWV41" s="51"/>
      <c r="TWW41" s="51"/>
      <c r="TWX41" s="51"/>
      <c r="TWY41" s="51"/>
      <c r="TWZ41" s="51"/>
      <c r="TXA41" s="51"/>
      <c r="TXB41" s="51"/>
      <c r="TXC41" s="51"/>
      <c r="TXD41" s="51"/>
      <c r="TXE41" s="51"/>
      <c r="TXF41" s="51"/>
      <c r="TXG41" s="51"/>
      <c r="TXH41" s="51"/>
      <c r="TXI41" s="51"/>
      <c r="TXJ41" s="51"/>
      <c r="TXK41" s="51"/>
      <c r="TXL41" s="51"/>
      <c r="TXM41" s="51"/>
      <c r="TXN41" s="51"/>
      <c r="TXO41" s="51"/>
      <c r="TXP41" s="51"/>
      <c r="TXQ41" s="51"/>
      <c r="TXR41" s="51"/>
      <c r="TXS41" s="51"/>
      <c r="TXT41" s="51"/>
      <c r="TXU41" s="51"/>
      <c r="TXV41" s="51"/>
      <c r="TXW41" s="51"/>
      <c r="TXX41" s="51"/>
      <c r="TXY41" s="51"/>
      <c r="TXZ41" s="51"/>
      <c r="TYA41" s="51"/>
      <c r="TYB41" s="51"/>
      <c r="TYC41" s="51"/>
      <c r="TYD41" s="51"/>
      <c r="TYE41" s="51"/>
      <c r="TYF41" s="51"/>
      <c r="TYG41" s="51"/>
      <c r="TYH41" s="51"/>
      <c r="TYI41" s="51"/>
      <c r="TYJ41" s="51"/>
      <c r="TYK41" s="51"/>
      <c r="TYL41" s="51"/>
      <c r="TYM41" s="51"/>
      <c r="TYN41" s="51"/>
      <c r="TYO41" s="51"/>
      <c r="TYP41" s="51"/>
      <c r="TYQ41" s="51"/>
      <c r="TYR41" s="51"/>
      <c r="TYS41" s="51"/>
      <c r="TYT41" s="51"/>
      <c r="TYU41" s="51"/>
      <c r="TYV41" s="51"/>
      <c r="TYW41" s="51"/>
      <c r="TYX41" s="51"/>
      <c r="TYY41" s="51"/>
      <c r="TYZ41" s="51"/>
      <c r="TZA41" s="51"/>
      <c r="TZB41" s="51"/>
      <c r="TZC41" s="51"/>
      <c r="TZD41" s="51"/>
      <c r="TZE41" s="51"/>
      <c r="TZF41" s="51"/>
      <c r="TZG41" s="51"/>
      <c r="TZH41" s="51"/>
      <c r="TZI41" s="51"/>
      <c r="TZJ41" s="51"/>
      <c r="TZK41" s="51"/>
      <c r="TZL41" s="51"/>
      <c r="TZM41" s="51"/>
      <c r="TZN41" s="51"/>
      <c r="TZO41" s="51"/>
      <c r="TZP41" s="51"/>
      <c r="TZQ41" s="51"/>
      <c r="TZR41" s="51"/>
      <c r="TZS41" s="51"/>
      <c r="TZT41" s="51"/>
      <c r="TZU41" s="51"/>
      <c r="TZV41" s="51"/>
      <c r="TZW41" s="51"/>
      <c r="TZX41" s="51"/>
      <c r="TZY41" s="51"/>
      <c r="TZZ41" s="51"/>
      <c r="UAA41" s="51"/>
      <c r="UAB41" s="51"/>
      <c r="UAC41" s="51"/>
      <c r="UAD41" s="51"/>
      <c r="UAE41" s="51"/>
      <c r="UAF41" s="51"/>
      <c r="UAG41" s="51"/>
      <c r="UAH41" s="51"/>
      <c r="UAI41" s="51"/>
      <c r="UAJ41" s="51"/>
      <c r="UAK41" s="51"/>
      <c r="UAL41" s="51"/>
      <c r="UAM41" s="51"/>
      <c r="UAN41" s="51"/>
      <c r="UAO41" s="51"/>
      <c r="UAP41" s="51"/>
      <c r="UAQ41" s="51"/>
      <c r="UAR41" s="51"/>
      <c r="UAS41" s="51"/>
      <c r="UAT41" s="51"/>
      <c r="UAU41" s="51"/>
      <c r="UAV41" s="51"/>
      <c r="UAW41" s="51"/>
      <c r="UAX41" s="51"/>
      <c r="UAY41" s="51"/>
      <c r="UAZ41" s="51"/>
      <c r="UBA41" s="51"/>
      <c r="UBB41" s="51"/>
      <c r="UBC41" s="51"/>
      <c r="UBD41" s="51"/>
      <c r="UBE41" s="51"/>
      <c r="UBF41" s="51"/>
      <c r="UBG41" s="51"/>
      <c r="UBH41" s="51"/>
      <c r="UBI41" s="51"/>
      <c r="UBJ41" s="51"/>
      <c r="UBK41" s="51"/>
      <c r="UBL41" s="51"/>
      <c r="UBM41" s="51"/>
      <c r="UBN41" s="51"/>
      <c r="UBO41" s="51"/>
      <c r="UBP41" s="51"/>
      <c r="UBQ41" s="51"/>
      <c r="UBR41" s="51"/>
      <c r="UBS41" s="51"/>
      <c r="UBT41" s="51"/>
      <c r="UBU41" s="51"/>
      <c r="UBV41" s="51"/>
      <c r="UBW41" s="51"/>
      <c r="UBX41" s="51"/>
      <c r="UBY41" s="51"/>
      <c r="UBZ41" s="51"/>
      <c r="UCA41" s="51"/>
      <c r="UCB41" s="51"/>
      <c r="UCC41" s="51"/>
      <c r="UCD41" s="51"/>
      <c r="UCE41" s="51"/>
      <c r="UCF41" s="51"/>
      <c r="UCG41" s="51"/>
      <c r="UCH41" s="51"/>
      <c r="UCI41" s="51"/>
      <c r="UCJ41" s="51"/>
      <c r="UCK41" s="51"/>
      <c r="UCL41" s="51"/>
      <c r="UCM41" s="51"/>
      <c r="UCN41" s="51"/>
      <c r="UCO41" s="51"/>
      <c r="UCP41" s="51"/>
      <c r="UCQ41" s="51"/>
      <c r="UCR41" s="51"/>
      <c r="UCS41" s="51"/>
      <c r="UCT41" s="51"/>
      <c r="UCU41" s="51"/>
      <c r="UCV41" s="51"/>
      <c r="UCW41" s="51"/>
      <c r="UCX41" s="51"/>
      <c r="UCY41" s="51"/>
      <c r="UCZ41" s="51"/>
      <c r="UDA41" s="51"/>
      <c r="UDB41" s="51"/>
      <c r="UDC41" s="51"/>
      <c r="UDD41" s="51"/>
      <c r="UDE41" s="51"/>
      <c r="UDF41" s="51"/>
      <c r="UDG41" s="51"/>
      <c r="UDH41" s="51"/>
      <c r="UDI41" s="51"/>
      <c r="UDJ41" s="51"/>
      <c r="UDK41" s="51"/>
      <c r="UDL41" s="51"/>
      <c r="UDM41" s="51"/>
      <c r="UDN41" s="51"/>
      <c r="UDO41" s="51"/>
      <c r="UDP41" s="51"/>
      <c r="UDQ41" s="51"/>
      <c r="UDR41" s="51"/>
      <c r="UDS41" s="51"/>
      <c r="UDT41" s="51"/>
      <c r="UDU41" s="51"/>
      <c r="UDV41" s="51"/>
      <c r="UDW41" s="51"/>
      <c r="UDX41" s="51"/>
      <c r="UDY41" s="51"/>
      <c r="UDZ41" s="51"/>
      <c r="UEA41" s="51"/>
      <c r="UEB41" s="51"/>
      <c r="UEC41" s="51"/>
      <c r="UED41" s="51"/>
      <c r="UEE41" s="51"/>
      <c r="UEF41" s="51"/>
      <c r="UEG41" s="51"/>
      <c r="UEH41" s="51"/>
      <c r="UEI41" s="51"/>
      <c r="UEJ41" s="51"/>
      <c r="UEK41" s="51"/>
      <c r="UEL41" s="51"/>
      <c r="UEM41" s="51"/>
      <c r="UEN41" s="51"/>
      <c r="UEO41" s="51"/>
      <c r="UEP41" s="51"/>
      <c r="UEQ41" s="51"/>
      <c r="UER41" s="51"/>
      <c r="UES41" s="51"/>
      <c r="UET41" s="51"/>
      <c r="UEU41" s="51"/>
      <c r="UEV41" s="51"/>
      <c r="UEW41" s="51"/>
      <c r="UEX41" s="51"/>
      <c r="UEY41" s="51"/>
      <c r="UEZ41" s="51"/>
      <c r="UFA41" s="51"/>
      <c r="UFB41" s="51"/>
      <c r="UFC41" s="51"/>
      <c r="UFD41" s="51"/>
      <c r="UFE41" s="51"/>
      <c r="UFF41" s="51"/>
      <c r="UFG41" s="51"/>
      <c r="UFH41" s="51"/>
      <c r="UFI41" s="51"/>
      <c r="UFJ41" s="51"/>
      <c r="UFK41" s="51"/>
      <c r="UFL41" s="51"/>
      <c r="UFM41" s="51"/>
      <c r="UFN41" s="51"/>
      <c r="UFO41" s="51"/>
      <c r="UFP41" s="51"/>
      <c r="UFQ41" s="51"/>
      <c r="UFR41" s="51"/>
      <c r="UFS41" s="51"/>
      <c r="UFT41" s="51"/>
      <c r="UFU41" s="51"/>
      <c r="UFV41" s="51"/>
      <c r="UFW41" s="51"/>
      <c r="UFX41" s="51"/>
      <c r="UFY41" s="51"/>
      <c r="UFZ41" s="51"/>
      <c r="UGA41" s="51"/>
      <c r="UGB41" s="51"/>
      <c r="UGC41" s="51"/>
      <c r="UGD41" s="51"/>
      <c r="UGE41" s="51"/>
      <c r="UGF41" s="51"/>
      <c r="UGG41" s="51"/>
      <c r="UGH41" s="51"/>
      <c r="UGI41" s="51"/>
      <c r="UGJ41" s="51"/>
      <c r="UGK41" s="51"/>
      <c r="UGL41" s="51"/>
      <c r="UGM41" s="51"/>
      <c r="UGN41" s="51"/>
      <c r="UGO41" s="51"/>
      <c r="UGP41" s="51"/>
      <c r="UGQ41" s="51"/>
      <c r="UGR41" s="51"/>
      <c r="UGS41" s="51"/>
      <c r="UGT41" s="51"/>
      <c r="UGU41" s="51"/>
      <c r="UGV41" s="51"/>
      <c r="UGW41" s="51"/>
      <c r="UGX41" s="51"/>
      <c r="UGY41" s="51"/>
      <c r="UGZ41" s="51"/>
      <c r="UHA41" s="51"/>
      <c r="UHB41" s="51"/>
      <c r="UHC41" s="51"/>
      <c r="UHD41" s="51"/>
      <c r="UHE41" s="51"/>
      <c r="UHF41" s="51"/>
      <c r="UHG41" s="51"/>
      <c r="UHH41" s="51"/>
      <c r="UHI41" s="51"/>
      <c r="UHJ41" s="51"/>
      <c r="UHK41" s="51"/>
      <c r="UHL41" s="51"/>
      <c r="UHM41" s="51"/>
      <c r="UHN41" s="51"/>
      <c r="UHO41" s="51"/>
      <c r="UHP41" s="51"/>
      <c r="UHQ41" s="51"/>
      <c r="UHR41" s="51"/>
      <c r="UHS41" s="51"/>
      <c r="UHT41" s="51"/>
      <c r="UHU41" s="51"/>
      <c r="UHV41" s="51"/>
      <c r="UHW41" s="51"/>
      <c r="UHX41" s="51"/>
      <c r="UHY41" s="51"/>
      <c r="UHZ41" s="51"/>
      <c r="UIA41" s="51"/>
      <c r="UIB41" s="51"/>
      <c r="UIC41" s="51"/>
      <c r="UID41" s="51"/>
      <c r="UIE41" s="51"/>
      <c r="UIF41" s="51"/>
      <c r="UIG41" s="51"/>
      <c r="UIH41" s="51"/>
      <c r="UII41" s="51"/>
      <c r="UIJ41" s="51"/>
      <c r="UIK41" s="51"/>
      <c r="UIL41" s="51"/>
      <c r="UIM41" s="51"/>
      <c r="UIN41" s="51"/>
      <c r="UIO41" s="51"/>
      <c r="UIP41" s="51"/>
      <c r="UIQ41" s="51"/>
      <c r="UIR41" s="51"/>
      <c r="UIS41" s="51"/>
      <c r="UIT41" s="51"/>
      <c r="UIU41" s="51"/>
      <c r="UIV41" s="51"/>
      <c r="UIW41" s="51"/>
      <c r="UIX41" s="51"/>
      <c r="UIY41" s="51"/>
      <c r="UIZ41" s="51"/>
      <c r="UJA41" s="51"/>
      <c r="UJB41" s="51"/>
      <c r="UJC41" s="51"/>
      <c r="UJD41" s="51"/>
      <c r="UJE41" s="51"/>
      <c r="UJF41" s="51"/>
      <c r="UJG41" s="51"/>
      <c r="UJH41" s="51"/>
      <c r="UJI41" s="51"/>
      <c r="UJJ41" s="51"/>
      <c r="UJK41" s="51"/>
      <c r="UJL41" s="51"/>
      <c r="UJM41" s="51"/>
      <c r="UJN41" s="51"/>
      <c r="UJO41" s="51"/>
      <c r="UJP41" s="51"/>
      <c r="UJQ41" s="51"/>
      <c r="UJR41" s="51"/>
      <c r="UJS41" s="51"/>
      <c r="UJT41" s="51"/>
      <c r="UJU41" s="51"/>
      <c r="UJV41" s="51"/>
      <c r="UJW41" s="51"/>
      <c r="UJX41" s="51"/>
      <c r="UJY41" s="51"/>
      <c r="UJZ41" s="51"/>
      <c r="UKA41" s="51"/>
      <c r="UKB41" s="51"/>
      <c r="UKC41" s="51"/>
      <c r="UKD41" s="51"/>
      <c r="UKE41" s="51"/>
      <c r="UKF41" s="51"/>
      <c r="UKG41" s="51"/>
      <c r="UKH41" s="51"/>
      <c r="UKI41" s="51"/>
      <c r="UKJ41" s="51"/>
      <c r="UKK41" s="51"/>
      <c r="UKL41" s="51"/>
      <c r="UKM41" s="51"/>
      <c r="UKN41" s="51"/>
      <c r="UKO41" s="51"/>
      <c r="UKP41" s="51"/>
      <c r="UKQ41" s="51"/>
      <c r="UKR41" s="51"/>
      <c r="UKS41" s="51"/>
      <c r="UKT41" s="51"/>
      <c r="UKU41" s="51"/>
      <c r="UKV41" s="51"/>
      <c r="UKW41" s="51"/>
      <c r="UKX41" s="51"/>
      <c r="UKY41" s="51"/>
      <c r="UKZ41" s="51"/>
      <c r="ULA41" s="51"/>
      <c r="ULB41" s="51"/>
      <c r="ULC41" s="51"/>
      <c r="ULD41" s="51"/>
      <c r="ULE41" s="51"/>
      <c r="ULF41" s="51"/>
      <c r="ULG41" s="51"/>
      <c r="ULH41" s="51"/>
      <c r="ULI41" s="51"/>
      <c r="ULJ41" s="51"/>
      <c r="ULK41" s="51"/>
      <c r="ULL41" s="51"/>
      <c r="ULM41" s="51"/>
      <c r="ULN41" s="51"/>
      <c r="ULO41" s="51"/>
      <c r="ULP41" s="51"/>
      <c r="ULQ41" s="51"/>
      <c r="ULR41" s="51"/>
      <c r="ULS41" s="51"/>
      <c r="ULT41" s="51"/>
      <c r="ULU41" s="51"/>
      <c r="ULV41" s="51"/>
      <c r="ULW41" s="51"/>
      <c r="ULX41" s="51"/>
      <c r="ULY41" s="51"/>
      <c r="ULZ41" s="51"/>
      <c r="UMA41" s="51"/>
      <c r="UMB41" s="51"/>
      <c r="UMC41" s="51"/>
      <c r="UMD41" s="51"/>
      <c r="UME41" s="51"/>
      <c r="UMF41" s="51"/>
      <c r="UMG41" s="51"/>
      <c r="UMH41" s="51"/>
      <c r="UMI41" s="51"/>
      <c r="UMJ41" s="51"/>
      <c r="UMK41" s="51"/>
      <c r="UML41" s="51"/>
      <c r="UMM41" s="51"/>
      <c r="UMN41" s="51"/>
      <c r="UMO41" s="51"/>
      <c r="UMP41" s="51"/>
      <c r="UMQ41" s="51"/>
      <c r="UMR41" s="51"/>
      <c r="UMS41" s="51"/>
      <c r="UMT41" s="51"/>
      <c r="UMU41" s="51"/>
      <c r="UMV41" s="51"/>
      <c r="UMW41" s="51"/>
      <c r="UMX41" s="51"/>
      <c r="UMY41" s="51"/>
      <c r="UMZ41" s="51"/>
      <c r="UNA41" s="51"/>
      <c r="UNB41" s="51"/>
      <c r="UNC41" s="51"/>
      <c r="UND41" s="51"/>
      <c r="UNE41" s="51"/>
      <c r="UNF41" s="51"/>
      <c r="UNG41" s="51"/>
      <c r="UNH41" s="51"/>
      <c r="UNI41" s="51"/>
      <c r="UNJ41" s="51"/>
      <c r="UNK41" s="51"/>
      <c r="UNL41" s="51"/>
      <c r="UNM41" s="51"/>
      <c r="UNN41" s="51"/>
      <c r="UNO41" s="51"/>
      <c r="UNP41" s="51"/>
      <c r="UNQ41" s="51"/>
      <c r="UNR41" s="51"/>
      <c r="UNS41" s="51"/>
      <c r="UNT41" s="51"/>
      <c r="UNU41" s="51"/>
      <c r="UNV41" s="51"/>
      <c r="UNW41" s="51"/>
      <c r="UNX41" s="51"/>
      <c r="UNY41" s="51"/>
      <c r="UNZ41" s="51"/>
      <c r="UOA41" s="51"/>
      <c r="UOB41" s="51"/>
      <c r="UOC41" s="51"/>
      <c r="UOD41" s="51"/>
      <c r="UOE41" s="51"/>
      <c r="UOF41" s="51"/>
      <c r="UOG41" s="51"/>
      <c r="UOH41" s="51"/>
      <c r="UOI41" s="51"/>
      <c r="UOJ41" s="51"/>
      <c r="UOK41" s="51"/>
      <c r="UOL41" s="51"/>
      <c r="UOM41" s="51"/>
      <c r="UON41" s="51"/>
      <c r="UOO41" s="51"/>
      <c r="UOP41" s="51"/>
      <c r="UOQ41" s="51"/>
      <c r="UOR41" s="51"/>
      <c r="UOS41" s="51"/>
      <c r="UOT41" s="51"/>
      <c r="UOU41" s="51"/>
      <c r="UOV41" s="51"/>
      <c r="UOW41" s="51"/>
      <c r="UOX41" s="51"/>
      <c r="UOY41" s="51"/>
      <c r="UOZ41" s="51"/>
      <c r="UPA41" s="51"/>
      <c r="UPB41" s="51"/>
      <c r="UPC41" s="51"/>
      <c r="UPD41" s="51"/>
      <c r="UPE41" s="51"/>
      <c r="UPF41" s="51"/>
      <c r="UPG41" s="51"/>
      <c r="UPH41" s="51"/>
      <c r="UPI41" s="51"/>
      <c r="UPJ41" s="51"/>
      <c r="UPK41" s="51"/>
      <c r="UPL41" s="51"/>
      <c r="UPM41" s="51"/>
      <c r="UPN41" s="51"/>
      <c r="UPO41" s="51"/>
      <c r="UPP41" s="51"/>
      <c r="UPQ41" s="51"/>
      <c r="UPR41" s="51"/>
      <c r="UPS41" s="51"/>
      <c r="UPT41" s="51"/>
      <c r="UPU41" s="51"/>
      <c r="UPV41" s="51"/>
      <c r="UPW41" s="51"/>
      <c r="UPX41" s="51"/>
      <c r="UPY41" s="51"/>
      <c r="UPZ41" s="51"/>
      <c r="UQA41" s="51"/>
      <c r="UQB41" s="51"/>
      <c r="UQC41" s="51"/>
      <c r="UQD41" s="51"/>
      <c r="UQE41" s="51"/>
      <c r="UQF41" s="51"/>
      <c r="UQG41" s="51"/>
      <c r="UQH41" s="51"/>
      <c r="UQI41" s="51"/>
      <c r="UQJ41" s="51"/>
      <c r="UQK41" s="51"/>
      <c r="UQL41" s="51"/>
      <c r="UQM41" s="51"/>
      <c r="UQN41" s="51"/>
      <c r="UQO41" s="51"/>
      <c r="UQP41" s="51"/>
      <c r="UQQ41" s="51"/>
      <c r="UQR41" s="51"/>
      <c r="UQS41" s="51"/>
      <c r="UQT41" s="51"/>
      <c r="UQU41" s="51"/>
      <c r="UQV41" s="51"/>
      <c r="UQW41" s="51"/>
      <c r="UQX41" s="51"/>
      <c r="UQY41" s="51"/>
      <c r="UQZ41" s="51"/>
      <c r="URA41" s="51"/>
      <c r="URB41" s="51"/>
      <c r="URC41" s="51"/>
      <c r="URD41" s="51"/>
      <c r="URE41" s="51"/>
      <c r="URF41" s="51"/>
      <c r="URG41" s="51"/>
      <c r="URH41" s="51"/>
      <c r="URI41" s="51"/>
      <c r="URJ41" s="51"/>
      <c r="URK41" s="51"/>
      <c r="URL41" s="51"/>
      <c r="URM41" s="51"/>
      <c r="URN41" s="51"/>
      <c r="URO41" s="51"/>
      <c r="URP41" s="51"/>
      <c r="URQ41" s="51"/>
      <c r="URR41" s="51"/>
      <c r="URS41" s="51"/>
      <c r="URT41" s="51"/>
      <c r="URU41" s="51"/>
      <c r="URV41" s="51"/>
      <c r="URW41" s="51"/>
      <c r="URX41" s="51"/>
      <c r="URY41" s="51"/>
      <c r="URZ41" s="51"/>
      <c r="USA41" s="51"/>
      <c r="USB41" s="51"/>
      <c r="USC41" s="51"/>
      <c r="USD41" s="51"/>
      <c r="USE41" s="51"/>
      <c r="USF41" s="51"/>
      <c r="USG41" s="51"/>
      <c r="USH41" s="51"/>
      <c r="USI41" s="51"/>
      <c r="USJ41" s="51"/>
      <c r="USK41" s="51"/>
      <c r="USL41" s="51"/>
      <c r="USM41" s="51"/>
      <c r="USN41" s="51"/>
      <c r="USO41" s="51"/>
      <c r="USP41" s="51"/>
      <c r="USQ41" s="51"/>
      <c r="USR41" s="51"/>
      <c r="USS41" s="51"/>
      <c r="UST41" s="51"/>
      <c r="USU41" s="51"/>
      <c r="USV41" s="51"/>
      <c r="USW41" s="51"/>
      <c r="USX41" s="51"/>
      <c r="USY41" s="51"/>
      <c r="USZ41" s="51"/>
      <c r="UTA41" s="51"/>
      <c r="UTB41" s="51"/>
      <c r="UTC41" s="51"/>
      <c r="UTD41" s="51"/>
      <c r="UTE41" s="51"/>
      <c r="UTF41" s="51"/>
      <c r="UTG41" s="51"/>
      <c r="UTH41" s="51"/>
      <c r="UTI41" s="51"/>
      <c r="UTJ41" s="51"/>
      <c r="UTK41" s="51"/>
      <c r="UTL41" s="51"/>
      <c r="UTM41" s="51"/>
      <c r="UTN41" s="51"/>
      <c r="UTO41" s="51"/>
      <c r="UTP41" s="51"/>
      <c r="UTQ41" s="51"/>
      <c r="UTR41" s="51"/>
      <c r="UTS41" s="51"/>
      <c r="UTT41" s="51"/>
      <c r="UTU41" s="51"/>
      <c r="UTV41" s="51"/>
      <c r="UTW41" s="51"/>
      <c r="UTX41" s="51"/>
      <c r="UTY41" s="51"/>
      <c r="UTZ41" s="51"/>
      <c r="UUA41" s="51"/>
      <c r="UUB41" s="51"/>
      <c r="UUC41" s="51"/>
      <c r="UUD41" s="51"/>
      <c r="UUE41" s="51"/>
      <c r="UUF41" s="51"/>
      <c r="UUG41" s="51"/>
      <c r="UUH41" s="51"/>
      <c r="UUI41" s="51"/>
      <c r="UUJ41" s="51"/>
      <c r="UUK41" s="51"/>
      <c r="UUL41" s="51"/>
      <c r="UUM41" s="51"/>
      <c r="UUN41" s="51"/>
      <c r="UUO41" s="51"/>
      <c r="UUP41" s="51"/>
      <c r="UUQ41" s="51"/>
      <c r="UUR41" s="51"/>
      <c r="UUS41" s="51"/>
      <c r="UUT41" s="51"/>
      <c r="UUU41" s="51"/>
      <c r="UUV41" s="51"/>
      <c r="UUW41" s="51"/>
      <c r="UUX41" s="51"/>
      <c r="UUY41" s="51"/>
      <c r="UUZ41" s="51"/>
      <c r="UVA41" s="51"/>
      <c r="UVB41" s="51"/>
      <c r="UVC41" s="51"/>
      <c r="UVD41" s="51"/>
      <c r="UVE41" s="51"/>
      <c r="UVF41" s="51"/>
      <c r="UVG41" s="51"/>
      <c r="UVH41" s="51"/>
      <c r="UVI41" s="51"/>
      <c r="UVJ41" s="51"/>
      <c r="UVK41" s="51"/>
      <c r="UVL41" s="51"/>
      <c r="UVM41" s="51"/>
      <c r="UVN41" s="51"/>
      <c r="UVO41" s="51"/>
      <c r="UVP41" s="51"/>
      <c r="UVQ41" s="51"/>
      <c r="UVR41" s="51"/>
      <c r="UVS41" s="51"/>
      <c r="UVT41" s="51"/>
      <c r="UVU41" s="51"/>
      <c r="UVV41" s="51"/>
      <c r="UVW41" s="51"/>
      <c r="UVX41" s="51"/>
      <c r="UVY41" s="51"/>
      <c r="UVZ41" s="51"/>
      <c r="UWA41" s="51"/>
      <c r="UWB41" s="51"/>
      <c r="UWC41" s="51"/>
      <c r="UWD41" s="51"/>
      <c r="UWE41" s="51"/>
      <c r="UWF41" s="51"/>
      <c r="UWG41" s="51"/>
      <c r="UWH41" s="51"/>
      <c r="UWI41" s="51"/>
      <c r="UWJ41" s="51"/>
      <c r="UWK41" s="51"/>
      <c r="UWL41" s="51"/>
      <c r="UWM41" s="51"/>
      <c r="UWN41" s="51"/>
      <c r="UWO41" s="51"/>
      <c r="UWP41" s="51"/>
      <c r="UWQ41" s="51"/>
      <c r="UWR41" s="51"/>
      <c r="UWS41" s="51"/>
      <c r="UWT41" s="51"/>
      <c r="UWU41" s="51"/>
      <c r="UWV41" s="51"/>
      <c r="UWW41" s="51"/>
      <c r="UWX41" s="51"/>
      <c r="UWY41" s="51"/>
      <c r="UWZ41" s="51"/>
      <c r="UXA41" s="51"/>
      <c r="UXB41" s="51"/>
      <c r="UXC41" s="51"/>
      <c r="UXD41" s="51"/>
      <c r="UXE41" s="51"/>
      <c r="UXF41" s="51"/>
      <c r="UXG41" s="51"/>
      <c r="UXH41" s="51"/>
      <c r="UXI41" s="51"/>
      <c r="UXJ41" s="51"/>
      <c r="UXK41" s="51"/>
      <c r="UXL41" s="51"/>
      <c r="UXM41" s="51"/>
      <c r="UXN41" s="51"/>
      <c r="UXO41" s="51"/>
      <c r="UXP41" s="51"/>
      <c r="UXQ41" s="51"/>
      <c r="UXR41" s="51"/>
      <c r="UXS41" s="51"/>
      <c r="UXT41" s="51"/>
      <c r="UXU41" s="51"/>
      <c r="UXV41" s="51"/>
      <c r="UXW41" s="51"/>
      <c r="UXX41" s="51"/>
      <c r="UXY41" s="51"/>
      <c r="UXZ41" s="51"/>
      <c r="UYA41" s="51"/>
      <c r="UYB41" s="51"/>
      <c r="UYC41" s="51"/>
      <c r="UYD41" s="51"/>
      <c r="UYE41" s="51"/>
      <c r="UYF41" s="51"/>
      <c r="UYG41" s="51"/>
      <c r="UYH41" s="51"/>
      <c r="UYI41" s="51"/>
      <c r="UYJ41" s="51"/>
      <c r="UYK41" s="51"/>
      <c r="UYL41" s="51"/>
      <c r="UYM41" s="51"/>
      <c r="UYN41" s="51"/>
      <c r="UYO41" s="51"/>
      <c r="UYP41" s="51"/>
      <c r="UYQ41" s="51"/>
      <c r="UYR41" s="51"/>
      <c r="UYS41" s="51"/>
      <c r="UYT41" s="51"/>
      <c r="UYU41" s="51"/>
      <c r="UYV41" s="51"/>
      <c r="UYW41" s="51"/>
      <c r="UYX41" s="51"/>
      <c r="UYY41" s="51"/>
      <c r="UYZ41" s="51"/>
      <c r="UZA41" s="51"/>
      <c r="UZB41" s="51"/>
      <c r="UZC41" s="51"/>
      <c r="UZD41" s="51"/>
      <c r="UZE41" s="51"/>
      <c r="UZF41" s="51"/>
      <c r="UZG41" s="51"/>
      <c r="UZH41" s="51"/>
      <c r="UZI41" s="51"/>
      <c r="UZJ41" s="51"/>
      <c r="UZK41" s="51"/>
      <c r="UZL41" s="51"/>
      <c r="UZM41" s="51"/>
      <c r="UZN41" s="51"/>
      <c r="UZO41" s="51"/>
      <c r="UZP41" s="51"/>
      <c r="UZQ41" s="51"/>
      <c r="UZR41" s="51"/>
      <c r="UZS41" s="51"/>
      <c r="UZT41" s="51"/>
      <c r="UZU41" s="51"/>
      <c r="UZV41" s="51"/>
      <c r="UZW41" s="51"/>
      <c r="UZX41" s="51"/>
      <c r="UZY41" s="51"/>
      <c r="UZZ41" s="51"/>
      <c r="VAA41" s="51"/>
      <c r="VAB41" s="51"/>
      <c r="VAC41" s="51"/>
      <c r="VAD41" s="51"/>
      <c r="VAE41" s="51"/>
      <c r="VAF41" s="51"/>
      <c r="VAG41" s="51"/>
      <c r="VAH41" s="51"/>
      <c r="VAI41" s="51"/>
      <c r="VAJ41" s="51"/>
      <c r="VAK41" s="51"/>
      <c r="VAL41" s="51"/>
      <c r="VAM41" s="51"/>
      <c r="VAN41" s="51"/>
      <c r="VAO41" s="51"/>
      <c r="VAP41" s="51"/>
      <c r="VAQ41" s="51"/>
      <c r="VAR41" s="51"/>
      <c r="VAS41" s="51"/>
      <c r="VAT41" s="51"/>
      <c r="VAU41" s="51"/>
      <c r="VAV41" s="51"/>
      <c r="VAW41" s="51"/>
      <c r="VAX41" s="51"/>
      <c r="VAY41" s="51"/>
      <c r="VAZ41" s="51"/>
      <c r="VBA41" s="51"/>
      <c r="VBB41" s="51"/>
      <c r="VBC41" s="51"/>
      <c r="VBD41" s="51"/>
      <c r="VBE41" s="51"/>
      <c r="VBF41" s="51"/>
      <c r="VBG41" s="51"/>
      <c r="VBH41" s="51"/>
      <c r="VBI41" s="51"/>
      <c r="VBJ41" s="51"/>
      <c r="VBK41" s="51"/>
      <c r="VBL41" s="51"/>
      <c r="VBM41" s="51"/>
      <c r="VBN41" s="51"/>
      <c r="VBO41" s="51"/>
      <c r="VBP41" s="51"/>
      <c r="VBQ41" s="51"/>
      <c r="VBR41" s="51"/>
      <c r="VBS41" s="51"/>
      <c r="VBT41" s="51"/>
      <c r="VBU41" s="51"/>
      <c r="VBV41" s="51"/>
      <c r="VBW41" s="51"/>
      <c r="VBX41" s="51"/>
      <c r="VBY41" s="51"/>
      <c r="VBZ41" s="51"/>
      <c r="VCA41" s="51"/>
      <c r="VCB41" s="51"/>
      <c r="VCC41" s="51"/>
      <c r="VCD41" s="51"/>
      <c r="VCE41" s="51"/>
      <c r="VCF41" s="51"/>
      <c r="VCG41" s="51"/>
      <c r="VCH41" s="51"/>
      <c r="VCI41" s="51"/>
      <c r="VCJ41" s="51"/>
      <c r="VCK41" s="51"/>
      <c r="VCL41" s="51"/>
      <c r="VCM41" s="51"/>
      <c r="VCN41" s="51"/>
      <c r="VCO41" s="51"/>
      <c r="VCP41" s="51"/>
      <c r="VCQ41" s="51"/>
      <c r="VCR41" s="51"/>
      <c r="VCS41" s="51"/>
      <c r="VCT41" s="51"/>
      <c r="VCU41" s="51"/>
      <c r="VCV41" s="51"/>
      <c r="VCW41" s="51"/>
      <c r="VCX41" s="51"/>
      <c r="VCY41" s="51"/>
      <c r="VCZ41" s="51"/>
      <c r="VDA41" s="51"/>
      <c r="VDB41" s="51"/>
      <c r="VDC41" s="51"/>
      <c r="VDD41" s="51"/>
      <c r="VDE41" s="51"/>
      <c r="VDF41" s="51"/>
      <c r="VDG41" s="51"/>
      <c r="VDH41" s="51"/>
      <c r="VDI41" s="51"/>
      <c r="VDJ41" s="51"/>
      <c r="VDK41" s="51"/>
      <c r="VDL41" s="51"/>
      <c r="VDM41" s="51"/>
      <c r="VDN41" s="51"/>
      <c r="VDO41" s="51"/>
      <c r="VDP41" s="51"/>
      <c r="VDQ41" s="51"/>
      <c r="VDR41" s="51"/>
      <c r="VDS41" s="51"/>
      <c r="VDT41" s="51"/>
      <c r="VDU41" s="51"/>
      <c r="VDV41" s="51"/>
      <c r="VDW41" s="51"/>
      <c r="VDX41" s="51"/>
      <c r="VDY41" s="51"/>
      <c r="VDZ41" s="51"/>
      <c r="VEA41" s="51"/>
      <c r="VEB41" s="51"/>
      <c r="VEC41" s="51"/>
      <c r="VED41" s="51"/>
      <c r="VEE41" s="51"/>
      <c r="VEF41" s="51"/>
      <c r="VEG41" s="51"/>
      <c r="VEH41" s="51"/>
      <c r="VEI41" s="51"/>
      <c r="VEJ41" s="51"/>
      <c r="VEK41" s="51"/>
      <c r="VEL41" s="51"/>
      <c r="VEM41" s="51"/>
      <c r="VEN41" s="51"/>
      <c r="VEO41" s="51"/>
      <c r="VEP41" s="51"/>
      <c r="VEQ41" s="51"/>
      <c r="VER41" s="51"/>
      <c r="VES41" s="51"/>
      <c r="VET41" s="51"/>
      <c r="VEU41" s="51"/>
      <c r="VEV41" s="51"/>
      <c r="VEW41" s="51"/>
      <c r="VEX41" s="51"/>
      <c r="VEY41" s="51"/>
      <c r="VEZ41" s="51"/>
      <c r="VFA41" s="51"/>
      <c r="VFB41" s="51"/>
      <c r="VFC41" s="51"/>
      <c r="VFD41" s="51"/>
      <c r="VFE41" s="51"/>
      <c r="VFF41" s="51"/>
      <c r="VFG41" s="51"/>
      <c r="VFH41" s="51"/>
      <c r="VFI41" s="51"/>
      <c r="VFJ41" s="51"/>
      <c r="VFK41" s="51"/>
      <c r="VFL41" s="51"/>
      <c r="VFM41" s="51"/>
      <c r="VFN41" s="51"/>
      <c r="VFO41" s="51"/>
      <c r="VFP41" s="51"/>
      <c r="VFQ41" s="51"/>
      <c r="VFR41" s="51"/>
      <c r="VFS41" s="51"/>
      <c r="VFT41" s="51"/>
      <c r="VFU41" s="51"/>
      <c r="VFV41" s="51"/>
      <c r="VFW41" s="51"/>
      <c r="VFX41" s="51"/>
      <c r="VFY41" s="51"/>
      <c r="VFZ41" s="51"/>
      <c r="VGA41" s="51"/>
      <c r="VGB41" s="51"/>
      <c r="VGC41" s="51"/>
      <c r="VGD41" s="51"/>
      <c r="VGE41" s="51"/>
      <c r="VGF41" s="51"/>
      <c r="VGG41" s="51"/>
      <c r="VGH41" s="51"/>
      <c r="VGI41" s="51"/>
      <c r="VGJ41" s="51"/>
      <c r="VGK41" s="51"/>
      <c r="VGL41" s="51"/>
      <c r="VGM41" s="51"/>
      <c r="VGN41" s="51"/>
      <c r="VGO41" s="51"/>
      <c r="VGP41" s="51"/>
      <c r="VGQ41" s="51"/>
      <c r="VGR41" s="51"/>
      <c r="VGS41" s="51"/>
      <c r="VGT41" s="51"/>
      <c r="VGU41" s="51"/>
      <c r="VGV41" s="51"/>
      <c r="VGW41" s="51"/>
      <c r="VGX41" s="51"/>
      <c r="VGY41" s="51"/>
      <c r="VGZ41" s="51"/>
      <c r="VHA41" s="51"/>
      <c r="VHB41" s="51"/>
      <c r="VHC41" s="51"/>
      <c r="VHD41" s="51"/>
      <c r="VHE41" s="51"/>
      <c r="VHF41" s="51"/>
      <c r="VHG41" s="51"/>
      <c r="VHH41" s="51"/>
      <c r="VHI41" s="51"/>
      <c r="VHJ41" s="51"/>
      <c r="VHK41" s="51"/>
      <c r="VHL41" s="51"/>
      <c r="VHM41" s="51"/>
      <c r="VHN41" s="51"/>
      <c r="VHO41" s="51"/>
      <c r="VHP41" s="51"/>
      <c r="VHQ41" s="51"/>
      <c r="VHR41" s="51"/>
      <c r="VHS41" s="51"/>
      <c r="VHT41" s="51"/>
      <c r="VHU41" s="51"/>
      <c r="VHV41" s="51"/>
      <c r="VHW41" s="51"/>
      <c r="VHX41" s="51"/>
      <c r="VHY41" s="51"/>
      <c r="VHZ41" s="51"/>
      <c r="VIA41" s="51"/>
      <c r="VIB41" s="51"/>
      <c r="VIC41" s="51"/>
      <c r="VID41" s="51"/>
      <c r="VIE41" s="51"/>
      <c r="VIF41" s="51"/>
      <c r="VIG41" s="51"/>
      <c r="VIH41" s="51"/>
      <c r="VII41" s="51"/>
      <c r="VIJ41" s="51"/>
      <c r="VIK41" s="51"/>
      <c r="VIL41" s="51"/>
      <c r="VIM41" s="51"/>
      <c r="VIN41" s="51"/>
      <c r="VIO41" s="51"/>
      <c r="VIP41" s="51"/>
      <c r="VIQ41" s="51"/>
      <c r="VIR41" s="51"/>
      <c r="VIS41" s="51"/>
      <c r="VIT41" s="51"/>
      <c r="VIU41" s="51"/>
      <c r="VIV41" s="51"/>
      <c r="VIW41" s="51"/>
      <c r="VIX41" s="51"/>
      <c r="VIY41" s="51"/>
      <c r="VIZ41" s="51"/>
      <c r="VJA41" s="51"/>
      <c r="VJB41" s="51"/>
      <c r="VJC41" s="51"/>
      <c r="VJD41" s="51"/>
      <c r="VJE41" s="51"/>
      <c r="VJF41" s="51"/>
      <c r="VJG41" s="51"/>
      <c r="VJH41" s="51"/>
      <c r="VJI41" s="51"/>
      <c r="VJJ41" s="51"/>
      <c r="VJK41" s="51"/>
      <c r="VJL41" s="51"/>
      <c r="VJM41" s="51"/>
      <c r="VJN41" s="51"/>
      <c r="VJO41" s="51"/>
      <c r="VJP41" s="51"/>
      <c r="VJQ41" s="51"/>
      <c r="VJR41" s="51"/>
      <c r="VJS41" s="51"/>
      <c r="VJT41" s="51"/>
      <c r="VJU41" s="51"/>
      <c r="VJV41" s="51"/>
      <c r="VJW41" s="51"/>
      <c r="VJX41" s="51"/>
      <c r="VJY41" s="51"/>
      <c r="VJZ41" s="51"/>
      <c r="VKA41" s="51"/>
      <c r="VKB41" s="51"/>
      <c r="VKC41" s="51"/>
      <c r="VKD41" s="51"/>
      <c r="VKE41" s="51"/>
      <c r="VKF41" s="51"/>
      <c r="VKG41" s="51"/>
      <c r="VKH41" s="51"/>
      <c r="VKI41" s="51"/>
      <c r="VKJ41" s="51"/>
      <c r="VKK41" s="51"/>
      <c r="VKL41" s="51"/>
      <c r="VKM41" s="51"/>
      <c r="VKN41" s="51"/>
      <c r="VKO41" s="51"/>
      <c r="VKP41" s="51"/>
      <c r="VKQ41" s="51"/>
      <c r="VKR41" s="51"/>
      <c r="VKS41" s="51"/>
      <c r="VKT41" s="51"/>
      <c r="VKU41" s="51"/>
      <c r="VKV41" s="51"/>
      <c r="VKW41" s="51"/>
      <c r="VKX41" s="51"/>
      <c r="VKY41" s="51"/>
      <c r="VKZ41" s="51"/>
      <c r="VLA41" s="51"/>
      <c r="VLB41" s="51"/>
      <c r="VLC41" s="51"/>
      <c r="VLD41" s="51"/>
      <c r="VLE41" s="51"/>
      <c r="VLF41" s="51"/>
      <c r="VLG41" s="51"/>
      <c r="VLH41" s="51"/>
      <c r="VLI41" s="51"/>
      <c r="VLJ41" s="51"/>
      <c r="VLK41" s="51"/>
      <c r="VLL41" s="51"/>
      <c r="VLM41" s="51"/>
      <c r="VLN41" s="51"/>
      <c r="VLO41" s="51"/>
      <c r="VLP41" s="51"/>
      <c r="VLQ41" s="51"/>
      <c r="VLR41" s="51"/>
      <c r="VLS41" s="51"/>
      <c r="VLT41" s="51"/>
      <c r="VLU41" s="51"/>
      <c r="VLV41" s="51"/>
      <c r="VLW41" s="51"/>
      <c r="VLX41" s="51"/>
      <c r="VLY41" s="51"/>
      <c r="VLZ41" s="51"/>
      <c r="VMA41" s="51"/>
      <c r="VMB41" s="51"/>
      <c r="VMC41" s="51"/>
      <c r="VMD41" s="51"/>
      <c r="VME41" s="51"/>
      <c r="VMF41" s="51"/>
      <c r="VMG41" s="51"/>
      <c r="VMH41" s="51"/>
      <c r="VMI41" s="51"/>
      <c r="VMJ41" s="51"/>
      <c r="VMK41" s="51"/>
      <c r="VML41" s="51"/>
      <c r="VMM41" s="51"/>
      <c r="VMN41" s="51"/>
      <c r="VMO41" s="51"/>
      <c r="VMP41" s="51"/>
      <c r="VMQ41" s="51"/>
      <c r="VMR41" s="51"/>
      <c r="VMS41" s="51"/>
      <c r="VMT41" s="51"/>
      <c r="VMU41" s="51"/>
      <c r="VMV41" s="51"/>
      <c r="VMW41" s="51"/>
      <c r="VMX41" s="51"/>
      <c r="VMY41" s="51"/>
      <c r="VMZ41" s="51"/>
      <c r="VNA41" s="51"/>
      <c r="VNB41" s="51"/>
      <c r="VNC41" s="51"/>
      <c r="VND41" s="51"/>
      <c r="VNE41" s="51"/>
      <c r="VNF41" s="51"/>
      <c r="VNG41" s="51"/>
      <c r="VNH41" s="51"/>
      <c r="VNI41" s="51"/>
      <c r="VNJ41" s="51"/>
      <c r="VNK41" s="51"/>
      <c r="VNL41" s="51"/>
      <c r="VNM41" s="51"/>
      <c r="VNN41" s="51"/>
      <c r="VNO41" s="51"/>
      <c r="VNP41" s="51"/>
      <c r="VNQ41" s="51"/>
      <c r="VNR41" s="51"/>
      <c r="VNS41" s="51"/>
      <c r="VNT41" s="51"/>
      <c r="VNU41" s="51"/>
      <c r="VNV41" s="51"/>
      <c r="VNW41" s="51"/>
      <c r="VNX41" s="51"/>
      <c r="VNY41" s="51"/>
      <c r="VNZ41" s="51"/>
      <c r="VOA41" s="51"/>
      <c r="VOB41" s="51"/>
      <c r="VOC41" s="51"/>
      <c r="VOD41" s="51"/>
      <c r="VOE41" s="51"/>
      <c r="VOF41" s="51"/>
      <c r="VOG41" s="51"/>
      <c r="VOH41" s="51"/>
      <c r="VOI41" s="51"/>
      <c r="VOJ41" s="51"/>
      <c r="VOK41" s="51"/>
      <c r="VOL41" s="51"/>
      <c r="VOM41" s="51"/>
      <c r="VON41" s="51"/>
      <c r="VOO41" s="51"/>
      <c r="VOP41" s="51"/>
      <c r="VOQ41" s="51"/>
      <c r="VOR41" s="51"/>
      <c r="VOS41" s="51"/>
      <c r="VOT41" s="51"/>
      <c r="VOU41" s="51"/>
      <c r="VOV41" s="51"/>
      <c r="VOW41" s="51"/>
      <c r="VOX41" s="51"/>
      <c r="VOY41" s="51"/>
      <c r="VOZ41" s="51"/>
      <c r="VPA41" s="51"/>
      <c r="VPB41" s="51"/>
      <c r="VPC41" s="51"/>
      <c r="VPD41" s="51"/>
      <c r="VPE41" s="51"/>
      <c r="VPF41" s="51"/>
      <c r="VPG41" s="51"/>
      <c r="VPH41" s="51"/>
      <c r="VPI41" s="51"/>
      <c r="VPJ41" s="51"/>
      <c r="VPK41" s="51"/>
      <c r="VPL41" s="51"/>
      <c r="VPM41" s="51"/>
      <c r="VPN41" s="51"/>
      <c r="VPO41" s="51"/>
      <c r="VPP41" s="51"/>
      <c r="VPQ41" s="51"/>
      <c r="VPR41" s="51"/>
      <c r="VPS41" s="51"/>
      <c r="VPT41" s="51"/>
      <c r="VPU41" s="51"/>
      <c r="VPV41" s="51"/>
      <c r="VPW41" s="51"/>
      <c r="VPX41" s="51"/>
      <c r="VPY41" s="51"/>
      <c r="VPZ41" s="51"/>
      <c r="VQA41" s="51"/>
      <c r="VQB41" s="51"/>
      <c r="VQC41" s="51"/>
      <c r="VQD41" s="51"/>
      <c r="VQE41" s="51"/>
      <c r="VQF41" s="51"/>
      <c r="VQG41" s="51"/>
      <c r="VQH41" s="51"/>
      <c r="VQI41" s="51"/>
      <c r="VQJ41" s="51"/>
      <c r="VQK41" s="51"/>
      <c r="VQL41" s="51"/>
      <c r="VQM41" s="51"/>
      <c r="VQN41" s="51"/>
      <c r="VQO41" s="51"/>
      <c r="VQP41" s="51"/>
      <c r="VQQ41" s="51"/>
      <c r="VQR41" s="51"/>
      <c r="VQS41" s="51"/>
      <c r="VQT41" s="51"/>
      <c r="VQU41" s="51"/>
      <c r="VQV41" s="51"/>
      <c r="VQW41" s="51"/>
      <c r="VQX41" s="51"/>
      <c r="VQY41" s="51"/>
      <c r="VQZ41" s="51"/>
      <c r="VRA41" s="51"/>
      <c r="VRB41" s="51"/>
      <c r="VRC41" s="51"/>
      <c r="VRD41" s="51"/>
      <c r="VRE41" s="51"/>
      <c r="VRF41" s="51"/>
      <c r="VRG41" s="51"/>
      <c r="VRH41" s="51"/>
      <c r="VRI41" s="51"/>
      <c r="VRJ41" s="51"/>
      <c r="VRK41" s="51"/>
      <c r="VRL41" s="51"/>
      <c r="VRM41" s="51"/>
      <c r="VRN41" s="51"/>
      <c r="VRO41" s="51"/>
      <c r="VRP41" s="51"/>
      <c r="VRQ41" s="51"/>
      <c r="VRR41" s="51"/>
      <c r="VRS41" s="51"/>
      <c r="VRT41" s="51"/>
      <c r="VRU41" s="51"/>
      <c r="VRV41" s="51"/>
      <c r="VRW41" s="51"/>
      <c r="VRX41" s="51"/>
      <c r="VRY41" s="51"/>
      <c r="VRZ41" s="51"/>
      <c r="VSA41" s="51"/>
      <c r="VSB41" s="51"/>
      <c r="VSC41" s="51"/>
      <c r="VSD41" s="51"/>
      <c r="VSE41" s="51"/>
      <c r="VSF41" s="51"/>
      <c r="VSG41" s="51"/>
      <c r="VSH41" s="51"/>
      <c r="VSI41" s="51"/>
      <c r="VSJ41" s="51"/>
      <c r="VSK41" s="51"/>
      <c r="VSL41" s="51"/>
      <c r="VSM41" s="51"/>
      <c r="VSN41" s="51"/>
      <c r="VSO41" s="51"/>
      <c r="VSP41" s="51"/>
      <c r="VSQ41" s="51"/>
      <c r="VSR41" s="51"/>
      <c r="VSS41" s="51"/>
      <c r="VST41" s="51"/>
      <c r="VSU41" s="51"/>
      <c r="VSV41" s="51"/>
      <c r="VSW41" s="51"/>
      <c r="VSX41" s="51"/>
      <c r="VSY41" s="51"/>
      <c r="VSZ41" s="51"/>
      <c r="VTA41" s="51"/>
      <c r="VTB41" s="51"/>
      <c r="VTC41" s="51"/>
      <c r="VTD41" s="51"/>
      <c r="VTE41" s="51"/>
      <c r="VTF41" s="51"/>
      <c r="VTG41" s="51"/>
      <c r="VTH41" s="51"/>
      <c r="VTI41" s="51"/>
      <c r="VTJ41" s="51"/>
      <c r="VTK41" s="51"/>
      <c r="VTL41" s="51"/>
      <c r="VTM41" s="51"/>
      <c r="VTN41" s="51"/>
      <c r="VTO41" s="51"/>
      <c r="VTP41" s="51"/>
      <c r="VTQ41" s="51"/>
      <c r="VTR41" s="51"/>
      <c r="VTS41" s="51"/>
      <c r="VTT41" s="51"/>
      <c r="VTU41" s="51"/>
      <c r="VTV41" s="51"/>
      <c r="VTW41" s="51"/>
      <c r="VTX41" s="51"/>
      <c r="VTY41" s="51"/>
      <c r="VTZ41" s="51"/>
      <c r="VUA41" s="51"/>
      <c r="VUB41" s="51"/>
      <c r="VUC41" s="51"/>
      <c r="VUD41" s="51"/>
      <c r="VUE41" s="51"/>
      <c r="VUF41" s="51"/>
      <c r="VUG41" s="51"/>
      <c r="VUH41" s="51"/>
      <c r="VUI41" s="51"/>
      <c r="VUJ41" s="51"/>
      <c r="VUK41" s="51"/>
      <c r="VUL41" s="51"/>
      <c r="VUM41" s="51"/>
      <c r="VUN41" s="51"/>
      <c r="VUO41" s="51"/>
      <c r="VUP41" s="51"/>
      <c r="VUQ41" s="51"/>
      <c r="VUR41" s="51"/>
      <c r="VUS41" s="51"/>
      <c r="VUT41" s="51"/>
      <c r="VUU41" s="51"/>
      <c r="VUV41" s="51"/>
      <c r="VUW41" s="51"/>
      <c r="VUX41" s="51"/>
      <c r="VUY41" s="51"/>
      <c r="VUZ41" s="51"/>
      <c r="VVA41" s="51"/>
      <c r="VVB41" s="51"/>
      <c r="VVC41" s="51"/>
      <c r="VVD41" s="51"/>
      <c r="VVE41" s="51"/>
      <c r="VVF41" s="51"/>
      <c r="VVG41" s="51"/>
      <c r="VVH41" s="51"/>
      <c r="VVI41" s="51"/>
      <c r="VVJ41" s="51"/>
      <c r="VVK41" s="51"/>
      <c r="VVL41" s="51"/>
      <c r="VVM41" s="51"/>
      <c r="VVN41" s="51"/>
      <c r="VVO41" s="51"/>
      <c r="VVP41" s="51"/>
      <c r="VVQ41" s="51"/>
      <c r="VVR41" s="51"/>
      <c r="VVS41" s="51"/>
      <c r="VVT41" s="51"/>
      <c r="VVU41" s="51"/>
      <c r="VVV41" s="51"/>
      <c r="VVW41" s="51"/>
      <c r="VVX41" s="51"/>
      <c r="VVY41" s="51"/>
      <c r="VVZ41" s="51"/>
      <c r="VWA41" s="51"/>
      <c r="VWB41" s="51"/>
      <c r="VWC41" s="51"/>
      <c r="VWD41" s="51"/>
      <c r="VWE41" s="51"/>
      <c r="VWF41" s="51"/>
      <c r="VWG41" s="51"/>
      <c r="VWH41" s="51"/>
      <c r="VWI41" s="51"/>
      <c r="VWJ41" s="51"/>
      <c r="VWK41" s="51"/>
      <c r="VWL41" s="51"/>
      <c r="VWM41" s="51"/>
      <c r="VWN41" s="51"/>
      <c r="VWO41" s="51"/>
      <c r="VWP41" s="51"/>
      <c r="VWQ41" s="51"/>
      <c r="VWR41" s="51"/>
      <c r="VWS41" s="51"/>
      <c r="VWT41" s="51"/>
      <c r="VWU41" s="51"/>
      <c r="VWV41" s="51"/>
      <c r="VWW41" s="51"/>
      <c r="VWX41" s="51"/>
      <c r="VWY41" s="51"/>
      <c r="VWZ41" s="51"/>
      <c r="VXA41" s="51"/>
      <c r="VXB41" s="51"/>
      <c r="VXC41" s="51"/>
      <c r="VXD41" s="51"/>
      <c r="VXE41" s="51"/>
      <c r="VXF41" s="51"/>
      <c r="VXG41" s="51"/>
      <c r="VXH41" s="51"/>
      <c r="VXI41" s="51"/>
      <c r="VXJ41" s="51"/>
      <c r="VXK41" s="51"/>
      <c r="VXL41" s="51"/>
      <c r="VXM41" s="51"/>
      <c r="VXN41" s="51"/>
      <c r="VXO41" s="51"/>
      <c r="VXP41" s="51"/>
      <c r="VXQ41" s="51"/>
      <c r="VXR41" s="51"/>
      <c r="VXS41" s="51"/>
      <c r="VXT41" s="51"/>
      <c r="VXU41" s="51"/>
      <c r="VXV41" s="51"/>
      <c r="VXW41" s="51"/>
      <c r="VXX41" s="51"/>
      <c r="VXY41" s="51"/>
      <c r="VXZ41" s="51"/>
      <c r="VYA41" s="51"/>
      <c r="VYB41" s="51"/>
      <c r="VYC41" s="51"/>
      <c r="VYD41" s="51"/>
      <c r="VYE41" s="51"/>
      <c r="VYF41" s="51"/>
      <c r="VYG41" s="51"/>
      <c r="VYH41" s="51"/>
      <c r="VYI41" s="51"/>
      <c r="VYJ41" s="51"/>
      <c r="VYK41" s="51"/>
      <c r="VYL41" s="51"/>
      <c r="VYM41" s="51"/>
      <c r="VYN41" s="51"/>
      <c r="VYO41" s="51"/>
      <c r="VYP41" s="51"/>
      <c r="VYQ41" s="51"/>
      <c r="VYR41" s="51"/>
      <c r="VYS41" s="51"/>
      <c r="VYT41" s="51"/>
      <c r="VYU41" s="51"/>
      <c r="VYV41" s="51"/>
      <c r="VYW41" s="51"/>
      <c r="VYX41" s="51"/>
      <c r="VYY41" s="51"/>
      <c r="VYZ41" s="51"/>
      <c r="VZA41" s="51"/>
      <c r="VZB41" s="51"/>
      <c r="VZC41" s="51"/>
      <c r="VZD41" s="51"/>
      <c r="VZE41" s="51"/>
      <c r="VZF41" s="51"/>
      <c r="VZG41" s="51"/>
      <c r="VZH41" s="51"/>
      <c r="VZI41" s="51"/>
      <c r="VZJ41" s="51"/>
      <c r="VZK41" s="51"/>
      <c r="VZL41" s="51"/>
      <c r="VZM41" s="51"/>
      <c r="VZN41" s="51"/>
      <c r="VZO41" s="51"/>
      <c r="VZP41" s="51"/>
      <c r="VZQ41" s="51"/>
      <c r="VZR41" s="51"/>
      <c r="VZS41" s="51"/>
      <c r="VZT41" s="51"/>
      <c r="VZU41" s="51"/>
      <c r="VZV41" s="51"/>
      <c r="VZW41" s="51"/>
      <c r="VZX41" s="51"/>
      <c r="VZY41" s="51"/>
      <c r="VZZ41" s="51"/>
      <c r="WAA41" s="51"/>
      <c r="WAB41" s="51"/>
      <c r="WAC41" s="51"/>
      <c r="WAD41" s="51"/>
      <c r="WAE41" s="51"/>
      <c r="WAF41" s="51"/>
      <c r="WAG41" s="51"/>
      <c r="WAH41" s="51"/>
      <c r="WAI41" s="51"/>
      <c r="WAJ41" s="51"/>
      <c r="WAK41" s="51"/>
      <c r="WAL41" s="51"/>
      <c r="WAM41" s="51"/>
      <c r="WAN41" s="51"/>
      <c r="WAO41" s="51"/>
      <c r="WAP41" s="51"/>
      <c r="WAQ41" s="51"/>
      <c r="WAR41" s="51"/>
      <c r="WAS41" s="51"/>
      <c r="WAT41" s="51"/>
      <c r="WAU41" s="51"/>
      <c r="WAV41" s="51"/>
      <c r="WAW41" s="51"/>
      <c r="WAX41" s="51"/>
      <c r="WAY41" s="51"/>
      <c r="WAZ41" s="51"/>
      <c r="WBA41" s="51"/>
      <c r="WBB41" s="51"/>
      <c r="WBC41" s="51"/>
      <c r="WBD41" s="51"/>
      <c r="WBE41" s="51"/>
      <c r="WBF41" s="51"/>
      <c r="WBG41" s="51"/>
      <c r="WBH41" s="51"/>
      <c r="WBI41" s="51"/>
      <c r="WBJ41" s="51"/>
      <c r="WBK41" s="51"/>
      <c r="WBL41" s="51"/>
      <c r="WBM41" s="51"/>
      <c r="WBN41" s="51"/>
      <c r="WBO41" s="51"/>
      <c r="WBP41" s="51"/>
      <c r="WBQ41" s="51"/>
      <c r="WBR41" s="51"/>
      <c r="WBS41" s="51"/>
      <c r="WBT41" s="51"/>
      <c r="WBU41" s="51"/>
      <c r="WBV41" s="51"/>
      <c r="WBW41" s="51"/>
      <c r="WBX41" s="51"/>
      <c r="WBY41" s="51"/>
      <c r="WBZ41" s="51"/>
      <c r="WCA41" s="51"/>
      <c r="WCB41" s="51"/>
      <c r="WCC41" s="51"/>
      <c r="WCD41" s="51"/>
      <c r="WCE41" s="51"/>
      <c r="WCF41" s="51"/>
      <c r="WCG41" s="51"/>
      <c r="WCH41" s="51"/>
      <c r="WCI41" s="51"/>
      <c r="WCJ41" s="51"/>
      <c r="WCK41" s="51"/>
      <c r="WCL41" s="51"/>
      <c r="WCM41" s="51"/>
      <c r="WCN41" s="51"/>
      <c r="WCO41" s="51"/>
      <c r="WCP41" s="51"/>
      <c r="WCQ41" s="51"/>
      <c r="WCR41" s="51"/>
      <c r="WCS41" s="51"/>
      <c r="WCT41" s="51"/>
      <c r="WCU41" s="51"/>
      <c r="WCV41" s="51"/>
      <c r="WCW41" s="51"/>
      <c r="WCX41" s="51"/>
      <c r="WCY41" s="51"/>
      <c r="WCZ41" s="51"/>
      <c r="WDA41" s="51"/>
      <c r="WDB41" s="51"/>
      <c r="WDC41" s="51"/>
      <c r="WDD41" s="51"/>
      <c r="WDE41" s="51"/>
      <c r="WDF41" s="51"/>
      <c r="WDG41" s="51"/>
      <c r="WDH41" s="51"/>
      <c r="WDI41" s="51"/>
      <c r="WDJ41" s="51"/>
      <c r="WDK41" s="51"/>
      <c r="WDL41" s="51"/>
      <c r="WDM41" s="51"/>
      <c r="WDN41" s="51"/>
      <c r="WDO41" s="51"/>
      <c r="WDP41" s="51"/>
      <c r="WDQ41" s="51"/>
      <c r="WDR41" s="51"/>
      <c r="WDS41" s="51"/>
      <c r="WDT41" s="51"/>
      <c r="WDU41" s="51"/>
      <c r="WDV41" s="51"/>
      <c r="WDW41" s="51"/>
      <c r="WDX41" s="51"/>
      <c r="WDY41" s="51"/>
      <c r="WDZ41" s="51"/>
      <c r="WEA41" s="51"/>
      <c r="WEB41" s="51"/>
      <c r="WEC41" s="51"/>
      <c r="WED41" s="51"/>
      <c r="WEE41" s="51"/>
      <c r="WEF41" s="51"/>
      <c r="WEG41" s="51"/>
      <c r="WEH41" s="51"/>
      <c r="WEI41" s="51"/>
      <c r="WEJ41" s="51"/>
      <c r="WEK41" s="51"/>
      <c r="WEL41" s="51"/>
      <c r="WEM41" s="51"/>
      <c r="WEN41" s="51"/>
      <c r="WEO41" s="51"/>
      <c r="WEP41" s="51"/>
      <c r="WEQ41" s="51"/>
      <c r="WER41" s="51"/>
      <c r="WES41" s="51"/>
      <c r="WET41" s="51"/>
      <c r="WEU41" s="51"/>
      <c r="WEV41" s="51"/>
      <c r="WEW41" s="51"/>
      <c r="WEX41" s="51"/>
      <c r="WEY41" s="51"/>
      <c r="WEZ41" s="51"/>
      <c r="WFA41" s="51"/>
      <c r="WFB41" s="51"/>
      <c r="WFC41" s="51"/>
      <c r="WFD41" s="51"/>
      <c r="WFE41" s="51"/>
      <c r="WFF41" s="51"/>
      <c r="WFG41" s="51"/>
      <c r="WFH41" s="51"/>
      <c r="WFI41" s="51"/>
      <c r="WFJ41" s="51"/>
      <c r="WFK41" s="51"/>
      <c r="WFL41" s="51"/>
      <c r="WFM41" s="51"/>
      <c r="WFN41" s="51"/>
      <c r="WFO41" s="51"/>
      <c r="WFP41" s="51"/>
      <c r="WFQ41" s="51"/>
      <c r="WFR41" s="51"/>
      <c r="WFS41" s="51"/>
      <c r="WFT41" s="51"/>
      <c r="WFU41" s="51"/>
      <c r="WFV41" s="51"/>
      <c r="WFW41" s="51"/>
      <c r="WFX41" s="51"/>
      <c r="WFY41" s="51"/>
      <c r="WFZ41" s="51"/>
      <c r="WGA41" s="51"/>
      <c r="WGB41" s="51"/>
      <c r="WGC41" s="51"/>
      <c r="WGD41" s="51"/>
      <c r="WGE41" s="51"/>
      <c r="WGF41" s="51"/>
      <c r="WGG41" s="51"/>
      <c r="WGH41" s="51"/>
      <c r="WGI41" s="51"/>
      <c r="WGJ41" s="51"/>
      <c r="WGK41" s="51"/>
      <c r="WGL41" s="51"/>
      <c r="WGM41" s="51"/>
      <c r="WGN41" s="51"/>
      <c r="WGO41" s="51"/>
      <c r="WGP41" s="51"/>
      <c r="WGQ41" s="51"/>
      <c r="WGR41" s="51"/>
      <c r="WGS41" s="51"/>
      <c r="WGT41" s="51"/>
      <c r="WGU41" s="51"/>
      <c r="WGV41" s="51"/>
      <c r="WGW41" s="51"/>
      <c r="WGX41" s="51"/>
      <c r="WGY41" s="51"/>
      <c r="WGZ41" s="51"/>
      <c r="WHA41" s="51"/>
      <c r="WHB41" s="51"/>
      <c r="WHC41" s="51"/>
      <c r="WHD41" s="51"/>
      <c r="WHE41" s="51"/>
      <c r="WHF41" s="51"/>
      <c r="WHG41" s="51"/>
      <c r="WHH41" s="51"/>
      <c r="WHI41" s="51"/>
      <c r="WHJ41" s="51"/>
      <c r="WHK41" s="51"/>
      <c r="WHL41" s="51"/>
      <c r="WHM41" s="51"/>
      <c r="WHN41" s="51"/>
      <c r="WHO41" s="51"/>
      <c r="WHP41" s="51"/>
      <c r="WHQ41" s="51"/>
      <c r="WHR41" s="51"/>
      <c r="WHS41" s="51"/>
      <c r="WHT41" s="51"/>
      <c r="WHU41" s="51"/>
      <c r="WHV41" s="51"/>
      <c r="WHW41" s="51"/>
      <c r="WHX41" s="51"/>
      <c r="WHY41" s="51"/>
      <c r="WHZ41" s="51"/>
      <c r="WIA41" s="51"/>
      <c r="WIB41" s="51"/>
      <c r="WIC41" s="51"/>
      <c r="WID41" s="51"/>
      <c r="WIE41" s="51"/>
      <c r="WIF41" s="51"/>
      <c r="WIG41" s="51"/>
      <c r="WIH41" s="51"/>
      <c r="WII41" s="51"/>
      <c r="WIJ41" s="51"/>
      <c r="WIK41" s="51"/>
      <c r="WIL41" s="51"/>
      <c r="WIM41" s="51"/>
      <c r="WIN41" s="51"/>
      <c r="WIO41" s="51"/>
      <c r="WIP41" s="51"/>
      <c r="WIQ41" s="51"/>
      <c r="WIR41" s="51"/>
      <c r="WIS41" s="51"/>
      <c r="WIT41" s="51"/>
      <c r="WIU41" s="51"/>
      <c r="WIV41" s="51"/>
      <c r="WIW41" s="51"/>
      <c r="WIX41" s="51"/>
      <c r="WIY41" s="51"/>
      <c r="WIZ41" s="51"/>
      <c r="WJA41" s="51"/>
      <c r="WJB41" s="51"/>
      <c r="WJC41" s="51"/>
      <c r="WJD41" s="51"/>
      <c r="WJE41" s="51"/>
      <c r="WJF41" s="51"/>
      <c r="WJG41" s="51"/>
      <c r="WJH41" s="51"/>
      <c r="WJI41" s="51"/>
      <c r="WJJ41" s="51"/>
      <c r="WJK41" s="51"/>
      <c r="WJL41" s="51"/>
      <c r="WJM41" s="51"/>
      <c r="WJN41" s="51"/>
      <c r="WJO41" s="51"/>
      <c r="WJP41" s="51"/>
      <c r="WJQ41" s="51"/>
      <c r="WJR41" s="51"/>
      <c r="WJS41" s="51"/>
      <c r="WJT41" s="51"/>
      <c r="WJU41" s="51"/>
      <c r="WJV41" s="51"/>
      <c r="WJW41" s="51"/>
      <c r="WJX41" s="51"/>
      <c r="WJY41" s="51"/>
      <c r="WJZ41" s="51"/>
      <c r="WKA41" s="51"/>
      <c r="WKB41" s="51"/>
      <c r="WKC41" s="51"/>
      <c r="WKD41" s="51"/>
      <c r="WKE41" s="51"/>
      <c r="WKF41" s="51"/>
      <c r="WKG41" s="51"/>
      <c r="WKH41" s="51"/>
      <c r="WKI41" s="51"/>
      <c r="WKJ41" s="51"/>
      <c r="WKK41" s="51"/>
      <c r="WKL41" s="51"/>
      <c r="WKM41" s="51"/>
      <c r="WKN41" s="51"/>
      <c r="WKO41" s="51"/>
      <c r="WKP41" s="51"/>
      <c r="WKQ41" s="51"/>
      <c r="WKR41" s="51"/>
      <c r="WKS41" s="51"/>
      <c r="WKT41" s="51"/>
      <c r="WKU41" s="51"/>
      <c r="WKV41" s="51"/>
      <c r="WKW41" s="51"/>
      <c r="WKX41" s="51"/>
      <c r="WKY41" s="51"/>
      <c r="WKZ41" s="51"/>
      <c r="WLA41" s="51"/>
      <c r="WLB41" s="51"/>
      <c r="WLC41" s="51"/>
      <c r="WLD41" s="51"/>
      <c r="WLE41" s="51"/>
      <c r="WLF41" s="51"/>
      <c r="WLG41" s="51"/>
      <c r="WLH41" s="51"/>
      <c r="WLI41" s="51"/>
      <c r="WLJ41" s="51"/>
      <c r="WLK41" s="51"/>
      <c r="WLL41" s="51"/>
      <c r="WLM41" s="51"/>
      <c r="WLN41" s="51"/>
      <c r="WLO41" s="51"/>
      <c r="WLP41" s="51"/>
      <c r="WLQ41" s="51"/>
      <c r="WLR41" s="51"/>
      <c r="WLS41" s="51"/>
      <c r="WLT41" s="51"/>
      <c r="WLU41" s="51"/>
      <c r="WLV41" s="51"/>
      <c r="WLW41" s="51"/>
      <c r="WLX41" s="51"/>
      <c r="WLY41" s="51"/>
      <c r="WLZ41" s="51"/>
      <c r="WMA41" s="51"/>
      <c r="WMB41" s="51"/>
      <c r="WMC41" s="51"/>
      <c r="WMD41" s="51"/>
      <c r="WME41" s="51"/>
      <c r="WMF41" s="51"/>
      <c r="WMG41" s="51"/>
      <c r="WMH41" s="51"/>
      <c r="WMI41" s="51"/>
      <c r="WMJ41" s="51"/>
      <c r="WMK41" s="51"/>
      <c r="WML41" s="51"/>
      <c r="WMM41" s="51"/>
      <c r="WMN41" s="51"/>
      <c r="WMO41" s="51"/>
      <c r="WMP41" s="51"/>
      <c r="WMQ41" s="51"/>
      <c r="WMR41" s="51"/>
      <c r="WMS41" s="51"/>
      <c r="WMT41" s="51"/>
      <c r="WMU41" s="51"/>
      <c r="WMV41" s="51"/>
      <c r="WMW41" s="51"/>
      <c r="WMX41" s="51"/>
      <c r="WMY41" s="51"/>
      <c r="WMZ41" s="51"/>
      <c r="WNA41" s="51"/>
      <c r="WNB41" s="51"/>
      <c r="WNC41" s="51"/>
      <c r="WND41" s="51"/>
      <c r="WNE41" s="51"/>
      <c r="WNF41" s="51"/>
      <c r="WNG41" s="51"/>
      <c r="WNH41" s="51"/>
      <c r="WNI41" s="51"/>
      <c r="WNJ41" s="51"/>
      <c r="WNK41" s="51"/>
      <c r="WNL41" s="51"/>
      <c r="WNM41" s="51"/>
      <c r="WNN41" s="51"/>
      <c r="WNO41" s="51"/>
      <c r="WNP41" s="51"/>
      <c r="WNQ41" s="51"/>
      <c r="WNR41" s="51"/>
      <c r="WNS41" s="51"/>
      <c r="WNT41" s="51"/>
      <c r="WNU41" s="51"/>
      <c r="WNV41" s="51"/>
      <c r="WNW41" s="51"/>
      <c r="WNX41" s="51"/>
      <c r="WNY41" s="51"/>
      <c r="WNZ41" s="51"/>
      <c r="WOA41" s="51"/>
      <c r="WOB41" s="51"/>
      <c r="WOC41" s="51"/>
      <c r="WOD41" s="51"/>
      <c r="WOE41" s="51"/>
      <c r="WOF41" s="51"/>
      <c r="WOG41" s="51"/>
      <c r="WOH41" s="51"/>
      <c r="WOI41" s="51"/>
      <c r="WOJ41" s="51"/>
      <c r="WOK41" s="51"/>
      <c r="WOL41" s="51"/>
      <c r="WOM41" s="51"/>
      <c r="WON41" s="51"/>
      <c r="WOO41" s="51"/>
      <c r="WOP41" s="51"/>
      <c r="WOQ41" s="51"/>
      <c r="WOR41" s="51"/>
      <c r="WOS41" s="51"/>
      <c r="WOT41" s="51"/>
      <c r="WOU41" s="51"/>
      <c r="WOV41" s="51"/>
      <c r="WOW41" s="51"/>
      <c r="WOX41" s="51"/>
      <c r="WOY41" s="51"/>
      <c r="WOZ41" s="51"/>
      <c r="WPA41" s="51"/>
      <c r="WPB41" s="51"/>
      <c r="WPC41" s="51"/>
      <c r="WPD41" s="51"/>
      <c r="WPE41" s="51"/>
      <c r="WPF41" s="51"/>
      <c r="WPG41" s="51"/>
      <c r="WPH41" s="51"/>
      <c r="WPI41" s="51"/>
      <c r="WPJ41" s="51"/>
      <c r="WPK41" s="51"/>
      <c r="WPL41" s="51"/>
      <c r="WPM41" s="51"/>
      <c r="WPN41" s="51"/>
      <c r="WPO41" s="51"/>
      <c r="WPP41" s="51"/>
      <c r="WPQ41" s="51"/>
      <c r="WPR41" s="51"/>
      <c r="WPS41" s="51"/>
      <c r="WPT41" s="51"/>
      <c r="WPU41" s="51"/>
      <c r="WPV41" s="51"/>
      <c r="WPW41" s="51"/>
      <c r="WPX41" s="51"/>
      <c r="WPY41" s="51"/>
      <c r="WPZ41" s="51"/>
      <c r="WQA41" s="51"/>
      <c r="WQB41" s="51"/>
      <c r="WQC41" s="51"/>
      <c r="WQD41" s="51"/>
      <c r="WQE41" s="51"/>
      <c r="WQF41" s="51"/>
      <c r="WQG41" s="51"/>
      <c r="WQH41" s="51"/>
      <c r="WQI41" s="51"/>
      <c r="WQJ41" s="51"/>
      <c r="WQK41" s="51"/>
      <c r="WQL41" s="51"/>
      <c r="WQM41" s="51"/>
      <c r="WQN41" s="51"/>
      <c r="WQO41" s="51"/>
      <c r="WQP41" s="51"/>
      <c r="WQQ41" s="51"/>
      <c r="WQR41" s="51"/>
      <c r="WQS41" s="51"/>
      <c r="WQT41" s="51"/>
      <c r="WQU41" s="51"/>
      <c r="WQV41" s="51"/>
      <c r="WQW41" s="51"/>
      <c r="WQX41" s="51"/>
      <c r="WQY41" s="51"/>
      <c r="WQZ41" s="51"/>
      <c r="WRA41" s="51"/>
      <c r="WRB41" s="51"/>
      <c r="WRC41" s="51"/>
      <c r="WRD41" s="51"/>
      <c r="WRE41" s="51"/>
      <c r="WRF41" s="51"/>
      <c r="WRG41" s="51"/>
      <c r="WRH41" s="51"/>
      <c r="WRI41" s="51"/>
      <c r="WRJ41" s="51"/>
      <c r="WRK41" s="51"/>
      <c r="WRL41" s="51"/>
      <c r="WRM41" s="51"/>
      <c r="WRN41" s="51"/>
      <c r="WRO41" s="51"/>
      <c r="WRP41" s="51"/>
      <c r="WRQ41" s="51"/>
      <c r="WRR41" s="51"/>
      <c r="WRS41" s="51"/>
      <c r="WRT41" s="51"/>
      <c r="WRU41" s="51"/>
      <c r="WRV41" s="51"/>
      <c r="WRW41" s="51"/>
      <c r="WRX41" s="51"/>
      <c r="WRY41" s="51"/>
      <c r="WRZ41" s="51"/>
      <c r="WSA41" s="51"/>
      <c r="WSB41" s="51"/>
      <c r="WSC41" s="51"/>
      <c r="WSD41" s="51"/>
      <c r="WSE41" s="51"/>
      <c r="WSF41" s="51"/>
      <c r="WSG41" s="51"/>
      <c r="WSH41" s="51"/>
      <c r="WSI41" s="51"/>
      <c r="WSJ41" s="51"/>
      <c r="WSK41" s="51"/>
      <c r="WSL41" s="51"/>
      <c r="WSM41" s="51"/>
      <c r="WSN41" s="51"/>
      <c r="WSO41" s="51"/>
      <c r="WSP41" s="51"/>
      <c r="WSQ41" s="51"/>
      <c r="WSR41" s="51"/>
      <c r="WSS41" s="51"/>
      <c r="WST41" s="51"/>
      <c r="WSU41" s="51"/>
      <c r="WSV41" s="51"/>
      <c r="WSW41" s="51"/>
      <c r="WSX41" s="51"/>
      <c r="WSY41" s="51"/>
      <c r="WSZ41" s="51"/>
      <c r="WTA41" s="51"/>
      <c r="WTB41" s="51"/>
      <c r="WTC41" s="51"/>
      <c r="WTD41" s="51"/>
      <c r="WTE41" s="51"/>
      <c r="WTF41" s="51"/>
      <c r="WTG41" s="51"/>
      <c r="WTH41" s="51"/>
      <c r="WTI41" s="51"/>
      <c r="WTJ41" s="51"/>
      <c r="WTK41" s="51"/>
      <c r="WTL41" s="51"/>
      <c r="WTM41" s="51"/>
      <c r="WTN41" s="51"/>
      <c r="WTO41" s="51"/>
      <c r="WTP41" s="51"/>
      <c r="WTQ41" s="51"/>
      <c r="WTR41" s="51"/>
      <c r="WTS41" s="51"/>
      <c r="WTT41" s="51"/>
      <c r="WTU41" s="51"/>
      <c r="WTV41" s="51"/>
      <c r="WTW41" s="51"/>
      <c r="WTX41" s="51"/>
      <c r="WTY41" s="51"/>
      <c r="WTZ41" s="51"/>
      <c r="WUA41" s="51"/>
      <c r="WUB41" s="51"/>
      <c r="WUC41" s="51"/>
      <c r="WUD41" s="51"/>
      <c r="WUE41" s="51"/>
      <c r="WUF41" s="51"/>
      <c r="WUG41" s="51"/>
      <c r="WUH41" s="51"/>
      <c r="WUI41" s="51"/>
      <c r="WUJ41" s="51"/>
      <c r="WUK41" s="51"/>
      <c r="WUL41" s="51"/>
      <c r="WUM41" s="51"/>
      <c r="WUN41" s="51"/>
      <c r="WUO41" s="51"/>
      <c r="WUP41" s="51"/>
      <c r="WUQ41" s="51"/>
      <c r="WUR41" s="51"/>
      <c r="WUS41" s="51"/>
      <c r="WUT41" s="51"/>
      <c r="WUU41" s="51"/>
      <c r="WUV41" s="51"/>
      <c r="WUW41" s="51"/>
      <c r="WUX41" s="51"/>
      <c r="WUY41" s="51"/>
      <c r="WUZ41" s="51"/>
      <c r="WVA41" s="51"/>
      <c r="WVB41" s="51"/>
      <c r="WVC41" s="51"/>
      <c r="WVD41" s="51"/>
      <c r="WVE41" s="51"/>
      <c r="WVF41" s="51"/>
      <c r="WVG41" s="51"/>
      <c r="WVH41" s="51"/>
      <c r="WVI41" s="51"/>
      <c r="WVJ41" s="51"/>
      <c r="WVK41" s="51"/>
      <c r="WVL41" s="51"/>
      <c r="WVM41" s="51"/>
      <c r="WVN41" s="51"/>
      <c r="WVO41" s="51"/>
      <c r="WVP41" s="51"/>
      <c r="WVQ41" s="51"/>
      <c r="WVR41" s="51"/>
      <c r="WVS41" s="51"/>
      <c r="WVT41" s="51"/>
      <c r="WVU41" s="51"/>
      <c r="WVV41" s="51"/>
      <c r="WVW41" s="51"/>
      <c r="WVX41" s="51"/>
      <c r="WVY41" s="51"/>
      <c r="WVZ41" s="51"/>
      <c r="WWA41" s="51"/>
      <c r="WWB41" s="51"/>
      <c r="WWC41" s="51"/>
      <c r="WWD41" s="51"/>
      <c r="WWE41" s="51"/>
      <c r="WWF41" s="51"/>
      <c r="WWG41" s="51"/>
      <c r="WWH41" s="51"/>
      <c r="WWI41" s="51"/>
      <c r="WWJ41" s="51"/>
      <c r="WWK41" s="51"/>
      <c r="WWL41" s="51"/>
      <c r="WWM41" s="51"/>
      <c r="WWN41" s="51"/>
      <c r="WWO41" s="51"/>
      <c r="WWP41" s="51"/>
      <c r="WWQ41" s="51"/>
      <c r="WWR41" s="51"/>
      <c r="WWS41" s="51"/>
      <c r="WWT41" s="51"/>
      <c r="WWU41" s="51"/>
      <c r="WWV41" s="51"/>
      <c r="WWW41" s="51"/>
      <c r="WWX41" s="51"/>
      <c r="WWY41" s="51"/>
      <c r="WWZ41" s="51"/>
      <c r="WXA41" s="51"/>
      <c r="WXB41" s="51"/>
      <c r="WXC41" s="51"/>
      <c r="WXD41" s="51"/>
      <c r="WXE41" s="51"/>
      <c r="WXF41" s="51"/>
      <c r="WXG41" s="51"/>
      <c r="WXH41" s="51"/>
      <c r="WXI41" s="51"/>
      <c r="WXJ41" s="51"/>
      <c r="WXK41" s="51"/>
      <c r="WXL41" s="51"/>
      <c r="WXM41" s="51"/>
      <c r="WXN41" s="51"/>
      <c r="WXO41" s="51"/>
      <c r="WXP41" s="51"/>
      <c r="WXQ41" s="51"/>
      <c r="WXR41" s="51"/>
      <c r="WXS41" s="51"/>
      <c r="WXT41" s="51"/>
      <c r="WXU41" s="51"/>
      <c r="WXV41" s="51"/>
      <c r="WXW41" s="51"/>
      <c r="WXX41" s="51"/>
      <c r="WXY41" s="51"/>
      <c r="WXZ41" s="51"/>
      <c r="WYA41" s="51"/>
      <c r="WYB41" s="51"/>
      <c r="WYC41" s="51"/>
      <c r="WYD41" s="51"/>
      <c r="WYE41" s="51"/>
      <c r="WYF41" s="51"/>
      <c r="WYG41" s="51"/>
      <c r="WYH41" s="51"/>
      <c r="WYI41" s="51"/>
      <c r="WYJ41" s="51"/>
      <c r="WYK41" s="51"/>
      <c r="WYL41" s="51"/>
      <c r="WYM41" s="51"/>
      <c r="WYN41" s="51"/>
      <c r="WYO41" s="51"/>
      <c r="WYP41" s="51"/>
      <c r="WYQ41" s="51"/>
      <c r="WYR41" s="51"/>
      <c r="WYS41" s="51"/>
      <c r="WYT41" s="51"/>
      <c r="WYU41" s="51"/>
      <c r="WYV41" s="51"/>
      <c r="WYW41" s="51"/>
      <c r="WYX41" s="51"/>
      <c r="WYY41" s="51"/>
      <c r="WYZ41" s="51"/>
      <c r="WZA41" s="51"/>
      <c r="WZB41" s="51"/>
      <c r="WZC41" s="51"/>
      <c r="WZD41" s="51"/>
      <c r="WZE41" s="51"/>
      <c r="WZF41" s="51"/>
      <c r="WZG41" s="51"/>
      <c r="WZH41" s="51"/>
      <c r="WZI41" s="51"/>
      <c r="WZJ41" s="51"/>
      <c r="WZK41" s="51"/>
      <c r="WZL41" s="51"/>
      <c r="WZM41" s="51"/>
      <c r="WZN41" s="51"/>
      <c r="WZO41" s="51"/>
      <c r="WZP41" s="51"/>
      <c r="WZQ41" s="51"/>
      <c r="WZR41" s="51"/>
      <c r="WZS41" s="51"/>
      <c r="WZT41" s="51"/>
      <c r="WZU41" s="51"/>
      <c r="WZV41" s="51"/>
      <c r="WZW41" s="51"/>
      <c r="WZX41" s="51"/>
      <c r="WZY41" s="51"/>
      <c r="WZZ41" s="51"/>
      <c r="XAA41" s="51"/>
      <c r="XAB41" s="51"/>
      <c r="XAC41" s="51"/>
      <c r="XAD41" s="51"/>
      <c r="XAE41" s="51"/>
      <c r="XAF41" s="51"/>
      <c r="XAG41" s="51"/>
      <c r="XAH41" s="51"/>
      <c r="XAI41" s="51"/>
      <c r="XAJ41" s="51"/>
      <c r="XAK41" s="51"/>
      <c r="XAL41" s="51"/>
      <c r="XAM41" s="51"/>
      <c r="XAN41" s="51"/>
      <c r="XAO41" s="51"/>
      <c r="XAP41" s="51"/>
      <c r="XAQ41" s="51"/>
      <c r="XAR41" s="51"/>
      <c r="XAS41" s="51"/>
      <c r="XAT41" s="51"/>
      <c r="XAU41" s="51"/>
      <c r="XAV41" s="51"/>
      <c r="XAW41" s="51"/>
      <c r="XAX41" s="51"/>
      <c r="XAY41" s="51"/>
      <c r="XAZ41" s="51"/>
      <c r="XBA41" s="51"/>
      <c r="XBB41" s="51"/>
      <c r="XBC41" s="51"/>
      <c r="XBD41" s="51"/>
      <c r="XBE41" s="51"/>
      <c r="XBF41" s="51"/>
      <c r="XBG41" s="51"/>
      <c r="XBH41" s="51"/>
      <c r="XBI41" s="51"/>
      <c r="XBJ41" s="51"/>
      <c r="XBK41" s="51"/>
      <c r="XBL41" s="51"/>
      <c r="XBM41" s="51"/>
      <c r="XBN41" s="51"/>
      <c r="XBO41" s="51"/>
      <c r="XBP41" s="51"/>
      <c r="XBQ41" s="51"/>
      <c r="XBR41" s="51"/>
      <c r="XBS41" s="51"/>
      <c r="XBT41" s="51"/>
      <c r="XBU41" s="51"/>
      <c r="XBV41" s="51"/>
      <c r="XBW41" s="51"/>
      <c r="XBX41" s="51"/>
      <c r="XBY41" s="51"/>
      <c r="XBZ41" s="51"/>
      <c r="XCA41" s="51"/>
      <c r="XCB41" s="51"/>
      <c r="XCC41" s="51"/>
      <c r="XCD41" s="51"/>
      <c r="XCE41" s="51"/>
      <c r="XCF41" s="51"/>
      <c r="XCG41" s="51"/>
      <c r="XCH41" s="51"/>
      <c r="XCI41" s="51"/>
      <c r="XCJ41" s="51"/>
      <c r="XCK41" s="51"/>
      <c r="XCL41" s="51"/>
      <c r="XCM41" s="51"/>
      <c r="XCN41" s="51"/>
      <c r="XCO41" s="51"/>
      <c r="XCP41" s="51"/>
      <c r="XCQ41" s="51"/>
      <c r="XCR41" s="51"/>
      <c r="XCS41" s="51"/>
      <c r="XCT41" s="51"/>
      <c r="XCU41" s="51"/>
      <c r="XCV41" s="51"/>
      <c r="XCW41" s="51"/>
      <c r="XCX41" s="51"/>
      <c r="XCY41" s="51"/>
      <c r="XCZ41" s="51"/>
      <c r="XDA41" s="51"/>
      <c r="XDB41" s="51"/>
      <c r="XDC41" s="51"/>
      <c r="XDD41" s="51"/>
      <c r="XDE41" s="51"/>
      <c r="XDF41" s="51"/>
      <c r="XDG41" s="51"/>
      <c r="XDH41" s="51"/>
      <c r="XDI41" s="51"/>
      <c r="XDJ41" s="51"/>
      <c r="XDK41" s="51"/>
      <c r="XDL41" s="51"/>
      <c r="XDM41" s="51"/>
      <c r="XDN41" s="51"/>
      <c r="XDO41" s="51"/>
      <c r="XDP41" s="51"/>
      <c r="XDQ41" s="51"/>
      <c r="XDR41" s="51"/>
      <c r="XDS41" s="51"/>
      <c r="XDT41" s="51"/>
      <c r="XDU41" s="51"/>
      <c r="XDV41" s="51"/>
      <c r="XDW41" s="51"/>
      <c r="XDX41" s="51"/>
      <c r="XDY41" s="51"/>
      <c r="XDZ41" s="51"/>
      <c r="XEA41" s="51"/>
      <c r="XEB41" s="51"/>
      <c r="XEC41" s="51"/>
      <c r="XED41" s="51"/>
      <c r="XEE41" s="51"/>
      <c r="XEF41" s="51"/>
      <c r="XEG41" s="51"/>
      <c r="XEH41" s="51"/>
      <c r="XEI41" s="51"/>
      <c r="XEJ41" s="51"/>
      <c r="XEK41" s="51"/>
      <c r="XEL41" s="51"/>
      <c r="XEM41" s="51"/>
      <c r="XEN41" s="51"/>
      <c r="XEO41" s="51"/>
      <c r="XEP41" s="51"/>
      <c r="XEQ41" s="51"/>
      <c r="XER41" s="51"/>
      <c r="XES41" s="51"/>
      <c r="XET41" s="51"/>
      <c r="XEU41" s="51"/>
      <c r="XEV41" s="51"/>
      <c r="XEW41" s="51"/>
      <c r="XEX41" s="51"/>
      <c r="XEY41" s="51"/>
      <c r="XEZ41" s="51"/>
      <c r="XFA41" s="51"/>
      <c r="XFB41" s="51"/>
      <c r="XFC41" s="51"/>
      <c r="XFD41" s="51"/>
    </row>
    <row r="42" spans="1:16384" s="258" customFormat="1">
      <c r="A42" s="51"/>
      <c r="B42" s="51" t="s">
        <v>1031</v>
      </c>
      <c r="C42" s="51"/>
      <c r="D42" s="258" t="s">
        <v>186</v>
      </c>
      <c r="E42" s="51"/>
      <c r="F42" s="51"/>
      <c r="G42" s="155">
        <f>G9-G49-G50</f>
        <v>21881057.452275261</v>
      </c>
      <c r="H42" s="155">
        <f t="shared" ref="H42:O42" si="1">H9-H49-H50</f>
        <v>30192604.395865079</v>
      </c>
      <c r="I42" s="155">
        <f t="shared" si="1"/>
        <v>61388796.716103382</v>
      </c>
      <c r="J42" s="155">
        <f t="shared" si="1"/>
        <v>315780084.04450923</v>
      </c>
      <c r="K42" s="155">
        <f t="shared" si="1"/>
        <v>337905752.19828773</v>
      </c>
      <c r="L42" s="155">
        <f t="shared" si="1"/>
        <v>18136316.345831219</v>
      </c>
      <c r="M42" s="155">
        <f t="shared" si="1"/>
        <v>293614827.05743486</v>
      </c>
      <c r="N42" s="155">
        <f t="shared" si="1"/>
        <v>18277230.489649843</v>
      </c>
      <c r="O42" s="155">
        <f t="shared" si="1"/>
        <v>6440014.167166301</v>
      </c>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c r="XE42" s="51"/>
      <c r="XF42" s="51"/>
      <c r="XG42" s="51"/>
      <c r="XH42" s="51"/>
      <c r="XI42" s="51"/>
      <c r="XJ42" s="51"/>
      <c r="XK42" s="51"/>
      <c r="XL42" s="51"/>
      <c r="XM42" s="51"/>
      <c r="XN42" s="51"/>
      <c r="XO42" s="51"/>
      <c r="XP42" s="51"/>
      <c r="XQ42" s="51"/>
      <c r="XR42" s="51"/>
      <c r="XS42" s="51"/>
      <c r="XT42" s="51"/>
      <c r="XU42" s="51"/>
      <c r="XV42" s="51"/>
      <c r="XW42" s="51"/>
      <c r="XX42" s="51"/>
      <c r="XY42" s="51"/>
      <c r="XZ42" s="51"/>
      <c r="YA42" s="51"/>
      <c r="YB42" s="51"/>
      <c r="YC42" s="51"/>
      <c r="YD42" s="51"/>
      <c r="YE42" s="51"/>
      <c r="YF42" s="51"/>
      <c r="YG42" s="51"/>
      <c r="YH42" s="51"/>
      <c r="YI42" s="51"/>
      <c r="YJ42" s="51"/>
      <c r="YK42" s="51"/>
      <c r="YL42" s="51"/>
      <c r="YM42" s="51"/>
      <c r="YN42" s="51"/>
      <c r="YO42" s="51"/>
      <c r="YP42" s="51"/>
      <c r="YQ42" s="51"/>
      <c r="YR42" s="51"/>
      <c r="YS42" s="51"/>
      <c r="YT42" s="51"/>
      <c r="YU42" s="51"/>
      <c r="YV42" s="51"/>
      <c r="YW42" s="51"/>
      <c r="YX42" s="51"/>
      <c r="YY42" s="51"/>
      <c r="YZ42" s="51"/>
      <c r="ZA42" s="51"/>
      <c r="ZB42" s="51"/>
      <c r="ZC42" s="51"/>
      <c r="ZD42" s="51"/>
      <c r="ZE42" s="51"/>
      <c r="ZF42" s="51"/>
      <c r="ZG42" s="51"/>
      <c r="ZH42" s="51"/>
      <c r="ZI42" s="51"/>
      <c r="ZJ42" s="51"/>
      <c r="ZK42" s="51"/>
      <c r="ZL42" s="51"/>
      <c r="ZM42" s="51"/>
      <c r="ZN42" s="51"/>
      <c r="ZO42" s="51"/>
      <c r="ZP42" s="51"/>
      <c r="ZQ42" s="51"/>
      <c r="ZR42" s="51"/>
      <c r="ZS42" s="51"/>
      <c r="ZT42" s="51"/>
      <c r="ZU42" s="51"/>
      <c r="ZV42" s="51"/>
      <c r="ZW42" s="51"/>
      <c r="ZX42" s="51"/>
      <c r="ZY42" s="51"/>
      <c r="ZZ42" s="51"/>
      <c r="AAA42" s="51"/>
      <c r="AAB42" s="51"/>
      <c r="AAC42" s="51"/>
      <c r="AAD42" s="51"/>
      <c r="AAE42" s="51"/>
      <c r="AAF42" s="51"/>
      <c r="AAG42" s="51"/>
      <c r="AAH42" s="51"/>
      <c r="AAI42" s="51"/>
      <c r="AAJ42" s="51"/>
      <c r="AAK42" s="51"/>
      <c r="AAL42" s="51"/>
      <c r="AAM42" s="51"/>
      <c r="AAN42" s="51"/>
      <c r="AAO42" s="51"/>
      <c r="AAP42" s="51"/>
      <c r="AAQ42" s="51"/>
      <c r="AAR42" s="51"/>
      <c r="AAS42" s="51"/>
      <c r="AAT42" s="51"/>
      <c r="AAU42" s="51"/>
      <c r="AAV42" s="51"/>
      <c r="AAW42" s="51"/>
      <c r="AAX42" s="51"/>
      <c r="AAY42" s="51"/>
      <c r="AAZ42" s="51"/>
      <c r="ABA42" s="51"/>
      <c r="ABB42" s="51"/>
      <c r="ABC42" s="51"/>
      <c r="ABD42" s="51"/>
      <c r="ABE42" s="51"/>
      <c r="ABF42" s="51"/>
      <c r="ABG42" s="51"/>
      <c r="ABH42" s="51"/>
      <c r="ABI42" s="51"/>
      <c r="ABJ42" s="51"/>
      <c r="ABK42" s="51"/>
      <c r="ABL42" s="51"/>
      <c r="ABM42" s="51"/>
      <c r="ABN42" s="51"/>
      <c r="ABO42" s="51"/>
      <c r="ABP42" s="51"/>
      <c r="ABQ42" s="51"/>
      <c r="ABR42" s="51"/>
      <c r="ABS42" s="51"/>
      <c r="ABT42" s="51"/>
      <c r="ABU42" s="51"/>
      <c r="ABV42" s="51"/>
      <c r="ABW42" s="51"/>
      <c r="ABX42" s="51"/>
      <c r="ABY42" s="51"/>
      <c r="ABZ42" s="51"/>
      <c r="ACA42" s="51"/>
      <c r="ACB42" s="51"/>
      <c r="ACC42" s="51"/>
      <c r="ACD42" s="51"/>
      <c r="ACE42" s="51"/>
      <c r="ACF42" s="51"/>
      <c r="ACG42" s="51"/>
      <c r="ACH42" s="51"/>
      <c r="ACI42" s="51"/>
      <c r="ACJ42" s="51"/>
      <c r="ACK42" s="51"/>
      <c r="ACL42" s="51"/>
      <c r="ACM42" s="51"/>
      <c r="ACN42" s="51"/>
      <c r="ACO42" s="51"/>
      <c r="ACP42" s="51"/>
      <c r="ACQ42" s="51"/>
      <c r="ACR42" s="51"/>
      <c r="ACS42" s="51"/>
      <c r="ACT42" s="51"/>
      <c r="ACU42" s="51"/>
      <c r="ACV42" s="51"/>
      <c r="ACW42" s="51"/>
      <c r="ACX42" s="51"/>
      <c r="ACY42" s="51"/>
      <c r="ACZ42" s="51"/>
      <c r="ADA42" s="51"/>
      <c r="ADB42" s="51"/>
      <c r="ADC42" s="51"/>
      <c r="ADD42" s="51"/>
      <c r="ADE42" s="51"/>
      <c r="ADF42" s="51"/>
      <c r="ADG42" s="51"/>
      <c r="ADH42" s="51"/>
      <c r="ADI42" s="51"/>
      <c r="ADJ42" s="51"/>
      <c r="ADK42" s="51"/>
      <c r="ADL42" s="51"/>
      <c r="ADM42" s="51"/>
      <c r="ADN42" s="51"/>
      <c r="ADO42" s="51"/>
      <c r="ADP42" s="51"/>
      <c r="ADQ42" s="51"/>
      <c r="ADR42" s="51"/>
      <c r="ADS42" s="51"/>
      <c r="ADT42" s="51"/>
      <c r="ADU42" s="51"/>
      <c r="ADV42" s="51"/>
      <c r="ADW42" s="51"/>
      <c r="ADX42" s="51"/>
      <c r="ADY42" s="51"/>
      <c r="ADZ42" s="51"/>
      <c r="AEA42" s="51"/>
      <c r="AEB42" s="51"/>
      <c r="AEC42" s="51"/>
      <c r="AED42" s="51"/>
      <c r="AEE42" s="51"/>
      <c r="AEF42" s="51"/>
      <c r="AEG42" s="51"/>
      <c r="AEH42" s="51"/>
      <c r="AEI42" s="51"/>
      <c r="AEJ42" s="51"/>
      <c r="AEK42" s="51"/>
      <c r="AEL42" s="51"/>
      <c r="AEM42" s="51"/>
      <c r="AEN42" s="51"/>
      <c r="AEO42" s="51"/>
      <c r="AEP42" s="51"/>
      <c r="AEQ42" s="51"/>
      <c r="AER42" s="51"/>
      <c r="AES42" s="51"/>
      <c r="AET42" s="51"/>
      <c r="AEU42" s="51"/>
      <c r="AEV42" s="51"/>
      <c r="AEW42" s="51"/>
      <c r="AEX42" s="51"/>
      <c r="AEY42" s="51"/>
      <c r="AEZ42" s="51"/>
      <c r="AFA42" s="51"/>
      <c r="AFB42" s="51"/>
      <c r="AFC42" s="51"/>
      <c r="AFD42" s="51"/>
      <c r="AFE42" s="51"/>
      <c r="AFF42" s="51"/>
      <c r="AFG42" s="51"/>
      <c r="AFH42" s="51"/>
      <c r="AFI42" s="51"/>
      <c r="AFJ42" s="51"/>
      <c r="AFK42" s="51"/>
      <c r="AFL42" s="51"/>
      <c r="AFM42" s="51"/>
      <c r="AFN42" s="51"/>
      <c r="AFO42" s="51"/>
      <c r="AFP42" s="51"/>
      <c r="AFQ42" s="51"/>
      <c r="AFR42" s="51"/>
      <c r="AFS42" s="51"/>
      <c r="AFT42" s="51"/>
      <c r="AFU42" s="51"/>
      <c r="AFV42" s="51"/>
      <c r="AFW42" s="51"/>
      <c r="AFX42" s="51"/>
      <c r="AFY42" s="51"/>
      <c r="AFZ42" s="51"/>
      <c r="AGA42" s="51"/>
      <c r="AGB42" s="51"/>
      <c r="AGC42" s="51"/>
      <c r="AGD42" s="51"/>
      <c r="AGE42" s="51"/>
      <c r="AGF42" s="51"/>
      <c r="AGG42" s="51"/>
      <c r="AGH42" s="51"/>
      <c r="AGI42" s="51"/>
      <c r="AGJ42" s="51"/>
      <c r="AGK42" s="51"/>
      <c r="AGL42" s="51"/>
      <c r="AGM42" s="51"/>
      <c r="AGN42" s="51"/>
      <c r="AGO42" s="51"/>
      <c r="AGP42" s="51"/>
      <c r="AGQ42" s="51"/>
      <c r="AGR42" s="51"/>
      <c r="AGS42" s="51"/>
      <c r="AGT42" s="51"/>
      <c r="AGU42" s="51"/>
      <c r="AGV42" s="51"/>
      <c r="AGW42" s="51"/>
      <c r="AGX42" s="51"/>
      <c r="AGY42" s="51"/>
      <c r="AGZ42" s="51"/>
      <c r="AHA42" s="51"/>
      <c r="AHB42" s="51"/>
      <c r="AHC42" s="51"/>
      <c r="AHD42" s="51"/>
      <c r="AHE42" s="51"/>
      <c r="AHF42" s="51"/>
      <c r="AHG42" s="51"/>
      <c r="AHH42" s="51"/>
      <c r="AHI42" s="51"/>
      <c r="AHJ42" s="51"/>
      <c r="AHK42" s="51"/>
      <c r="AHL42" s="51"/>
      <c r="AHM42" s="51"/>
      <c r="AHN42" s="51"/>
      <c r="AHO42" s="51"/>
      <c r="AHP42" s="51"/>
      <c r="AHQ42" s="51"/>
      <c r="AHR42" s="51"/>
      <c r="AHS42" s="51"/>
      <c r="AHT42" s="51"/>
      <c r="AHU42" s="51"/>
      <c r="AHV42" s="51"/>
      <c r="AHW42" s="51"/>
      <c r="AHX42" s="51"/>
      <c r="AHY42" s="51"/>
      <c r="AHZ42" s="51"/>
      <c r="AIA42" s="51"/>
      <c r="AIB42" s="51"/>
      <c r="AIC42" s="51"/>
      <c r="AID42" s="51"/>
      <c r="AIE42" s="51"/>
      <c r="AIF42" s="51"/>
      <c r="AIG42" s="51"/>
      <c r="AIH42" s="51"/>
      <c r="AII42" s="51"/>
      <c r="AIJ42" s="51"/>
      <c r="AIK42" s="51"/>
      <c r="AIL42" s="51"/>
      <c r="AIM42" s="51"/>
      <c r="AIN42" s="51"/>
      <c r="AIO42" s="51"/>
      <c r="AIP42" s="51"/>
      <c r="AIQ42" s="51"/>
      <c r="AIR42" s="51"/>
      <c r="AIS42" s="51"/>
      <c r="AIT42" s="51"/>
      <c r="AIU42" s="51"/>
      <c r="AIV42" s="51"/>
      <c r="AIW42" s="51"/>
      <c r="AIX42" s="51"/>
      <c r="AIY42" s="51"/>
      <c r="AIZ42" s="51"/>
      <c r="AJA42" s="51"/>
      <c r="AJB42" s="51"/>
      <c r="AJC42" s="51"/>
      <c r="AJD42" s="51"/>
      <c r="AJE42" s="51"/>
      <c r="AJF42" s="51"/>
      <c r="AJG42" s="51"/>
      <c r="AJH42" s="51"/>
      <c r="AJI42" s="51"/>
      <c r="AJJ42" s="51"/>
      <c r="AJK42" s="51"/>
      <c r="AJL42" s="51"/>
      <c r="AJM42" s="51"/>
      <c r="AJN42" s="51"/>
      <c r="AJO42" s="51"/>
      <c r="AJP42" s="51"/>
      <c r="AJQ42" s="51"/>
      <c r="AJR42" s="51"/>
      <c r="AJS42" s="51"/>
      <c r="AJT42" s="51"/>
      <c r="AJU42" s="51"/>
      <c r="AJV42" s="51"/>
      <c r="AJW42" s="51"/>
      <c r="AJX42" s="51"/>
      <c r="AJY42" s="51"/>
      <c r="AJZ42" s="51"/>
      <c r="AKA42" s="51"/>
      <c r="AKB42" s="51"/>
      <c r="AKC42" s="51"/>
      <c r="AKD42" s="51"/>
      <c r="AKE42" s="51"/>
      <c r="AKF42" s="51"/>
      <c r="AKG42" s="51"/>
      <c r="AKH42" s="51"/>
      <c r="AKI42" s="51"/>
      <c r="AKJ42" s="51"/>
      <c r="AKK42" s="51"/>
      <c r="AKL42" s="51"/>
      <c r="AKM42" s="51"/>
      <c r="AKN42" s="51"/>
      <c r="AKO42" s="51"/>
      <c r="AKP42" s="51"/>
      <c r="AKQ42" s="51"/>
      <c r="AKR42" s="51"/>
      <c r="AKS42" s="51"/>
      <c r="AKT42" s="51"/>
      <c r="AKU42" s="51"/>
      <c r="AKV42" s="51"/>
      <c r="AKW42" s="51"/>
      <c r="AKX42" s="51"/>
      <c r="AKY42" s="51"/>
      <c r="AKZ42" s="51"/>
      <c r="ALA42" s="51"/>
      <c r="ALB42" s="51"/>
      <c r="ALC42" s="51"/>
      <c r="ALD42" s="51"/>
      <c r="ALE42" s="51"/>
      <c r="ALF42" s="51"/>
      <c r="ALG42" s="51"/>
      <c r="ALH42" s="51"/>
      <c r="ALI42" s="51"/>
      <c r="ALJ42" s="51"/>
      <c r="ALK42" s="51"/>
      <c r="ALL42" s="51"/>
      <c r="ALM42" s="51"/>
      <c r="ALN42" s="51"/>
      <c r="ALO42" s="51"/>
      <c r="ALP42" s="51"/>
      <c r="ALQ42" s="51"/>
      <c r="ALR42" s="51"/>
      <c r="ALS42" s="51"/>
      <c r="ALT42" s="51"/>
      <c r="ALU42" s="51"/>
      <c r="ALV42" s="51"/>
      <c r="ALW42" s="51"/>
      <c r="ALX42" s="51"/>
      <c r="ALY42" s="51"/>
      <c r="ALZ42" s="51"/>
      <c r="AMA42" s="51"/>
      <c r="AMB42" s="51"/>
      <c r="AMC42" s="51"/>
      <c r="AMD42" s="51"/>
      <c r="AME42" s="51"/>
      <c r="AMF42" s="51"/>
      <c r="AMG42" s="51"/>
      <c r="AMH42" s="51"/>
      <c r="AMI42" s="51"/>
      <c r="AMJ42" s="51"/>
      <c r="AMK42" s="51"/>
      <c r="AML42" s="51"/>
      <c r="AMM42" s="51"/>
      <c r="AMN42" s="51"/>
      <c r="AMO42" s="51"/>
      <c r="AMP42" s="51"/>
      <c r="AMQ42" s="51"/>
      <c r="AMR42" s="51"/>
      <c r="AMS42" s="51"/>
      <c r="AMT42" s="51"/>
      <c r="AMU42" s="51"/>
      <c r="AMV42" s="51"/>
      <c r="AMW42" s="51"/>
      <c r="AMX42" s="51"/>
      <c r="AMY42" s="51"/>
      <c r="AMZ42" s="51"/>
      <c r="ANA42" s="51"/>
      <c r="ANB42" s="51"/>
      <c r="ANC42" s="51"/>
      <c r="AND42" s="51"/>
      <c r="ANE42" s="51"/>
      <c r="ANF42" s="51"/>
      <c r="ANG42" s="51"/>
      <c r="ANH42" s="51"/>
      <c r="ANI42" s="51"/>
      <c r="ANJ42" s="51"/>
      <c r="ANK42" s="51"/>
      <c r="ANL42" s="51"/>
      <c r="ANM42" s="51"/>
      <c r="ANN42" s="51"/>
      <c r="ANO42" s="51"/>
      <c r="ANP42" s="51"/>
      <c r="ANQ42" s="51"/>
      <c r="ANR42" s="51"/>
      <c r="ANS42" s="51"/>
      <c r="ANT42" s="51"/>
      <c r="ANU42" s="51"/>
      <c r="ANV42" s="51"/>
      <c r="ANW42" s="51"/>
      <c r="ANX42" s="51"/>
      <c r="ANY42" s="51"/>
      <c r="ANZ42" s="51"/>
      <c r="AOA42" s="51"/>
      <c r="AOB42" s="51"/>
      <c r="AOC42" s="51"/>
      <c r="AOD42" s="51"/>
      <c r="AOE42" s="51"/>
      <c r="AOF42" s="51"/>
      <c r="AOG42" s="51"/>
      <c r="AOH42" s="51"/>
      <c r="AOI42" s="51"/>
      <c r="AOJ42" s="51"/>
      <c r="AOK42" s="51"/>
      <c r="AOL42" s="51"/>
      <c r="AOM42" s="51"/>
      <c r="AON42" s="51"/>
      <c r="AOO42" s="51"/>
      <c r="AOP42" s="51"/>
      <c r="AOQ42" s="51"/>
      <c r="AOR42" s="51"/>
      <c r="AOS42" s="51"/>
      <c r="AOT42" s="51"/>
      <c r="AOU42" s="51"/>
      <c r="AOV42" s="51"/>
      <c r="AOW42" s="51"/>
      <c r="AOX42" s="51"/>
      <c r="AOY42" s="51"/>
      <c r="AOZ42" s="51"/>
      <c r="APA42" s="51"/>
      <c r="APB42" s="51"/>
      <c r="APC42" s="51"/>
      <c r="APD42" s="51"/>
      <c r="APE42" s="51"/>
      <c r="APF42" s="51"/>
      <c r="APG42" s="51"/>
      <c r="APH42" s="51"/>
      <c r="API42" s="51"/>
      <c r="APJ42" s="51"/>
      <c r="APK42" s="51"/>
      <c r="APL42" s="51"/>
      <c r="APM42" s="51"/>
      <c r="APN42" s="51"/>
      <c r="APO42" s="51"/>
      <c r="APP42" s="51"/>
      <c r="APQ42" s="51"/>
      <c r="APR42" s="51"/>
      <c r="APS42" s="51"/>
      <c r="APT42" s="51"/>
      <c r="APU42" s="51"/>
      <c r="APV42" s="51"/>
      <c r="APW42" s="51"/>
      <c r="APX42" s="51"/>
      <c r="APY42" s="51"/>
      <c r="APZ42" s="51"/>
      <c r="AQA42" s="51"/>
      <c r="AQB42" s="51"/>
      <c r="AQC42" s="51"/>
      <c r="AQD42" s="51"/>
      <c r="AQE42" s="51"/>
      <c r="AQF42" s="51"/>
      <c r="AQG42" s="51"/>
      <c r="AQH42" s="51"/>
      <c r="AQI42" s="51"/>
      <c r="AQJ42" s="51"/>
      <c r="AQK42" s="51"/>
      <c r="AQL42" s="51"/>
      <c r="AQM42" s="51"/>
      <c r="AQN42" s="51"/>
      <c r="AQO42" s="51"/>
      <c r="AQP42" s="51"/>
      <c r="AQQ42" s="51"/>
      <c r="AQR42" s="51"/>
      <c r="AQS42" s="51"/>
      <c r="AQT42" s="51"/>
      <c r="AQU42" s="51"/>
      <c r="AQV42" s="51"/>
      <c r="AQW42" s="51"/>
      <c r="AQX42" s="51"/>
      <c r="AQY42" s="51"/>
      <c r="AQZ42" s="51"/>
      <c r="ARA42" s="51"/>
      <c r="ARB42" s="51"/>
      <c r="ARC42" s="51"/>
      <c r="ARD42" s="51"/>
      <c r="ARE42" s="51"/>
      <c r="ARF42" s="51"/>
      <c r="ARG42" s="51"/>
      <c r="ARH42" s="51"/>
      <c r="ARI42" s="51"/>
      <c r="ARJ42" s="51"/>
      <c r="ARK42" s="51"/>
      <c r="ARL42" s="51"/>
      <c r="ARM42" s="51"/>
      <c r="ARN42" s="51"/>
      <c r="ARO42" s="51"/>
      <c r="ARP42" s="51"/>
      <c r="ARQ42" s="51"/>
      <c r="ARR42" s="51"/>
      <c r="ARS42" s="51"/>
      <c r="ART42" s="51"/>
      <c r="ARU42" s="51"/>
      <c r="ARV42" s="51"/>
      <c r="ARW42" s="51"/>
      <c r="ARX42" s="51"/>
      <c r="ARY42" s="51"/>
      <c r="ARZ42" s="51"/>
      <c r="ASA42" s="51"/>
      <c r="ASB42" s="51"/>
      <c r="ASC42" s="51"/>
      <c r="ASD42" s="51"/>
      <c r="ASE42" s="51"/>
      <c r="ASF42" s="51"/>
      <c r="ASG42" s="51"/>
      <c r="ASH42" s="51"/>
      <c r="ASI42" s="51"/>
      <c r="ASJ42" s="51"/>
      <c r="ASK42" s="51"/>
      <c r="ASL42" s="51"/>
      <c r="ASM42" s="51"/>
      <c r="ASN42" s="51"/>
      <c r="ASO42" s="51"/>
      <c r="ASP42" s="51"/>
      <c r="ASQ42" s="51"/>
      <c r="ASR42" s="51"/>
      <c r="ASS42" s="51"/>
      <c r="AST42" s="51"/>
      <c r="ASU42" s="51"/>
      <c r="ASV42" s="51"/>
      <c r="ASW42" s="51"/>
      <c r="ASX42" s="51"/>
      <c r="ASY42" s="51"/>
      <c r="ASZ42" s="51"/>
      <c r="ATA42" s="51"/>
      <c r="ATB42" s="51"/>
      <c r="ATC42" s="51"/>
      <c r="ATD42" s="51"/>
      <c r="ATE42" s="51"/>
      <c r="ATF42" s="51"/>
      <c r="ATG42" s="51"/>
      <c r="ATH42" s="51"/>
      <c r="ATI42" s="51"/>
      <c r="ATJ42" s="51"/>
      <c r="ATK42" s="51"/>
      <c r="ATL42" s="51"/>
      <c r="ATM42" s="51"/>
      <c r="ATN42" s="51"/>
      <c r="ATO42" s="51"/>
      <c r="ATP42" s="51"/>
      <c r="ATQ42" s="51"/>
      <c r="ATR42" s="51"/>
      <c r="ATS42" s="51"/>
      <c r="ATT42" s="51"/>
      <c r="ATU42" s="51"/>
      <c r="ATV42" s="51"/>
      <c r="ATW42" s="51"/>
      <c r="ATX42" s="51"/>
      <c r="ATY42" s="51"/>
      <c r="ATZ42" s="51"/>
      <c r="AUA42" s="51"/>
      <c r="AUB42" s="51"/>
      <c r="AUC42" s="51"/>
      <c r="AUD42" s="51"/>
      <c r="AUE42" s="51"/>
      <c r="AUF42" s="51"/>
      <c r="AUG42" s="51"/>
      <c r="AUH42" s="51"/>
      <c r="AUI42" s="51"/>
      <c r="AUJ42" s="51"/>
      <c r="AUK42" s="51"/>
      <c r="AUL42" s="51"/>
      <c r="AUM42" s="51"/>
      <c r="AUN42" s="51"/>
      <c r="AUO42" s="51"/>
      <c r="AUP42" s="51"/>
      <c r="AUQ42" s="51"/>
      <c r="AUR42" s="51"/>
      <c r="AUS42" s="51"/>
      <c r="AUT42" s="51"/>
      <c r="AUU42" s="51"/>
      <c r="AUV42" s="51"/>
      <c r="AUW42" s="51"/>
      <c r="AUX42" s="51"/>
      <c r="AUY42" s="51"/>
      <c r="AUZ42" s="51"/>
      <c r="AVA42" s="51"/>
      <c r="AVB42" s="51"/>
      <c r="AVC42" s="51"/>
      <c r="AVD42" s="51"/>
      <c r="AVE42" s="51"/>
      <c r="AVF42" s="51"/>
      <c r="AVG42" s="51"/>
      <c r="AVH42" s="51"/>
      <c r="AVI42" s="51"/>
      <c r="AVJ42" s="51"/>
      <c r="AVK42" s="51"/>
      <c r="AVL42" s="51"/>
      <c r="AVM42" s="51"/>
      <c r="AVN42" s="51"/>
      <c r="AVO42" s="51"/>
      <c r="AVP42" s="51"/>
      <c r="AVQ42" s="51"/>
      <c r="AVR42" s="51"/>
      <c r="AVS42" s="51"/>
      <c r="AVT42" s="51"/>
      <c r="AVU42" s="51"/>
      <c r="AVV42" s="51"/>
      <c r="AVW42" s="51"/>
      <c r="AVX42" s="51"/>
      <c r="AVY42" s="51"/>
      <c r="AVZ42" s="51"/>
      <c r="AWA42" s="51"/>
      <c r="AWB42" s="51"/>
      <c r="AWC42" s="51"/>
      <c r="AWD42" s="51"/>
      <c r="AWE42" s="51"/>
      <c r="AWF42" s="51"/>
      <c r="AWG42" s="51"/>
      <c r="AWH42" s="51"/>
      <c r="AWI42" s="51"/>
      <c r="AWJ42" s="51"/>
      <c r="AWK42" s="51"/>
      <c r="AWL42" s="51"/>
      <c r="AWM42" s="51"/>
      <c r="AWN42" s="51"/>
      <c r="AWO42" s="51"/>
      <c r="AWP42" s="51"/>
      <c r="AWQ42" s="51"/>
      <c r="AWR42" s="51"/>
      <c r="AWS42" s="51"/>
      <c r="AWT42" s="51"/>
      <c r="AWU42" s="51"/>
      <c r="AWV42" s="51"/>
      <c r="AWW42" s="51"/>
      <c r="AWX42" s="51"/>
      <c r="AWY42" s="51"/>
      <c r="AWZ42" s="51"/>
      <c r="AXA42" s="51"/>
      <c r="AXB42" s="51"/>
      <c r="AXC42" s="51"/>
      <c r="AXD42" s="51"/>
      <c r="AXE42" s="51"/>
      <c r="AXF42" s="51"/>
      <c r="AXG42" s="51"/>
      <c r="AXH42" s="51"/>
      <c r="AXI42" s="51"/>
      <c r="AXJ42" s="51"/>
      <c r="AXK42" s="51"/>
      <c r="AXL42" s="51"/>
      <c r="AXM42" s="51"/>
      <c r="AXN42" s="51"/>
      <c r="AXO42" s="51"/>
      <c r="AXP42" s="51"/>
      <c r="AXQ42" s="51"/>
      <c r="AXR42" s="51"/>
      <c r="AXS42" s="51"/>
      <c r="AXT42" s="51"/>
      <c r="AXU42" s="51"/>
      <c r="AXV42" s="51"/>
      <c r="AXW42" s="51"/>
      <c r="AXX42" s="51"/>
      <c r="AXY42" s="51"/>
      <c r="AXZ42" s="51"/>
      <c r="AYA42" s="51"/>
      <c r="AYB42" s="51"/>
      <c r="AYC42" s="51"/>
      <c r="AYD42" s="51"/>
      <c r="AYE42" s="51"/>
      <c r="AYF42" s="51"/>
      <c r="AYG42" s="51"/>
      <c r="AYH42" s="51"/>
      <c r="AYI42" s="51"/>
      <c r="AYJ42" s="51"/>
      <c r="AYK42" s="51"/>
      <c r="AYL42" s="51"/>
      <c r="AYM42" s="51"/>
      <c r="AYN42" s="51"/>
      <c r="AYO42" s="51"/>
      <c r="AYP42" s="51"/>
      <c r="AYQ42" s="51"/>
      <c r="AYR42" s="51"/>
      <c r="AYS42" s="51"/>
      <c r="AYT42" s="51"/>
      <c r="AYU42" s="51"/>
      <c r="AYV42" s="51"/>
      <c r="AYW42" s="51"/>
      <c r="AYX42" s="51"/>
      <c r="AYY42" s="51"/>
      <c r="AYZ42" s="51"/>
      <c r="AZA42" s="51"/>
      <c r="AZB42" s="51"/>
      <c r="AZC42" s="51"/>
      <c r="AZD42" s="51"/>
      <c r="AZE42" s="51"/>
      <c r="AZF42" s="51"/>
      <c r="AZG42" s="51"/>
      <c r="AZH42" s="51"/>
      <c r="AZI42" s="51"/>
      <c r="AZJ42" s="51"/>
      <c r="AZK42" s="51"/>
      <c r="AZL42" s="51"/>
      <c r="AZM42" s="51"/>
      <c r="AZN42" s="51"/>
      <c r="AZO42" s="51"/>
      <c r="AZP42" s="51"/>
      <c r="AZQ42" s="51"/>
      <c r="AZR42" s="51"/>
      <c r="AZS42" s="51"/>
      <c r="AZT42" s="51"/>
      <c r="AZU42" s="51"/>
      <c r="AZV42" s="51"/>
      <c r="AZW42" s="51"/>
      <c r="AZX42" s="51"/>
      <c r="AZY42" s="51"/>
      <c r="AZZ42" s="51"/>
      <c r="BAA42" s="51"/>
      <c r="BAB42" s="51"/>
      <c r="BAC42" s="51"/>
      <c r="BAD42" s="51"/>
      <c r="BAE42" s="51"/>
      <c r="BAF42" s="51"/>
      <c r="BAG42" s="51"/>
      <c r="BAH42" s="51"/>
      <c r="BAI42" s="51"/>
      <c r="BAJ42" s="51"/>
      <c r="BAK42" s="51"/>
      <c r="BAL42" s="51"/>
      <c r="BAM42" s="51"/>
      <c r="BAN42" s="51"/>
      <c r="BAO42" s="51"/>
      <c r="BAP42" s="51"/>
      <c r="BAQ42" s="51"/>
      <c r="BAR42" s="51"/>
      <c r="BAS42" s="51"/>
      <c r="BAT42" s="51"/>
      <c r="BAU42" s="51"/>
      <c r="BAV42" s="51"/>
      <c r="BAW42" s="51"/>
      <c r="BAX42" s="51"/>
      <c r="BAY42" s="51"/>
      <c r="BAZ42" s="51"/>
      <c r="BBA42" s="51"/>
      <c r="BBB42" s="51"/>
      <c r="BBC42" s="51"/>
      <c r="BBD42" s="51"/>
      <c r="BBE42" s="51"/>
      <c r="BBF42" s="51"/>
      <c r="BBG42" s="51"/>
      <c r="BBH42" s="51"/>
      <c r="BBI42" s="51"/>
      <c r="BBJ42" s="51"/>
      <c r="BBK42" s="51"/>
      <c r="BBL42" s="51"/>
      <c r="BBM42" s="51"/>
      <c r="BBN42" s="51"/>
      <c r="BBO42" s="51"/>
      <c r="BBP42" s="51"/>
      <c r="BBQ42" s="51"/>
      <c r="BBR42" s="51"/>
      <c r="BBS42" s="51"/>
      <c r="BBT42" s="51"/>
      <c r="BBU42" s="51"/>
      <c r="BBV42" s="51"/>
      <c r="BBW42" s="51"/>
      <c r="BBX42" s="51"/>
      <c r="BBY42" s="51"/>
      <c r="BBZ42" s="51"/>
      <c r="BCA42" s="51"/>
      <c r="BCB42" s="51"/>
      <c r="BCC42" s="51"/>
      <c r="BCD42" s="51"/>
      <c r="BCE42" s="51"/>
      <c r="BCF42" s="51"/>
      <c r="BCG42" s="51"/>
      <c r="BCH42" s="51"/>
      <c r="BCI42" s="51"/>
      <c r="BCJ42" s="51"/>
      <c r="BCK42" s="51"/>
      <c r="BCL42" s="51"/>
      <c r="BCM42" s="51"/>
      <c r="BCN42" s="51"/>
      <c r="BCO42" s="51"/>
      <c r="BCP42" s="51"/>
      <c r="BCQ42" s="51"/>
      <c r="BCR42" s="51"/>
      <c r="BCS42" s="51"/>
      <c r="BCT42" s="51"/>
      <c r="BCU42" s="51"/>
      <c r="BCV42" s="51"/>
      <c r="BCW42" s="51"/>
      <c r="BCX42" s="51"/>
      <c r="BCY42" s="51"/>
      <c r="BCZ42" s="51"/>
      <c r="BDA42" s="51"/>
      <c r="BDB42" s="51"/>
      <c r="BDC42" s="51"/>
      <c r="BDD42" s="51"/>
      <c r="BDE42" s="51"/>
      <c r="BDF42" s="51"/>
      <c r="BDG42" s="51"/>
      <c r="BDH42" s="51"/>
      <c r="BDI42" s="51"/>
      <c r="BDJ42" s="51"/>
      <c r="BDK42" s="51"/>
      <c r="BDL42" s="51"/>
      <c r="BDM42" s="51"/>
      <c r="BDN42" s="51"/>
      <c r="BDO42" s="51"/>
      <c r="BDP42" s="51"/>
      <c r="BDQ42" s="51"/>
      <c r="BDR42" s="51"/>
      <c r="BDS42" s="51"/>
      <c r="BDT42" s="51"/>
      <c r="BDU42" s="51"/>
      <c r="BDV42" s="51"/>
      <c r="BDW42" s="51"/>
      <c r="BDX42" s="51"/>
      <c r="BDY42" s="51"/>
      <c r="BDZ42" s="51"/>
      <c r="BEA42" s="51"/>
      <c r="BEB42" s="51"/>
      <c r="BEC42" s="51"/>
      <c r="BED42" s="51"/>
      <c r="BEE42" s="51"/>
      <c r="BEF42" s="51"/>
      <c r="BEG42" s="51"/>
      <c r="BEH42" s="51"/>
      <c r="BEI42" s="51"/>
      <c r="BEJ42" s="51"/>
      <c r="BEK42" s="51"/>
      <c r="BEL42" s="51"/>
      <c r="BEM42" s="51"/>
      <c r="BEN42" s="51"/>
      <c r="BEO42" s="51"/>
      <c r="BEP42" s="51"/>
      <c r="BEQ42" s="51"/>
      <c r="BER42" s="51"/>
      <c r="BES42" s="51"/>
      <c r="BET42" s="51"/>
      <c r="BEU42" s="51"/>
      <c r="BEV42" s="51"/>
      <c r="BEW42" s="51"/>
      <c r="BEX42" s="51"/>
      <c r="BEY42" s="51"/>
      <c r="BEZ42" s="51"/>
      <c r="BFA42" s="51"/>
      <c r="BFB42" s="51"/>
      <c r="BFC42" s="51"/>
      <c r="BFD42" s="51"/>
      <c r="BFE42" s="51"/>
      <c r="BFF42" s="51"/>
      <c r="BFG42" s="51"/>
      <c r="BFH42" s="51"/>
      <c r="BFI42" s="51"/>
      <c r="BFJ42" s="51"/>
      <c r="BFK42" s="51"/>
      <c r="BFL42" s="51"/>
      <c r="BFM42" s="51"/>
      <c r="BFN42" s="51"/>
      <c r="BFO42" s="51"/>
      <c r="BFP42" s="51"/>
      <c r="BFQ42" s="51"/>
      <c r="BFR42" s="51"/>
      <c r="BFS42" s="51"/>
      <c r="BFT42" s="51"/>
      <c r="BFU42" s="51"/>
      <c r="BFV42" s="51"/>
      <c r="BFW42" s="51"/>
      <c r="BFX42" s="51"/>
      <c r="BFY42" s="51"/>
      <c r="BFZ42" s="51"/>
      <c r="BGA42" s="51"/>
      <c r="BGB42" s="51"/>
      <c r="BGC42" s="51"/>
      <c r="BGD42" s="51"/>
      <c r="BGE42" s="51"/>
      <c r="BGF42" s="51"/>
      <c r="BGG42" s="51"/>
      <c r="BGH42" s="51"/>
      <c r="BGI42" s="51"/>
      <c r="BGJ42" s="51"/>
      <c r="BGK42" s="51"/>
      <c r="BGL42" s="51"/>
      <c r="BGM42" s="51"/>
      <c r="BGN42" s="51"/>
      <c r="BGO42" s="51"/>
      <c r="BGP42" s="51"/>
      <c r="BGQ42" s="51"/>
      <c r="BGR42" s="51"/>
      <c r="BGS42" s="51"/>
      <c r="BGT42" s="51"/>
      <c r="BGU42" s="51"/>
      <c r="BGV42" s="51"/>
      <c r="BGW42" s="51"/>
      <c r="BGX42" s="51"/>
      <c r="BGY42" s="51"/>
      <c r="BGZ42" s="51"/>
      <c r="BHA42" s="51"/>
      <c r="BHB42" s="51"/>
      <c r="BHC42" s="51"/>
      <c r="BHD42" s="51"/>
      <c r="BHE42" s="51"/>
      <c r="BHF42" s="51"/>
      <c r="BHG42" s="51"/>
      <c r="BHH42" s="51"/>
      <c r="BHI42" s="51"/>
      <c r="BHJ42" s="51"/>
      <c r="BHK42" s="51"/>
      <c r="BHL42" s="51"/>
      <c r="BHM42" s="51"/>
      <c r="BHN42" s="51"/>
      <c r="BHO42" s="51"/>
      <c r="BHP42" s="51"/>
      <c r="BHQ42" s="51"/>
      <c r="BHR42" s="51"/>
      <c r="BHS42" s="51"/>
      <c r="BHT42" s="51"/>
      <c r="BHU42" s="51"/>
      <c r="BHV42" s="51"/>
      <c r="BHW42" s="51"/>
      <c r="BHX42" s="51"/>
      <c r="BHY42" s="51"/>
      <c r="BHZ42" s="51"/>
      <c r="BIA42" s="51"/>
      <c r="BIB42" s="51"/>
      <c r="BIC42" s="51"/>
      <c r="BID42" s="51"/>
      <c r="BIE42" s="51"/>
      <c r="BIF42" s="51"/>
      <c r="BIG42" s="51"/>
      <c r="BIH42" s="51"/>
      <c r="BII42" s="51"/>
      <c r="BIJ42" s="51"/>
      <c r="BIK42" s="51"/>
      <c r="BIL42" s="51"/>
      <c r="BIM42" s="51"/>
      <c r="BIN42" s="51"/>
      <c r="BIO42" s="51"/>
      <c r="BIP42" s="51"/>
      <c r="BIQ42" s="51"/>
      <c r="BIR42" s="51"/>
      <c r="BIS42" s="51"/>
      <c r="BIT42" s="51"/>
      <c r="BIU42" s="51"/>
      <c r="BIV42" s="51"/>
      <c r="BIW42" s="51"/>
      <c r="BIX42" s="51"/>
      <c r="BIY42" s="51"/>
      <c r="BIZ42" s="51"/>
      <c r="BJA42" s="51"/>
      <c r="BJB42" s="51"/>
      <c r="BJC42" s="51"/>
      <c r="BJD42" s="51"/>
      <c r="BJE42" s="51"/>
      <c r="BJF42" s="51"/>
      <c r="BJG42" s="51"/>
      <c r="BJH42" s="51"/>
      <c r="BJI42" s="51"/>
      <c r="BJJ42" s="51"/>
      <c r="BJK42" s="51"/>
      <c r="BJL42" s="51"/>
      <c r="BJM42" s="51"/>
      <c r="BJN42" s="51"/>
      <c r="BJO42" s="51"/>
      <c r="BJP42" s="51"/>
      <c r="BJQ42" s="51"/>
      <c r="BJR42" s="51"/>
      <c r="BJS42" s="51"/>
      <c r="BJT42" s="51"/>
      <c r="BJU42" s="51"/>
      <c r="BJV42" s="51"/>
      <c r="BJW42" s="51"/>
      <c r="BJX42" s="51"/>
      <c r="BJY42" s="51"/>
      <c r="BJZ42" s="51"/>
      <c r="BKA42" s="51"/>
      <c r="BKB42" s="51"/>
      <c r="BKC42" s="51"/>
      <c r="BKD42" s="51"/>
      <c r="BKE42" s="51"/>
      <c r="BKF42" s="51"/>
      <c r="BKG42" s="51"/>
      <c r="BKH42" s="51"/>
      <c r="BKI42" s="51"/>
      <c r="BKJ42" s="51"/>
      <c r="BKK42" s="51"/>
      <c r="BKL42" s="51"/>
      <c r="BKM42" s="51"/>
      <c r="BKN42" s="51"/>
      <c r="BKO42" s="51"/>
      <c r="BKP42" s="51"/>
      <c r="BKQ42" s="51"/>
      <c r="BKR42" s="51"/>
      <c r="BKS42" s="51"/>
      <c r="BKT42" s="51"/>
      <c r="BKU42" s="51"/>
      <c r="BKV42" s="51"/>
      <c r="BKW42" s="51"/>
      <c r="BKX42" s="51"/>
      <c r="BKY42" s="51"/>
      <c r="BKZ42" s="51"/>
      <c r="BLA42" s="51"/>
      <c r="BLB42" s="51"/>
      <c r="BLC42" s="51"/>
      <c r="BLD42" s="51"/>
      <c r="BLE42" s="51"/>
      <c r="BLF42" s="51"/>
      <c r="BLG42" s="51"/>
      <c r="BLH42" s="51"/>
      <c r="BLI42" s="51"/>
      <c r="BLJ42" s="51"/>
      <c r="BLK42" s="51"/>
      <c r="BLL42" s="51"/>
      <c r="BLM42" s="51"/>
      <c r="BLN42" s="51"/>
      <c r="BLO42" s="51"/>
      <c r="BLP42" s="51"/>
      <c r="BLQ42" s="51"/>
      <c r="BLR42" s="51"/>
      <c r="BLS42" s="51"/>
      <c r="BLT42" s="51"/>
      <c r="BLU42" s="51"/>
      <c r="BLV42" s="51"/>
      <c r="BLW42" s="51"/>
      <c r="BLX42" s="51"/>
      <c r="BLY42" s="51"/>
      <c r="BLZ42" s="51"/>
      <c r="BMA42" s="51"/>
      <c r="BMB42" s="51"/>
      <c r="BMC42" s="51"/>
      <c r="BMD42" s="51"/>
      <c r="BME42" s="51"/>
      <c r="BMF42" s="51"/>
      <c r="BMG42" s="51"/>
      <c r="BMH42" s="51"/>
      <c r="BMI42" s="51"/>
      <c r="BMJ42" s="51"/>
      <c r="BMK42" s="51"/>
      <c r="BML42" s="51"/>
      <c r="BMM42" s="51"/>
      <c r="BMN42" s="51"/>
      <c r="BMO42" s="51"/>
      <c r="BMP42" s="51"/>
      <c r="BMQ42" s="51"/>
      <c r="BMR42" s="51"/>
      <c r="BMS42" s="51"/>
      <c r="BMT42" s="51"/>
      <c r="BMU42" s="51"/>
      <c r="BMV42" s="51"/>
      <c r="BMW42" s="51"/>
      <c r="BMX42" s="51"/>
      <c r="BMY42" s="51"/>
      <c r="BMZ42" s="51"/>
      <c r="BNA42" s="51"/>
      <c r="BNB42" s="51"/>
      <c r="BNC42" s="51"/>
      <c r="BND42" s="51"/>
      <c r="BNE42" s="51"/>
      <c r="BNF42" s="51"/>
      <c r="BNG42" s="51"/>
      <c r="BNH42" s="51"/>
      <c r="BNI42" s="51"/>
      <c r="BNJ42" s="51"/>
      <c r="BNK42" s="51"/>
      <c r="BNL42" s="51"/>
      <c r="BNM42" s="51"/>
      <c r="BNN42" s="51"/>
      <c r="BNO42" s="51"/>
      <c r="BNP42" s="51"/>
      <c r="BNQ42" s="51"/>
      <c r="BNR42" s="51"/>
      <c r="BNS42" s="51"/>
      <c r="BNT42" s="51"/>
      <c r="BNU42" s="51"/>
      <c r="BNV42" s="51"/>
      <c r="BNW42" s="51"/>
      <c r="BNX42" s="51"/>
      <c r="BNY42" s="51"/>
      <c r="BNZ42" s="51"/>
      <c r="BOA42" s="51"/>
      <c r="BOB42" s="51"/>
      <c r="BOC42" s="51"/>
      <c r="BOD42" s="51"/>
      <c r="BOE42" s="51"/>
      <c r="BOF42" s="51"/>
      <c r="BOG42" s="51"/>
      <c r="BOH42" s="51"/>
      <c r="BOI42" s="51"/>
      <c r="BOJ42" s="51"/>
      <c r="BOK42" s="51"/>
      <c r="BOL42" s="51"/>
      <c r="BOM42" s="51"/>
      <c r="BON42" s="51"/>
      <c r="BOO42" s="51"/>
      <c r="BOP42" s="51"/>
      <c r="BOQ42" s="51"/>
      <c r="BOR42" s="51"/>
      <c r="BOS42" s="51"/>
      <c r="BOT42" s="51"/>
      <c r="BOU42" s="51"/>
      <c r="BOV42" s="51"/>
      <c r="BOW42" s="51"/>
      <c r="BOX42" s="51"/>
      <c r="BOY42" s="51"/>
      <c r="BOZ42" s="51"/>
      <c r="BPA42" s="51"/>
      <c r="BPB42" s="51"/>
      <c r="BPC42" s="51"/>
      <c r="BPD42" s="51"/>
      <c r="BPE42" s="51"/>
      <c r="BPF42" s="51"/>
      <c r="BPG42" s="51"/>
      <c r="BPH42" s="51"/>
      <c r="BPI42" s="51"/>
      <c r="BPJ42" s="51"/>
      <c r="BPK42" s="51"/>
      <c r="BPL42" s="51"/>
      <c r="BPM42" s="51"/>
      <c r="BPN42" s="51"/>
      <c r="BPO42" s="51"/>
      <c r="BPP42" s="51"/>
      <c r="BPQ42" s="51"/>
      <c r="BPR42" s="51"/>
      <c r="BPS42" s="51"/>
      <c r="BPT42" s="51"/>
      <c r="BPU42" s="51"/>
      <c r="BPV42" s="51"/>
      <c r="BPW42" s="51"/>
      <c r="BPX42" s="51"/>
      <c r="BPY42" s="51"/>
      <c r="BPZ42" s="51"/>
      <c r="BQA42" s="51"/>
      <c r="BQB42" s="51"/>
      <c r="BQC42" s="51"/>
      <c r="BQD42" s="51"/>
      <c r="BQE42" s="51"/>
      <c r="BQF42" s="51"/>
      <c r="BQG42" s="51"/>
      <c r="BQH42" s="51"/>
      <c r="BQI42" s="51"/>
      <c r="BQJ42" s="51"/>
      <c r="BQK42" s="51"/>
      <c r="BQL42" s="51"/>
      <c r="BQM42" s="51"/>
      <c r="BQN42" s="51"/>
      <c r="BQO42" s="51"/>
      <c r="BQP42" s="51"/>
      <c r="BQQ42" s="51"/>
      <c r="BQR42" s="51"/>
      <c r="BQS42" s="51"/>
      <c r="BQT42" s="51"/>
      <c r="BQU42" s="51"/>
      <c r="BQV42" s="51"/>
      <c r="BQW42" s="51"/>
      <c r="BQX42" s="51"/>
      <c r="BQY42" s="51"/>
      <c r="BQZ42" s="51"/>
      <c r="BRA42" s="51"/>
      <c r="BRB42" s="51"/>
      <c r="BRC42" s="51"/>
      <c r="BRD42" s="51"/>
      <c r="BRE42" s="51"/>
      <c r="BRF42" s="51"/>
      <c r="BRG42" s="51"/>
      <c r="BRH42" s="51"/>
      <c r="BRI42" s="51"/>
      <c r="BRJ42" s="51"/>
      <c r="BRK42" s="51"/>
      <c r="BRL42" s="51"/>
      <c r="BRM42" s="51"/>
      <c r="BRN42" s="51"/>
      <c r="BRO42" s="51"/>
      <c r="BRP42" s="51"/>
      <c r="BRQ42" s="51"/>
      <c r="BRR42" s="51"/>
      <c r="BRS42" s="51"/>
      <c r="BRT42" s="51"/>
      <c r="BRU42" s="51"/>
      <c r="BRV42" s="51"/>
      <c r="BRW42" s="51"/>
      <c r="BRX42" s="51"/>
      <c r="BRY42" s="51"/>
      <c r="BRZ42" s="51"/>
      <c r="BSA42" s="51"/>
      <c r="BSB42" s="51"/>
      <c r="BSC42" s="51"/>
      <c r="BSD42" s="51"/>
      <c r="BSE42" s="51"/>
      <c r="BSF42" s="51"/>
      <c r="BSG42" s="51"/>
      <c r="BSH42" s="51"/>
      <c r="BSI42" s="51"/>
      <c r="BSJ42" s="51"/>
      <c r="BSK42" s="51"/>
      <c r="BSL42" s="51"/>
      <c r="BSM42" s="51"/>
      <c r="BSN42" s="51"/>
      <c r="BSO42" s="51"/>
      <c r="BSP42" s="51"/>
      <c r="BSQ42" s="51"/>
      <c r="BSR42" s="51"/>
      <c r="BSS42" s="51"/>
      <c r="BST42" s="51"/>
      <c r="BSU42" s="51"/>
      <c r="BSV42" s="51"/>
      <c r="BSW42" s="51"/>
      <c r="BSX42" s="51"/>
      <c r="BSY42" s="51"/>
      <c r="BSZ42" s="51"/>
      <c r="BTA42" s="51"/>
      <c r="BTB42" s="51"/>
      <c r="BTC42" s="51"/>
      <c r="BTD42" s="51"/>
      <c r="BTE42" s="51"/>
      <c r="BTF42" s="51"/>
      <c r="BTG42" s="51"/>
      <c r="BTH42" s="51"/>
      <c r="BTI42" s="51"/>
      <c r="BTJ42" s="51"/>
      <c r="BTK42" s="51"/>
      <c r="BTL42" s="51"/>
      <c r="BTM42" s="51"/>
      <c r="BTN42" s="51"/>
      <c r="BTO42" s="51"/>
      <c r="BTP42" s="51"/>
      <c r="BTQ42" s="51"/>
      <c r="BTR42" s="51"/>
      <c r="BTS42" s="51"/>
      <c r="BTT42" s="51"/>
      <c r="BTU42" s="51"/>
      <c r="BTV42" s="51"/>
      <c r="BTW42" s="51"/>
      <c r="BTX42" s="51"/>
      <c r="BTY42" s="51"/>
      <c r="BTZ42" s="51"/>
      <c r="BUA42" s="51"/>
      <c r="BUB42" s="51"/>
      <c r="BUC42" s="51"/>
      <c r="BUD42" s="51"/>
      <c r="BUE42" s="51"/>
      <c r="BUF42" s="51"/>
      <c r="BUG42" s="51"/>
      <c r="BUH42" s="51"/>
      <c r="BUI42" s="51"/>
      <c r="BUJ42" s="51"/>
      <c r="BUK42" s="51"/>
      <c r="BUL42" s="51"/>
      <c r="BUM42" s="51"/>
      <c r="BUN42" s="51"/>
      <c r="BUO42" s="51"/>
      <c r="BUP42" s="51"/>
      <c r="BUQ42" s="51"/>
      <c r="BUR42" s="51"/>
      <c r="BUS42" s="51"/>
      <c r="BUT42" s="51"/>
      <c r="BUU42" s="51"/>
      <c r="BUV42" s="51"/>
      <c r="BUW42" s="51"/>
      <c r="BUX42" s="51"/>
      <c r="BUY42" s="51"/>
      <c r="BUZ42" s="51"/>
      <c r="BVA42" s="51"/>
      <c r="BVB42" s="51"/>
      <c r="BVC42" s="51"/>
      <c r="BVD42" s="51"/>
      <c r="BVE42" s="51"/>
      <c r="BVF42" s="51"/>
      <c r="BVG42" s="51"/>
      <c r="BVH42" s="51"/>
      <c r="BVI42" s="51"/>
      <c r="BVJ42" s="51"/>
      <c r="BVK42" s="51"/>
      <c r="BVL42" s="51"/>
      <c r="BVM42" s="51"/>
      <c r="BVN42" s="51"/>
      <c r="BVO42" s="51"/>
      <c r="BVP42" s="51"/>
      <c r="BVQ42" s="51"/>
      <c r="BVR42" s="51"/>
      <c r="BVS42" s="51"/>
      <c r="BVT42" s="51"/>
      <c r="BVU42" s="51"/>
      <c r="BVV42" s="51"/>
      <c r="BVW42" s="51"/>
      <c r="BVX42" s="51"/>
      <c r="BVY42" s="51"/>
      <c r="BVZ42" s="51"/>
      <c r="BWA42" s="51"/>
      <c r="BWB42" s="51"/>
      <c r="BWC42" s="51"/>
      <c r="BWD42" s="51"/>
      <c r="BWE42" s="51"/>
      <c r="BWF42" s="51"/>
      <c r="BWG42" s="51"/>
      <c r="BWH42" s="51"/>
      <c r="BWI42" s="51"/>
      <c r="BWJ42" s="51"/>
      <c r="BWK42" s="51"/>
      <c r="BWL42" s="51"/>
      <c r="BWM42" s="51"/>
      <c r="BWN42" s="51"/>
      <c r="BWO42" s="51"/>
      <c r="BWP42" s="51"/>
      <c r="BWQ42" s="51"/>
      <c r="BWR42" s="51"/>
      <c r="BWS42" s="51"/>
      <c r="BWT42" s="51"/>
      <c r="BWU42" s="51"/>
      <c r="BWV42" s="51"/>
      <c r="BWW42" s="51"/>
      <c r="BWX42" s="51"/>
      <c r="BWY42" s="51"/>
      <c r="BWZ42" s="51"/>
      <c r="BXA42" s="51"/>
      <c r="BXB42" s="51"/>
      <c r="BXC42" s="51"/>
      <c r="BXD42" s="51"/>
      <c r="BXE42" s="51"/>
      <c r="BXF42" s="51"/>
      <c r="BXG42" s="51"/>
      <c r="BXH42" s="51"/>
      <c r="BXI42" s="51"/>
      <c r="BXJ42" s="51"/>
      <c r="BXK42" s="51"/>
      <c r="BXL42" s="51"/>
      <c r="BXM42" s="51"/>
      <c r="BXN42" s="51"/>
      <c r="BXO42" s="51"/>
      <c r="BXP42" s="51"/>
      <c r="BXQ42" s="51"/>
      <c r="BXR42" s="51"/>
      <c r="BXS42" s="51"/>
      <c r="BXT42" s="51"/>
      <c r="BXU42" s="51"/>
      <c r="BXV42" s="51"/>
      <c r="BXW42" s="51"/>
      <c r="BXX42" s="51"/>
      <c r="BXY42" s="51"/>
      <c r="BXZ42" s="51"/>
      <c r="BYA42" s="51"/>
      <c r="BYB42" s="51"/>
      <c r="BYC42" s="51"/>
      <c r="BYD42" s="51"/>
      <c r="BYE42" s="51"/>
      <c r="BYF42" s="51"/>
      <c r="BYG42" s="51"/>
      <c r="BYH42" s="51"/>
      <c r="BYI42" s="51"/>
      <c r="BYJ42" s="51"/>
      <c r="BYK42" s="51"/>
      <c r="BYL42" s="51"/>
      <c r="BYM42" s="51"/>
      <c r="BYN42" s="51"/>
      <c r="BYO42" s="51"/>
      <c r="BYP42" s="51"/>
      <c r="BYQ42" s="51"/>
      <c r="BYR42" s="51"/>
      <c r="BYS42" s="51"/>
      <c r="BYT42" s="51"/>
      <c r="BYU42" s="51"/>
      <c r="BYV42" s="51"/>
      <c r="BYW42" s="51"/>
      <c r="BYX42" s="51"/>
      <c r="BYY42" s="51"/>
      <c r="BYZ42" s="51"/>
      <c r="BZA42" s="51"/>
      <c r="BZB42" s="51"/>
      <c r="BZC42" s="51"/>
      <c r="BZD42" s="51"/>
      <c r="BZE42" s="51"/>
      <c r="BZF42" s="51"/>
      <c r="BZG42" s="51"/>
      <c r="BZH42" s="51"/>
      <c r="BZI42" s="51"/>
      <c r="BZJ42" s="51"/>
      <c r="BZK42" s="51"/>
      <c r="BZL42" s="51"/>
      <c r="BZM42" s="51"/>
      <c r="BZN42" s="51"/>
      <c r="BZO42" s="51"/>
      <c r="BZP42" s="51"/>
      <c r="BZQ42" s="51"/>
      <c r="BZR42" s="51"/>
      <c r="BZS42" s="51"/>
      <c r="BZT42" s="51"/>
      <c r="BZU42" s="51"/>
      <c r="BZV42" s="51"/>
      <c r="BZW42" s="51"/>
      <c r="BZX42" s="51"/>
      <c r="BZY42" s="51"/>
      <c r="BZZ42" s="51"/>
      <c r="CAA42" s="51"/>
      <c r="CAB42" s="51"/>
      <c r="CAC42" s="51"/>
      <c r="CAD42" s="51"/>
      <c r="CAE42" s="51"/>
      <c r="CAF42" s="51"/>
      <c r="CAG42" s="51"/>
      <c r="CAH42" s="51"/>
      <c r="CAI42" s="51"/>
      <c r="CAJ42" s="51"/>
      <c r="CAK42" s="51"/>
      <c r="CAL42" s="51"/>
      <c r="CAM42" s="51"/>
      <c r="CAN42" s="51"/>
      <c r="CAO42" s="51"/>
      <c r="CAP42" s="51"/>
      <c r="CAQ42" s="51"/>
      <c r="CAR42" s="51"/>
      <c r="CAS42" s="51"/>
      <c r="CAT42" s="51"/>
      <c r="CAU42" s="51"/>
      <c r="CAV42" s="51"/>
      <c r="CAW42" s="51"/>
      <c r="CAX42" s="51"/>
      <c r="CAY42" s="51"/>
      <c r="CAZ42" s="51"/>
      <c r="CBA42" s="51"/>
      <c r="CBB42" s="51"/>
      <c r="CBC42" s="51"/>
      <c r="CBD42" s="51"/>
      <c r="CBE42" s="51"/>
      <c r="CBF42" s="51"/>
      <c r="CBG42" s="51"/>
      <c r="CBH42" s="51"/>
      <c r="CBI42" s="51"/>
      <c r="CBJ42" s="51"/>
      <c r="CBK42" s="51"/>
      <c r="CBL42" s="51"/>
      <c r="CBM42" s="51"/>
      <c r="CBN42" s="51"/>
      <c r="CBO42" s="51"/>
      <c r="CBP42" s="51"/>
      <c r="CBQ42" s="51"/>
      <c r="CBR42" s="51"/>
      <c r="CBS42" s="51"/>
      <c r="CBT42" s="51"/>
      <c r="CBU42" s="51"/>
      <c r="CBV42" s="51"/>
      <c r="CBW42" s="51"/>
      <c r="CBX42" s="51"/>
      <c r="CBY42" s="51"/>
      <c r="CBZ42" s="51"/>
      <c r="CCA42" s="51"/>
      <c r="CCB42" s="51"/>
      <c r="CCC42" s="51"/>
      <c r="CCD42" s="51"/>
      <c r="CCE42" s="51"/>
      <c r="CCF42" s="51"/>
      <c r="CCG42" s="51"/>
      <c r="CCH42" s="51"/>
      <c r="CCI42" s="51"/>
      <c r="CCJ42" s="51"/>
      <c r="CCK42" s="51"/>
      <c r="CCL42" s="51"/>
      <c r="CCM42" s="51"/>
      <c r="CCN42" s="51"/>
      <c r="CCO42" s="51"/>
      <c r="CCP42" s="51"/>
      <c r="CCQ42" s="51"/>
      <c r="CCR42" s="51"/>
      <c r="CCS42" s="51"/>
      <c r="CCT42" s="51"/>
      <c r="CCU42" s="51"/>
      <c r="CCV42" s="51"/>
      <c r="CCW42" s="51"/>
      <c r="CCX42" s="51"/>
      <c r="CCY42" s="51"/>
      <c r="CCZ42" s="51"/>
      <c r="CDA42" s="51"/>
      <c r="CDB42" s="51"/>
      <c r="CDC42" s="51"/>
      <c r="CDD42" s="51"/>
      <c r="CDE42" s="51"/>
      <c r="CDF42" s="51"/>
      <c r="CDG42" s="51"/>
      <c r="CDH42" s="51"/>
      <c r="CDI42" s="51"/>
      <c r="CDJ42" s="51"/>
      <c r="CDK42" s="51"/>
      <c r="CDL42" s="51"/>
      <c r="CDM42" s="51"/>
      <c r="CDN42" s="51"/>
      <c r="CDO42" s="51"/>
      <c r="CDP42" s="51"/>
      <c r="CDQ42" s="51"/>
      <c r="CDR42" s="51"/>
      <c r="CDS42" s="51"/>
      <c r="CDT42" s="51"/>
      <c r="CDU42" s="51"/>
      <c r="CDV42" s="51"/>
      <c r="CDW42" s="51"/>
      <c r="CDX42" s="51"/>
      <c r="CDY42" s="51"/>
      <c r="CDZ42" s="51"/>
      <c r="CEA42" s="51"/>
      <c r="CEB42" s="51"/>
      <c r="CEC42" s="51"/>
      <c r="CED42" s="51"/>
      <c r="CEE42" s="51"/>
      <c r="CEF42" s="51"/>
      <c r="CEG42" s="51"/>
      <c r="CEH42" s="51"/>
      <c r="CEI42" s="51"/>
      <c r="CEJ42" s="51"/>
      <c r="CEK42" s="51"/>
      <c r="CEL42" s="51"/>
      <c r="CEM42" s="51"/>
      <c r="CEN42" s="51"/>
      <c r="CEO42" s="51"/>
      <c r="CEP42" s="51"/>
      <c r="CEQ42" s="51"/>
      <c r="CER42" s="51"/>
      <c r="CES42" s="51"/>
      <c r="CET42" s="51"/>
      <c r="CEU42" s="51"/>
      <c r="CEV42" s="51"/>
      <c r="CEW42" s="51"/>
      <c r="CEX42" s="51"/>
      <c r="CEY42" s="51"/>
      <c r="CEZ42" s="51"/>
      <c r="CFA42" s="51"/>
      <c r="CFB42" s="51"/>
      <c r="CFC42" s="51"/>
      <c r="CFD42" s="51"/>
      <c r="CFE42" s="51"/>
      <c r="CFF42" s="51"/>
      <c r="CFG42" s="51"/>
      <c r="CFH42" s="51"/>
      <c r="CFI42" s="51"/>
      <c r="CFJ42" s="51"/>
      <c r="CFK42" s="51"/>
      <c r="CFL42" s="51"/>
      <c r="CFM42" s="51"/>
      <c r="CFN42" s="51"/>
      <c r="CFO42" s="51"/>
      <c r="CFP42" s="51"/>
      <c r="CFQ42" s="51"/>
      <c r="CFR42" s="51"/>
      <c r="CFS42" s="51"/>
      <c r="CFT42" s="51"/>
      <c r="CFU42" s="51"/>
      <c r="CFV42" s="51"/>
      <c r="CFW42" s="51"/>
      <c r="CFX42" s="51"/>
      <c r="CFY42" s="51"/>
      <c r="CFZ42" s="51"/>
      <c r="CGA42" s="51"/>
      <c r="CGB42" s="51"/>
      <c r="CGC42" s="51"/>
      <c r="CGD42" s="51"/>
      <c r="CGE42" s="51"/>
      <c r="CGF42" s="51"/>
      <c r="CGG42" s="51"/>
      <c r="CGH42" s="51"/>
      <c r="CGI42" s="51"/>
      <c r="CGJ42" s="51"/>
      <c r="CGK42" s="51"/>
      <c r="CGL42" s="51"/>
      <c r="CGM42" s="51"/>
      <c r="CGN42" s="51"/>
      <c r="CGO42" s="51"/>
      <c r="CGP42" s="51"/>
      <c r="CGQ42" s="51"/>
      <c r="CGR42" s="51"/>
      <c r="CGS42" s="51"/>
      <c r="CGT42" s="51"/>
      <c r="CGU42" s="51"/>
      <c r="CGV42" s="51"/>
      <c r="CGW42" s="51"/>
      <c r="CGX42" s="51"/>
      <c r="CGY42" s="51"/>
      <c r="CGZ42" s="51"/>
      <c r="CHA42" s="51"/>
      <c r="CHB42" s="51"/>
      <c r="CHC42" s="51"/>
      <c r="CHD42" s="51"/>
      <c r="CHE42" s="51"/>
      <c r="CHF42" s="51"/>
      <c r="CHG42" s="51"/>
      <c r="CHH42" s="51"/>
      <c r="CHI42" s="51"/>
      <c r="CHJ42" s="51"/>
      <c r="CHK42" s="51"/>
      <c r="CHL42" s="51"/>
      <c r="CHM42" s="51"/>
      <c r="CHN42" s="51"/>
      <c r="CHO42" s="51"/>
      <c r="CHP42" s="51"/>
      <c r="CHQ42" s="51"/>
      <c r="CHR42" s="51"/>
      <c r="CHS42" s="51"/>
      <c r="CHT42" s="51"/>
      <c r="CHU42" s="51"/>
      <c r="CHV42" s="51"/>
      <c r="CHW42" s="51"/>
      <c r="CHX42" s="51"/>
      <c r="CHY42" s="51"/>
      <c r="CHZ42" s="51"/>
      <c r="CIA42" s="51"/>
      <c r="CIB42" s="51"/>
      <c r="CIC42" s="51"/>
      <c r="CID42" s="51"/>
      <c r="CIE42" s="51"/>
      <c r="CIF42" s="51"/>
      <c r="CIG42" s="51"/>
      <c r="CIH42" s="51"/>
      <c r="CII42" s="51"/>
      <c r="CIJ42" s="51"/>
      <c r="CIK42" s="51"/>
      <c r="CIL42" s="51"/>
      <c r="CIM42" s="51"/>
      <c r="CIN42" s="51"/>
      <c r="CIO42" s="51"/>
      <c r="CIP42" s="51"/>
      <c r="CIQ42" s="51"/>
      <c r="CIR42" s="51"/>
      <c r="CIS42" s="51"/>
      <c r="CIT42" s="51"/>
      <c r="CIU42" s="51"/>
      <c r="CIV42" s="51"/>
      <c r="CIW42" s="51"/>
      <c r="CIX42" s="51"/>
      <c r="CIY42" s="51"/>
      <c r="CIZ42" s="51"/>
      <c r="CJA42" s="51"/>
      <c r="CJB42" s="51"/>
      <c r="CJC42" s="51"/>
      <c r="CJD42" s="51"/>
      <c r="CJE42" s="51"/>
      <c r="CJF42" s="51"/>
      <c r="CJG42" s="51"/>
      <c r="CJH42" s="51"/>
      <c r="CJI42" s="51"/>
      <c r="CJJ42" s="51"/>
      <c r="CJK42" s="51"/>
      <c r="CJL42" s="51"/>
      <c r="CJM42" s="51"/>
      <c r="CJN42" s="51"/>
      <c r="CJO42" s="51"/>
      <c r="CJP42" s="51"/>
      <c r="CJQ42" s="51"/>
      <c r="CJR42" s="51"/>
      <c r="CJS42" s="51"/>
      <c r="CJT42" s="51"/>
      <c r="CJU42" s="51"/>
      <c r="CJV42" s="51"/>
      <c r="CJW42" s="51"/>
      <c r="CJX42" s="51"/>
      <c r="CJY42" s="51"/>
      <c r="CJZ42" s="51"/>
      <c r="CKA42" s="51"/>
      <c r="CKB42" s="51"/>
      <c r="CKC42" s="51"/>
      <c r="CKD42" s="51"/>
      <c r="CKE42" s="51"/>
      <c r="CKF42" s="51"/>
      <c r="CKG42" s="51"/>
      <c r="CKH42" s="51"/>
      <c r="CKI42" s="51"/>
      <c r="CKJ42" s="51"/>
      <c r="CKK42" s="51"/>
      <c r="CKL42" s="51"/>
      <c r="CKM42" s="51"/>
      <c r="CKN42" s="51"/>
      <c r="CKO42" s="51"/>
      <c r="CKP42" s="51"/>
      <c r="CKQ42" s="51"/>
      <c r="CKR42" s="51"/>
      <c r="CKS42" s="51"/>
      <c r="CKT42" s="51"/>
      <c r="CKU42" s="51"/>
      <c r="CKV42" s="51"/>
      <c r="CKW42" s="51"/>
      <c r="CKX42" s="51"/>
      <c r="CKY42" s="51"/>
      <c r="CKZ42" s="51"/>
      <c r="CLA42" s="51"/>
      <c r="CLB42" s="51"/>
      <c r="CLC42" s="51"/>
      <c r="CLD42" s="51"/>
      <c r="CLE42" s="51"/>
      <c r="CLF42" s="51"/>
      <c r="CLG42" s="51"/>
      <c r="CLH42" s="51"/>
      <c r="CLI42" s="51"/>
      <c r="CLJ42" s="51"/>
      <c r="CLK42" s="51"/>
      <c r="CLL42" s="51"/>
      <c r="CLM42" s="51"/>
      <c r="CLN42" s="51"/>
      <c r="CLO42" s="51"/>
      <c r="CLP42" s="51"/>
      <c r="CLQ42" s="51"/>
      <c r="CLR42" s="51"/>
      <c r="CLS42" s="51"/>
      <c r="CLT42" s="51"/>
      <c r="CLU42" s="51"/>
      <c r="CLV42" s="51"/>
      <c r="CLW42" s="51"/>
      <c r="CLX42" s="51"/>
      <c r="CLY42" s="51"/>
      <c r="CLZ42" s="51"/>
      <c r="CMA42" s="51"/>
      <c r="CMB42" s="51"/>
      <c r="CMC42" s="51"/>
      <c r="CMD42" s="51"/>
      <c r="CME42" s="51"/>
      <c r="CMF42" s="51"/>
      <c r="CMG42" s="51"/>
      <c r="CMH42" s="51"/>
      <c r="CMI42" s="51"/>
      <c r="CMJ42" s="51"/>
      <c r="CMK42" s="51"/>
      <c r="CML42" s="51"/>
      <c r="CMM42" s="51"/>
      <c r="CMN42" s="51"/>
      <c r="CMO42" s="51"/>
      <c r="CMP42" s="51"/>
      <c r="CMQ42" s="51"/>
      <c r="CMR42" s="51"/>
      <c r="CMS42" s="51"/>
      <c r="CMT42" s="51"/>
      <c r="CMU42" s="51"/>
      <c r="CMV42" s="51"/>
      <c r="CMW42" s="51"/>
      <c r="CMX42" s="51"/>
      <c r="CMY42" s="51"/>
      <c r="CMZ42" s="51"/>
      <c r="CNA42" s="51"/>
      <c r="CNB42" s="51"/>
      <c r="CNC42" s="51"/>
      <c r="CND42" s="51"/>
      <c r="CNE42" s="51"/>
      <c r="CNF42" s="51"/>
      <c r="CNG42" s="51"/>
      <c r="CNH42" s="51"/>
      <c r="CNI42" s="51"/>
      <c r="CNJ42" s="51"/>
      <c r="CNK42" s="51"/>
      <c r="CNL42" s="51"/>
      <c r="CNM42" s="51"/>
      <c r="CNN42" s="51"/>
      <c r="CNO42" s="51"/>
      <c r="CNP42" s="51"/>
      <c r="CNQ42" s="51"/>
      <c r="CNR42" s="51"/>
      <c r="CNS42" s="51"/>
      <c r="CNT42" s="51"/>
      <c r="CNU42" s="51"/>
      <c r="CNV42" s="51"/>
      <c r="CNW42" s="51"/>
      <c r="CNX42" s="51"/>
      <c r="CNY42" s="51"/>
      <c r="CNZ42" s="51"/>
      <c r="COA42" s="51"/>
      <c r="COB42" s="51"/>
      <c r="COC42" s="51"/>
      <c r="COD42" s="51"/>
      <c r="COE42" s="51"/>
      <c r="COF42" s="51"/>
      <c r="COG42" s="51"/>
      <c r="COH42" s="51"/>
      <c r="COI42" s="51"/>
      <c r="COJ42" s="51"/>
      <c r="COK42" s="51"/>
      <c r="COL42" s="51"/>
      <c r="COM42" s="51"/>
      <c r="CON42" s="51"/>
      <c r="COO42" s="51"/>
      <c r="COP42" s="51"/>
      <c r="COQ42" s="51"/>
      <c r="COR42" s="51"/>
      <c r="COS42" s="51"/>
      <c r="COT42" s="51"/>
      <c r="COU42" s="51"/>
      <c r="COV42" s="51"/>
      <c r="COW42" s="51"/>
      <c r="COX42" s="51"/>
      <c r="COY42" s="51"/>
      <c r="COZ42" s="51"/>
      <c r="CPA42" s="51"/>
      <c r="CPB42" s="51"/>
      <c r="CPC42" s="51"/>
      <c r="CPD42" s="51"/>
      <c r="CPE42" s="51"/>
      <c r="CPF42" s="51"/>
      <c r="CPG42" s="51"/>
      <c r="CPH42" s="51"/>
      <c r="CPI42" s="51"/>
      <c r="CPJ42" s="51"/>
      <c r="CPK42" s="51"/>
      <c r="CPL42" s="51"/>
      <c r="CPM42" s="51"/>
      <c r="CPN42" s="51"/>
      <c r="CPO42" s="51"/>
      <c r="CPP42" s="51"/>
      <c r="CPQ42" s="51"/>
      <c r="CPR42" s="51"/>
      <c r="CPS42" s="51"/>
      <c r="CPT42" s="51"/>
      <c r="CPU42" s="51"/>
      <c r="CPV42" s="51"/>
      <c r="CPW42" s="51"/>
      <c r="CPX42" s="51"/>
      <c r="CPY42" s="51"/>
      <c r="CPZ42" s="51"/>
      <c r="CQA42" s="51"/>
      <c r="CQB42" s="51"/>
      <c r="CQC42" s="51"/>
      <c r="CQD42" s="51"/>
      <c r="CQE42" s="51"/>
      <c r="CQF42" s="51"/>
      <c r="CQG42" s="51"/>
      <c r="CQH42" s="51"/>
      <c r="CQI42" s="51"/>
      <c r="CQJ42" s="51"/>
      <c r="CQK42" s="51"/>
      <c r="CQL42" s="51"/>
      <c r="CQM42" s="51"/>
      <c r="CQN42" s="51"/>
      <c r="CQO42" s="51"/>
      <c r="CQP42" s="51"/>
      <c r="CQQ42" s="51"/>
      <c r="CQR42" s="51"/>
      <c r="CQS42" s="51"/>
      <c r="CQT42" s="51"/>
      <c r="CQU42" s="51"/>
      <c r="CQV42" s="51"/>
      <c r="CQW42" s="51"/>
      <c r="CQX42" s="51"/>
      <c r="CQY42" s="51"/>
      <c r="CQZ42" s="51"/>
      <c r="CRA42" s="51"/>
      <c r="CRB42" s="51"/>
      <c r="CRC42" s="51"/>
      <c r="CRD42" s="51"/>
      <c r="CRE42" s="51"/>
      <c r="CRF42" s="51"/>
      <c r="CRG42" s="51"/>
      <c r="CRH42" s="51"/>
      <c r="CRI42" s="51"/>
      <c r="CRJ42" s="51"/>
      <c r="CRK42" s="51"/>
      <c r="CRL42" s="51"/>
      <c r="CRM42" s="51"/>
      <c r="CRN42" s="51"/>
      <c r="CRO42" s="51"/>
      <c r="CRP42" s="51"/>
      <c r="CRQ42" s="51"/>
      <c r="CRR42" s="51"/>
      <c r="CRS42" s="51"/>
      <c r="CRT42" s="51"/>
      <c r="CRU42" s="51"/>
      <c r="CRV42" s="51"/>
      <c r="CRW42" s="51"/>
      <c r="CRX42" s="51"/>
      <c r="CRY42" s="51"/>
      <c r="CRZ42" s="51"/>
      <c r="CSA42" s="51"/>
      <c r="CSB42" s="51"/>
      <c r="CSC42" s="51"/>
      <c r="CSD42" s="51"/>
      <c r="CSE42" s="51"/>
      <c r="CSF42" s="51"/>
      <c r="CSG42" s="51"/>
      <c r="CSH42" s="51"/>
      <c r="CSI42" s="51"/>
      <c r="CSJ42" s="51"/>
      <c r="CSK42" s="51"/>
      <c r="CSL42" s="51"/>
      <c r="CSM42" s="51"/>
      <c r="CSN42" s="51"/>
      <c r="CSO42" s="51"/>
      <c r="CSP42" s="51"/>
      <c r="CSQ42" s="51"/>
      <c r="CSR42" s="51"/>
      <c r="CSS42" s="51"/>
      <c r="CST42" s="51"/>
      <c r="CSU42" s="51"/>
      <c r="CSV42" s="51"/>
      <c r="CSW42" s="51"/>
      <c r="CSX42" s="51"/>
      <c r="CSY42" s="51"/>
      <c r="CSZ42" s="51"/>
      <c r="CTA42" s="51"/>
      <c r="CTB42" s="51"/>
      <c r="CTC42" s="51"/>
      <c r="CTD42" s="51"/>
      <c r="CTE42" s="51"/>
      <c r="CTF42" s="51"/>
      <c r="CTG42" s="51"/>
      <c r="CTH42" s="51"/>
      <c r="CTI42" s="51"/>
      <c r="CTJ42" s="51"/>
      <c r="CTK42" s="51"/>
      <c r="CTL42" s="51"/>
      <c r="CTM42" s="51"/>
      <c r="CTN42" s="51"/>
      <c r="CTO42" s="51"/>
      <c r="CTP42" s="51"/>
      <c r="CTQ42" s="51"/>
      <c r="CTR42" s="51"/>
      <c r="CTS42" s="51"/>
      <c r="CTT42" s="51"/>
      <c r="CTU42" s="51"/>
      <c r="CTV42" s="51"/>
      <c r="CTW42" s="51"/>
      <c r="CTX42" s="51"/>
      <c r="CTY42" s="51"/>
      <c r="CTZ42" s="51"/>
      <c r="CUA42" s="51"/>
      <c r="CUB42" s="51"/>
      <c r="CUC42" s="51"/>
      <c r="CUD42" s="51"/>
      <c r="CUE42" s="51"/>
      <c r="CUF42" s="51"/>
      <c r="CUG42" s="51"/>
      <c r="CUH42" s="51"/>
      <c r="CUI42" s="51"/>
      <c r="CUJ42" s="51"/>
      <c r="CUK42" s="51"/>
      <c r="CUL42" s="51"/>
      <c r="CUM42" s="51"/>
      <c r="CUN42" s="51"/>
      <c r="CUO42" s="51"/>
      <c r="CUP42" s="51"/>
      <c r="CUQ42" s="51"/>
      <c r="CUR42" s="51"/>
      <c r="CUS42" s="51"/>
      <c r="CUT42" s="51"/>
      <c r="CUU42" s="51"/>
      <c r="CUV42" s="51"/>
      <c r="CUW42" s="51"/>
      <c r="CUX42" s="51"/>
      <c r="CUY42" s="51"/>
      <c r="CUZ42" s="51"/>
      <c r="CVA42" s="51"/>
      <c r="CVB42" s="51"/>
      <c r="CVC42" s="51"/>
      <c r="CVD42" s="51"/>
      <c r="CVE42" s="51"/>
      <c r="CVF42" s="51"/>
      <c r="CVG42" s="51"/>
      <c r="CVH42" s="51"/>
      <c r="CVI42" s="51"/>
      <c r="CVJ42" s="51"/>
      <c r="CVK42" s="51"/>
      <c r="CVL42" s="51"/>
      <c r="CVM42" s="51"/>
      <c r="CVN42" s="51"/>
      <c r="CVO42" s="51"/>
      <c r="CVP42" s="51"/>
      <c r="CVQ42" s="51"/>
      <c r="CVR42" s="51"/>
      <c r="CVS42" s="51"/>
      <c r="CVT42" s="51"/>
      <c r="CVU42" s="51"/>
      <c r="CVV42" s="51"/>
      <c r="CVW42" s="51"/>
      <c r="CVX42" s="51"/>
      <c r="CVY42" s="51"/>
      <c r="CVZ42" s="51"/>
      <c r="CWA42" s="51"/>
      <c r="CWB42" s="51"/>
      <c r="CWC42" s="51"/>
      <c r="CWD42" s="51"/>
      <c r="CWE42" s="51"/>
      <c r="CWF42" s="51"/>
      <c r="CWG42" s="51"/>
      <c r="CWH42" s="51"/>
      <c r="CWI42" s="51"/>
      <c r="CWJ42" s="51"/>
      <c r="CWK42" s="51"/>
      <c r="CWL42" s="51"/>
      <c r="CWM42" s="51"/>
      <c r="CWN42" s="51"/>
      <c r="CWO42" s="51"/>
      <c r="CWP42" s="51"/>
      <c r="CWQ42" s="51"/>
      <c r="CWR42" s="51"/>
      <c r="CWS42" s="51"/>
      <c r="CWT42" s="51"/>
      <c r="CWU42" s="51"/>
      <c r="CWV42" s="51"/>
      <c r="CWW42" s="51"/>
      <c r="CWX42" s="51"/>
      <c r="CWY42" s="51"/>
      <c r="CWZ42" s="51"/>
      <c r="CXA42" s="51"/>
      <c r="CXB42" s="51"/>
      <c r="CXC42" s="51"/>
      <c r="CXD42" s="51"/>
      <c r="CXE42" s="51"/>
      <c r="CXF42" s="51"/>
      <c r="CXG42" s="51"/>
      <c r="CXH42" s="51"/>
      <c r="CXI42" s="51"/>
      <c r="CXJ42" s="51"/>
      <c r="CXK42" s="51"/>
      <c r="CXL42" s="51"/>
      <c r="CXM42" s="51"/>
      <c r="CXN42" s="51"/>
      <c r="CXO42" s="51"/>
      <c r="CXP42" s="51"/>
      <c r="CXQ42" s="51"/>
      <c r="CXR42" s="51"/>
      <c r="CXS42" s="51"/>
      <c r="CXT42" s="51"/>
      <c r="CXU42" s="51"/>
      <c r="CXV42" s="51"/>
      <c r="CXW42" s="51"/>
      <c r="CXX42" s="51"/>
      <c r="CXY42" s="51"/>
      <c r="CXZ42" s="51"/>
      <c r="CYA42" s="51"/>
      <c r="CYB42" s="51"/>
      <c r="CYC42" s="51"/>
      <c r="CYD42" s="51"/>
      <c r="CYE42" s="51"/>
      <c r="CYF42" s="51"/>
      <c r="CYG42" s="51"/>
      <c r="CYH42" s="51"/>
      <c r="CYI42" s="51"/>
      <c r="CYJ42" s="51"/>
      <c r="CYK42" s="51"/>
      <c r="CYL42" s="51"/>
      <c r="CYM42" s="51"/>
      <c r="CYN42" s="51"/>
      <c r="CYO42" s="51"/>
      <c r="CYP42" s="51"/>
      <c r="CYQ42" s="51"/>
      <c r="CYR42" s="51"/>
      <c r="CYS42" s="51"/>
      <c r="CYT42" s="51"/>
      <c r="CYU42" s="51"/>
      <c r="CYV42" s="51"/>
      <c r="CYW42" s="51"/>
      <c r="CYX42" s="51"/>
      <c r="CYY42" s="51"/>
      <c r="CYZ42" s="51"/>
      <c r="CZA42" s="51"/>
      <c r="CZB42" s="51"/>
      <c r="CZC42" s="51"/>
      <c r="CZD42" s="51"/>
      <c r="CZE42" s="51"/>
      <c r="CZF42" s="51"/>
      <c r="CZG42" s="51"/>
      <c r="CZH42" s="51"/>
      <c r="CZI42" s="51"/>
      <c r="CZJ42" s="51"/>
      <c r="CZK42" s="51"/>
      <c r="CZL42" s="51"/>
      <c r="CZM42" s="51"/>
      <c r="CZN42" s="51"/>
      <c r="CZO42" s="51"/>
      <c r="CZP42" s="51"/>
      <c r="CZQ42" s="51"/>
      <c r="CZR42" s="51"/>
      <c r="CZS42" s="51"/>
      <c r="CZT42" s="51"/>
      <c r="CZU42" s="51"/>
      <c r="CZV42" s="51"/>
      <c r="CZW42" s="51"/>
      <c r="CZX42" s="51"/>
      <c r="CZY42" s="51"/>
      <c r="CZZ42" s="51"/>
      <c r="DAA42" s="51"/>
      <c r="DAB42" s="51"/>
      <c r="DAC42" s="51"/>
      <c r="DAD42" s="51"/>
      <c r="DAE42" s="51"/>
      <c r="DAF42" s="51"/>
      <c r="DAG42" s="51"/>
      <c r="DAH42" s="51"/>
      <c r="DAI42" s="51"/>
      <c r="DAJ42" s="51"/>
      <c r="DAK42" s="51"/>
      <c r="DAL42" s="51"/>
      <c r="DAM42" s="51"/>
      <c r="DAN42" s="51"/>
      <c r="DAO42" s="51"/>
      <c r="DAP42" s="51"/>
      <c r="DAQ42" s="51"/>
      <c r="DAR42" s="51"/>
      <c r="DAS42" s="51"/>
      <c r="DAT42" s="51"/>
      <c r="DAU42" s="51"/>
      <c r="DAV42" s="51"/>
      <c r="DAW42" s="51"/>
      <c r="DAX42" s="51"/>
      <c r="DAY42" s="51"/>
      <c r="DAZ42" s="51"/>
      <c r="DBA42" s="51"/>
      <c r="DBB42" s="51"/>
      <c r="DBC42" s="51"/>
      <c r="DBD42" s="51"/>
      <c r="DBE42" s="51"/>
      <c r="DBF42" s="51"/>
      <c r="DBG42" s="51"/>
      <c r="DBH42" s="51"/>
      <c r="DBI42" s="51"/>
      <c r="DBJ42" s="51"/>
      <c r="DBK42" s="51"/>
      <c r="DBL42" s="51"/>
      <c r="DBM42" s="51"/>
      <c r="DBN42" s="51"/>
      <c r="DBO42" s="51"/>
      <c r="DBP42" s="51"/>
      <c r="DBQ42" s="51"/>
      <c r="DBR42" s="51"/>
      <c r="DBS42" s="51"/>
      <c r="DBT42" s="51"/>
      <c r="DBU42" s="51"/>
      <c r="DBV42" s="51"/>
      <c r="DBW42" s="51"/>
      <c r="DBX42" s="51"/>
      <c r="DBY42" s="51"/>
      <c r="DBZ42" s="51"/>
      <c r="DCA42" s="51"/>
      <c r="DCB42" s="51"/>
      <c r="DCC42" s="51"/>
      <c r="DCD42" s="51"/>
      <c r="DCE42" s="51"/>
      <c r="DCF42" s="51"/>
      <c r="DCG42" s="51"/>
      <c r="DCH42" s="51"/>
      <c r="DCI42" s="51"/>
      <c r="DCJ42" s="51"/>
      <c r="DCK42" s="51"/>
      <c r="DCL42" s="51"/>
      <c r="DCM42" s="51"/>
      <c r="DCN42" s="51"/>
      <c r="DCO42" s="51"/>
      <c r="DCP42" s="51"/>
      <c r="DCQ42" s="51"/>
      <c r="DCR42" s="51"/>
      <c r="DCS42" s="51"/>
      <c r="DCT42" s="51"/>
      <c r="DCU42" s="51"/>
      <c r="DCV42" s="51"/>
      <c r="DCW42" s="51"/>
      <c r="DCX42" s="51"/>
      <c r="DCY42" s="51"/>
      <c r="DCZ42" s="51"/>
      <c r="DDA42" s="51"/>
      <c r="DDB42" s="51"/>
      <c r="DDC42" s="51"/>
      <c r="DDD42" s="51"/>
      <c r="DDE42" s="51"/>
      <c r="DDF42" s="51"/>
      <c r="DDG42" s="51"/>
      <c r="DDH42" s="51"/>
      <c r="DDI42" s="51"/>
      <c r="DDJ42" s="51"/>
      <c r="DDK42" s="51"/>
      <c r="DDL42" s="51"/>
      <c r="DDM42" s="51"/>
      <c r="DDN42" s="51"/>
      <c r="DDO42" s="51"/>
      <c r="DDP42" s="51"/>
      <c r="DDQ42" s="51"/>
      <c r="DDR42" s="51"/>
      <c r="DDS42" s="51"/>
      <c r="DDT42" s="51"/>
      <c r="DDU42" s="51"/>
      <c r="DDV42" s="51"/>
      <c r="DDW42" s="51"/>
      <c r="DDX42" s="51"/>
      <c r="DDY42" s="51"/>
      <c r="DDZ42" s="51"/>
      <c r="DEA42" s="51"/>
      <c r="DEB42" s="51"/>
      <c r="DEC42" s="51"/>
      <c r="DED42" s="51"/>
      <c r="DEE42" s="51"/>
      <c r="DEF42" s="51"/>
      <c r="DEG42" s="51"/>
      <c r="DEH42" s="51"/>
      <c r="DEI42" s="51"/>
      <c r="DEJ42" s="51"/>
      <c r="DEK42" s="51"/>
      <c r="DEL42" s="51"/>
      <c r="DEM42" s="51"/>
      <c r="DEN42" s="51"/>
      <c r="DEO42" s="51"/>
      <c r="DEP42" s="51"/>
      <c r="DEQ42" s="51"/>
      <c r="DER42" s="51"/>
      <c r="DES42" s="51"/>
      <c r="DET42" s="51"/>
      <c r="DEU42" s="51"/>
      <c r="DEV42" s="51"/>
      <c r="DEW42" s="51"/>
      <c r="DEX42" s="51"/>
      <c r="DEY42" s="51"/>
      <c r="DEZ42" s="51"/>
      <c r="DFA42" s="51"/>
      <c r="DFB42" s="51"/>
      <c r="DFC42" s="51"/>
      <c r="DFD42" s="51"/>
      <c r="DFE42" s="51"/>
      <c r="DFF42" s="51"/>
      <c r="DFG42" s="51"/>
      <c r="DFH42" s="51"/>
      <c r="DFI42" s="51"/>
      <c r="DFJ42" s="51"/>
      <c r="DFK42" s="51"/>
      <c r="DFL42" s="51"/>
      <c r="DFM42" s="51"/>
      <c r="DFN42" s="51"/>
      <c r="DFO42" s="51"/>
      <c r="DFP42" s="51"/>
      <c r="DFQ42" s="51"/>
      <c r="DFR42" s="51"/>
      <c r="DFS42" s="51"/>
      <c r="DFT42" s="51"/>
      <c r="DFU42" s="51"/>
      <c r="DFV42" s="51"/>
      <c r="DFW42" s="51"/>
      <c r="DFX42" s="51"/>
      <c r="DFY42" s="51"/>
      <c r="DFZ42" s="51"/>
      <c r="DGA42" s="51"/>
      <c r="DGB42" s="51"/>
      <c r="DGC42" s="51"/>
      <c r="DGD42" s="51"/>
      <c r="DGE42" s="51"/>
      <c r="DGF42" s="51"/>
      <c r="DGG42" s="51"/>
      <c r="DGH42" s="51"/>
      <c r="DGI42" s="51"/>
      <c r="DGJ42" s="51"/>
      <c r="DGK42" s="51"/>
      <c r="DGL42" s="51"/>
      <c r="DGM42" s="51"/>
      <c r="DGN42" s="51"/>
      <c r="DGO42" s="51"/>
      <c r="DGP42" s="51"/>
      <c r="DGQ42" s="51"/>
      <c r="DGR42" s="51"/>
      <c r="DGS42" s="51"/>
      <c r="DGT42" s="51"/>
      <c r="DGU42" s="51"/>
      <c r="DGV42" s="51"/>
      <c r="DGW42" s="51"/>
      <c r="DGX42" s="51"/>
      <c r="DGY42" s="51"/>
      <c r="DGZ42" s="51"/>
      <c r="DHA42" s="51"/>
      <c r="DHB42" s="51"/>
      <c r="DHC42" s="51"/>
      <c r="DHD42" s="51"/>
      <c r="DHE42" s="51"/>
      <c r="DHF42" s="51"/>
      <c r="DHG42" s="51"/>
      <c r="DHH42" s="51"/>
      <c r="DHI42" s="51"/>
      <c r="DHJ42" s="51"/>
      <c r="DHK42" s="51"/>
      <c r="DHL42" s="51"/>
      <c r="DHM42" s="51"/>
      <c r="DHN42" s="51"/>
      <c r="DHO42" s="51"/>
      <c r="DHP42" s="51"/>
      <c r="DHQ42" s="51"/>
      <c r="DHR42" s="51"/>
      <c r="DHS42" s="51"/>
      <c r="DHT42" s="51"/>
      <c r="DHU42" s="51"/>
      <c r="DHV42" s="51"/>
      <c r="DHW42" s="51"/>
      <c r="DHX42" s="51"/>
      <c r="DHY42" s="51"/>
      <c r="DHZ42" s="51"/>
      <c r="DIA42" s="51"/>
      <c r="DIB42" s="51"/>
      <c r="DIC42" s="51"/>
      <c r="DID42" s="51"/>
      <c r="DIE42" s="51"/>
      <c r="DIF42" s="51"/>
      <c r="DIG42" s="51"/>
      <c r="DIH42" s="51"/>
      <c r="DII42" s="51"/>
      <c r="DIJ42" s="51"/>
      <c r="DIK42" s="51"/>
      <c r="DIL42" s="51"/>
      <c r="DIM42" s="51"/>
      <c r="DIN42" s="51"/>
      <c r="DIO42" s="51"/>
      <c r="DIP42" s="51"/>
      <c r="DIQ42" s="51"/>
      <c r="DIR42" s="51"/>
      <c r="DIS42" s="51"/>
      <c r="DIT42" s="51"/>
      <c r="DIU42" s="51"/>
      <c r="DIV42" s="51"/>
      <c r="DIW42" s="51"/>
      <c r="DIX42" s="51"/>
      <c r="DIY42" s="51"/>
      <c r="DIZ42" s="51"/>
      <c r="DJA42" s="51"/>
      <c r="DJB42" s="51"/>
      <c r="DJC42" s="51"/>
      <c r="DJD42" s="51"/>
      <c r="DJE42" s="51"/>
      <c r="DJF42" s="51"/>
      <c r="DJG42" s="51"/>
      <c r="DJH42" s="51"/>
      <c r="DJI42" s="51"/>
      <c r="DJJ42" s="51"/>
      <c r="DJK42" s="51"/>
      <c r="DJL42" s="51"/>
      <c r="DJM42" s="51"/>
      <c r="DJN42" s="51"/>
      <c r="DJO42" s="51"/>
      <c r="DJP42" s="51"/>
      <c r="DJQ42" s="51"/>
      <c r="DJR42" s="51"/>
      <c r="DJS42" s="51"/>
      <c r="DJT42" s="51"/>
      <c r="DJU42" s="51"/>
      <c r="DJV42" s="51"/>
      <c r="DJW42" s="51"/>
      <c r="DJX42" s="51"/>
      <c r="DJY42" s="51"/>
      <c r="DJZ42" s="51"/>
      <c r="DKA42" s="51"/>
      <c r="DKB42" s="51"/>
      <c r="DKC42" s="51"/>
      <c r="DKD42" s="51"/>
      <c r="DKE42" s="51"/>
      <c r="DKF42" s="51"/>
      <c r="DKG42" s="51"/>
      <c r="DKH42" s="51"/>
      <c r="DKI42" s="51"/>
      <c r="DKJ42" s="51"/>
      <c r="DKK42" s="51"/>
      <c r="DKL42" s="51"/>
      <c r="DKM42" s="51"/>
      <c r="DKN42" s="51"/>
      <c r="DKO42" s="51"/>
      <c r="DKP42" s="51"/>
      <c r="DKQ42" s="51"/>
      <c r="DKR42" s="51"/>
      <c r="DKS42" s="51"/>
      <c r="DKT42" s="51"/>
      <c r="DKU42" s="51"/>
      <c r="DKV42" s="51"/>
      <c r="DKW42" s="51"/>
      <c r="DKX42" s="51"/>
      <c r="DKY42" s="51"/>
      <c r="DKZ42" s="51"/>
      <c r="DLA42" s="51"/>
      <c r="DLB42" s="51"/>
      <c r="DLC42" s="51"/>
      <c r="DLD42" s="51"/>
      <c r="DLE42" s="51"/>
      <c r="DLF42" s="51"/>
      <c r="DLG42" s="51"/>
      <c r="DLH42" s="51"/>
      <c r="DLI42" s="51"/>
      <c r="DLJ42" s="51"/>
      <c r="DLK42" s="51"/>
      <c r="DLL42" s="51"/>
      <c r="DLM42" s="51"/>
      <c r="DLN42" s="51"/>
      <c r="DLO42" s="51"/>
      <c r="DLP42" s="51"/>
      <c r="DLQ42" s="51"/>
      <c r="DLR42" s="51"/>
      <c r="DLS42" s="51"/>
      <c r="DLT42" s="51"/>
      <c r="DLU42" s="51"/>
      <c r="DLV42" s="51"/>
      <c r="DLW42" s="51"/>
      <c r="DLX42" s="51"/>
      <c r="DLY42" s="51"/>
      <c r="DLZ42" s="51"/>
      <c r="DMA42" s="51"/>
      <c r="DMB42" s="51"/>
      <c r="DMC42" s="51"/>
      <c r="DMD42" s="51"/>
      <c r="DME42" s="51"/>
      <c r="DMF42" s="51"/>
      <c r="DMG42" s="51"/>
      <c r="DMH42" s="51"/>
      <c r="DMI42" s="51"/>
      <c r="DMJ42" s="51"/>
      <c r="DMK42" s="51"/>
      <c r="DML42" s="51"/>
      <c r="DMM42" s="51"/>
      <c r="DMN42" s="51"/>
      <c r="DMO42" s="51"/>
      <c r="DMP42" s="51"/>
      <c r="DMQ42" s="51"/>
      <c r="DMR42" s="51"/>
      <c r="DMS42" s="51"/>
      <c r="DMT42" s="51"/>
      <c r="DMU42" s="51"/>
      <c r="DMV42" s="51"/>
      <c r="DMW42" s="51"/>
      <c r="DMX42" s="51"/>
      <c r="DMY42" s="51"/>
      <c r="DMZ42" s="51"/>
      <c r="DNA42" s="51"/>
      <c r="DNB42" s="51"/>
      <c r="DNC42" s="51"/>
      <c r="DND42" s="51"/>
      <c r="DNE42" s="51"/>
      <c r="DNF42" s="51"/>
      <c r="DNG42" s="51"/>
      <c r="DNH42" s="51"/>
      <c r="DNI42" s="51"/>
      <c r="DNJ42" s="51"/>
      <c r="DNK42" s="51"/>
      <c r="DNL42" s="51"/>
      <c r="DNM42" s="51"/>
      <c r="DNN42" s="51"/>
      <c r="DNO42" s="51"/>
      <c r="DNP42" s="51"/>
      <c r="DNQ42" s="51"/>
      <c r="DNR42" s="51"/>
      <c r="DNS42" s="51"/>
      <c r="DNT42" s="51"/>
      <c r="DNU42" s="51"/>
      <c r="DNV42" s="51"/>
      <c r="DNW42" s="51"/>
      <c r="DNX42" s="51"/>
      <c r="DNY42" s="51"/>
      <c r="DNZ42" s="51"/>
      <c r="DOA42" s="51"/>
      <c r="DOB42" s="51"/>
      <c r="DOC42" s="51"/>
      <c r="DOD42" s="51"/>
      <c r="DOE42" s="51"/>
      <c r="DOF42" s="51"/>
      <c r="DOG42" s="51"/>
      <c r="DOH42" s="51"/>
      <c r="DOI42" s="51"/>
      <c r="DOJ42" s="51"/>
      <c r="DOK42" s="51"/>
      <c r="DOL42" s="51"/>
      <c r="DOM42" s="51"/>
      <c r="DON42" s="51"/>
      <c r="DOO42" s="51"/>
      <c r="DOP42" s="51"/>
      <c r="DOQ42" s="51"/>
      <c r="DOR42" s="51"/>
      <c r="DOS42" s="51"/>
      <c r="DOT42" s="51"/>
      <c r="DOU42" s="51"/>
      <c r="DOV42" s="51"/>
      <c r="DOW42" s="51"/>
      <c r="DOX42" s="51"/>
      <c r="DOY42" s="51"/>
      <c r="DOZ42" s="51"/>
      <c r="DPA42" s="51"/>
      <c r="DPB42" s="51"/>
      <c r="DPC42" s="51"/>
      <c r="DPD42" s="51"/>
      <c r="DPE42" s="51"/>
      <c r="DPF42" s="51"/>
      <c r="DPG42" s="51"/>
      <c r="DPH42" s="51"/>
      <c r="DPI42" s="51"/>
      <c r="DPJ42" s="51"/>
      <c r="DPK42" s="51"/>
      <c r="DPL42" s="51"/>
      <c r="DPM42" s="51"/>
      <c r="DPN42" s="51"/>
      <c r="DPO42" s="51"/>
      <c r="DPP42" s="51"/>
      <c r="DPQ42" s="51"/>
      <c r="DPR42" s="51"/>
      <c r="DPS42" s="51"/>
      <c r="DPT42" s="51"/>
      <c r="DPU42" s="51"/>
      <c r="DPV42" s="51"/>
      <c r="DPW42" s="51"/>
      <c r="DPX42" s="51"/>
      <c r="DPY42" s="51"/>
      <c r="DPZ42" s="51"/>
      <c r="DQA42" s="51"/>
      <c r="DQB42" s="51"/>
      <c r="DQC42" s="51"/>
      <c r="DQD42" s="51"/>
      <c r="DQE42" s="51"/>
      <c r="DQF42" s="51"/>
      <c r="DQG42" s="51"/>
      <c r="DQH42" s="51"/>
      <c r="DQI42" s="51"/>
      <c r="DQJ42" s="51"/>
      <c r="DQK42" s="51"/>
      <c r="DQL42" s="51"/>
      <c r="DQM42" s="51"/>
      <c r="DQN42" s="51"/>
      <c r="DQO42" s="51"/>
      <c r="DQP42" s="51"/>
      <c r="DQQ42" s="51"/>
      <c r="DQR42" s="51"/>
      <c r="DQS42" s="51"/>
      <c r="DQT42" s="51"/>
      <c r="DQU42" s="51"/>
      <c r="DQV42" s="51"/>
      <c r="DQW42" s="51"/>
      <c r="DQX42" s="51"/>
      <c r="DQY42" s="51"/>
      <c r="DQZ42" s="51"/>
      <c r="DRA42" s="51"/>
      <c r="DRB42" s="51"/>
      <c r="DRC42" s="51"/>
      <c r="DRD42" s="51"/>
      <c r="DRE42" s="51"/>
      <c r="DRF42" s="51"/>
      <c r="DRG42" s="51"/>
      <c r="DRH42" s="51"/>
      <c r="DRI42" s="51"/>
      <c r="DRJ42" s="51"/>
      <c r="DRK42" s="51"/>
      <c r="DRL42" s="51"/>
      <c r="DRM42" s="51"/>
      <c r="DRN42" s="51"/>
      <c r="DRO42" s="51"/>
      <c r="DRP42" s="51"/>
      <c r="DRQ42" s="51"/>
      <c r="DRR42" s="51"/>
      <c r="DRS42" s="51"/>
      <c r="DRT42" s="51"/>
      <c r="DRU42" s="51"/>
      <c r="DRV42" s="51"/>
      <c r="DRW42" s="51"/>
      <c r="DRX42" s="51"/>
      <c r="DRY42" s="51"/>
      <c r="DRZ42" s="51"/>
      <c r="DSA42" s="51"/>
      <c r="DSB42" s="51"/>
      <c r="DSC42" s="51"/>
      <c r="DSD42" s="51"/>
      <c r="DSE42" s="51"/>
      <c r="DSF42" s="51"/>
      <c r="DSG42" s="51"/>
      <c r="DSH42" s="51"/>
      <c r="DSI42" s="51"/>
      <c r="DSJ42" s="51"/>
      <c r="DSK42" s="51"/>
      <c r="DSL42" s="51"/>
      <c r="DSM42" s="51"/>
      <c r="DSN42" s="51"/>
      <c r="DSO42" s="51"/>
      <c r="DSP42" s="51"/>
      <c r="DSQ42" s="51"/>
      <c r="DSR42" s="51"/>
      <c r="DSS42" s="51"/>
      <c r="DST42" s="51"/>
      <c r="DSU42" s="51"/>
      <c r="DSV42" s="51"/>
      <c r="DSW42" s="51"/>
      <c r="DSX42" s="51"/>
      <c r="DSY42" s="51"/>
      <c r="DSZ42" s="51"/>
      <c r="DTA42" s="51"/>
      <c r="DTB42" s="51"/>
      <c r="DTC42" s="51"/>
      <c r="DTD42" s="51"/>
      <c r="DTE42" s="51"/>
      <c r="DTF42" s="51"/>
      <c r="DTG42" s="51"/>
      <c r="DTH42" s="51"/>
      <c r="DTI42" s="51"/>
      <c r="DTJ42" s="51"/>
      <c r="DTK42" s="51"/>
      <c r="DTL42" s="51"/>
      <c r="DTM42" s="51"/>
      <c r="DTN42" s="51"/>
      <c r="DTO42" s="51"/>
      <c r="DTP42" s="51"/>
      <c r="DTQ42" s="51"/>
      <c r="DTR42" s="51"/>
      <c r="DTS42" s="51"/>
      <c r="DTT42" s="51"/>
      <c r="DTU42" s="51"/>
      <c r="DTV42" s="51"/>
      <c r="DTW42" s="51"/>
      <c r="DTX42" s="51"/>
      <c r="DTY42" s="51"/>
      <c r="DTZ42" s="51"/>
      <c r="DUA42" s="51"/>
      <c r="DUB42" s="51"/>
      <c r="DUC42" s="51"/>
      <c r="DUD42" s="51"/>
      <c r="DUE42" s="51"/>
      <c r="DUF42" s="51"/>
      <c r="DUG42" s="51"/>
      <c r="DUH42" s="51"/>
      <c r="DUI42" s="51"/>
      <c r="DUJ42" s="51"/>
      <c r="DUK42" s="51"/>
      <c r="DUL42" s="51"/>
      <c r="DUM42" s="51"/>
      <c r="DUN42" s="51"/>
      <c r="DUO42" s="51"/>
      <c r="DUP42" s="51"/>
      <c r="DUQ42" s="51"/>
      <c r="DUR42" s="51"/>
      <c r="DUS42" s="51"/>
      <c r="DUT42" s="51"/>
      <c r="DUU42" s="51"/>
      <c r="DUV42" s="51"/>
      <c r="DUW42" s="51"/>
      <c r="DUX42" s="51"/>
      <c r="DUY42" s="51"/>
      <c r="DUZ42" s="51"/>
      <c r="DVA42" s="51"/>
      <c r="DVB42" s="51"/>
      <c r="DVC42" s="51"/>
      <c r="DVD42" s="51"/>
      <c r="DVE42" s="51"/>
      <c r="DVF42" s="51"/>
      <c r="DVG42" s="51"/>
      <c r="DVH42" s="51"/>
      <c r="DVI42" s="51"/>
      <c r="DVJ42" s="51"/>
      <c r="DVK42" s="51"/>
      <c r="DVL42" s="51"/>
      <c r="DVM42" s="51"/>
      <c r="DVN42" s="51"/>
      <c r="DVO42" s="51"/>
      <c r="DVP42" s="51"/>
      <c r="DVQ42" s="51"/>
      <c r="DVR42" s="51"/>
      <c r="DVS42" s="51"/>
      <c r="DVT42" s="51"/>
      <c r="DVU42" s="51"/>
      <c r="DVV42" s="51"/>
      <c r="DVW42" s="51"/>
      <c r="DVX42" s="51"/>
      <c r="DVY42" s="51"/>
      <c r="DVZ42" s="51"/>
      <c r="DWA42" s="51"/>
      <c r="DWB42" s="51"/>
      <c r="DWC42" s="51"/>
      <c r="DWD42" s="51"/>
      <c r="DWE42" s="51"/>
      <c r="DWF42" s="51"/>
      <c r="DWG42" s="51"/>
      <c r="DWH42" s="51"/>
      <c r="DWI42" s="51"/>
      <c r="DWJ42" s="51"/>
      <c r="DWK42" s="51"/>
      <c r="DWL42" s="51"/>
      <c r="DWM42" s="51"/>
      <c r="DWN42" s="51"/>
      <c r="DWO42" s="51"/>
      <c r="DWP42" s="51"/>
      <c r="DWQ42" s="51"/>
      <c r="DWR42" s="51"/>
      <c r="DWS42" s="51"/>
      <c r="DWT42" s="51"/>
      <c r="DWU42" s="51"/>
      <c r="DWV42" s="51"/>
      <c r="DWW42" s="51"/>
      <c r="DWX42" s="51"/>
      <c r="DWY42" s="51"/>
      <c r="DWZ42" s="51"/>
      <c r="DXA42" s="51"/>
      <c r="DXB42" s="51"/>
      <c r="DXC42" s="51"/>
      <c r="DXD42" s="51"/>
      <c r="DXE42" s="51"/>
      <c r="DXF42" s="51"/>
      <c r="DXG42" s="51"/>
      <c r="DXH42" s="51"/>
      <c r="DXI42" s="51"/>
      <c r="DXJ42" s="51"/>
      <c r="DXK42" s="51"/>
      <c r="DXL42" s="51"/>
      <c r="DXM42" s="51"/>
      <c r="DXN42" s="51"/>
      <c r="DXO42" s="51"/>
      <c r="DXP42" s="51"/>
      <c r="DXQ42" s="51"/>
      <c r="DXR42" s="51"/>
      <c r="DXS42" s="51"/>
      <c r="DXT42" s="51"/>
      <c r="DXU42" s="51"/>
      <c r="DXV42" s="51"/>
      <c r="DXW42" s="51"/>
      <c r="DXX42" s="51"/>
      <c r="DXY42" s="51"/>
      <c r="DXZ42" s="51"/>
      <c r="DYA42" s="51"/>
      <c r="DYB42" s="51"/>
      <c r="DYC42" s="51"/>
      <c r="DYD42" s="51"/>
      <c r="DYE42" s="51"/>
      <c r="DYF42" s="51"/>
      <c r="DYG42" s="51"/>
      <c r="DYH42" s="51"/>
      <c r="DYI42" s="51"/>
      <c r="DYJ42" s="51"/>
      <c r="DYK42" s="51"/>
      <c r="DYL42" s="51"/>
      <c r="DYM42" s="51"/>
      <c r="DYN42" s="51"/>
      <c r="DYO42" s="51"/>
      <c r="DYP42" s="51"/>
      <c r="DYQ42" s="51"/>
      <c r="DYR42" s="51"/>
      <c r="DYS42" s="51"/>
      <c r="DYT42" s="51"/>
      <c r="DYU42" s="51"/>
      <c r="DYV42" s="51"/>
      <c r="DYW42" s="51"/>
      <c r="DYX42" s="51"/>
      <c r="DYY42" s="51"/>
      <c r="DYZ42" s="51"/>
      <c r="DZA42" s="51"/>
      <c r="DZB42" s="51"/>
      <c r="DZC42" s="51"/>
      <c r="DZD42" s="51"/>
      <c r="DZE42" s="51"/>
      <c r="DZF42" s="51"/>
      <c r="DZG42" s="51"/>
      <c r="DZH42" s="51"/>
      <c r="DZI42" s="51"/>
      <c r="DZJ42" s="51"/>
      <c r="DZK42" s="51"/>
      <c r="DZL42" s="51"/>
      <c r="DZM42" s="51"/>
      <c r="DZN42" s="51"/>
      <c r="DZO42" s="51"/>
      <c r="DZP42" s="51"/>
      <c r="DZQ42" s="51"/>
      <c r="DZR42" s="51"/>
      <c r="DZS42" s="51"/>
      <c r="DZT42" s="51"/>
      <c r="DZU42" s="51"/>
      <c r="DZV42" s="51"/>
      <c r="DZW42" s="51"/>
      <c r="DZX42" s="51"/>
      <c r="DZY42" s="51"/>
      <c r="DZZ42" s="51"/>
      <c r="EAA42" s="51"/>
      <c r="EAB42" s="51"/>
      <c r="EAC42" s="51"/>
      <c r="EAD42" s="51"/>
      <c r="EAE42" s="51"/>
      <c r="EAF42" s="51"/>
      <c r="EAG42" s="51"/>
      <c r="EAH42" s="51"/>
      <c r="EAI42" s="51"/>
      <c r="EAJ42" s="51"/>
      <c r="EAK42" s="51"/>
      <c r="EAL42" s="51"/>
      <c r="EAM42" s="51"/>
      <c r="EAN42" s="51"/>
      <c r="EAO42" s="51"/>
      <c r="EAP42" s="51"/>
      <c r="EAQ42" s="51"/>
      <c r="EAR42" s="51"/>
      <c r="EAS42" s="51"/>
      <c r="EAT42" s="51"/>
      <c r="EAU42" s="51"/>
      <c r="EAV42" s="51"/>
      <c r="EAW42" s="51"/>
      <c r="EAX42" s="51"/>
      <c r="EAY42" s="51"/>
      <c r="EAZ42" s="51"/>
      <c r="EBA42" s="51"/>
      <c r="EBB42" s="51"/>
      <c r="EBC42" s="51"/>
      <c r="EBD42" s="51"/>
      <c r="EBE42" s="51"/>
      <c r="EBF42" s="51"/>
      <c r="EBG42" s="51"/>
      <c r="EBH42" s="51"/>
      <c r="EBI42" s="51"/>
      <c r="EBJ42" s="51"/>
      <c r="EBK42" s="51"/>
      <c r="EBL42" s="51"/>
      <c r="EBM42" s="51"/>
      <c r="EBN42" s="51"/>
      <c r="EBO42" s="51"/>
      <c r="EBP42" s="51"/>
      <c r="EBQ42" s="51"/>
      <c r="EBR42" s="51"/>
      <c r="EBS42" s="51"/>
      <c r="EBT42" s="51"/>
      <c r="EBU42" s="51"/>
      <c r="EBV42" s="51"/>
      <c r="EBW42" s="51"/>
      <c r="EBX42" s="51"/>
      <c r="EBY42" s="51"/>
      <c r="EBZ42" s="51"/>
      <c r="ECA42" s="51"/>
      <c r="ECB42" s="51"/>
      <c r="ECC42" s="51"/>
      <c r="ECD42" s="51"/>
      <c r="ECE42" s="51"/>
      <c r="ECF42" s="51"/>
      <c r="ECG42" s="51"/>
      <c r="ECH42" s="51"/>
      <c r="ECI42" s="51"/>
      <c r="ECJ42" s="51"/>
      <c r="ECK42" s="51"/>
      <c r="ECL42" s="51"/>
      <c r="ECM42" s="51"/>
      <c r="ECN42" s="51"/>
      <c r="ECO42" s="51"/>
      <c r="ECP42" s="51"/>
      <c r="ECQ42" s="51"/>
      <c r="ECR42" s="51"/>
      <c r="ECS42" s="51"/>
      <c r="ECT42" s="51"/>
      <c r="ECU42" s="51"/>
      <c r="ECV42" s="51"/>
      <c r="ECW42" s="51"/>
      <c r="ECX42" s="51"/>
      <c r="ECY42" s="51"/>
      <c r="ECZ42" s="51"/>
      <c r="EDA42" s="51"/>
      <c r="EDB42" s="51"/>
      <c r="EDC42" s="51"/>
      <c r="EDD42" s="51"/>
      <c r="EDE42" s="51"/>
      <c r="EDF42" s="51"/>
      <c r="EDG42" s="51"/>
      <c r="EDH42" s="51"/>
      <c r="EDI42" s="51"/>
      <c r="EDJ42" s="51"/>
      <c r="EDK42" s="51"/>
      <c r="EDL42" s="51"/>
      <c r="EDM42" s="51"/>
      <c r="EDN42" s="51"/>
      <c r="EDO42" s="51"/>
      <c r="EDP42" s="51"/>
      <c r="EDQ42" s="51"/>
      <c r="EDR42" s="51"/>
      <c r="EDS42" s="51"/>
      <c r="EDT42" s="51"/>
      <c r="EDU42" s="51"/>
      <c r="EDV42" s="51"/>
      <c r="EDW42" s="51"/>
      <c r="EDX42" s="51"/>
      <c r="EDY42" s="51"/>
      <c r="EDZ42" s="51"/>
      <c r="EEA42" s="51"/>
      <c r="EEB42" s="51"/>
      <c r="EEC42" s="51"/>
      <c r="EED42" s="51"/>
      <c r="EEE42" s="51"/>
      <c r="EEF42" s="51"/>
      <c r="EEG42" s="51"/>
      <c r="EEH42" s="51"/>
      <c r="EEI42" s="51"/>
      <c r="EEJ42" s="51"/>
      <c r="EEK42" s="51"/>
      <c r="EEL42" s="51"/>
      <c r="EEM42" s="51"/>
      <c r="EEN42" s="51"/>
      <c r="EEO42" s="51"/>
      <c r="EEP42" s="51"/>
      <c r="EEQ42" s="51"/>
      <c r="EER42" s="51"/>
      <c r="EES42" s="51"/>
      <c r="EET42" s="51"/>
      <c r="EEU42" s="51"/>
      <c r="EEV42" s="51"/>
      <c r="EEW42" s="51"/>
      <c r="EEX42" s="51"/>
      <c r="EEY42" s="51"/>
      <c r="EEZ42" s="51"/>
      <c r="EFA42" s="51"/>
      <c r="EFB42" s="51"/>
      <c r="EFC42" s="51"/>
      <c r="EFD42" s="51"/>
      <c r="EFE42" s="51"/>
      <c r="EFF42" s="51"/>
      <c r="EFG42" s="51"/>
      <c r="EFH42" s="51"/>
      <c r="EFI42" s="51"/>
      <c r="EFJ42" s="51"/>
      <c r="EFK42" s="51"/>
      <c r="EFL42" s="51"/>
      <c r="EFM42" s="51"/>
      <c r="EFN42" s="51"/>
      <c r="EFO42" s="51"/>
      <c r="EFP42" s="51"/>
      <c r="EFQ42" s="51"/>
      <c r="EFR42" s="51"/>
      <c r="EFS42" s="51"/>
      <c r="EFT42" s="51"/>
      <c r="EFU42" s="51"/>
      <c r="EFV42" s="51"/>
      <c r="EFW42" s="51"/>
      <c r="EFX42" s="51"/>
      <c r="EFY42" s="51"/>
      <c r="EFZ42" s="51"/>
      <c r="EGA42" s="51"/>
      <c r="EGB42" s="51"/>
      <c r="EGC42" s="51"/>
      <c r="EGD42" s="51"/>
      <c r="EGE42" s="51"/>
      <c r="EGF42" s="51"/>
      <c r="EGG42" s="51"/>
      <c r="EGH42" s="51"/>
      <c r="EGI42" s="51"/>
      <c r="EGJ42" s="51"/>
      <c r="EGK42" s="51"/>
      <c r="EGL42" s="51"/>
      <c r="EGM42" s="51"/>
      <c r="EGN42" s="51"/>
      <c r="EGO42" s="51"/>
      <c r="EGP42" s="51"/>
      <c r="EGQ42" s="51"/>
      <c r="EGR42" s="51"/>
      <c r="EGS42" s="51"/>
      <c r="EGT42" s="51"/>
      <c r="EGU42" s="51"/>
      <c r="EGV42" s="51"/>
      <c r="EGW42" s="51"/>
      <c r="EGX42" s="51"/>
      <c r="EGY42" s="51"/>
      <c r="EGZ42" s="51"/>
      <c r="EHA42" s="51"/>
      <c r="EHB42" s="51"/>
      <c r="EHC42" s="51"/>
      <c r="EHD42" s="51"/>
      <c r="EHE42" s="51"/>
      <c r="EHF42" s="51"/>
      <c r="EHG42" s="51"/>
      <c r="EHH42" s="51"/>
      <c r="EHI42" s="51"/>
      <c r="EHJ42" s="51"/>
      <c r="EHK42" s="51"/>
      <c r="EHL42" s="51"/>
      <c r="EHM42" s="51"/>
      <c r="EHN42" s="51"/>
      <c r="EHO42" s="51"/>
      <c r="EHP42" s="51"/>
      <c r="EHQ42" s="51"/>
      <c r="EHR42" s="51"/>
      <c r="EHS42" s="51"/>
      <c r="EHT42" s="51"/>
      <c r="EHU42" s="51"/>
      <c r="EHV42" s="51"/>
      <c r="EHW42" s="51"/>
      <c r="EHX42" s="51"/>
      <c r="EHY42" s="51"/>
      <c r="EHZ42" s="51"/>
      <c r="EIA42" s="51"/>
      <c r="EIB42" s="51"/>
      <c r="EIC42" s="51"/>
      <c r="EID42" s="51"/>
      <c r="EIE42" s="51"/>
      <c r="EIF42" s="51"/>
      <c r="EIG42" s="51"/>
      <c r="EIH42" s="51"/>
      <c r="EII42" s="51"/>
      <c r="EIJ42" s="51"/>
      <c r="EIK42" s="51"/>
      <c r="EIL42" s="51"/>
      <c r="EIM42" s="51"/>
      <c r="EIN42" s="51"/>
      <c r="EIO42" s="51"/>
      <c r="EIP42" s="51"/>
      <c r="EIQ42" s="51"/>
      <c r="EIR42" s="51"/>
      <c r="EIS42" s="51"/>
      <c r="EIT42" s="51"/>
      <c r="EIU42" s="51"/>
      <c r="EIV42" s="51"/>
      <c r="EIW42" s="51"/>
      <c r="EIX42" s="51"/>
      <c r="EIY42" s="51"/>
      <c r="EIZ42" s="51"/>
      <c r="EJA42" s="51"/>
      <c r="EJB42" s="51"/>
      <c r="EJC42" s="51"/>
      <c r="EJD42" s="51"/>
      <c r="EJE42" s="51"/>
      <c r="EJF42" s="51"/>
      <c r="EJG42" s="51"/>
      <c r="EJH42" s="51"/>
      <c r="EJI42" s="51"/>
      <c r="EJJ42" s="51"/>
      <c r="EJK42" s="51"/>
      <c r="EJL42" s="51"/>
      <c r="EJM42" s="51"/>
      <c r="EJN42" s="51"/>
      <c r="EJO42" s="51"/>
      <c r="EJP42" s="51"/>
      <c r="EJQ42" s="51"/>
      <c r="EJR42" s="51"/>
      <c r="EJS42" s="51"/>
      <c r="EJT42" s="51"/>
      <c r="EJU42" s="51"/>
      <c r="EJV42" s="51"/>
      <c r="EJW42" s="51"/>
      <c r="EJX42" s="51"/>
      <c r="EJY42" s="51"/>
      <c r="EJZ42" s="51"/>
      <c r="EKA42" s="51"/>
      <c r="EKB42" s="51"/>
      <c r="EKC42" s="51"/>
      <c r="EKD42" s="51"/>
      <c r="EKE42" s="51"/>
      <c r="EKF42" s="51"/>
      <c r="EKG42" s="51"/>
      <c r="EKH42" s="51"/>
      <c r="EKI42" s="51"/>
      <c r="EKJ42" s="51"/>
      <c r="EKK42" s="51"/>
      <c r="EKL42" s="51"/>
      <c r="EKM42" s="51"/>
      <c r="EKN42" s="51"/>
      <c r="EKO42" s="51"/>
      <c r="EKP42" s="51"/>
      <c r="EKQ42" s="51"/>
      <c r="EKR42" s="51"/>
      <c r="EKS42" s="51"/>
      <c r="EKT42" s="51"/>
      <c r="EKU42" s="51"/>
      <c r="EKV42" s="51"/>
      <c r="EKW42" s="51"/>
      <c r="EKX42" s="51"/>
      <c r="EKY42" s="51"/>
      <c r="EKZ42" s="51"/>
      <c r="ELA42" s="51"/>
      <c r="ELB42" s="51"/>
      <c r="ELC42" s="51"/>
      <c r="ELD42" s="51"/>
      <c r="ELE42" s="51"/>
      <c r="ELF42" s="51"/>
      <c r="ELG42" s="51"/>
      <c r="ELH42" s="51"/>
      <c r="ELI42" s="51"/>
      <c r="ELJ42" s="51"/>
      <c r="ELK42" s="51"/>
      <c r="ELL42" s="51"/>
      <c r="ELM42" s="51"/>
      <c r="ELN42" s="51"/>
      <c r="ELO42" s="51"/>
      <c r="ELP42" s="51"/>
      <c r="ELQ42" s="51"/>
      <c r="ELR42" s="51"/>
      <c r="ELS42" s="51"/>
      <c r="ELT42" s="51"/>
      <c r="ELU42" s="51"/>
      <c r="ELV42" s="51"/>
      <c r="ELW42" s="51"/>
      <c r="ELX42" s="51"/>
      <c r="ELY42" s="51"/>
      <c r="ELZ42" s="51"/>
      <c r="EMA42" s="51"/>
      <c r="EMB42" s="51"/>
      <c r="EMC42" s="51"/>
      <c r="EMD42" s="51"/>
      <c r="EME42" s="51"/>
      <c r="EMF42" s="51"/>
      <c r="EMG42" s="51"/>
      <c r="EMH42" s="51"/>
      <c r="EMI42" s="51"/>
      <c r="EMJ42" s="51"/>
      <c r="EMK42" s="51"/>
      <c r="EML42" s="51"/>
      <c r="EMM42" s="51"/>
      <c r="EMN42" s="51"/>
      <c r="EMO42" s="51"/>
      <c r="EMP42" s="51"/>
      <c r="EMQ42" s="51"/>
      <c r="EMR42" s="51"/>
      <c r="EMS42" s="51"/>
      <c r="EMT42" s="51"/>
      <c r="EMU42" s="51"/>
      <c r="EMV42" s="51"/>
      <c r="EMW42" s="51"/>
      <c r="EMX42" s="51"/>
      <c r="EMY42" s="51"/>
      <c r="EMZ42" s="51"/>
      <c r="ENA42" s="51"/>
      <c r="ENB42" s="51"/>
      <c r="ENC42" s="51"/>
      <c r="END42" s="51"/>
      <c r="ENE42" s="51"/>
      <c r="ENF42" s="51"/>
      <c r="ENG42" s="51"/>
      <c r="ENH42" s="51"/>
      <c r="ENI42" s="51"/>
      <c r="ENJ42" s="51"/>
      <c r="ENK42" s="51"/>
      <c r="ENL42" s="51"/>
      <c r="ENM42" s="51"/>
      <c r="ENN42" s="51"/>
      <c r="ENO42" s="51"/>
      <c r="ENP42" s="51"/>
      <c r="ENQ42" s="51"/>
      <c r="ENR42" s="51"/>
      <c r="ENS42" s="51"/>
      <c r="ENT42" s="51"/>
      <c r="ENU42" s="51"/>
      <c r="ENV42" s="51"/>
      <c r="ENW42" s="51"/>
      <c r="ENX42" s="51"/>
      <c r="ENY42" s="51"/>
      <c r="ENZ42" s="51"/>
      <c r="EOA42" s="51"/>
      <c r="EOB42" s="51"/>
      <c r="EOC42" s="51"/>
      <c r="EOD42" s="51"/>
      <c r="EOE42" s="51"/>
      <c r="EOF42" s="51"/>
      <c r="EOG42" s="51"/>
      <c r="EOH42" s="51"/>
      <c r="EOI42" s="51"/>
      <c r="EOJ42" s="51"/>
      <c r="EOK42" s="51"/>
      <c r="EOL42" s="51"/>
      <c r="EOM42" s="51"/>
      <c r="EON42" s="51"/>
      <c r="EOO42" s="51"/>
      <c r="EOP42" s="51"/>
      <c r="EOQ42" s="51"/>
      <c r="EOR42" s="51"/>
      <c r="EOS42" s="51"/>
      <c r="EOT42" s="51"/>
      <c r="EOU42" s="51"/>
      <c r="EOV42" s="51"/>
      <c r="EOW42" s="51"/>
      <c r="EOX42" s="51"/>
      <c r="EOY42" s="51"/>
      <c r="EOZ42" s="51"/>
      <c r="EPA42" s="51"/>
      <c r="EPB42" s="51"/>
      <c r="EPC42" s="51"/>
      <c r="EPD42" s="51"/>
      <c r="EPE42" s="51"/>
      <c r="EPF42" s="51"/>
      <c r="EPG42" s="51"/>
      <c r="EPH42" s="51"/>
      <c r="EPI42" s="51"/>
      <c r="EPJ42" s="51"/>
      <c r="EPK42" s="51"/>
      <c r="EPL42" s="51"/>
      <c r="EPM42" s="51"/>
      <c r="EPN42" s="51"/>
      <c r="EPO42" s="51"/>
      <c r="EPP42" s="51"/>
      <c r="EPQ42" s="51"/>
      <c r="EPR42" s="51"/>
      <c r="EPS42" s="51"/>
      <c r="EPT42" s="51"/>
      <c r="EPU42" s="51"/>
      <c r="EPV42" s="51"/>
      <c r="EPW42" s="51"/>
      <c r="EPX42" s="51"/>
      <c r="EPY42" s="51"/>
      <c r="EPZ42" s="51"/>
      <c r="EQA42" s="51"/>
      <c r="EQB42" s="51"/>
      <c r="EQC42" s="51"/>
      <c r="EQD42" s="51"/>
      <c r="EQE42" s="51"/>
      <c r="EQF42" s="51"/>
      <c r="EQG42" s="51"/>
      <c r="EQH42" s="51"/>
      <c r="EQI42" s="51"/>
      <c r="EQJ42" s="51"/>
      <c r="EQK42" s="51"/>
      <c r="EQL42" s="51"/>
      <c r="EQM42" s="51"/>
      <c r="EQN42" s="51"/>
      <c r="EQO42" s="51"/>
      <c r="EQP42" s="51"/>
      <c r="EQQ42" s="51"/>
      <c r="EQR42" s="51"/>
      <c r="EQS42" s="51"/>
      <c r="EQT42" s="51"/>
      <c r="EQU42" s="51"/>
      <c r="EQV42" s="51"/>
      <c r="EQW42" s="51"/>
      <c r="EQX42" s="51"/>
      <c r="EQY42" s="51"/>
      <c r="EQZ42" s="51"/>
      <c r="ERA42" s="51"/>
      <c r="ERB42" s="51"/>
      <c r="ERC42" s="51"/>
      <c r="ERD42" s="51"/>
      <c r="ERE42" s="51"/>
      <c r="ERF42" s="51"/>
      <c r="ERG42" s="51"/>
      <c r="ERH42" s="51"/>
      <c r="ERI42" s="51"/>
      <c r="ERJ42" s="51"/>
      <c r="ERK42" s="51"/>
      <c r="ERL42" s="51"/>
      <c r="ERM42" s="51"/>
      <c r="ERN42" s="51"/>
      <c r="ERO42" s="51"/>
      <c r="ERP42" s="51"/>
      <c r="ERQ42" s="51"/>
      <c r="ERR42" s="51"/>
      <c r="ERS42" s="51"/>
      <c r="ERT42" s="51"/>
      <c r="ERU42" s="51"/>
      <c r="ERV42" s="51"/>
      <c r="ERW42" s="51"/>
      <c r="ERX42" s="51"/>
      <c r="ERY42" s="51"/>
      <c r="ERZ42" s="51"/>
      <c r="ESA42" s="51"/>
      <c r="ESB42" s="51"/>
      <c r="ESC42" s="51"/>
      <c r="ESD42" s="51"/>
      <c r="ESE42" s="51"/>
      <c r="ESF42" s="51"/>
      <c r="ESG42" s="51"/>
      <c r="ESH42" s="51"/>
      <c r="ESI42" s="51"/>
      <c r="ESJ42" s="51"/>
      <c r="ESK42" s="51"/>
      <c r="ESL42" s="51"/>
      <c r="ESM42" s="51"/>
      <c r="ESN42" s="51"/>
      <c r="ESO42" s="51"/>
      <c r="ESP42" s="51"/>
      <c r="ESQ42" s="51"/>
      <c r="ESR42" s="51"/>
      <c r="ESS42" s="51"/>
      <c r="EST42" s="51"/>
      <c r="ESU42" s="51"/>
      <c r="ESV42" s="51"/>
      <c r="ESW42" s="51"/>
      <c r="ESX42" s="51"/>
      <c r="ESY42" s="51"/>
      <c r="ESZ42" s="51"/>
      <c r="ETA42" s="51"/>
      <c r="ETB42" s="51"/>
      <c r="ETC42" s="51"/>
      <c r="ETD42" s="51"/>
      <c r="ETE42" s="51"/>
      <c r="ETF42" s="51"/>
      <c r="ETG42" s="51"/>
      <c r="ETH42" s="51"/>
      <c r="ETI42" s="51"/>
      <c r="ETJ42" s="51"/>
      <c r="ETK42" s="51"/>
      <c r="ETL42" s="51"/>
      <c r="ETM42" s="51"/>
      <c r="ETN42" s="51"/>
      <c r="ETO42" s="51"/>
      <c r="ETP42" s="51"/>
      <c r="ETQ42" s="51"/>
      <c r="ETR42" s="51"/>
      <c r="ETS42" s="51"/>
      <c r="ETT42" s="51"/>
      <c r="ETU42" s="51"/>
      <c r="ETV42" s="51"/>
      <c r="ETW42" s="51"/>
      <c r="ETX42" s="51"/>
      <c r="ETY42" s="51"/>
      <c r="ETZ42" s="51"/>
      <c r="EUA42" s="51"/>
      <c r="EUB42" s="51"/>
      <c r="EUC42" s="51"/>
      <c r="EUD42" s="51"/>
      <c r="EUE42" s="51"/>
      <c r="EUF42" s="51"/>
      <c r="EUG42" s="51"/>
      <c r="EUH42" s="51"/>
      <c r="EUI42" s="51"/>
      <c r="EUJ42" s="51"/>
      <c r="EUK42" s="51"/>
      <c r="EUL42" s="51"/>
      <c r="EUM42" s="51"/>
      <c r="EUN42" s="51"/>
      <c r="EUO42" s="51"/>
      <c r="EUP42" s="51"/>
      <c r="EUQ42" s="51"/>
      <c r="EUR42" s="51"/>
      <c r="EUS42" s="51"/>
      <c r="EUT42" s="51"/>
      <c r="EUU42" s="51"/>
      <c r="EUV42" s="51"/>
      <c r="EUW42" s="51"/>
      <c r="EUX42" s="51"/>
      <c r="EUY42" s="51"/>
      <c r="EUZ42" s="51"/>
      <c r="EVA42" s="51"/>
      <c r="EVB42" s="51"/>
      <c r="EVC42" s="51"/>
      <c r="EVD42" s="51"/>
      <c r="EVE42" s="51"/>
      <c r="EVF42" s="51"/>
      <c r="EVG42" s="51"/>
      <c r="EVH42" s="51"/>
      <c r="EVI42" s="51"/>
      <c r="EVJ42" s="51"/>
      <c r="EVK42" s="51"/>
      <c r="EVL42" s="51"/>
      <c r="EVM42" s="51"/>
      <c r="EVN42" s="51"/>
      <c r="EVO42" s="51"/>
      <c r="EVP42" s="51"/>
      <c r="EVQ42" s="51"/>
      <c r="EVR42" s="51"/>
      <c r="EVS42" s="51"/>
      <c r="EVT42" s="51"/>
      <c r="EVU42" s="51"/>
      <c r="EVV42" s="51"/>
      <c r="EVW42" s="51"/>
      <c r="EVX42" s="51"/>
      <c r="EVY42" s="51"/>
      <c r="EVZ42" s="51"/>
      <c r="EWA42" s="51"/>
      <c r="EWB42" s="51"/>
      <c r="EWC42" s="51"/>
      <c r="EWD42" s="51"/>
      <c r="EWE42" s="51"/>
      <c r="EWF42" s="51"/>
      <c r="EWG42" s="51"/>
      <c r="EWH42" s="51"/>
      <c r="EWI42" s="51"/>
      <c r="EWJ42" s="51"/>
      <c r="EWK42" s="51"/>
      <c r="EWL42" s="51"/>
      <c r="EWM42" s="51"/>
      <c r="EWN42" s="51"/>
      <c r="EWO42" s="51"/>
      <c r="EWP42" s="51"/>
      <c r="EWQ42" s="51"/>
      <c r="EWR42" s="51"/>
      <c r="EWS42" s="51"/>
      <c r="EWT42" s="51"/>
      <c r="EWU42" s="51"/>
      <c r="EWV42" s="51"/>
      <c r="EWW42" s="51"/>
      <c r="EWX42" s="51"/>
      <c r="EWY42" s="51"/>
      <c r="EWZ42" s="51"/>
      <c r="EXA42" s="51"/>
      <c r="EXB42" s="51"/>
      <c r="EXC42" s="51"/>
      <c r="EXD42" s="51"/>
      <c r="EXE42" s="51"/>
      <c r="EXF42" s="51"/>
      <c r="EXG42" s="51"/>
      <c r="EXH42" s="51"/>
      <c r="EXI42" s="51"/>
      <c r="EXJ42" s="51"/>
      <c r="EXK42" s="51"/>
      <c r="EXL42" s="51"/>
      <c r="EXM42" s="51"/>
      <c r="EXN42" s="51"/>
      <c r="EXO42" s="51"/>
      <c r="EXP42" s="51"/>
      <c r="EXQ42" s="51"/>
      <c r="EXR42" s="51"/>
      <c r="EXS42" s="51"/>
      <c r="EXT42" s="51"/>
      <c r="EXU42" s="51"/>
      <c r="EXV42" s="51"/>
      <c r="EXW42" s="51"/>
      <c r="EXX42" s="51"/>
      <c r="EXY42" s="51"/>
      <c r="EXZ42" s="51"/>
      <c r="EYA42" s="51"/>
      <c r="EYB42" s="51"/>
      <c r="EYC42" s="51"/>
      <c r="EYD42" s="51"/>
      <c r="EYE42" s="51"/>
      <c r="EYF42" s="51"/>
      <c r="EYG42" s="51"/>
      <c r="EYH42" s="51"/>
      <c r="EYI42" s="51"/>
      <c r="EYJ42" s="51"/>
      <c r="EYK42" s="51"/>
      <c r="EYL42" s="51"/>
      <c r="EYM42" s="51"/>
      <c r="EYN42" s="51"/>
      <c r="EYO42" s="51"/>
      <c r="EYP42" s="51"/>
      <c r="EYQ42" s="51"/>
      <c r="EYR42" s="51"/>
      <c r="EYS42" s="51"/>
      <c r="EYT42" s="51"/>
      <c r="EYU42" s="51"/>
      <c r="EYV42" s="51"/>
      <c r="EYW42" s="51"/>
      <c r="EYX42" s="51"/>
      <c r="EYY42" s="51"/>
      <c r="EYZ42" s="51"/>
      <c r="EZA42" s="51"/>
      <c r="EZB42" s="51"/>
      <c r="EZC42" s="51"/>
      <c r="EZD42" s="51"/>
      <c r="EZE42" s="51"/>
      <c r="EZF42" s="51"/>
      <c r="EZG42" s="51"/>
      <c r="EZH42" s="51"/>
      <c r="EZI42" s="51"/>
      <c r="EZJ42" s="51"/>
      <c r="EZK42" s="51"/>
      <c r="EZL42" s="51"/>
      <c r="EZM42" s="51"/>
      <c r="EZN42" s="51"/>
      <c r="EZO42" s="51"/>
      <c r="EZP42" s="51"/>
      <c r="EZQ42" s="51"/>
      <c r="EZR42" s="51"/>
      <c r="EZS42" s="51"/>
      <c r="EZT42" s="51"/>
      <c r="EZU42" s="51"/>
      <c r="EZV42" s="51"/>
      <c r="EZW42" s="51"/>
      <c r="EZX42" s="51"/>
      <c r="EZY42" s="51"/>
      <c r="EZZ42" s="51"/>
      <c r="FAA42" s="51"/>
      <c r="FAB42" s="51"/>
      <c r="FAC42" s="51"/>
      <c r="FAD42" s="51"/>
      <c r="FAE42" s="51"/>
      <c r="FAF42" s="51"/>
      <c r="FAG42" s="51"/>
      <c r="FAH42" s="51"/>
      <c r="FAI42" s="51"/>
      <c r="FAJ42" s="51"/>
      <c r="FAK42" s="51"/>
      <c r="FAL42" s="51"/>
      <c r="FAM42" s="51"/>
      <c r="FAN42" s="51"/>
      <c r="FAO42" s="51"/>
      <c r="FAP42" s="51"/>
      <c r="FAQ42" s="51"/>
      <c r="FAR42" s="51"/>
      <c r="FAS42" s="51"/>
      <c r="FAT42" s="51"/>
      <c r="FAU42" s="51"/>
      <c r="FAV42" s="51"/>
      <c r="FAW42" s="51"/>
      <c r="FAX42" s="51"/>
      <c r="FAY42" s="51"/>
      <c r="FAZ42" s="51"/>
      <c r="FBA42" s="51"/>
      <c r="FBB42" s="51"/>
      <c r="FBC42" s="51"/>
      <c r="FBD42" s="51"/>
      <c r="FBE42" s="51"/>
      <c r="FBF42" s="51"/>
      <c r="FBG42" s="51"/>
      <c r="FBH42" s="51"/>
      <c r="FBI42" s="51"/>
      <c r="FBJ42" s="51"/>
      <c r="FBK42" s="51"/>
      <c r="FBL42" s="51"/>
      <c r="FBM42" s="51"/>
      <c r="FBN42" s="51"/>
      <c r="FBO42" s="51"/>
      <c r="FBP42" s="51"/>
      <c r="FBQ42" s="51"/>
      <c r="FBR42" s="51"/>
      <c r="FBS42" s="51"/>
      <c r="FBT42" s="51"/>
      <c r="FBU42" s="51"/>
      <c r="FBV42" s="51"/>
      <c r="FBW42" s="51"/>
      <c r="FBX42" s="51"/>
      <c r="FBY42" s="51"/>
      <c r="FBZ42" s="51"/>
      <c r="FCA42" s="51"/>
      <c r="FCB42" s="51"/>
      <c r="FCC42" s="51"/>
      <c r="FCD42" s="51"/>
      <c r="FCE42" s="51"/>
      <c r="FCF42" s="51"/>
      <c r="FCG42" s="51"/>
      <c r="FCH42" s="51"/>
      <c r="FCI42" s="51"/>
      <c r="FCJ42" s="51"/>
      <c r="FCK42" s="51"/>
      <c r="FCL42" s="51"/>
      <c r="FCM42" s="51"/>
      <c r="FCN42" s="51"/>
      <c r="FCO42" s="51"/>
      <c r="FCP42" s="51"/>
      <c r="FCQ42" s="51"/>
      <c r="FCR42" s="51"/>
      <c r="FCS42" s="51"/>
      <c r="FCT42" s="51"/>
      <c r="FCU42" s="51"/>
      <c r="FCV42" s="51"/>
      <c r="FCW42" s="51"/>
      <c r="FCX42" s="51"/>
      <c r="FCY42" s="51"/>
      <c r="FCZ42" s="51"/>
      <c r="FDA42" s="51"/>
      <c r="FDB42" s="51"/>
      <c r="FDC42" s="51"/>
      <c r="FDD42" s="51"/>
      <c r="FDE42" s="51"/>
      <c r="FDF42" s="51"/>
      <c r="FDG42" s="51"/>
      <c r="FDH42" s="51"/>
      <c r="FDI42" s="51"/>
      <c r="FDJ42" s="51"/>
      <c r="FDK42" s="51"/>
      <c r="FDL42" s="51"/>
      <c r="FDM42" s="51"/>
      <c r="FDN42" s="51"/>
      <c r="FDO42" s="51"/>
      <c r="FDP42" s="51"/>
      <c r="FDQ42" s="51"/>
      <c r="FDR42" s="51"/>
      <c r="FDS42" s="51"/>
      <c r="FDT42" s="51"/>
      <c r="FDU42" s="51"/>
      <c r="FDV42" s="51"/>
      <c r="FDW42" s="51"/>
      <c r="FDX42" s="51"/>
      <c r="FDY42" s="51"/>
      <c r="FDZ42" s="51"/>
      <c r="FEA42" s="51"/>
      <c r="FEB42" s="51"/>
      <c r="FEC42" s="51"/>
      <c r="FED42" s="51"/>
      <c r="FEE42" s="51"/>
      <c r="FEF42" s="51"/>
      <c r="FEG42" s="51"/>
      <c r="FEH42" s="51"/>
      <c r="FEI42" s="51"/>
      <c r="FEJ42" s="51"/>
      <c r="FEK42" s="51"/>
      <c r="FEL42" s="51"/>
      <c r="FEM42" s="51"/>
      <c r="FEN42" s="51"/>
      <c r="FEO42" s="51"/>
      <c r="FEP42" s="51"/>
      <c r="FEQ42" s="51"/>
      <c r="FER42" s="51"/>
      <c r="FES42" s="51"/>
      <c r="FET42" s="51"/>
      <c r="FEU42" s="51"/>
      <c r="FEV42" s="51"/>
      <c r="FEW42" s="51"/>
      <c r="FEX42" s="51"/>
      <c r="FEY42" s="51"/>
      <c r="FEZ42" s="51"/>
      <c r="FFA42" s="51"/>
      <c r="FFB42" s="51"/>
      <c r="FFC42" s="51"/>
      <c r="FFD42" s="51"/>
      <c r="FFE42" s="51"/>
      <c r="FFF42" s="51"/>
      <c r="FFG42" s="51"/>
      <c r="FFH42" s="51"/>
      <c r="FFI42" s="51"/>
      <c r="FFJ42" s="51"/>
      <c r="FFK42" s="51"/>
      <c r="FFL42" s="51"/>
      <c r="FFM42" s="51"/>
      <c r="FFN42" s="51"/>
      <c r="FFO42" s="51"/>
      <c r="FFP42" s="51"/>
      <c r="FFQ42" s="51"/>
      <c r="FFR42" s="51"/>
      <c r="FFS42" s="51"/>
      <c r="FFT42" s="51"/>
      <c r="FFU42" s="51"/>
      <c r="FFV42" s="51"/>
      <c r="FFW42" s="51"/>
      <c r="FFX42" s="51"/>
      <c r="FFY42" s="51"/>
      <c r="FFZ42" s="51"/>
      <c r="FGA42" s="51"/>
      <c r="FGB42" s="51"/>
      <c r="FGC42" s="51"/>
      <c r="FGD42" s="51"/>
      <c r="FGE42" s="51"/>
      <c r="FGF42" s="51"/>
      <c r="FGG42" s="51"/>
      <c r="FGH42" s="51"/>
      <c r="FGI42" s="51"/>
      <c r="FGJ42" s="51"/>
      <c r="FGK42" s="51"/>
      <c r="FGL42" s="51"/>
      <c r="FGM42" s="51"/>
      <c r="FGN42" s="51"/>
      <c r="FGO42" s="51"/>
      <c r="FGP42" s="51"/>
      <c r="FGQ42" s="51"/>
      <c r="FGR42" s="51"/>
      <c r="FGS42" s="51"/>
      <c r="FGT42" s="51"/>
      <c r="FGU42" s="51"/>
      <c r="FGV42" s="51"/>
      <c r="FGW42" s="51"/>
      <c r="FGX42" s="51"/>
      <c r="FGY42" s="51"/>
      <c r="FGZ42" s="51"/>
      <c r="FHA42" s="51"/>
      <c r="FHB42" s="51"/>
      <c r="FHC42" s="51"/>
      <c r="FHD42" s="51"/>
      <c r="FHE42" s="51"/>
      <c r="FHF42" s="51"/>
      <c r="FHG42" s="51"/>
      <c r="FHH42" s="51"/>
      <c r="FHI42" s="51"/>
      <c r="FHJ42" s="51"/>
      <c r="FHK42" s="51"/>
      <c r="FHL42" s="51"/>
      <c r="FHM42" s="51"/>
      <c r="FHN42" s="51"/>
      <c r="FHO42" s="51"/>
      <c r="FHP42" s="51"/>
      <c r="FHQ42" s="51"/>
      <c r="FHR42" s="51"/>
      <c r="FHS42" s="51"/>
      <c r="FHT42" s="51"/>
      <c r="FHU42" s="51"/>
      <c r="FHV42" s="51"/>
      <c r="FHW42" s="51"/>
      <c r="FHX42" s="51"/>
      <c r="FHY42" s="51"/>
      <c r="FHZ42" s="51"/>
      <c r="FIA42" s="51"/>
      <c r="FIB42" s="51"/>
      <c r="FIC42" s="51"/>
      <c r="FID42" s="51"/>
      <c r="FIE42" s="51"/>
      <c r="FIF42" s="51"/>
      <c r="FIG42" s="51"/>
      <c r="FIH42" s="51"/>
      <c r="FII42" s="51"/>
      <c r="FIJ42" s="51"/>
      <c r="FIK42" s="51"/>
      <c r="FIL42" s="51"/>
      <c r="FIM42" s="51"/>
      <c r="FIN42" s="51"/>
      <c r="FIO42" s="51"/>
      <c r="FIP42" s="51"/>
      <c r="FIQ42" s="51"/>
      <c r="FIR42" s="51"/>
      <c r="FIS42" s="51"/>
      <c r="FIT42" s="51"/>
      <c r="FIU42" s="51"/>
      <c r="FIV42" s="51"/>
      <c r="FIW42" s="51"/>
      <c r="FIX42" s="51"/>
      <c r="FIY42" s="51"/>
      <c r="FIZ42" s="51"/>
      <c r="FJA42" s="51"/>
      <c r="FJB42" s="51"/>
      <c r="FJC42" s="51"/>
      <c r="FJD42" s="51"/>
      <c r="FJE42" s="51"/>
      <c r="FJF42" s="51"/>
      <c r="FJG42" s="51"/>
      <c r="FJH42" s="51"/>
      <c r="FJI42" s="51"/>
      <c r="FJJ42" s="51"/>
      <c r="FJK42" s="51"/>
      <c r="FJL42" s="51"/>
      <c r="FJM42" s="51"/>
      <c r="FJN42" s="51"/>
      <c r="FJO42" s="51"/>
      <c r="FJP42" s="51"/>
      <c r="FJQ42" s="51"/>
      <c r="FJR42" s="51"/>
      <c r="FJS42" s="51"/>
      <c r="FJT42" s="51"/>
      <c r="FJU42" s="51"/>
      <c r="FJV42" s="51"/>
      <c r="FJW42" s="51"/>
      <c r="FJX42" s="51"/>
      <c r="FJY42" s="51"/>
      <c r="FJZ42" s="51"/>
      <c r="FKA42" s="51"/>
      <c r="FKB42" s="51"/>
      <c r="FKC42" s="51"/>
      <c r="FKD42" s="51"/>
      <c r="FKE42" s="51"/>
      <c r="FKF42" s="51"/>
      <c r="FKG42" s="51"/>
      <c r="FKH42" s="51"/>
      <c r="FKI42" s="51"/>
      <c r="FKJ42" s="51"/>
      <c r="FKK42" s="51"/>
      <c r="FKL42" s="51"/>
      <c r="FKM42" s="51"/>
      <c r="FKN42" s="51"/>
      <c r="FKO42" s="51"/>
      <c r="FKP42" s="51"/>
      <c r="FKQ42" s="51"/>
      <c r="FKR42" s="51"/>
      <c r="FKS42" s="51"/>
      <c r="FKT42" s="51"/>
      <c r="FKU42" s="51"/>
      <c r="FKV42" s="51"/>
      <c r="FKW42" s="51"/>
      <c r="FKX42" s="51"/>
      <c r="FKY42" s="51"/>
      <c r="FKZ42" s="51"/>
      <c r="FLA42" s="51"/>
      <c r="FLB42" s="51"/>
      <c r="FLC42" s="51"/>
      <c r="FLD42" s="51"/>
      <c r="FLE42" s="51"/>
      <c r="FLF42" s="51"/>
      <c r="FLG42" s="51"/>
      <c r="FLH42" s="51"/>
      <c r="FLI42" s="51"/>
      <c r="FLJ42" s="51"/>
      <c r="FLK42" s="51"/>
      <c r="FLL42" s="51"/>
      <c r="FLM42" s="51"/>
      <c r="FLN42" s="51"/>
      <c r="FLO42" s="51"/>
      <c r="FLP42" s="51"/>
      <c r="FLQ42" s="51"/>
      <c r="FLR42" s="51"/>
      <c r="FLS42" s="51"/>
      <c r="FLT42" s="51"/>
      <c r="FLU42" s="51"/>
      <c r="FLV42" s="51"/>
      <c r="FLW42" s="51"/>
      <c r="FLX42" s="51"/>
      <c r="FLY42" s="51"/>
      <c r="FLZ42" s="51"/>
      <c r="FMA42" s="51"/>
      <c r="FMB42" s="51"/>
      <c r="FMC42" s="51"/>
      <c r="FMD42" s="51"/>
      <c r="FME42" s="51"/>
      <c r="FMF42" s="51"/>
      <c r="FMG42" s="51"/>
      <c r="FMH42" s="51"/>
      <c r="FMI42" s="51"/>
      <c r="FMJ42" s="51"/>
      <c r="FMK42" s="51"/>
      <c r="FML42" s="51"/>
      <c r="FMM42" s="51"/>
      <c r="FMN42" s="51"/>
      <c r="FMO42" s="51"/>
      <c r="FMP42" s="51"/>
      <c r="FMQ42" s="51"/>
      <c r="FMR42" s="51"/>
      <c r="FMS42" s="51"/>
      <c r="FMT42" s="51"/>
      <c r="FMU42" s="51"/>
      <c r="FMV42" s="51"/>
      <c r="FMW42" s="51"/>
      <c r="FMX42" s="51"/>
      <c r="FMY42" s="51"/>
      <c r="FMZ42" s="51"/>
      <c r="FNA42" s="51"/>
      <c r="FNB42" s="51"/>
      <c r="FNC42" s="51"/>
      <c r="FND42" s="51"/>
      <c r="FNE42" s="51"/>
      <c r="FNF42" s="51"/>
      <c r="FNG42" s="51"/>
      <c r="FNH42" s="51"/>
      <c r="FNI42" s="51"/>
      <c r="FNJ42" s="51"/>
      <c r="FNK42" s="51"/>
      <c r="FNL42" s="51"/>
      <c r="FNM42" s="51"/>
      <c r="FNN42" s="51"/>
      <c r="FNO42" s="51"/>
      <c r="FNP42" s="51"/>
      <c r="FNQ42" s="51"/>
      <c r="FNR42" s="51"/>
      <c r="FNS42" s="51"/>
      <c r="FNT42" s="51"/>
      <c r="FNU42" s="51"/>
      <c r="FNV42" s="51"/>
      <c r="FNW42" s="51"/>
      <c r="FNX42" s="51"/>
      <c r="FNY42" s="51"/>
      <c r="FNZ42" s="51"/>
      <c r="FOA42" s="51"/>
      <c r="FOB42" s="51"/>
      <c r="FOC42" s="51"/>
      <c r="FOD42" s="51"/>
      <c r="FOE42" s="51"/>
      <c r="FOF42" s="51"/>
      <c r="FOG42" s="51"/>
      <c r="FOH42" s="51"/>
      <c r="FOI42" s="51"/>
      <c r="FOJ42" s="51"/>
      <c r="FOK42" s="51"/>
      <c r="FOL42" s="51"/>
      <c r="FOM42" s="51"/>
      <c r="FON42" s="51"/>
      <c r="FOO42" s="51"/>
      <c r="FOP42" s="51"/>
      <c r="FOQ42" s="51"/>
      <c r="FOR42" s="51"/>
      <c r="FOS42" s="51"/>
      <c r="FOT42" s="51"/>
      <c r="FOU42" s="51"/>
      <c r="FOV42" s="51"/>
      <c r="FOW42" s="51"/>
      <c r="FOX42" s="51"/>
      <c r="FOY42" s="51"/>
      <c r="FOZ42" s="51"/>
      <c r="FPA42" s="51"/>
      <c r="FPB42" s="51"/>
      <c r="FPC42" s="51"/>
      <c r="FPD42" s="51"/>
      <c r="FPE42" s="51"/>
      <c r="FPF42" s="51"/>
      <c r="FPG42" s="51"/>
      <c r="FPH42" s="51"/>
      <c r="FPI42" s="51"/>
      <c r="FPJ42" s="51"/>
      <c r="FPK42" s="51"/>
      <c r="FPL42" s="51"/>
      <c r="FPM42" s="51"/>
      <c r="FPN42" s="51"/>
      <c r="FPO42" s="51"/>
      <c r="FPP42" s="51"/>
      <c r="FPQ42" s="51"/>
      <c r="FPR42" s="51"/>
      <c r="FPS42" s="51"/>
      <c r="FPT42" s="51"/>
      <c r="FPU42" s="51"/>
      <c r="FPV42" s="51"/>
      <c r="FPW42" s="51"/>
      <c r="FPX42" s="51"/>
      <c r="FPY42" s="51"/>
      <c r="FPZ42" s="51"/>
      <c r="FQA42" s="51"/>
      <c r="FQB42" s="51"/>
      <c r="FQC42" s="51"/>
      <c r="FQD42" s="51"/>
      <c r="FQE42" s="51"/>
      <c r="FQF42" s="51"/>
      <c r="FQG42" s="51"/>
      <c r="FQH42" s="51"/>
      <c r="FQI42" s="51"/>
      <c r="FQJ42" s="51"/>
      <c r="FQK42" s="51"/>
      <c r="FQL42" s="51"/>
      <c r="FQM42" s="51"/>
      <c r="FQN42" s="51"/>
      <c r="FQO42" s="51"/>
      <c r="FQP42" s="51"/>
      <c r="FQQ42" s="51"/>
      <c r="FQR42" s="51"/>
      <c r="FQS42" s="51"/>
      <c r="FQT42" s="51"/>
      <c r="FQU42" s="51"/>
      <c r="FQV42" s="51"/>
      <c r="FQW42" s="51"/>
      <c r="FQX42" s="51"/>
      <c r="FQY42" s="51"/>
      <c r="FQZ42" s="51"/>
      <c r="FRA42" s="51"/>
      <c r="FRB42" s="51"/>
      <c r="FRC42" s="51"/>
      <c r="FRD42" s="51"/>
      <c r="FRE42" s="51"/>
      <c r="FRF42" s="51"/>
      <c r="FRG42" s="51"/>
      <c r="FRH42" s="51"/>
      <c r="FRI42" s="51"/>
      <c r="FRJ42" s="51"/>
      <c r="FRK42" s="51"/>
      <c r="FRL42" s="51"/>
      <c r="FRM42" s="51"/>
      <c r="FRN42" s="51"/>
      <c r="FRO42" s="51"/>
      <c r="FRP42" s="51"/>
      <c r="FRQ42" s="51"/>
      <c r="FRR42" s="51"/>
      <c r="FRS42" s="51"/>
      <c r="FRT42" s="51"/>
      <c r="FRU42" s="51"/>
      <c r="FRV42" s="51"/>
      <c r="FRW42" s="51"/>
      <c r="FRX42" s="51"/>
      <c r="FRY42" s="51"/>
      <c r="FRZ42" s="51"/>
      <c r="FSA42" s="51"/>
      <c r="FSB42" s="51"/>
      <c r="FSC42" s="51"/>
      <c r="FSD42" s="51"/>
      <c r="FSE42" s="51"/>
      <c r="FSF42" s="51"/>
      <c r="FSG42" s="51"/>
      <c r="FSH42" s="51"/>
      <c r="FSI42" s="51"/>
      <c r="FSJ42" s="51"/>
      <c r="FSK42" s="51"/>
      <c r="FSL42" s="51"/>
      <c r="FSM42" s="51"/>
      <c r="FSN42" s="51"/>
      <c r="FSO42" s="51"/>
      <c r="FSP42" s="51"/>
      <c r="FSQ42" s="51"/>
      <c r="FSR42" s="51"/>
      <c r="FSS42" s="51"/>
      <c r="FST42" s="51"/>
      <c r="FSU42" s="51"/>
      <c r="FSV42" s="51"/>
      <c r="FSW42" s="51"/>
      <c r="FSX42" s="51"/>
      <c r="FSY42" s="51"/>
      <c r="FSZ42" s="51"/>
      <c r="FTA42" s="51"/>
      <c r="FTB42" s="51"/>
      <c r="FTC42" s="51"/>
      <c r="FTD42" s="51"/>
      <c r="FTE42" s="51"/>
      <c r="FTF42" s="51"/>
      <c r="FTG42" s="51"/>
      <c r="FTH42" s="51"/>
      <c r="FTI42" s="51"/>
      <c r="FTJ42" s="51"/>
      <c r="FTK42" s="51"/>
      <c r="FTL42" s="51"/>
      <c r="FTM42" s="51"/>
      <c r="FTN42" s="51"/>
      <c r="FTO42" s="51"/>
      <c r="FTP42" s="51"/>
      <c r="FTQ42" s="51"/>
      <c r="FTR42" s="51"/>
      <c r="FTS42" s="51"/>
      <c r="FTT42" s="51"/>
      <c r="FTU42" s="51"/>
      <c r="FTV42" s="51"/>
      <c r="FTW42" s="51"/>
      <c r="FTX42" s="51"/>
      <c r="FTY42" s="51"/>
      <c r="FTZ42" s="51"/>
      <c r="FUA42" s="51"/>
      <c r="FUB42" s="51"/>
      <c r="FUC42" s="51"/>
      <c r="FUD42" s="51"/>
      <c r="FUE42" s="51"/>
      <c r="FUF42" s="51"/>
      <c r="FUG42" s="51"/>
      <c r="FUH42" s="51"/>
      <c r="FUI42" s="51"/>
      <c r="FUJ42" s="51"/>
      <c r="FUK42" s="51"/>
      <c r="FUL42" s="51"/>
      <c r="FUM42" s="51"/>
      <c r="FUN42" s="51"/>
      <c r="FUO42" s="51"/>
      <c r="FUP42" s="51"/>
      <c r="FUQ42" s="51"/>
      <c r="FUR42" s="51"/>
      <c r="FUS42" s="51"/>
      <c r="FUT42" s="51"/>
      <c r="FUU42" s="51"/>
      <c r="FUV42" s="51"/>
      <c r="FUW42" s="51"/>
      <c r="FUX42" s="51"/>
      <c r="FUY42" s="51"/>
      <c r="FUZ42" s="51"/>
      <c r="FVA42" s="51"/>
      <c r="FVB42" s="51"/>
      <c r="FVC42" s="51"/>
      <c r="FVD42" s="51"/>
      <c r="FVE42" s="51"/>
      <c r="FVF42" s="51"/>
      <c r="FVG42" s="51"/>
      <c r="FVH42" s="51"/>
      <c r="FVI42" s="51"/>
      <c r="FVJ42" s="51"/>
      <c r="FVK42" s="51"/>
      <c r="FVL42" s="51"/>
      <c r="FVM42" s="51"/>
      <c r="FVN42" s="51"/>
      <c r="FVO42" s="51"/>
      <c r="FVP42" s="51"/>
      <c r="FVQ42" s="51"/>
      <c r="FVR42" s="51"/>
      <c r="FVS42" s="51"/>
      <c r="FVT42" s="51"/>
      <c r="FVU42" s="51"/>
      <c r="FVV42" s="51"/>
      <c r="FVW42" s="51"/>
      <c r="FVX42" s="51"/>
      <c r="FVY42" s="51"/>
      <c r="FVZ42" s="51"/>
      <c r="FWA42" s="51"/>
      <c r="FWB42" s="51"/>
      <c r="FWC42" s="51"/>
      <c r="FWD42" s="51"/>
      <c r="FWE42" s="51"/>
      <c r="FWF42" s="51"/>
      <c r="FWG42" s="51"/>
      <c r="FWH42" s="51"/>
      <c r="FWI42" s="51"/>
      <c r="FWJ42" s="51"/>
      <c r="FWK42" s="51"/>
      <c r="FWL42" s="51"/>
      <c r="FWM42" s="51"/>
      <c r="FWN42" s="51"/>
      <c r="FWO42" s="51"/>
      <c r="FWP42" s="51"/>
      <c r="FWQ42" s="51"/>
      <c r="FWR42" s="51"/>
      <c r="FWS42" s="51"/>
      <c r="FWT42" s="51"/>
      <c r="FWU42" s="51"/>
      <c r="FWV42" s="51"/>
      <c r="FWW42" s="51"/>
      <c r="FWX42" s="51"/>
      <c r="FWY42" s="51"/>
      <c r="FWZ42" s="51"/>
      <c r="FXA42" s="51"/>
      <c r="FXB42" s="51"/>
      <c r="FXC42" s="51"/>
      <c r="FXD42" s="51"/>
      <c r="FXE42" s="51"/>
      <c r="FXF42" s="51"/>
      <c r="FXG42" s="51"/>
      <c r="FXH42" s="51"/>
      <c r="FXI42" s="51"/>
      <c r="FXJ42" s="51"/>
      <c r="FXK42" s="51"/>
      <c r="FXL42" s="51"/>
      <c r="FXM42" s="51"/>
      <c r="FXN42" s="51"/>
      <c r="FXO42" s="51"/>
      <c r="FXP42" s="51"/>
      <c r="FXQ42" s="51"/>
      <c r="FXR42" s="51"/>
      <c r="FXS42" s="51"/>
      <c r="FXT42" s="51"/>
      <c r="FXU42" s="51"/>
      <c r="FXV42" s="51"/>
      <c r="FXW42" s="51"/>
      <c r="FXX42" s="51"/>
      <c r="FXY42" s="51"/>
      <c r="FXZ42" s="51"/>
      <c r="FYA42" s="51"/>
      <c r="FYB42" s="51"/>
      <c r="FYC42" s="51"/>
      <c r="FYD42" s="51"/>
      <c r="FYE42" s="51"/>
      <c r="FYF42" s="51"/>
      <c r="FYG42" s="51"/>
      <c r="FYH42" s="51"/>
      <c r="FYI42" s="51"/>
      <c r="FYJ42" s="51"/>
      <c r="FYK42" s="51"/>
      <c r="FYL42" s="51"/>
      <c r="FYM42" s="51"/>
      <c r="FYN42" s="51"/>
      <c r="FYO42" s="51"/>
      <c r="FYP42" s="51"/>
      <c r="FYQ42" s="51"/>
      <c r="FYR42" s="51"/>
      <c r="FYS42" s="51"/>
      <c r="FYT42" s="51"/>
      <c r="FYU42" s="51"/>
      <c r="FYV42" s="51"/>
      <c r="FYW42" s="51"/>
      <c r="FYX42" s="51"/>
      <c r="FYY42" s="51"/>
      <c r="FYZ42" s="51"/>
      <c r="FZA42" s="51"/>
      <c r="FZB42" s="51"/>
      <c r="FZC42" s="51"/>
      <c r="FZD42" s="51"/>
      <c r="FZE42" s="51"/>
      <c r="FZF42" s="51"/>
      <c r="FZG42" s="51"/>
      <c r="FZH42" s="51"/>
      <c r="FZI42" s="51"/>
      <c r="FZJ42" s="51"/>
      <c r="FZK42" s="51"/>
      <c r="FZL42" s="51"/>
      <c r="FZM42" s="51"/>
      <c r="FZN42" s="51"/>
      <c r="FZO42" s="51"/>
      <c r="FZP42" s="51"/>
      <c r="FZQ42" s="51"/>
      <c r="FZR42" s="51"/>
      <c r="FZS42" s="51"/>
      <c r="FZT42" s="51"/>
      <c r="FZU42" s="51"/>
      <c r="FZV42" s="51"/>
      <c r="FZW42" s="51"/>
      <c r="FZX42" s="51"/>
      <c r="FZY42" s="51"/>
      <c r="FZZ42" s="51"/>
      <c r="GAA42" s="51"/>
      <c r="GAB42" s="51"/>
      <c r="GAC42" s="51"/>
      <c r="GAD42" s="51"/>
      <c r="GAE42" s="51"/>
      <c r="GAF42" s="51"/>
      <c r="GAG42" s="51"/>
      <c r="GAH42" s="51"/>
      <c r="GAI42" s="51"/>
      <c r="GAJ42" s="51"/>
      <c r="GAK42" s="51"/>
      <c r="GAL42" s="51"/>
      <c r="GAM42" s="51"/>
      <c r="GAN42" s="51"/>
      <c r="GAO42" s="51"/>
      <c r="GAP42" s="51"/>
      <c r="GAQ42" s="51"/>
      <c r="GAR42" s="51"/>
      <c r="GAS42" s="51"/>
      <c r="GAT42" s="51"/>
      <c r="GAU42" s="51"/>
      <c r="GAV42" s="51"/>
      <c r="GAW42" s="51"/>
      <c r="GAX42" s="51"/>
      <c r="GAY42" s="51"/>
      <c r="GAZ42" s="51"/>
      <c r="GBA42" s="51"/>
      <c r="GBB42" s="51"/>
      <c r="GBC42" s="51"/>
      <c r="GBD42" s="51"/>
      <c r="GBE42" s="51"/>
      <c r="GBF42" s="51"/>
      <c r="GBG42" s="51"/>
      <c r="GBH42" s="51"/>
      <c r="GBI42" s="51"/>
      <c r="GBJ42" s="51"/>
      <c r="GBK42" s="51"/>
      <c r="GBL42" s="51"/>
      <c r="GBM42" s="51"/>
      <c r="GBN42" s="51"/>
      <c r="GBO42" s="51"/>
      <c r="GBP42" s="51"/>
      <c r="GBQ42" s="51"/>
      <c r="GBR42" s="51"/>
      <c r="GBS42" s="51"/>
      <c r="GBT42" s="51"/>
      <c r="GBU42" s="51"/>
      <c r="GBV42" s="51"/>
      <c r="GBW42" s="51"/>
      <c r="GBX42" s="51"/>
      <c r="GBY42" s="51"/>
      <c r="GBZ42" s="51"/>
      <c r="GCA42" s="51"/>
      <c r="GCB42" s="51"/>
      <c r="GCC42" s="51"/>
      <c r="GCD42" s="51"/>
      <c r="GCE42" s="51"/>
      <c r="GCF42" s="51"/>
      <c r="GCG42" s="51"/>
      <c r="GCH42" s="51"/>
      <c r="GCI42" s="51"/>
      <c r="GCJ42" s="51"/>
      <c r="GCK42" s="51"/>
      <c r="GCL42" s="51"/>
      <c r="GCM42" s="51"/>
      <c r="GCN42" s="51"/>
      <c r="GCO42" s="51"/>
      <c r="GCP42" s="51"/>
      <c r="GCQ42" s="51"/>
      <c r="GCR42" s="51"/>
      <c r="GCS42" s="51"/>
      <c r="GCT42" s="51"/>
      <c r="GCU42" s="51"/>
      <c r="GCV42" s="51"/>
      <c r="GCW42" s="51"/>
      <c r="GCX42" s="51"/>
      <c r="GCY42" s="51"/>
      <c r="GCZ42" s="51"/>
      <c r="GDA42" s="51"/>
      <c r="GDB42" s="51"/>
      <c r="GDC42" s="51"/>
      <c r="GDD42" s="51"/>
      <c r="GDE42" s="51"/>
      <c r="GDF42" s="51"/>
      <c r="GDG42" s="51"/>
      <c r="GDH42" s="51"/>
      <c r="GDI42" s="51"/>
      <c r="GDJ42" s="51"/>
      <c r="GDK42" s="51"/>
      <c r="GDL42" s="51"/>
      <c r="GDM42" s="51"/>
      <c r="GDN42" s="51"/>
      <c r="GDO42" s="51"/>
      <c r="GDP42" s="51"/>
      <c r="GDQ42" s="51"/>
      <c r="GDR42" s="51"/>
      <c r="GDS42" s="51"/>
      <c r="GDT42" s="51"/>
      <c r="GDU42" s="51"/>
      <c r="GDV42" s="51"/>
      <c r="GDW42" s="51"/>
      <c r="GDX42" s="51"/>
      <c r="GDY42" s="51"/>
      <c r="GDZ42" s="51"/>
      <c r="GEA42" s="51"/>
      <c r="GEB42" s="51"/>
      <c r="GEC42" s="51"/>
      <c r="GED42" s="51"/>
      <c r="GEE42" s="51"/>
      <c r="GEF42" s="51"/>
      <c r="GEG42" s="51"/>
      <c r="GEH42" s="51"/>
      <c r="GEI42" s="51"/>
      <c r="GEJ42" s="51"/>
      <c r="GEK42" s="51"/>
      <c r="GEL42" s="51"/>
      <c r="GEM42" s="51"/>
      <c r="GEN42" s="51"/>
      <c r="GEO42" s="51"/>
      <c r="GEP42" s="51"/>
      <c r="GEQ42" s="51"/>
      <c r="GER42" s="51"/>
      <c r="GES42" s="51"/>
      <c r="GET42" s="51"/>
      <c r="GEU42" s="51"/>
      <c r="GEV42" s="51"/>
      <c r="GEW42" s="51"/>
      <c r="GEX42" s="51"/>
      <c r="GEY42" s="51"/>
      <c r="GEZ42" s="51"/>
      <c r="GFA42" s="51"/>
      <c r="GFB42" s="51"/>
      <c r="GFC42" s="51"/>
      <c r="GFD42" s="51"/>
      <c r="GFE42" s="51"/>
      <c r="GFF42" s="51"/>
      <c r="GFG42" s="51"/>
      <c r="GFH42" s="51"/>
      <c r="GFI42" s="51"/>
      <c r="GFJ42" s="51"/>
      <c r="GFK42" s="51"/>
      <c r="GFL42" s="51"/>
      <c r="GFM42" s="51"/>
      <c r="GFN42" s="51"/>
      <c r="GFO42" s="51"/>
      <c r="GFP42" s="51"/>
      <c r="GFQ42" s="51"/>
      <c r="GFR42" s="51"/>
      <c r="GFS42" s="51"/>
      <c r="GFT42" s="51"/>
      <c r="GFU42" s="51"/>
      <c r="GFV42" s="51"/>
      <c r="GFW42" s="51"/>
      <c r="GFX42" s="51"/>
      <c r="GFY42" s="51"/>
      <c r="GFZ42" s="51"/>
      <c r="GGA42" s="51"/>
      <c r="GGB42" s="51"/>
      <c r="GGC42" s="51"/>
      <c r="GGD42" s="51"/>
      <c r="GGE42" s="51"/>
      <c r="GGF42" s="51"/>
      <c r="GGG42" s="51"/>
      <c r="GGH42" s="51"/>
      <c r="GGI42" s="51"/>
      <c r="GGJ42" s="51"/>
      <c r="GGK42" s="51"/>
      <c r="GGL42" s="51"/>
      <c r="GGM42" s="51"/>
      <c r="GGN42" s="51"/>
      <c r="GGO42" s="51"/>
      <c r="GGP42" s="51"/>
      <c r="GGQ42" s="51"/>
      <c r="GGR42" s="51"/>
      <c r="GGS42" s="51"/>
      <c r="GGT42" s="51"/>
      <c r="GGU42" s="51"/>
      <c r="GGV42" s="51"/>
      <c r="GGW42" s="51"/>
      <c r="GGX42" s="51"/>
      <c r="GGY42" s="51"/>
      <c r="GGZ42" s="51"/>
      <c r="GHA42" s="51"/>
      <c r="GHB42" s="51"/>
      <c r="GHC42" s="51"/>
      <c r="GHD42" s="51"/>
      <c r="GHE42" s="51"/>
      <c r="GHF42" s="51"/>
      <c r="GHG42" s="51"/>
      <c r="GHH42" s="51"/>
      <c r="GHI42" s="51"/>
      <c r="GHJ42" s="51"/>
      <c r="GHK42" s="51"/>
      <c r="GHL42" s="51"/>
      <c r="GHM42" s="51"/>
      <c r="GHN42" s="51"/>
      <c r="GHO42" s="51"/>
      <c r="GHP42" s="51"/>
      <c r="GHQ42" s="51"/>
      <c r="GHR42" s="51"/>
      <c r="GHS42" s="51"/>
      <c r="GHT42" s="51"/>
      <c r="GHU42" s="51"/>
      <c r="GHV42" s="51"/>
      <c r="GHW42" s="51"/>
      <c r="GHX42" s="51"/>
      <c r="GHY42" s="51"/>
      <c r="GHZ42" s="51"/>
      <c r="GIA42" s="51"/>
      <c r="GIB42" s="51"/>
      <c r="GIC42" s="51"/>
      <c r="GID42" s="51"/>
      <c r="GIE42" s="51"/>
      <c r="GIF42" s="51"/>
      <c r="GIG42" s="51"/>
      <c r="GIH42" s="51"/>
      <c r="GII42" s="51"/>
      <c r="GIJ42" s="51"/>
      <c r="GIK42" s="51"/>
      <c r="GIL42" s="51"/>
      <c r="GIM42" s="51"/>
      <c r="GIN42" s="51"/>
      <c r="GIO42" s="51"/>
      <c r="GIP42" s="51"/>
      <c r="GIQ42" s="51"/>
      <c r="GIR42" s="51"/>
      <c r="GIS42" s="51"/>
      <c r="GIT42" s="51"/>
      <c r="GIU42" s="51"/>
      <c r="GIV42" s="51"/>
      <c r="GIW42" s="51"/>
      <c r="GIX42" s="51"/>
      <c r="GIY42" s="51"/>
      <c r="GIZ42" s="51"/>
      <c r="GJA42" s="51"/>
      <c r="GJB42" s="51"/>
      <c r="GJC42" s="51"/>
      <c r="GJD42" s="51"/>
      <c r="GJE42" s="51"/>
      <c r="GJF42" s="51"/>
      <c r="GJG42" s="51"/>
      <c r="GJH42" s="51"/>
      <c r="GJI42" s="51"/>
      <c r="GJJ42" s="51"/>
      <c r="GJK42" s="51"/>
      <c r="GJL42" s="51"/>
      <c r="GJM42" s="51"/>
      <c r="GJN42" s="51"/>
      <c r="GJO42" s="51"/>
      <c r="GJP42" s="51"/>
      <c r="GJQ42" s="51"/>
      <c r="GJR42" s="51"/>
      <c r="GJS42" s="51"/>
      <c r="GJT42" s="51"/>
      <c r="GJU42" s="51"/>
      <c r="GJV42" s="51"/>
      <c r="GJW42" s="51"/>
      <c r="GJX42" s="51"/>
      <c r="GJY42" s="51"/>
      <c r="GJZ42" s="51"/>
      <c r="GKA42" s="51"/>
      <c r="GKB42" s="51"/>
      <c r="GKC42" s="51"/>
      <c r="GKD42" s="51"/>
      <c r="GKE42" s="51"/>
      <c r="GKF42" s="51"/>
      <c r="GKG42" s="51"/>
      <c r="GKH42" s="51"/>
      <c r="GKI42" s="51"/>
      <c r="GKJ42" s="51"/>
      <c r="GKK42" s="51"/>
      <c r="GKL42" s="51"/>
      <c r="GKM42" s="51"/>
      <c r="GKN42" s="51"/>
      <c r="GKO42" s="51"/>
      <c r="GKP42" s="51"/>
      <c r="GKQ42" s="51"/>
      <c r="GKR42" s="51"/>
      <c r="GKS42" s="51"/>
      <c r="GKT42" s="51"/>
      <c r="GKU42" s="51"/>
      <c r="GKV42" s="51"/>
      <c r="GKW42" s="51"/>
      <c r="GKX42" s="51"/>
      <c r="GKY42" s="51"/>
      <c r="GKZ42" s="51"/>
      <c r="GLA42" s="51"/>
      <c r="GLB42" s="51"/>
      <c r="GLC42" s="51"/>
      <c r="GLD42" s="51"/>
      <c r="GLE42" s="51"/>
      <c r="GLF42" s="51"/>
      <c r="GLG42" s="51"/>
      <c r="GLH42" s="51"/>
      <c r="GLI42" s="51"/>
      <c r="GLJ42" s="51"/>
      <c r="GLK42" s="51"/>
      <c r="GLL42" s="51"/>
      <c r="GLM42" s="51"/>
      <c r="GLN42" s="51"/>
      <c r="GLO42" s="51"/>
      <c r="GLP42" s="51"/>
      <c r="GLQ42" s="51"/>
      <c r="GLR42" s="51"/>
      <c r="GLS42" s="51"/>
      <c r="GLT42" s="51"/>
      <c r="GLU42" s="51"/>
      <c r="GLV42" s="51"/>
      <c r="GLW42" s="51"/>
      <c r="GLX42" s="51"/>
      <c r="GLY42" s="51"/>
      <c r="GLZ42" s="51"/>
      <c r="GMA42" s="51"/>
      <c r="GMB42" s="51"/>
      <c r="GMC42" s="51"/>
      <c r="GMD42" s="51"/>
      <c r="GME42" s="51"/>
      <c r="GMF42" s="51"/>
      <c r="GMG42" s="51"/>
      <c r="GMH42" s="51"/>
      <c r="GMI42" s="51"/>
      <c r="GMJ42" s="51"/>
      <c r="GMK42" s="51"/>
      <c r="GML42" s="51"/>
      <c r="GMM42" s="51"/>
      <c r="GMN42" s="51"/>
      <c r="GMO42" s="51"/>
      <c r="GMP42" s="51"/>
      <c r="GMQ42" s="51"/>
      <c r="GMR42" s="51"/>
      <c r="GMS42" s="51"/>
      <c r="GMT42" s="51"/>
      <c r="GMU42" s="51"/>
      <c r="GMV42" s="51"/>
      <c r="GMW42" s="51"/>
      <c r="GMX42" s="51"/>
      <c r="GMY42" s="51"/>
      <c r="GMZ42" s="51"/>
      <c r="GNA42" s="51"/>
      <c r="GNB42" s="51"/>
      <c r="GNC42" s="51"/>
      <c r="GND42" s="51"/>
      <c r="GNE42" s="51"/>
      <c r="GNF42" s="51"/>
      <c r="GNG42" s="51"/>
      <c r="GNH42" s="51"/>
      <c r="GNI42" s="51"/>
      <c r="GNJ42" s="51"/>
      <c r="GNK42" s="51"/>
      <c r="GNL42" s="51"/>
      <c r="GNM42" s="51"/>
      <c r="GNN42" s="51"/>
      <c r="GNO42" s="51"/>
      <c r="GNP42" s="51"/>
      <c r="GNQ42" s="51"/>
      <c r="GNR42" s="51"/>
      <c r="GNS42" s="51"/>
      <c r="GNT42" s="51"/>
      <c r="GNU42" s="51"/>
      <c r="GNV42" s="51"/>
      <c r="GNW42" s="51"/>
      <c r="GNX42" s="51"/>
      <c r="GNY42" s="51"/>
      <c r="GNZ42" s="51"/>
      <c r="GOA42" s="51"/>
      <c r="GOB42" s="51"/>
      <c r="GOC42" s="51"/>
      <c r="GOD42" s="51"/>
      <c r="GOE42" s="51"/>
      <c r="GOF42" s="51"/>
      <c r="GOG42" s="51"/>
      <c r="GOH42" s="51"/>
      <c r="GOI42" s="51"/>
      <c r="GOJ42" s="51"/>
      <c r="GOK42" s="51"/>
      <c r="GOL42" s="51"/>
      <c r="GOM42" s="51"/>
      <c r="GON42" s="51"/>
      <c r="GOO42" s="51"/>
      <c r="GOP42" s="51"/>
      <c r="GOQ42" s="51"/>
      <c r="GOR42" s="51"/>
      <c r="GOS42" s="51"/>
      <c r="GOT42" s="51"/>
      <c r="GOU42" s="51"/>
      <c r="GOV42" s="51"/>
      <c r="GOW42" s="51"/>
      <c r="GOX42" s="51"/>
      <c r="GOY42" s="51"/>
      <c r="GOZ42" s="51"/>
      <c r="GPA42" s="51"/>
      <c r="GPB42" s="51"/>
      <c r="GPC42" s="51"/>
      <c r="GPD42" s="51"/>
      <c r="GPE42" s="51"/>
      <c r="GPF42" s="51"/>
      <c r="GPG42" s="51"/>
      <c r="GPH42" s="51"/>
      <c r="GPI42" s="51"/>
      <c r="GPJ42" s="51"/>
      <c r="GPK42" s="51"/>
      <c r="GPL42" s="51"/>
      <c r="GPM42" s="51"/>
      <c r="GPN42" s="51"/>
      <c r="GPO42" s="51"/>
      <c r="GPP42" s="51"/>
      <c r="GPQ42" s="51"/>
      <c r="GPR42" s="51"/>
      <c r="GPS42" s="51"/>
      <c r="GPT42" s="51"/>
      <c r="GPU42" s="51"/>
      <c r="GPV42" s="51"/>
      <c r="GPW42" s="51"/>
      <c r="GPX42" s="51"/>
      <c r="GPY42" s="51"/>
      <c r="GPZ42" s="51"/>
      <c r="GQA42" s="51"/>
      <c r="GQB42" s="51"/>
      <c r="GQC42" s="51"/>
      <c r="GQD42" s="51"/>
      <c r="GQE42" s="51"/>
      <c r="GQF42" s="51"/>
      <c r="GQG42" s="51"/>
      <c r="GQH42" s="51"/>
      <c r="GQI42" s="51"/>
      <c r="GQJ42" s="51"/>
      <c r="GQK42" s="51"/>
      <c r="GQL42" s="51"/>
      <c r="GQM42" s="51"/>
      <c r="GQN42" s="51"/>
      <c r="GQO42" s="51"/>
      <c r="GQP42" s="51"/>
      <c r="GQQ42" s="51"/>
      <c r="GQR42" s="51"/>
      <c r="GQS42" s="51"/>
      <c r="GQT42" s="51"/>
      <c r="GQU42" s="51"/>
      <c r="GQV42" s="51"/>
      <c r="GQW42" s="51"/>
      <c r="GQX42" s="51"/>
      <c r="GQY42" s="51"/>
      <c r="GQZ42" s="51"/>
      <c r="GRA42" s="51"/>
      <c r="GRB42" s="51"/>
      <c r="GRC42" s="51"/>
      <c r="GRD42" s="51"/>
      <c r="GRE42" s="51"/>
      <c r="GRF42" s="51"/>
      <c r="GRG42" s="51"/>
      <c r="GRH42" s="51"/>
      <c r="GRI42" s="51"/>
      <c r="GRJ42" s="51"/>
      <c r="GRK42" s="51"/>
      <c r="GRL42" s="51"/>
      <c r="GRM42" s="51"/>
      <c r="GRN42" s="51"/>
      <c r="GRO42" s="51"/>
      <c r="GRP42" s="51"/>
      <c r="GRQ42" s="51"/>
      <c r="GRR42" s="51"/>
      <c r="GRS42" s="51"/>
      <c r="GRT42" s="51"/>
      <c r="GRU42" s="51"/>
      <c r="GRV42" s="51"/>
      <c r="GRW42" s="51"/>
      <c r="GRX42" s="51"/>
      <c r="GRY42" s="51"/>
      <c r="GRZ42" s="51"/>
      <c r="GSA42" s="51"/>
      <c r="GSB42" s="51"/>
      <c r="GSC42" s="51"/>
      <c r="GSD42" s="51"/>
      <c r="GSE42" s="51"/>
      <c r="GSF42" s="51"/>
      <c r="GSG42" s="51"/>
      <c r="GSH42" s="51"/>
      <c r="GSI42" s="51"/>
      <c r="GSJ42" s="51"/>
      <c r="GSK42" s="51"/>
      <c r="GSL42" s="51"/>
      <c r="GSM42" s="51"/>
      <c r="GSN42" s="51"/>
      <c r="GSO42" s="51"/>
      <c r="GSP42" s="51"/>
      <c r="GSQ42" s="51"/>
      <c r="GSR42" s="51"/>
      <c r="GSS42" s="51"/>
      <c r="GST42" s="51"/>
      <c r="GSU42" s="51"/>
      <c r="GSV42" s="51"/>
      <c r="GSW42" s="51"/>
      <c r="GSX42" s="51"/>
      <c r="GSY42" s="51"/>
      <c r="GSZ42" s="51"/>
      <c r="GTA42" s="51"/>
      <c r="GTB42" s="51"/>
      <c r="GTC42" s="51"/>
      <c r="GTD42" s="51"/>
      <c r="GTE42" s="51"/>
      <c r="GTF42" s="51"/>
      <c r="GTG42" s="51"/>
      <c r="GTH42" s="51"/>
      <c r="GTI42" s="51"/>
      <c r="GTJ42" s="51"/>
      <c r="GTK42" s="51"/>
      <c r="GTL42" s="51"/>
      <c r="GTM42" s="51"/>
      <c r="GTN42" s="51"/>
      <c r="GTO42" s="51"/>
      <c r="GTP42" s="51"/>
      <c r="GTQ42" s="51"/>
      <c r="GTR42" s="51"/>
      <c r="GTS42" s="51"/>
      <c r="GTT42" s="51"/>
      <c r="GTU42" s="51"/>
      <c r="GTV42" s="51"/>
      <c r="GTW42" s="51"/>
      <c r="GTX42" s="51"/>
      <c r="GTY42" s="51"/>
      <c r="GTZ42" s="51"/>
      <c r="GUA42" s="51"/>
      <c r="GUB42" s="51"/>
      <c r="GUC42" s="51"/>
      <c r="GUD42" s="51"/>
      <c r="GUE42" s="51"/>
      <c r="GUF42" s="51"/>
      <c r="GUG42" s="51"/>
      <c r="GUH42" s="51"/>
      <c r="GUI42" s="51"/>
      <c r="GUJ42" s="51"/>
      <c r="GUK42" s="51"/>
      <c r="GUL42" s="51"/>
      <c r="GUM42" s="51"/>
      <c r="GUN42" s="51"/>
      <c r="GUO42" s="51"/>
      <c r="GUP42" s="51"/>
      <c r="GUQ42" s="51"/>
      <c r="GUR42" s="51"/>
      <c r="GUS42" s="51"/>
      <c r="GUT42" s="51"/>
      <c r="GUU42" s="51"/>
      <c r="GUV42" s="51"/>
      <c r="GUW42" s="51"/>
      <c r="GUX42" s="51"/>
      <c r="GUY42" s="51"/>
      <c r="GUZ42" s="51"/>
      <c r="GVA42" s="51"/>
      <c r="GVB42" s="51"/>
      <c r="GVC42" s="51"/>
      <c r="GVD42" s="51"/>
      <c r="GVE42" s="51"/>
      <c r="GVF42" s="51"/>
      <c r="GVG42" s="51"/>
      <c r="GVH42" s="51"/>
      <c r="GVI42" s="51"/>
      <c r="GVJ42" s="51"/>
      <c r="GVK42" s="51"/>
      <c r="GVL42" s="51"/>
      <c r="GVM42" s="51"/>
      <c r="GVN42" s="51"/>
      <c r="GVO42" s="51"/>
      <c r="GVP42" s="51"/>
      <c r="GVQ42" s="51"/>
      <c r="GVR42" s="51"/>
      <c r="GVS42" s="51"/>
      <c r="GVT42" s="51"/>
      <c r="GVU42" s="51"/>
      <c r="GVV42" s="51"/>
      <c r="GVW42" s="51"/>
      <c r="GVX42" s="51"/>
      <c r="GVY42" s="51"/>
      <c r="GVZ42" s="51"/>
      <c r="GWA42" s="51"/>
      <c r="GWB42" s="51"/>
      <c r="GWC42" s="51"/>
      <c r="GWD42" s="51"/>
      <c r="GWE42" s="51"/>
      <c r="GWF42" s="51"/>
      <c r="GWG42" s="51"/>
      <c r="GWH42" s="51"/>
      <c r="GWI42" s="51"/>
      <c r="GWJ42" s="51"/>
      <c r="GWK42" s="51"/>
      <c r="GWL42" s="51"/>
      <c r="GWM42" s="51"/>
      <c r="GWN42" s="51"/>
      <c r="GWO42" s="51"/>
      <c r="GWP42" s="51"/>
      <c r="GWQ42" s="51"/>
      <c r="GWR42" s="51"/>
      <c r="GWS42" s="51"/>
      <c r="GWT42" s="51"/>
      <c r="GWU42" s="51"/>
      <c r="GWV42" s="51"/>
      <c r="GWW42" s="51"/>
      <c r="GWX42" s="51"/>
      <c r="GWY42" s="51"/>
      <c r="GWZ42" s="51"/>
      <c r="GXA42" s="51"/>
      <c r="GXB42" s="51"/>
      <c r="GXC42" s="51"/>
      <c r="GXD42" s="51"/>
      <c r="GXE42" s="51"/>
      <c r="GXF42" s="51"/>
      <c r="GXG42" s="51"/>
      <c r="GXH42" s="51"/>
      <c r="GXI42" s="51"/>
      <c r="GXJ42" s="51"/>
      <c r="GXK42" s="51"/>
      <c r="GXL42" s="51"/>
      <c r="GXM42" s="51"/>
      <c r="GXN42" s="51"/>
      <c r="GXO42" s="51"/>
      <c r="GXP42" s="51"/>
      <c r="GXQ42" s="51"/>
      <c r="GXR42" s="51"/>
      <c r="GXS42" s="51"/>
      <c r="GXT42" s="51"/>
      <c r="GXU42" s="51"/>
      <c r="GXV42" s="51"/>
      <c r="GXW42" s="51"/>
      <c r="GXX42" s="51"/>
      <c r="GXY42" s="51"/>
      <c r="GXZ42" s="51"/>
      <c r="GYA42" s="51"/>
      <c r="GYB42" s="51"/>
      <c r="GYC42" s="51"/>
      <c r="GYD42" s="51"/>
      <c r="GYE42" s="51"/>
      <c r="GYF42" s="51"/>
      <c r="GYG42" s="51"/>
      <c r="GYH42" s="51"/>
      <c r="GYI42" s="51"/>
      <c r="GYJ42" s="51"/>
      <c r="GYK42" s="51"/>
      <c r="GYL42" s="51"/>
      <c r="GYM42" s="51"/>
      <c r="GYN42" s="51"/>
      <c r="GYO42" s="51"/>
      <c r="GYP42" s="51"/>
      <c r="GYQ42" s="51"/>
      <c r="GYR42" s="51"/>
      <c r="GYS42" s="51"/>
      <c r="GYT42" s="51"/>
      <c r="GYU42" s="51"/>
      <c r="GYV42" s="51"/>
      <c r="GYW42" s="51"/>
      <c r="GYX42" s="51"/>
      <c r="GYY42" s="51"/>
      <c r="GYZ42" s="51"/>
      <c r="GZA42" s="51"/>
      <c r="GZB42" s="51"/>
      <c r="GZC42" s="51"/>
      <c r="GZD42" s="51"/>
      <c r="GZE42" s="51"/>
      <c r="GZF42" s="51"/>
      <c r="GZG42" s="51"/>
      <c r="GZH42" s="51"/>
      <c r="GZI42" s="51"/>
      <c r="GZJ42" s="51"/>
      <c r="GZK42" s="51"/>
      <c r="GZL42" s="51"/>
      <c r="GZM42" s="51"/>
      <c r="GZN42" s="51"/>
      <c r="GZO42" s="51"/>
      <c r="GZP42" s="51"/>
      <c r="GZQ42" s="51"/>
      <c r="GZR42" s="51"/>
      <c r="GZS42" s="51"/>
      <c r="GZT42" s="51"/>
      <c r="GZU42" s="51"/>
      <c r="GZV42" s="51"/>
      <c r="GZW42" s="51"/>
      <c r="GZX42" s="51"/>
      <c r="GZY42" s="51"/>
      <c r="GZZ42" s="51"/>
      <c r="HAA42" s="51"/>
      <c r="HAB42" s="51"/>
      <c r="HAC42" s="51"/>
      <c r="HAD42" s="51"/>
      <c r="HAE42" s="51"/>
      <c r="HAF42" s="51"/>
      <c r="HAG42" s="51"/>
      <c r="HAH42" s="51"/>
      <c r="HAI42" s="51"/>
      <c r="HAJ42" s="51"/>
      <c r="HAK42" s="51"/>
      <c r="HAL42" s="51"/>
      <c r="HAM42" s="51"/>
      <c r="HAN42" s="51"/>
      <c r="HAO42" s="51"/>
      <c r="HAP42" s="51"/>
      <c r="HAQ42" s="51"/>
      <c r="HAR42" s="51"/>
      <c r="HAS42" s="51"/>
      <c r="HAT42" s="51"/>
      <c r="HAU42" s="51"/>
      <c r="HAV42" s="51"/>
      <c r="HAW42" s="51"/>
      <c r="HAX42" s="51"/>
      <c r="HAY42" s="51"/>
      <c r="HAZ42" s="51"/>
      <c r="HBA42" s="51"/>
      <c r="HBB42" s="51"/>
      <c r="HBC42" s="51"/>
      <c r="HBD42" s="51"/>
      <c r="HBE42" s="51"/>
      <c r="HBF42" s="51"/>
      <c r="HBG42" s="51"/>
      <c r="HBH42" s="51"/>
      <c r="HBI42" s="51"/>
      <c r="HBJ42" s="51"/>
      <c r="HBK42" s="51"/>
      <c r="HBL42" s="51"/>
      <c r="HBM42" s="51"/>
      <c r="HBN42" s="51"/>
      <c r="HBO42" s="51"/>
      <c r="HBP42" s="51"/>
      <c r="HBQ42" s="51"/>
      <c r="HBR42" s="51"/>
      <c r="HBS42" s="51"/>
      <c r="HBT42" s="51"/>
      <c r="HBU42" s="51"/>
      <c r="HBV42" s="51"/>
      <c r="HBW42" s="51"/>
      <c r="HBX42" s="51"/>
      <c r="HBY42" s="51"/>
      <c r="HBZ42" s="51"/>
      <c r="HCA42" s="51"/>
      <c r="HCB42" s="51"/>
      <c r="HCC42" s="51"/>
      <c r="HCD42" s="51"/>
      <c r="HCE42" s="51"/>
      <c r="HCF42" s="51"/>
      <c r="HCG42" s="51"/>
      <c r="HCH42" s="51"/>
      <c r="HCI42" s="51"/>
      <c r="HCJ42" s="51"/>
      <c r="HCK42" s="51"/>
      <c r="HCL42" s="51"/>
      <c r="HCM42" s="51"/>
      <c r="HCN42" s="51"/>
      <c r="HCO42" s="51"/>
      <c r="HCP42" s="51"/>
      <c r="HCQ42" s="51"/>
      <c r="HCR42" s="51"/>
      <c r="HCS42" s="51"/>
      <c r="HCT42" s="51"/>
      <c r="HCU42" s="51"/>
      <c r="HCV42" s="51"/>
      <c r="HCW42" s="51"/>
      <c r="HCX42" s="51"/>
      <c r="HCY42" s="51"/>
      <c r="HCZ42" s="51"/>
      <c r="HDA42" s="51"/>
      <c r="HDB42" s="51"/>
      <c r="HDC42" s="51"/>
      <c r="HDD42" s="51"/>
      <c r="HDE42" s="51"/>
      <c r="HDF42" s="51"/>
      <c r="HDG42" s="51"/>
      <c r="HDH42" s="51"/>
      <c r="HDI42" s="51"/>
      <c r="HDJ42" s="51"/>
      <c r="HDK42" s="51"/>
      <c r="HDL42" s="51"/>
      <c r="HDM42" s="51"/>
      <c r="HDN42" s="51"/>
      <c r="HDO42" s="51"/>
      <c r="HDP42" s="51"/>
      <c r="HDQ42" s="51"/>
      <c r="HDR42" s="51"/>
      <c r="HDS42" s="51"/>
      <c r="HDT42" s="51"/>
      <c r="HDU42" s="51"/>
      <c r="HDV42" s="51"/>
      <c r="HDW42" s="51"/>
      <c r="HDX42" s="51"/>
      <c r="HDY42" s="51"/>
      <c r="HDZ42" s="51"/>
      <c r="HEA42" s="51"/>
      <c r="HEB42" s="51"/>
      <c r="HEC42" s="51"/>
      <c r="HED42" s="51"/>
      <c r="HEE42" s="51"/>
      <c r="HEF42" s="51"/>
      <c r="HEG42" s="51"/>
      <c r="HEH42" s="51"/>
      <c r="HEI42" s="51"/>
      <c r="HEJ42" s="51"/>
      <c r="HEK42" s="51"/>
      <c r="HEL42" s="51"/>
      <c r="HEM42" s="51"/>
      <c r="HEN42" s="51"/>
      <c r="HEO42" s="51"/>
      <c r="HEP42" s="51"/>
      <c r="HEQ42" s="51"/>
      <c r="HER42" s="51"/>
      <c r="HES42" s="51"/>
      <c r="HET42" s="51"/>
      <c r="HEU42" s="51"/>
      <c r="HEV42" s="51"/>
      <c r="HEW42" s="51"/>
      <c r="HEX42" s="51"/>
      <c r="HEY42" s="51"/>
      <c r="HEZ42" s="51"/>
      <c r="HFA42" s="51"/>
      <c r="HFB42" s="51"/>
      <c r="HFC42" s="51"/>
      <c r="HFD42" s="51"/>
      <c r="HFE42" s="51"/>
      <c r="HFF42" s="51"/>
      <c r="HFG42" s="51"/>
      <c r="HFH42" s="51"/>
      <c r="HFI42" s="51"/>
      <c r="HFJ42" s="51"/>
      <c r="HFK42" s="51"/>
      <c r="HFL42" s="51"/>
      <c r="HFM42" s="51"/>
      <c r="HFN42" s="51"/>
      <c r="HFO42" s="51"/>
      <c r="HFP42" s="51"/>
      <c r="HFQ42" s="51"/>
      <c r="HFR42" s="51"/>
      <c r="HFS42" s="51"/>
      <c r="HFT42" s="51"/>
      <c r="HFU42" s="51"/>
      <c r="HFV42" s="51"/>
      <c r="HFW42" s="51"/>
      <c r="HFX42" s="51"/>
      <c r="HFY42" s="51"/>
      <c r="HFZ42" s="51"/>
      <c r="HGA42" s="51"/>
      <c r="HGB42" s="51"/>
      <c r="HGC42" s="51"/>
      <c r="HGD42" s="51"/>
      <c r="HGE42" s="51"/>
      <c r="HGF42" s="51"/>
      <c r="HGG42" s="51"/>
      <c r="HGH42" s="51"/>
      <c r="HGI42" s="51"/>
      <c r="HGJ42" s="51"/>
      <c r="HGK42" s="51"/>
      <c r="HGL42" s="51"/>
      <c r="HGM42" s="51"/>
      <c r="HGN42" s="51"/>
      <c r="HGO42" s="51"/>
      <c r="HGP42" s="51"/>
      <c r="HGQ42" s="51"/>
      <c r="HGR42" s="51"/>
      <c r="HGS42" s="51"/>
      <c r="HGT42" s="51"/>
      <c r="HGU42" s="51"/>
      <c r="HGV42" s="51"/>
      <c r="HGW42" s="51"/>
      <c r="HGX42" s="51"/>
      <c r="HGY42" s="51"/>
      <c r="HGZ42" s="51"/>
      <c r="HHA42" s="51"/>
      <c r="HHB42" s="51"/>
      <c r="HHC42" s="51"/>
      <c r="HHD42" s="51"/>
      <c r="HHE42" s="51"/>
      <c r="HHF42" s="51"/>
      <c r="HHG42" s="51"/>
      <c r="HHH42" s="51"/>
      <c r="HHI42" s="51"/>
      <c r="HHJ42" s="51"/>
      <c r="HHK42" s="51"/>
      <c r="HHL42" s="51"/>
      <c r="HHM42" s="51"/>
      <c r="HHN42" s="51"/>
      <c r="HHO42" s="51"/>
      <c r="HHP42" s="51"/>
      <c r="HHQ42" s="51"/>
      <c r="HHR42" s="51"/>
      <c r="HHS42" s="51"/>
      <c r="HHT42" s="51"/>
      <c r="HHU42" s="51"/>
      <c r="HHV42" s="51"/>
      <c r="HHW42" s="51"/>
      <c r="HHX42" s="51"/>
      <c r="HHY42" s="51"/>
      <c r="HHZ42" s="51"/>
      <c r="HIA42" s="51"/>
      <c r="HIB42" s="51"/>
      <c r="HIC42" s="51"/>
      <c r="HID42" s="51"/>
      <c r="HIE42" s="51"/>
      <c r="HIF42" s="51"/>
      <c r="HIG42" s="51"/>
      <c r="HIH42" s="51"/>
      <c r="HII42" s="51"/>
      <c r="HIJ42" s="51"/>
      <c r="HIK42" s="51"/>
      <c r="HIL42" s="51"/>
      <c r="HIM42" s="51"/>
      <c r="HIN42" s="51"/>
      <c r="HIO42" s="51"/>
      <c r="HIP42" s="51"/>
      <c r="HIQ42" s="51"/>
      <c r="HIR42" s="51"/>
      <c r="HIS42" s="51"/>
      <c r="HIT42" s="51"/>
      <c r="HIU42" s="51"/>
      <c r="HIV42" s="51"/>
      <c r="HIW42" s="51"/>
      <c r="HIX42" s="51"/>
      <c r="HIY42" s="51"/>
      <c r="HIZ42" s="51"/>
      <c r="HJA42" s="51"/>
      <c r="HJB42" s="51"/>
      <c r="HJC42" s="51"/>
      <c r="HJD42" s="51"/>
      <c r="HJE42" s="51"/>
      <c r="HJF42" s="51"/>
      <c r="HJG42" s="51"/>
      <c r="HJH42" s="51"/>
      <c r="HJI42" s="51"/>
      <c r="HJJ42" s="51"/>
      <c r="HJK42" s="51"/>
      <c r="HJL42" s="51"/>
      <c r="HJM42" s="51"/>
      <c r="HJN42" s="51"/>
      <c r="HJO42" s="51"/>
      <c r="HJP42" s="51"/>
      <c r="HJQ42" s="51"/>
      <c r="HJR42" s="51"/>
      <c r="HJS42" s="51"/>
      <c r="HJT42" s="51"/>
      <c r="HJU42" s="51"/>
      <c r="HJV42" s="51"/>
      <c r="HJW42" s="51"/>
      <c r="HJX42" s="51"/>
      <c r="HJY42" s="51"/>
      <c r="HJZ42" s="51"/>
      <c r="HKA42" s="51"/>
      <c r="HKB42" s="51"/>
      <c r="HKC42" s="51"/>
      <c r="HKD42" s="51"/>
      <c r="HKE42" s="51"/>
      <c r="HKF42" s="51"/>
      <c r="HKG42" s="51"/>
      <c r="HKH42" s="51"/>
      <c r="HKI42" s="51"/>
      <c r="HKJ42" s="51"/>
      <c r="HKK42" s="51"/>
      <c r="HKL42" s="51"/>
      <c r="HKM42" s="51"/>
      <c r="HKN42" s="51"/>
      <c r="HKO42" s="51"/>
      <c r="HKP42" s="51"/>
      <c r="HKQ42" s="51"/>
      <c r="HKR42" s="51"/>
      <c r="HKS42" s="51"/>
      <c r="HKT42" s="51"/>
      <c r="HKU42" s="51"/>
      <c r="HKV42" s="51"/>
      <c r="HKW42" s="51"/>
      <c r="HKX42" s="51"/>
      <c r="HKY42" s="51"/>
      <c r="HKZ42" s="51"/>
      <c r="HLA42" s="51"/>
      <c r="HLB42" s="51"/>
      <c r="HLC42" s="51"/>
      <c r="HLD42" s="51"/>
      <c r="HLE42" s="51"/>
      <c r="HLF42" s="51"/>
      <c r="HLG42" s="51"/>
      <c r="HLH42" s="51"/>
      <c r="HLI42" s="51"/>
      <c r="HLJ42" s="51"/>
      <c r="HLK42" s="51"/>
      <c r="HLL42" s="51"/>
      <c r="HLM42" s="51"/>
      <c r="HLN42" s="51"/>
      <c r="HLO42" s="51"/>
      <c r="HLP42" s="51"/>
      <c r="HLQ42" s="51"/>
      <c r="HLR42" s="51"/>
      <c r="HLS42" s="51"/>
      <c r="HLT42" s="51"/>
      <c r="HLU42" s="51"/>
      <c r="HLV42" s="51"/>
      <c r="HLW42" s="51"/>
      <c r="HLX42" s="51"/>
      <c r="HLY42" s="51"/>
      <c r="HLZ42" s="51"/>
      <c r="HMA42" s="51"/>
      <c r="HMB42" s="51"/>
      <c r="HMC42" s="51"/>
      <c r="HMD42" s="51"/>
      <c r="HME42" s="51"/>
      <c r="HMF42" s="51"/>
      <c r="HMG42" s="51"/>
      <c r="HMH42" s="51"/>
      <c r="HMI42" s="51"/>
      <c r="HMJ42" s="51"/>
      <c r="HMK42" s="51"/>
      <c r="HML42" s="51"/>
      <c r="HMM42" s="51"/>
      <c r="HMN42" s="51"/>
      <c r="HMO42" s="51"/>
      <c r="HMP42" s="51"/>
      <c r="HMQ42" s="51"/>
      <c r="HMR42" s="51"/>
      <c r="HMS42" s="51"/>
      <c r="HMT42" s="51"/>
      <c r="HMU42" s="51"/>
      <c r="HMV42" s="51"/>
      <c r="HMW42" s="51"/>
      <c r="HMX42" s="51"/>
      <c r="HMY42" s="51"/>
      <c r="HMZ42" s="51"/>
      <c r="HNA42" s="51"/>
      <c r="HNB42" s="51"/>
      <c r="HNC42" s="51"/>
      <c r="HND42" s="51"/>
      <c r="HNE42" s="51"/>
      <c r="HNF42" s="51"/>
      <c r="HNG42" s="51"/>
      <c r="HNH42" s="51"/>
      <c r="HNI42" s="51"/>
      <c r="HNJ42" s="51"/>
      <c r="HNK42" s="51"/>
      <c r="HNL42" s="51"/>
      <c r="HNM42" s="51"/>
      <c r="HNN42" s="51"/>
      <c r="HNO42" s="51"/>
      <c r="HNP42" s="51"/>
      <c r="HNQ42" s="51"/>
      <c r="HNR42" s="51"/>
      <c r="HNS42" s="51"/>
      <c r="HNT42" s="51"/>
      <c r="HNU42" s="51"/>
      <c r="HNV42" s="51"/>
      <c r="HNW42" s="51"/>
      <c r="HNX42" s="51"/>
      <c r="HNY42" s="51"/>
      <c r="HNZ42" s="51"/>
      <c r="HOA42" s="51"/>
      <c r="HOB42" s="51"/>
      <c r="HOC42" s="51"/>
      <c r="HOD42" s="51"/>
      <c r="HOE42" s="51"/>
      <c r="HOF42" s="51"/>
      <c r="HOG42" s="51"/>
      <c r="HOH42" s="51"/>
      <c r="HOI42" s="51"/>
      <c r="HOJ42" s="51"/>
      <c r="HOK42" s="51"/>
      <c r="HOL42" s="51"/>
      <c r="HOM42" s="51"/>
      <c r="HON42" s="51"/>
      <c r="HOO42" s="51"/>
      <c r="HOP42" s="51"/>
      <c r="HOQ42" s="51"/>
      <c r="HOR42" s="51"/>
      <c r="HOS42" s="51"/>
      <c r="HOT42" s="51"/>
      <c r="HOU42" s="51"/>
      <c r="HOV42" s="51"/>
      <c r="HOW42" s="51"/>
      <c r="HOX42" s="51"/>
      <c r="HOY42" s="51"/>
      <c r="HOZ42" s="51"/>
      <c r="HPA42" s="51"/>
      <c r="HPB42" s="51"/>
      <c r="HPC42" s="51"/>
      <c r="HPD42" s="51"/>
      <c r="HPE42" s="51"/>
      <c r="HPF42" s="51"/>
      <c r="HPG42" s="51"/>
      <c r="HPH42" s="51"/>
      <c r="HPI42" s="51"/>
      <c r="HPJ42" s="51"/>
      <c r="HPK42" s="51"/>
      <c r="HPL42" s="51"/>
      <c r="HPM42" s="51"/>
      <c r="HPN42" s="51"/>
      <c r="HPO42" s="51"/>
      <c r="HPP42" s="51"/>
      <c r="HPQ42" s="51"/>
      <c r="HPR42" s="51"/>
      <c r="HPS42" s="51"/>
      <c r="HPT42" s="51"/>
      <c r="HPU42" s="51"/>
      <c r="HPV42" s="51"/>
      <c r="HPW42" s="51"/>
      <c r="HPX42" s="51"/>
      <c r="HPY42" s="51"/>
      <c r="HPZ42" s="51"/>
      <c r="HQA42" s="51"/>
      <c r="HQB42" s="51"/>
      <c r="HQC42" s="51"/>
      <c r="HQD42" s="51"/>
      <c r="HQE42" s="51"/>
      <c r="HQF42" s="51"/>
      <c r="HQG42" s="51"/>
      <c r="HQH42" s="51"/>
      <c r="HQI42" s="51"/>
      <c r="HQJ42" s="51"/>
      <c r="HQK42" s="51"/>
      <c r="HQL42" s="51"/>
      <c r="HQM42" s="51"/>
      <c r="HQN42" s="51"/>
      <c r="HQO42" s="51"/>
      <c r="HQP42" s="51"/>
      <c r="HQQ42" s="51"/>
      <c r="HQR42" s="51"/>
      <c r="HQS42" s="51"/>
      <c r="HQT42" s="51"/>
      <c r="HQU42" s="51"/>
      <c r="HQV42" s="51"/>
      <c r="HQW42" s="51"/>
      <c r="HQX42" s="51"/>
      <c r="HQY42" s="51"/>
      <c r="HQZ42" s="51"/>
      <c r="HRA42" s="51"/>
      <c r="HRB42" s="51"/>
      <c r="HRC42" s="51"/>
      <c r="HRD42" s="51"/>
      <c r="HRE42" s="51"/>
      <c r="HRF42" s="51"/>
      <c r="HRG42" s="51"/>
      <c r="HRH42" s="51"/>
      <c r="HRI42" s="51"/>
      <c r="HRJ42" s="51"/>
      <c r="HRK42" s="51"/>
      <c r="HRL42" s="51"/>
      <c r="HRM42" s="51"/>
      <c r="HRN42" s="51"/>
      <c r="HRO42" s="51"/>
      <c r="HRP42" s="51"/>
      <c r="HRQ42" s="51"/>
      <c r="HRR42" s="51"/>
      <c r="HRS42" s="51"/>
      <c r="HRT42" s="51"/>
      <c r="HRU42" s="51"/>
      <c r="HRV42" s="51"/>
      <c r="HRW42" s="51"/>
      <c r="HRX42" s="51"/>
      <c r="HRY42" s="51"/>
      <c r="HRZ42" s="51"/>
      <c r="HSA42" s="51"/>
      <c r="HSB42" s="51"/>
      <c r="HSC42" s="51"/>
      <c r="HSD42" s="51"/>
      <c r="HSE42" s="51"/>
      <c r="HSF42" s="51"/>
      <c r="HSG42" s="51"/>
      <c r="HSH42" s="51"/>
      <c r="HSI42" s="51"/>
      <c r="HSJ42" s="51"/>
      <c r="HSK42" s="51"/>
      <c r="HSL42" s="51"/>
      <c r="HSM42" s="51"/>
      <c r="HSN42" s="51"/>
      <c r="HSO42" s="51"/>
      <c r="HSP42" s="51"/>
      <c r="HSQ42" s="51"/>
      <c r="HSR42" s="51"/>
      <c r="HSS42" s="51"/>
      <c r="HST42" s="51"/>
      <c r="HSU42" s="51"/>
      <c r="HSV42" s="51"/>
      <c r="HSW42" s="51"/>
      <c r="HSX42" s="51"/>
      <c r="HSY42" s="51"/>
      <c r="HSZ42" s="51"/>
      <c r="HTA42" s="51"/>
      <c r="HTB42" s="51"/>
      <c r="HTC42" s="51"/>
      <c r="HTD42" s="51"/>
      <c r="HTE42" s="51"/>
      <c r="HTF42" s="51"/>
      <c r="HTG42" s="51"/>
      <c r="HTH42" s="51"/>
      <c r="HTI42" s="51"/>
      <c r="HTJ42" s="51"/>
      <c r="HTK42" s="51"/>
      <c r="HTL42" s="51"/>
      <c r="HTM42" s="51"/>
      <c r="HTN42" s="51"/>
      <c r="HTO42" s="51"/>
      <c r="HTP42" s="51"/>
      <c r="HTQ42" s="51"/>
      <c r="HTR42" s="51"/>
      <c r="HTS42" s="51"/>
      <c r="HTT42" s="51"/>
      <c r="HTU42" s="51"/>
      <c r="HTV42" s="51"/>
      <c r="HTW42" s="51"/>
      <c r="HTX42" s="51"/>
      <c r="HTY42" s="51"/>
      <c r="HTZ42" s="51"/>
      <c r="HUA42" s="51"/>
      <c r="HUB42" s="51"/>
      <c r="HUC42" s="51"/>
      <c r="HUD42" s="51"/>
      <c r="HUE42" s="51"/>
      <c r="HUF42" s="51"/>
      <c r="HUG42" s="51"/>
      <c r="HUH42" s="51"/>
      <c r="HUI42" s="51"/>
      <c r="HUJ42" s="51"/>
      <c r="HUK42" s="51"/>
      <c r="HUL42" s="51"/>
      <c r="HUM42" s="51"/>
      <c r="HUN42" s="51"/>
      <c r="HUO42" s="51"/>
      <c r="HUP42" s="51"/>
      <c r="HUQ42" s="51"/>
      <c r="HUR42" s="51"/>
      <c r="HUS42" s="51"/>
      <c r="HUT42" s="51"/>
      <c r="HUU42" s="51"/>
      <c r="HUV42" s="51"/>
      <c r="HUW42" s="51"/>
      <c r="HUX42" s="51"/>
      <c r="HUY42" s="51"/>
      <c r="HUZ42" s="51"/>
      <c r="HVA42" s="51"/>
      <c r="HVB42" s="51"/>
      <c r="HVC42" s="51"/>
      <c r="HVD42" s="51"/>
      <c r="HVE42" s="51"/>
      <c r="HVF42" s="51"/>
      <c r="HVG42" s="51"/>
      <c r="HVH42" s="51"/>
      <c r="HVI42" s="51"/>
      <c r="HVJ42" s="51"/>
      <c r="HVK42" s="51"/>
      <c r="HVL42" s="51"/>
      <c r="HVM42" s="51"/>
      <c r="HVN42" s="51"/>
      <c r="HVO42" s="51"/>
      <c r="HVP42" s="51"/>
      <c r="HVQ42" s="51"/>
      <c r="HVR42" s="51"/>
      <c r="HVS42" s="51"/>
      <c r="HVT42" s="51"/>
      <c r="HVU42" s="51"/>
      <c r="HVV42" s="51"/>
      <c r="HVW42" s="51"/>
      <c r="HVX42" s="51"/>
      <c r="HVY42" s="51"/>
      <c r="HVZ42" s="51"/>
      <c r="HWA42" s="51"/>
      <c r="HWB42" s="51"/>
      <c r="HWC42" s="51"/>
      <c r="HWD42" s="51"/>
      <c r="HWE42" s="51"/>
      <c r="HWF42" s="51"/>
      <c r="HWG42" s="51"/>
      <c r="HWH42" s="51"/>
      <c r="HWI42" s="51"/>
      <c r="HWJ42" s="51"/>
      <c r="HWK42" s="51"/>
      <c r="HWL42" s="51"/>
      <c r="HWM42" s="51"/>
      <c r="HWN42" s="51"/>
      <c r="HWO42" s="51"/>
      <c r="HWP42" s="51"/>
      <c r="HWQ42" s="51"/>
      <c r="HWR42" s="51"/>
      <c r="HWS42" s="51"/>
      <c r="HWT42" s="51"/>
      <c r="HWU42" s="51"/>
      <c r="HWV42" s="51"/>
      <c r="HWW42" s="51"/>
      <c r="HWX42" s="51"/>
      <c r="HWY42" s="51"/>
      <c r="HWZ42" s="51"/>
      <c r="HXA42" s="51"/>
      <c r="HXB42" s="51"/>
      <c r="HXC42" s="51"/>
      <c r="HXD42" s="51"/>
      <c r="HXE42" s="51"/>
      <c r="HXF42" s="51"/>
      <c r="HXG42" s="51"/>
      <c r="HXH42" s="51"/>
      <c r="HXI42" s="51"/>
      <c r="HXJ42" s="51"/>
      <c r="HXK42" s="51"/>
      <c r="HXL42" s="51"/>
      <c r="HXM42" s="51"/>
      <c r="HXN42" s="51"/>
      <c r="HXO42" s="51"/>
      <c r="HXP42" s="51"/>
      <c r="HXQ42" s="51"/>
      <c r="HXR42" s="51"/>
      <c r="HXS42" s="51"/>
      <c r="HXT42" s="51"/>
      <c r="HXU42" s="51"/>
      <c r="HXV42" s="51"/>
      <c r="HXW42" s="51"/>
      <c r="HXX42" s="51"/>
      <c r="HXY42" s="51"/>
      <c r="HXZ42" s="51"/>
      <c r="HYA42" s="51"/>
      <c r="HYB42" s="51"/>
      <c r="HYC42" s="51"/>
      <c r="HYD42" s="51"/>
      <c r="HYE42" s="51"/>
      <c r="HYF42" s="51"/>
      <c r="HYG42" s="51"/>
      <c r="HYH42" s="51"/>
      <c r="HYI42" s="51"/>
      <c r="HYJ42" s="51"/>
      <c r="HYK42" s="51"/>
      <c r="HYL42" s="51"/>
      <c r="HYM42" s="51"/>
      <c r="HYN42" s="51"/>
      <c r="HYO42" s="51"/>
      <c r="HYP42" s="51"/>
      <c r="HYQ42" s="51"/>
      <c r="HYR42" s="51"/>
      <c r="HYS42" s="51"/>
      <c r="HYT42" s="51"/>
      <c r="HYU42" s="51"/>
      <c r="HYV42" s="51"/>
      <c r="HYW42" s="51"/>
      <c r="HYX42" s="51"/>
      <c r="HYY42" s="51"/>
      <c r="HYZ42" s="51"/>
      <c r="HZA42" s="51"/>
      <c r="HZB42" s="51"/>
      <c r="HZC42" s="51"/>
      <c r="HZD42" s="51"/>
      <c r="HZE42" s="51"/>
      <c r="HZF42" s="51"/>
      <c r="HZG42" s="51"/>
      <c r="HZH42" s="51"/>
      <c r="HZI42" s="51"/>
      <c r="HZJ42" s="51"/>
      <c r="HZK42" s="51"/>
      <c r="HZL42" s="51"/>
      <c r="HZM42" s="51"/>
      <c r="HZN42" s="51"/>
      <c r="HZO42" s="51"/>
      <c r="HZP42" s="51"/>
      <c r="HZQ42" s="51"/>
      <c r="HZR42" s="51"/>
      <c r="HZS42" s="51"/>
      <c r="HZT42" s="51"/>
      <c r="HZU42" s="51"/>
      <c r="HZV42" s="51"/>
      <c r="HZW42" s="51"/>
      <c r="HZX42" s="51"/>
      <c r="HZY42" s="51"/>
      <c r="HZZ42" s="51"/>
      <c r="IAA42" s="51"/>
      <c r="IAB42" s="51"/>
      <c r="IAC42" s="51"/>
      <c r="IAD42" s="51"/>
      <c r="IAE42" s="51"/>
      <c r="IAF42" s="51"/>
      <c r="IAG42" s="51"/>
      <c r="IAH42" s="51"/>
      <c r="IAI42" s="51"/>
      <c r="IAJ42" s="51"/>
      <c r="IAK42" s="51"/>
      <c r="IAL42" s="51"/>
      <c r="IAM42" s="51"/>
      <c r="IAN42" s="51"/>
      <c r="IAO42" s="51"/>
      <c r="IAP42" s="51"/>
      <c r="IAQ42" s="51"/>
      <c r="IAR42" s="51"/>
      <c r="IAS42" s="51"/>
      <c r="IAT42" s="51"/>
      <c r="IAU42" s="51"/>
      <c r="IAV42" s="51"/>
      <c r="IAW42" s="51"/>
      <c r="IAX42" s="51"/>
      <c r="IAY42" s="51"/>
      <c r="IAZ42" s="51"/>
      <c r="IBA42" s="51"/>
      <c r="IBB42" s="51"/>
      <c r="IBC42" s="51"/>
      <c r="IBD42" s="51"/>
      <c r="IBE42" s="51"/>
      <c r="IBF42" s="51"/>
      <c r="IBG42" s="51"/>
      <c r="IBH42" s="51"/>
      <c r="IBI42" s="51"/>
      <c r="IBJ42" s="51"/>
      <c r="IBK42" s="51"/>
      <c r="IBL42" s="51"/>
      <c r="IBM42" s="51"/>
      <c r="IBN42" s="51"/>
      <c r="IBO42" s="51"/>
      <c r="IBP42" s="51"/>
      <c r="IBQ42" s="51"/>
      <c r="IBR42" s="51"/>
      <c r="IBS42" s="51"/>
      <c r="IBT42" s="51"/>
      <c r="IBU42" s="51"/>
      <c r="IBV42" s="51"/>
      <c r="IBW42" s="51"/>
      <c r="IBX42" s="51"/>
      <c r="IBY42" s="51"/>
      <c r="IBZ42" s="51"/>
      <c r="ICA42" s="51"/>
      <c r="ICB42" s="51"/>
      <c r="ICC42" s="51"/>
      <c r="ICD42" s="51"/>
      <c r="ICE42" s="51"/>
      <c r="ICF42" s="51"/>
      <c r="ICG42" s="51"/>
      <c r="ICH42" s="51"/>
      <c r="ICI42" s="51"/>
      <c r="ICJ42" s="51"/>
      <c r="ICK42" s="51"/>
      <c r="ICL42" s="51"/>
      <c r="ICM42" s="51"/>
      <c r="ICN42" s="51"/>
      <c r="ICO42" s="51"/>
      <c r="ICP42" s="51"/>
      <c r="ICQ42" s="51"/>
      <c r="ICR42" s="51"/>
      <c r="ICS42" s="51"/>
      <c r="ICT42" s="51"/>
      <c r="ICU42" s="51"/>
      <c r="ICV42" s="51"/>
      <c r="ICW42" s="51"/>
      <c r="ICX42" s="51"/>
      <c r="ICY42" s="51"/>
      <c r="ICZ42" s="51"/>
      <c r="IDA42" s="51"/>
      <c r="IDB42" s="51"/>
      <c r="IDC42" s="51"/>
      <c r="IDD42" s="51"/>
      <c r="IDE42" s="51"/>
      <c r="IDF42" s="51"/>
      <c r="IDG42" s="51"/>
      <c r="IDH42" s="51"/>
      <c r="IDI42" s="51"/>
      <c r="IDJ42" s="51"/>
      <c r="IDK42" s="51"/>
      <c r="IDL42" s="51"/>
      <c r="IDM42" s="51"/>
      <c r="IDN42" s="51"/>
      <c r="IDO42" s="51"/>
      <c r="IDP42" s="51"/>
      <c r="IDQ42" s="51"/>
      <c r="IDR42" s="51"/>
      <c r="IDS42" s="51"/>
      <c r="IDT42" s="51"/>
      <c r="IDU42" s="51"/>
      <c r="IDV42" s="51"/>
      <c r="IDW42" s="51"/>
      <c r="IDX42" s="51"/>
      <c r="IDY42" s="51"/>
      <c r="IDZ42" s="51"/>
      <c r="IEA42" s="51"/>
      <c r="IEB42" s="51"/>
      <c r="IEC42" s="51"/>
      <c r="IED42" s="51"/>
      <c r="IEE42" s="51"/>
      <c r="IEF42" s="51"/>
      <c r="IEG42" s="51"/>
      <c r="IEH42" s="51"/>
      <c r="IEI42" s="51"/>
      <c r="IEJ42" s="51"/>
      <c r="IEK42" s="51"/>
      <c r="IEL42" s="51"/>
      <c r="IEM42" s="51"/>
      <c r="IEN42" s="51"/>
      <c r="IEO42" s="51"/>
      <c r="IEP42" s="51"/>
      <c r="IEQ42" s="51"/>
      <c r="IER42" s="51"/>
      <c r="IES42" s="51"/>
      <c r="IET42" s="51"/>
      <c r="IEU42" s="51"/>
      <c r="IEV42" s="51"/>
      <c r="IEW42" s="51"/>
      <c r="IEX42" s="51"/>
      <c r="IEY42" s="51"/>
      <c r="IEZ42" s="51"/>
      <c r="IFA42" s="51"/>
      <c r="IFB42" s="51"/>
      <c r="IFC42" s="51"/>
      <c r="IFD42" s="51"/>
      <c r="IFE42" s="51"/>
      <c r="IFF42" s="51"/>
      <c r="IFG42" s="51"/>
      <c r="IFH42" s="51"/>
      <c r="IFI42" s="51"/>
      <c r="IFJ42" s="51"/>
      <c r="IFK42" s="51"/>
      <c r="IFL42" s="51"/>
      <c r="IFM42" s="51"/>
      <c r="IFN42" s="51"/>
      <c r="IFO42" s="51"/>
      <c r="IFP42" s="51"/>
      <c r="IFQ42" s="51"/>
      <c r="IFR42" s="51"/>
      <c r="IFS42" s="51"/>
      <c r="IFT42" s="51"/>
      <c r="IFU42" s="51"/>
      <c r="IFV42" s="51"/>
      <c r="IFW42" s="51"/>
      <c r="IFX42" s="51"/>
      <c r="IFY42" s="51"/>
      <c r="IFZ42" s="51"/>
      <c r="IGA42" s="51"/>
      <c r="IGB42" s="51"/>
      <c r="IGC42" s="51"/>
      <c r="IGD42" s="51"/>
      <c r="IGE42" s="51"/>
      <c r="IGF42" s="51"/>
      <c r="IGG42" s="51"/>
      <c r="IGH42" s="51"/>
      <c r="IGI42" s="51"/>
      <c r="IGJ42" s="51"/>
      <c r="IGK42" s="51"/>
      <c r="IGL42" s="51"/>
      <c r="IGM42" s="51"/>
      <c r="IGN42" s="51"/>
      <c r="IGO42" s="51"/>
      <c r="IGP42" s="51"/>
      <c r="IGQ42" s="51"/>
      <c r="IGR42" s="51"/>
      <c r="IGS42" s="51"/>
      <c r="IGT42" s="51"/>
      <c r="IGU42" s="51"/>
      <c r="IGV42" s="51"/>
      <c r="IGW42" s="51"/>
      <c r="IGX42" s="51"/>
      <c r="IGY42" s="51"/>
      <c r="IGZ42" s="51"/>
      <c r="IHA42" s="51"/>
      <c r="IHB42" s="51"/>
      <c r="IHC42" s="51"/>
      <c r="IHD42" s="51"/>
      <c r="IHE42" s="51"/>
      <c r="IHF42" s="51"/>
      <c r="IHG42" s="51"/>
      <c r="IHH42" s="51"/>
      <c r="IHI42" s="51"/>
      <c r="IHJ42" s="51"/>
      <c r="IHK42" s="51"/>
      <c r="IHL42" s="51"/>
      <c r="IHM42" s="51"/>
      <c r="IHN42" s="51"/>
      <c r="IHO42" s="51"/>
      <c r="IHP42" s="51"/>
      <c r="IHQ42" s="51"/>
      <c r="IHR42" s="51"/>
      <c r="IHS42" s="51"/>
      <c r="IHT42" s="51"/>
      <c r="IHU42" s="51"/>
      <c r="IHV42" s="51"/>
      <c r="IHW42" s="51"/>
      <c r="IHX42" s="51"/>
      <c r="IHY42" s="51"/>
      <c r="IHZ42" s="51"/>
      <c r="IIA42" s="51"/>
      <c r="IIB42" s="51"/>
      <c r="IIC42" s="51"/>
      <c r="IID42" s="51"/>
      <c r="IIE42" s="51"/>
      <c r="IIF42" s="51"/>
      <c r="IIG42" s="51"/>
      <c r="IIH42" s="51"/>
      <c r="III42" s="51"/>
      <c r="IIJ42" s="51"/>
      <c r="IIK42" s="51"/>
      <c r="IIL42" s="51"/>
      <c r="IIM42" s="51"/>
      <c r="IIN42" s="51"/>
      <c r="IIO42" s="51"/>
      <c r="IIP42" s="51"/>
      <c r="IIQ42" s="51"/>
      <c r="IIR42" s="51"/>
      <c r="IIS42" s="51"/>
      <c r="IIT42" s="51"/>
      <c r="IIU42" s="51"/>
      <c r="IIV42" s="51"/>
      <c r="IIW42" s="51"/>
      <c r="IIX42" s="51"/>
      <c r="IIY42" s="51"/>
      <c r="IIZ42" s="51"/>
      <c r="IJA42" s="51"/>
      <c r="IJB42" s="51"/>
      <c r="IJC42" s="51"/>
      <c r="IJD42" s="51"/>
      <c r="IJE42" s="51"/>
      <c r="IJF42" s="51"/>
      <c r="IJG42" s="51"/>
      <c r="IJH42" s="51"/>
      <c r="IJI42" s="51"/>
      <c r="IJJ42" s="51"/>
      <c r="IJK42" s="51"/>
      <c r="IJL42" s="51"/>
      <c r="IJM42" s="51"/>
      <c r="IJN42" s="51"/>
      <c r="IJO42" s="51"/>
      <c r="IJP42" s="51"/>
      <c r="IJQ42" s="51"/>
      <c r="IJR42" s="51"/>
      <c r="IJS42" s="51"/>
      <c r="IJT42" s="51"/>
      <c r="IJU42" s="51"/>
      <c r="IJV42" s="51"/>
      <c r="IJW42" s="51"/>
      <c r="IJX42" s="51"/>
      <c r="IJY42" s="51"/>
      <c r="IJZ42" s="51"/>
      <c r="IKA42" s="51"/>
      <c r="IKB42" s="51"/>
      <c r="IKC42" s="51"/>
      <c r="IKD42" s="51"/>
      <c r="IKE42" s="51"/>
      <c r="IKF42" s="51"/>
      <c r="IKG42" s="51"/>
      <c r="IKH42" s="51"/>
      <c r="IKI42" s="51"/>
      <c r="IKJ42" s="51"/>
      <c r="IKK42" s="51"/>
      <c r="IKL42" s="51"/>
      <c r="IKM42" s="51"/>
      <c r="IKN42" s="51"/>
      <c r="IKO42" s="51"/>
      <c r="IKP42" s="51"/>
      <c r="IKQ42" s="51"/>
      <c r="IKR42" s="51"/>
      <c r="IKS42" s="51"/>
      <c r="IKT42" s="51"/>
      <c r="IKU42" s="51"/>
      <c r="IKV42" s="51"/>
      <c r="IKW42" s="51"/>
      <c r="IKX42" s="51"/>
      <c r="IKY42" s="51"/>
      <c r="IKZ42" s="51"/>
      <c r="ILA42" s="51"/>
      <c r="ILB42" s="51"/>
      <c r="ILC42" s="51"/>
      <c r="ILD42" s="51"/>
      <c r="ILE42" s="51"/>
      <c r="ILF42" s="51"/>
      <c r="ILG42" s="51"/>
      <c r="ILH42" s="51"/>
      <c r="ILI42" s="51"/>
      <c r="ILJ42" s="51"/>
      <c r="ILK42" s="51"/>
      <c r="ILL42" s="51"/>
      <c r="ILM42" s="51"/>
      <c r="ILN42" s="51"/>
      <c r="ILO42" s="51"/>
      <c r="ILP42" s="51"/>
      <c r="ILQ42" s="51"/>
      <c r="ILR42" s="51"/>
      <c r="ILS42" s="51"/>
      <c r="ILT42" s="51"/>
      <c r="ILU42" s="51"/>
      <c r="ILV42" s="51"/>
      <c r="ILW42" s="51"/>
      <c r="ILX42" s="51"/>
      <c r="ILY42" s="51"/>
      <c r="ILZ42" s="51"/>
      <c r="IMA42" s="51"/>
      <c r="IMB42" s="51"/>
      <c r="IMC42" s="51"/>
      <c r="IMD42" s="51"/>
      <c r="IME42" s="51"/>
      <c r="IMF42" s="51"/>
      <c r="IMG42" s="51"/>
      <c r="IMH42" s="51"/>
      <c r="IMI42" s="51"/>
      <c r="IMJ42" s="51"/>
      <c r="IMK42" s="51"/>
      <c r="IML42" s="51"/>
      <c r="IMM42" s="51"/>
      <c r="IMN42" s="51"/>
      <c r="IMO42" s="51"/>
      <c r="IMP42" s="51"/>
      <c r="IMQ42" s="51"/>
      <c r="IMR42" s="51"/>
      <c r="IMS42" s="51"/>
      <c r="IMT42" s="51"/>
      <c r="IMU42" s="51"/>
      <c r="IMV42" s="51"/>
      <c r="IMW42" s="51"/>
      <c r="IMX42" s="51"/>
      <c r="IMY42" s="51"/>
      <c r="IMZ42" s="51"/>
      <c r="INA42" s="51"/>
      <c r="INB42" s="51"/>
      <c r="INC42" s="51"/>
      <c r="IND42" s="51"/>
      <c r="INE42" s="51"/>
      <c r="INF42" s="51"/>
      <c r="ING42" s="51"/>
      <c r="INH42" s="51"/>
      <c r="INI42" s="51"/>
      <c r="INJ42" s="51"/>
      <c r="INK42" s="51"/>
      <c r="INL42" s="51"/>
      <c r="INM42" s="51"/>
      <c r="INN42" s="51"/>
      <c r="INO42" s="51"/>
      <c r="INP42" s="51"/>
      <c r="INQ42" s="51"/>
      <c r="INR42" s="51"/>
      <c r="INS42" s="51"/>
      <c r="INT42" s="51"/>
      <c r="INU42" s="51"/>
      <c r="INV42" s="51"/>
      <c r="INW42" s="51"/>
      <c r="INX42" s="51"/>
      <c r="INY42" s="51"/>
      <c r="INZ42" s="51"/>
      <c r="IOA42" s="51"/>
      <c r="IOB42" s="51"/>
      <c r="IOC42" s="51"/>
      <c r="IOD42" s="51"/>
      <c r="IOE42" s="51"/>
      <c r="IOF42" s="51"/>
      <c r="IOG42" s="51"/>
      <c r="IOH42" s="51"/>
      <c r="IOI42" s="51"/>
      <c r="IOJ42" s="51"/>
      <c r="IOK42" s="51"/>
      <c r="IOL42" s="51"/>
      <c r="IOM42" s="51"/>
      <c r="ION42" s="51"/>
      <c r="IOO42" s="51"/>
      <c r="IOP42" s="51"/>
      <c r="IOQ42" s="51"/>
      <c r="IOR42" s="51"/>
      <c r="IOS42" s="51"/>
      <c r="IOT42" s="51"/>
      <c r="IOU42" s="51"/>
      <c r="IOV42" s="51"/>
      <c r="IOW42" s="51"/>
      <c r="IOX42" s="51"/>
      <c r="IOY42" s="51"/>
      <c r="IOZ42" s="51"/>
      <c r="IPA42" s="51"/>
      <c r="IPB42" s="51"/>
      <c r="IPC42" s="51"/>
      <c r="IPD42" s="51"/>
      <c r="IPE42" s="51"/>
      <c r="IPF42" s="51"/>
      <c r="IPG42" s="51"/>
      <c r="IPH42" s="51"/>
      <c r="IPI42" s="51"/>
      <c r="IPJ42" s="51"/>
      <c r="IPK42" s="51"/>
      <c r="IPL42" s="51"/>
      <c r="IPM42" s="51"/>
      <c r="IPN42" s="51"/>
      <c r="IPO42" s="51"/>
      <c r="IPP42" s="51"/>
      <c r="IPQ42" s="51"/>
      <c r="IPR42" s="51"/>
      <c r="IPS42" s="51"/>
      <c r="IPT42" s="51"/>
      <c r="IPU42" s="51"/>
      <c r="IPV42" s="51"/>
      <c r="IPW42" s="51"/>
      <c r="IPX42" s="51"/>
      <c r="IPY42" s="51"/>
      <c r="IPZ42" s="51"/>
      <c r="IQA42" s="51"/>
      <c r="IQB42" s="51"/>
      <c r="IQC42" s="51"/>
      <c r="IQD42" s="51"/>
      <c r="IQE42" s="51"/>
      <c r="IQF42" s="51"/>
      <c r="IQG42" s="51"/>
      <c r="IQH42" s="51"/>
      <c r="IQI42" s="51"/>
      <c r="IQJ42" s="51"/>
      <c r="IQK42" s="51"/>
      <c r="IQL42" s="51"/>
      <c r="IQM42" s="51"/>
      <c r="IQN42" s="51"/>
      <c r="IQO42" s="51"/>
      <c r="IQP42" s="51"/>
      <c r="IQQ42" s="51"/>
      <c r="IQR42" s="51"/>
      <c r="IQS42" s="51"/>
      <c r="IQT42" s="51"/>
      <c r="IQU42" s="51"/>
      <c r="IQV42" s="51"/>
      <c r="IQW42" s="51"/>
      <c r="IQX42" s="51"/>
      <c r="IQY42" s="51"/>
      <c r="IQZ42" s="51"/>
      <c r="IRA42" s="51"/>
      <c r="IRB42" s="51"/>
      <c r="IRC42" s="51"/>
      <c r="IRD42" s="51"/>
      <c r="IRE42" s="51"/>
      <c r="IRF42" s="51"/>
      <c r="IRG42" s="51"/>
      <c r="IRH42" s="51"/>
      <c r="IRI42" s="51"/>
      <c r="IRJ42" s="51"/>
      <c r="IRK42" s="51"/>
      <c r="IRL42" s="51"/>
      <c r="IRM42" s="51"/>
      <c r="IRN42" s="51"/>
      <c r="IRO42" s="51"/>
      <c r="IRP42" s="51"/>
      <c r="IRQ42" s="51"/>
      <c r="IRR42" s="51"/>
      <c r="IRS42" s="51"/>
      <c r="IRT42" s="51"/>
      <c r="IRU42" s="51"/>
      <c r="IRV42" s="51"/>
      <c r="IRW42" s="51"/>
      <c r="IRX42" s="51"/>
      <c r="IRY42" s="51"/>
      <c r="IRZ42" s="51"/>
      <c r="ISA42" s="51"/>
      <c r="ISB42" s="51"/>
      <c r="ISC42" s="51"/>
      <c r="ISD42" s="51"/>
      <c r="ISE42" s="51"/>
      <c r="ISF42" s="51"/>
      <c r="ISG42" s="51"/>
      <c r="ISH42" s="51"/>
      <c r="ISI42" s="51"/>
      <c r="ISJ42" s="51"/>
      <c r="ISK42" s="51"/>
      <c r="ISL42" s="51"/>
      <c r="ISM42" s="51"/>
      <c r="ISN42" s="51"/>
      <c r="ISO42" s="51"/>
      <c r="ISP42" s="51"/>
      <c r="ISQ42" s="51"/>
      <c r="ISR42" s="51"/>
      <c r="ISS42" s="51"/>
      <c r="IST42" s="51"/>
      <c r="ISU42" s="51"/>
      <c r="ISV42" s="51"/>
      <c r="ISW42" s="51"/>
      <c r="ISX42" s="51"/>
      <c r="ISY42" s="51"/>
      <c r="ISZ42" s="51"/>
      <c r="ITA42" s="51"/>
      <c r="ITB42" s="51"/>
      <c r="ITC42" s="51"/>
      <c r="ITD42" s="51"/>
      <c r="ITE42" s="51"/>
      <c r="ITF42" s="51"/>
      <c r="ITG42" s="51"/>
      <c r="ITH42" s="51"/>
      <c r="ITI42" s="51"/>
      <c r="ITJ42" s="51"/>
      <c r="ITK42" s="51"/>
      <c r="ITL42" s="51"/>
      <c r="ITM42" s="51"/>
      <c r="ITN42" s="51"/>
      <c r="ITO42" s="51"/>
      <c r="ITP42" s="51"/>
      <c r="ITQ42" s="51"/>
      <c r="ITR42" s="51"/>
      <c r="ITS42" s="51"/>
      <c r="ITT42" s="51"/>
      <c r="ITU42" s="51"/>
      <c r="ITV42" s="51"/>
      <c r="ITW42" s="51"/>
      <c r="ITX42" s="51"/>
      <c r="ITY42" s="51"/>
      <c r="ITZ42" s="51"/>
      <c r="IUA42" s="51"/>
      <c r="IUB42" s="51"/>
      <c r="IUC42" s="51"/>
      <c r="IUD42" s="51"/>
      <c r="IUE42" s="51"/>
      <c r="IUF42" s="51"/>
      <c r="IUG42" s="51"/>
      <c r="IUH42" s="51"/>
      <c r="IUI42" s="51"/>
      <c r="IUJ42" s="51"/>
      <c r="IUK42" s="51"/>
      <c r="IUL42" s="51"/>
      <c r="IUM42" s="51"/>
      <c r="IUN42" s="51"/>
      <c r="IUO42" s="51"/>
      <c r="IUP42" s="51"/>
      <c r="IUQ42" s="51"/>
      <c r="IUR42" s="51"/>
      <c r="IUS42" s="51"/>
      <c r="IUT42" s="51"/>
      <c r="IUU42" s="51"/>
      <c r="IUV42" s="51"/>
      <c r="IUW42" s="51"/>
      <c r="IUX42" s="51"/>
      <c r="IUY42" s="51"/>
      <c r="IUZ42" s="51"/>
      <c r="IVA42" s="51"/>
      <c r="IVB42" s="51"/>
      <c r="IVC42" s="51"/>
      <c r="IVD42" s="51"/>
      <c r="IVE42" s="51"/>
      <c r="IVF42" s="51"/>
      <c r="IVG42" s="51"/>
      <c r="IVH42" s="51"/>
      <c r="IVI42" s="51"/>
      <c r="IVJ42" s="51"/>
      <c r="IVK42" s="51"/>
      <c r="IVL42" s="51"/>
      <c r="IVM42" s="51"/>
      <c r="IVN42" s="51"/>
      <c r="IVO42" s="51"/>
      <c r="IVP42" s="51"/>
      <c r="IVQ42" s="51"/>
      <c r="IVR42" s="51"/>
      <c r="IVS42" s="51"/>
      <c r="IVT42" s="51"/>
      <c r="IVU42" s="51"/>
      <c r="IVV42" s="51"/>
      <c r="IVW42" s="51"/>
      <c r="IVX42" s="51"/>
      <c r="IVY42" s="51"/>
      <c r="IVZ42" s="51"/>
      <c r="IWA42" s="51"/>
      <c r="IWB42" s="51"/>
      <c r="IWC42" s="51"/>
      <c r="IWD42" s="51"/>
      <c r="IWE42" s="51"/>
      <c r="IWF42" s="51"/>
      <c r="IWG42" s="51"/>
      <c r="IWH42" s="51"/>
      <c r="IWI42" s="51"/>
      <c r="IWJ42" s="51"/>
      <c r="IWK42" s="51"/>
      <c r="IWL42" s="51"/>
      <c r="IWM42" s="51"/>
      <c r="IWN42" s="51"/>
      <c r="IWO42" s="51"/>
      <c r="IWP42" s="51"/>
      <c r="IWQ42" s="51"/>
      <c r="IWR42" s="51"/>
      <c r="IWS42" s="51"/>
      <c r="IWT42" s="51"/>
      <c r="IWU42" s="51"/>
      <c r="IWV42" s="51"/>
      <c r="IWW42" s="51"/>
      <c r="IWX42" s="51"/>
      <c r="IWY42" s="51"/>
      <c r="IWZ42" s="51"/>
      <c r="IXA42" s="51"/>
      <c r="IXB42" s="51"/>
      <c r="IXC42" s="51"/>
      <c r="IXD42" s="51"/>
      <c r="IXE42" s="51"/>
      <c r="IXF42" s="51"/>
      <c r="IXG42" s="51"/>
      <c r="IXH42" s="51"/>
      <c r="IXI42" s="51"/>
      <c r="IXJ42" s="51"/>
      <c r="IXK42" s="51"/>
      <c r="IXL42" s="51"/>
      <c r="IXM42" s="51"/>
      <c r="IXN42" s="51"/>
      <c r="IXO42" s="51"/>
      <c r="IXP42" s="51"/>
      <c r="IXQ42" s="51"/>
      <c r="IXR42" s="51"/>
      <c r="IXS42" s="51"/>
      <c r="IXT42" s="51"/>
      <c r="IXU42" s="51"/>
      <c r="IXV42" s="51"/>
      <c r="IXW42" s="51"/>
      <c r="IXX42" s="51"/>
      <c r="IXY42" s="51"/>
      <c r="IXZ42" s="51"/>
      <c r="IYA42" s="51"/>
      <c r="IYB42" s="51"/>
      <c r="IYC42" s="51"/>
      <c r="IYD42" s="51"/>
      <c r="IYE42" s="51"/>
      <c r="IYF42" s="51"/>
      <c r="IYG42" s="51"/>
      <c r="IYH42" s="51"/>
      <c r="IYI42" s="51"/>
      <c r="IYJ42" s="51"/>
      <c r="IYK42" s="51"/>
      <c r="IYL42" s="51"/>
      <c r="IYM42" s="51"/>
      <c r="IYN42" s="51"/>
      <c r="IYO42" s="51"/>
      <c r="IYP42" s="51"/>
      <c r="IYQ42" s="51"/>
      <c r="IYR42" s="51"/>
      <c r="IYS42" s="51"/>
      <c r="IYT42" s="51"/>
      <c r="IYU42" s="51"/>
      <c r="IYV42" s="51"/>
      <c r="IYW42" s="51"/>
      <c r="IYX42" s="51"/>
      <c r="IYY42" s="51"/>
      <c r="IYZ42" s="51"/>
      <c r="IZA42" s="51"/>
      <c r="IZB42" s="51"/>
      <c r="IZC42" s="51"/>
      <c r="IZD42" s="51"/>
      <c r="IZE42" s="51"/>
      <c r="IZF42" s="51"/>
      <c r="IZG42" s="51"/>
      <c r="IZH42" s="51"/>
      <c r="IZI42" s="51"/>
      <c r="IZJ42" s="51"/>
      <c r="IZK42" s="51"/>
      <c r="IZL42" s="51"/>
      <c r="IZM42" s="51"/>
      <c r="IZN42" s="51"/>
      <c r="IZO42" s="51"/>
      <c r="IZP42" s="51"/>
      <c r="IZQ42" s="51"/>
      <c r="IZR42" s="51"/>
      <c r="IZS42" s="51"/>
      <c r="IZT42" s="51"/>
      <c r="IZU42" s="51"/>
      <c r="IZV42" s="51"/>
      <c r="IZW42" s="51"/>
      <c r="IZX42" s="51"/>
      <c r="IZY42" s="51"/>
      <c r="IZZ42" s="51"/>
      <c r="JAA42" s="51"/>
      <c r="JAB42" s="51"/>
      <c r="JAC42" s="51"/>
      <c r="JAD42" s="51"/>
      <c r="JAE42" s="51"/>
      <c r="JAF42" s="51"/>
      <c r="JAG42" s="51"/>
      <c r="JAH42" s="51"/>
      <c r="JAI42" s="51"/>
      <c r="JAJ42" s="51"/>
      <c r="JAK42" s="51"/>
      <c r="JAL42" s="51"/>
      <c r="JAM42" s="51"/>
      <c r="JAN42" s="51"/>
      <c r="JAO42" s="51"/>
      <c r="JAP42" s="51"/>
      <c r="JAQ42" s="51"/>
      <c r="JAR42" s="51"/>
      <c r="JAS42" s="51"/>
      <c r="JAT42" s="51"/>
      <c r="JAU42" s="51"/>
      <c r="JAV42" s="51"/>
      <c r="JAW42" s="51"/>
      <c r="JAX42" s="51"/>
      <c r="JAY42" s="51"/>
      <c r="JAZ42" s="51"/>
      <c r="JBA42" s="51"/>
      <c r="JBB42" s="51"/>
      <c r="JBC42" s="51"/>
      <c r="JBD42" s="51"/>
      <c r="JBE42" s="51"/>
      <c r="JBF42" s="51"/>
      <c r="JBG42" s="51"/>
      <c r="JBH42" s="51"/>
      <c r="JBI42" s="51"/>
      <c r="JBJ42" s="51"/>
      <c r="JBK42" s="51"/>
      <c r="JBL42" s="51"/>
      <c r="JBM42" s="51"/>
      <c r="JBN42" s="51"/>
      <c r="JBO42" s="51"/>
      <c r="JBP42" s="51"/>
      <c r="JBQ42" s="51"/>
      <c r="JBR42" s="51"/>
      <c r="JBS42" s="51"/>
      <c r="JBT42" s="51"/>
      <c r="JBU42" s="51"/>
      <c r="JBV42" s="51"/>
      <c r="JBW42" s="51"/>
      <c r="JBX42" s="51"/>
      <c r="JBY42" s="51"/>
      <c r="JBZ42" s="51"/>
      <c r="JCA42" s="51"/>
      <c r="JCB42" s="51"/>
      <c r="JCC42" s="51"/>
      <c r="JCD42" s="51"/>
      <c r="JCE42" s="51"/>
      <c r="JCF42" s="51"/>
      <c r="JCG42" s="51"/>
      <c r="JCH42" s="51"/>
      <c r="JCI42" s="51"/>
      <c r="JCJ42" s="51"/>
      <c r="JCK42" s="51"/>
      <c r="JCL42" s="51"/>
      <c r="JCM42" s="51"/>
      <c r="JCN42" s="51"/>
      <c r="JCO42" s="51"/>
      <c r="JCP42" s="51"/>
      <c r="JCQ42" s="51"/>
      <c r="JCR42" s="51"/>
      <c r="JCS42" s="51"/>
      <c r="JCT42" s="51"/>
      <c r="JCU42" s="51"/>
      <c r="JCV42" s="51"/>
      <c r="JCW42" s="51"/>
      <c r="JCX42" s="51"/>
      <c r="JCY42" s="51"/>
      <c r="JCZ42" s="51"/>
      <c r="JDA42" s="51"/>
      <c r="JDB42" s="51"/>
      <c r="JDC42" s="51"/>
      <c r="JDD42" s="51"/>
      <c r="JDE42" s="51"/>
      <c r="JDF42" s="51"/>
      <c r="JDG42" s="51"/>
      <c r="JDH42" s="51"/>
      <c r="JDI42" s="51"/>
      <c r="JDJ42" s="51"/>
      <c r="JDK42" s="51"/>
      <c r="JDL42" s="51"/>
      <c r="JDM42" s="51"/>
      <c r="JDN42" s="51"/>
      <c r="JDO42" s="51"/>
      <c r="JDP42" s="51"/>
      <c r="JDQ42" s="51"/>
      <c r="JDR42" s="51"/>
      <c r="JDS42" s="51"/>
      <c r="JDT42" s="51"/>
      <c r="JDU42" s="51"/>
      <c r="JDV42" s="51"/>
      <c r="JDW42" s="51"/>
      <c r="JDX42" s="51"/>
      <c r="JDY42" s="51"/>
      <c r="JDZ42" s="51"/>
      <c r="JEA42" s="51"/>
      <c r="JEB42" s="51"/>
      <c r="JEC42" s="51"/>
      <c r="JED42" s="51"/>
      <c r="JEE42" s="51"/>
      <c r="JEF42" s="51"/>
      <c r="JEG42" s="51"/>
      <c r="JEH42" s="51"/>
      <c r="JEI42" s="51"/>
      <c r="JEJ42" s="51"/>
      <c r="JEK42" s="51"/>
      <c r="JEL42" s="51"/>
      <c r="JEM42" s="51"/>
      <c r="JEN42" s="51"/>
      <c r="JEO42" s="51"/>
      <c r="JEP42" s="51"/>
      <c r="JEQ42" s="51"/>
      <c r="JER42" s="51"/>
      <c r="JES42" s="51"/>
      <c r="JET42" s="51"/>
      <c r="JEU42" s="51"/>
      <c r="JEV42" s="51"/>
      <c r="JEW42" s="51"/>
      <c r="JEX42" s="51"/>
      <c r="JEY42" s="51"/>
      <c r="JEZ42" s="51"/>
      <c r="JFA42" s="51"/>
      <c r="JFB42" s="51"/>
      <c r="JFC42" s="51"/>
      <c r="JFD42" s="51"/>
      <c r="JFE42" s="51"/>
      <c r="JFF42" s="51"/>
      <c r="JFG42" s="51"/>
      <c r="JFH42" s="51"/>
      <c r="JFI42" s="51"/>
      <c r="JFJ42" s="51"/>
      <c r="JFK42" s="51"/>
      <c r="JFL42" s="51"/>
      <c r="JFM42" s="51"/>
      <c r="JFN42" s="51"/>
      <c r="JFO42" s="51"/>
      <c r="JFP42" s="51"/>
      <c r="JFQ42" s="51"/>
      <c r="JFR42" s="51"/>
      <c r="JFS42" s="51"/>
      <c r="JFT42" s="51"/>
      <c r="JFU42" s="51"/>
      <c r="JFV42" s="51"/>
      <c r="JFW42" s="51"/>
      <c r="JFX42" s="51"/>
      <c r="JFY42" s="51"/>
      <c r="JFZ42" s="51"/>
      <c r="JGA42" s="51"/>
      <c r="JGB42" s="51"/>
      <c r="JGC42" s="51"/>
      <c r="JGD42" s="51"/>
      <c r="JGE42" s="51"/>
      <c r="JGF42" s="51"/>
      <c r="JGG42" s="51"/>
      <c r="JGH42" s="51"/>
      <c r="JGI42" s="51"/>
      <c r="JGJ42" s="51"/>
      <c r="JGK42" s="51"/>
      <c r="JGL42" s="51"/>
      <c r="JGM42" s="51"/>
      <c r="JGN42" s="51"/>
      <c r="JGO42" s="51"/>
      <c r="JGP42" s="51"/>
      <c r="JGQ42" s="51"/>
      <c r="JGR42" s="51"/>
      <c r="JGS42" s="51"/>
      <c r="JGT42" s="51"/>
      <c r="JGU42" s="51"/>
      <c r="JGV42" s="51"/>
      <c r="JGW42" s="51"/>
      <c r="JGX42" s="51"/>
      <c r="JGY42" s="51"/>
      <c r="JGZ42" s="51"/>
      <c r="JHA42" s="51"/>
      <c r="JHB42" s="51"/>
      <c r="JHC42" s="51"/>
      <c r="JHD42" s="51"/>
      <c r="JHE42" s="51"/>
      <c r="JHF42" s="51"/>
      <c r="JHG42" s="51"/>
      <c r="JHH42" s="51"/>
      <c r="JHI42" s="51"/>
      <c r="JHJ42" s="51"/>
      <c r="JHK42" s="51"/>
      <c r="JHL42" s="51"/>
      <c r="JHM42" s="51"/>
      <c r="JHN42" s="51"/>
      <c r="JHO42" s="51"/>
      <c r="JHP42" s="51"/>
      <c r="JHQ42" s="51"/>
      <c r="JHR42" s="51"/>
      <c r="JHS42" s="51"/>
      <c r="JHT42" s="51"/>
      <c r="JHU42" s="51"/>
      <c r="JHV42" s="51"/>
      <c r="JHW42" s="51"/>
      <c r="JHX42" s="51"/>
      <c r="JHY42" s="51"/>
      <c r="JHZ42" s="51"/>
      <c r="JIA42" s="51"/>
      <c r="JIB42" s="51"/>
      <c r="JIC42" s="51"/>
      <c r="JID42" s="51"/>
      <c r="JIE42" s="51"/>
      <c r="JIF42" s="51"/>
      <c r="JIG42" s="51"/>
      <c r="JIH42" s="51"/>
      <c r="JII42" s="51"/>
      <c r="JIJ42" s="51"/>
      <c r="JIK42" s="51"/>
      <c r="JIL42" s="51"/>
      <c r="JIM42" s="51"/>
      <c r="JIN42" s="51"/>
      <c r="JIO42" s="51"/>
      <c r="JIP42" s="51"/>
      <c r="JIQ42" s="51"/>
      <c r="JIR42" s="51"/>
      <c r="JIS42" s="51"/>
      <c r="JIT42" s="51"/>
      <c r="JIU42" s="51"/>
      <c r="JIV42" s="51"/>
      <c r="JIW42" s="51"/>
      <c r="JIX42" s="51"/>
      <c r="JIY42" s="51"/>
      <c r="JIZ42" s="51"/>
      <c r="JJA42" s="51"/>
      <c r="JJB42" s="51"/>
      <c r="JJC42" s="51"/>
      <c r="JJD42" s="51"/>
      <c r="JJE42" s="51"/>
      <c r="JJF42" s="51"/>
      <c r="JJG42" s="51"/>
      <c r="JJH42" s="51"/>
      <c r="JJI42" s="51"/>
      <c r="JJJ42" s="51"/>
      <c r="JJK42" s="51"/>
      <c r="JJL42" s="51"/>
      <c r="JJM42" s="51"/>
      <c r="JJN42" s="51"/>
      <c r="JJO42" s="51"/>
      <c r="JJP42" s="51"/>
      <c r="JJQ42" s="51"/>
      <c r="JJR42" s="51"/>
      <c r="JJS42" s="51"/>
      <c r="JJT42" s="51"/>
      <c r="JJU42" s="51"/>
      <c r="JJV42" s="51"/>
      <c r="JJW42" s="51"/>
      <c r="JJX42" s="51"/>
      <c r="JJY42" s="51"/>
      <c r="JJZ42" s="51"/>
      <c r="JKA42" s="51"/>
      <c r="JKB42" s="51"/>
      <c r="JKC42" s="51"/>
      <c r="JKD42" s="51"/>
      <c r="JKE42" s="51"/>
      <c r="JKF42" s="51"/>
      <c r="JKG42" s="51"/>
      <c r="JKH42" s="51"/>
      <c r="JKI42" s="51"/>
      <c r="JKJ42" s="51"/>
      <c r="JKK42" s="51"/>
      <c r="JKL42" s="51"/>
      <c r="JKM42" s="51"/>
      <c r="JKN42" s="51"/>
      <c r="JKO42" s="51"/>
      <c r="JKP42" s="51"/>
      <c r="JKQ42" s="51"/>
      <c r="JKR42" s="51"/>
      <c r="JKS42" s="51"/>
      <c r="JKT42" s="51"/>
      <c r="JKU42" s="51"/>
      <c r="JKV42" s="51"/>
      <c r="JKW42" s="51"/>
      <c r="JKX42" s="51"/>
      <c r="JKY42" s="51"/>
      <c r="JKZ42" s="51"/>
      <c r="JLA42" s="51"/>
      <c r="JLB42" s="51"/>
      <c r="JLC42" s="51"/>
      <c r="JLD42" s="51"/>
      <c r="JLE42" s="51"/>
      <c r="JLF42" s="51"/>
      <c r="JLG42" s="51"/>
      <c r="JLH42" s="51"/>
      <c r="JLI42" s="51"/>
      <c r="JLJ42" s="51"/>
      <c r="JLK42" s="51"/>
      <c r="JLL42" s="51"/>
      <c r="JLM42" s="51"/>
      <c r="JLN42" s="51"/>
      <c r="JLO42" s="51"/>
      <c r="JLP42" s="51"/>
      <c r="JLQ42" s="51"/>
      <c r="JLR42" s="51"/>
      <c r="JLS42" s="51"/>
      <c r="JLT42" s="51"/>
      <c r="JLU42" s="51"/>
      <c r="JLV42" s="51"/>
      <c r="JLW42" s="51"/>
      <c r="JLX42" s="51"/>
      <c r="JLY42" s="51"/>
      <c r="JLZ42" s="51"/>
      <c r="JMA42" s="51"/>
      <c r="JMB42" s="51"/>
      <c r="JMC42" s="51"/>
      <c r="JMD42" s="51"/>
      <c r="JME42" s="51"/>
      <c r="JMF42" s="51"/>
      <c r="JMG42" s="51"/>
      <c r="JMH42" s="51"/>
      <c r="JMI42" s="51"/>
      <c r="JMJ42" s="51"/>
      <c r="JMK42" s="51"/>
      <c r="JML42" s="51"/>
      <c r="JMM42" s="51"/>
      <c r="JMN42" s="51"/>
      <c r="JMO42" s="51"/>
      <c r="JMP42" s="51"/>
      <c r="JMQ42" s="51"/>
      <c r="JMR42" s="51"/>
      <c r="JMS42" s="51"/>
      <c r="JMT42" s="51"/>
      <c r="JMU42" s="51"/>
      <c r="JMV42" s="51"/>
      <c r="JMW42" s="51"/>
      <c r="JMX42" s="51"/>
      <c r="JMY42" s="51"/>
      <c r="JMZ42" s="51"/>
      <c r="JNA42" s="51"/>
      <c r="JNB42" s="51"/>
      <c r="JNC42" s="51"/>
      <c r="JND42" s="51"/>
      <c r="JNE42" s="51"/>
      <c r="JNF42" s="51"/>
      <c r="JNG42" s="51"/>
      <c r="JNH42" s="51"/>
      <c r="JNI42" s="51"/>
      <c r="JNJ42" s="51"/>
      <c r="JNK42" s="51"/>
      <c r="JNL42" s="51"/>
      <c r="JNM42" s="51"/>
      <c r="JNN42" s="51"/>
      <c r="JNO42" s="51"/>
      <c r="JNP42" s="51"/>
      <c r="JNQ42" s="51"/>
      <c r="JNR42" s="51"/>
      <c r="JNS42" s="51"/>
      <c r="JNT42" s="51"/>
      <c r="JNU42" s="51"/>
      <c r="JNV42" s="51"/>
      <c r="JNW42" s="51"/>
      <c r="JNX42" s="51"/>
      <c r="JNY42" s="51"/>
      <c r="JNZ42" s="51"/>
      <c r="JOA42" s="51"/>
      <c r="JOB42" s="51"/>
      <c r="JOC42" s="51"/>
      <c r="JOD42" s="51"/>
      <c r="JOE42" s="51"/>
      <c r="JOF42" s="51"/>
      <c r="JOG42" s="51"/>
      <c r="JOH42" s="51"/>
      <c r="JOI42" s="51"/>
      <c r="JOJ42" s="51"/>
      <c r="JOK42" s="51"/>
      <c r="JOL42" s="51"/>
      <c r="JOM42" s="51"/>
      <c r="JON42" s="51"/>
      <c r="JOO42" s="51"/>
      <c r="JOP42" s="51"/>
      <c r="JOQ42" s="51"/>
      <c r="JOR42" s="51"/>
      <c r="JOS42" s="51"/>
      <c r="JOT42" s="51"/>
      <c r="JOU42" s="51"/>
      <c r="JOV42" s="51"/>
      <c r="JOW42" s="51"/>
      <c r="JOX42" s="51"/>
      <c r="JOY42" s="51"/>
      <c r="JOZ42" s="51"/>
      <c r="JPA42" s="51"/>
      <c r="JPB42" s="51"/>
      <c r="JPC42" s="51"/>
      <c r="JPD42" s="51"/>
      <c r="JPE42" s="51"/>
      <c r="JPF42" s="51"/>
      <c r="JPG42" s="51"/>
      <c r="JPH42" s="51"/>
      <c r="JPI42" s="51"/>
      <c r="JPJ42" s="51"/>
      <c r="JPK42" s="51"/>
      <c r="JPL42" s="51"/>
      <c r="JPM42" s="51"/>
      <c r="JPN42" s="51"/>
      <c r="JPO42" s="51"/>
      <c r="JPP42" s="51"/>
      <c r="JPQ42" s="51"/>
      <c r="JPR42" s="51"/>
      <c r="JPS42" s="51"/>
      <c r="JPT42" s="51"/>
      <c r="JPU42" s="51"/>
      <c r="JPV42" s="51"/>
      <c r="JPW42" s="51"/>
      <c r="JPX42" s="51"/>
      <c r="JPY42" s="51"/>
      <c r="JPZ42" s="51"/>
      <c r="JQA42" s="51"/>
      <c r="JQB42" s="51"/>
      <c r="JQC42" s="51"/>
      <c r="JQD42" s="51"/>
      <c r="JQE42" s="51"/>
      <c r="JQF42" s="51"/>
      <c r="JQG42" s="51"/>
      <c r="JQH42" s="51"/>
      <c r="JQI42" s="51"/>
      <c r="JQJ42" s="51"/>
      <c r="JQK42" s="51"/>
      <c r="JQL42" s="51"/>
      <c r="JQM42" s="51"/>
      <c r="JQN42" s="51"/>
      <c r="JQO42" s="51"/>
      <c r="JQP42" s="51"/>
      <c r="JQQ42" s="51"/>
      <c r="JQR42" s="51"/>
      <c r="JQS42" s="51"/>
      <c r="JQT42" s="51"/>
      <c r="JQU42" s="51"/>
      <c r="JQV42" s="51"/>
      <c r="JQW42" s="51"/>
      <c r="JQX42" s="51"/>
      <c r="JQY42" s="51"/>
      <c r="JQZ42" s="51"/>
      <c r="JRA42" s="51"/>
      <c r="JRB42" s="51"/>
      <c r="JRC42" s="51"/>
      <c r="JRD42" s="51"/>
      <c r="JRE42" s="51"/>
      <c r="JRF42" s="51"/>
      <c r="JRG42" s="51"/>
      <c r="JRH42" s="51"/>
      <c r="JRI42" s="51"/>
      <c r="JRJ42" s="51"/>
      <c r="JRK42" s="51"/>
      <c r="JRL42" s="51"/>
      <c r="JRM42" s="51"/>
      <c r="JRN42" s="51"/>
      <c r="JRO42" s="51"/>
      <c r="JRP42" s="51"/>
      <c r="JRQ42" s="51"/>
      <c r="JRR42" s="51"/>
      <c r="JRS42" s="51"/>
      <c r="JRT42" s="51"/>
      <c r="JRU42" s="51"/>
      <c r="JRV42" s="51"/>
      <c r="JRW42" s="51"/>
      <c r="JRX42" s="51"/>
      <c r="JRY42" s="51"/>
      <c r="JRZ42" s="51"/>
      <c r="JSA42" s="51"/>
      <c r="JSB42" s="51"/>
      <c r="JSC42" s="51"/>
      <c r="JSD42" s="51"/>
      <c r="JSE42" s="51"/>
      <c r="JSF42" s="51"/>
      <c r="JSG42" s="51"/>
      <c r="JSH42" s="51"/>
      <c r="JSI42" s="51"/>
      <c r="JSJ42" s="51"/>
      <c r="JSK42" s="51"/>
      <c r="JSL42" s="51"/>
      <c r="JSM42" s="51"/>
      <c r="JSN42" s="51"/>
      <c r="JSO42" s="51"/>
      <c r="JSP42" s="51"/>
      <c r="JSQ42" s="51"/>
      <c r="JSR42" s="51"/>
      <c r="JSS42" s="51"/>
      <c r="JST42" s="51"/>
      <c r="JSU42" s="51"/>
      <c r="JSV42" s="51"/>
      <c r="JSW42" s="51"/>
      <c r="JSX42" s="51"/>
      <c r="JSY42" s="51"/>
      <c r="JSZ42" s="51"/>
      <c r="JTA42" s="51"/>
      <c r="JTB42" s="51"/>
      <c r="JTC42" s="51"/>
      <c r="JTD42" s="51"/>
      <c r="JTE42" s="51"/>
      <c r="JTF42" s="51"/>
      <c r="JTG42" s="51"/>
      <c r="JTH42" s="51"/>
      <c r="JTI42" s="51"/>
      <c r="JTJ42" s="51"/>
      <c r="JTK42" s="51"/>
      <c r="JTL42" s="51"/>
      <c r="JTM42" s="51"/>
      <c r="JTN42" s="51"/>
      <c r="JTO42" s="51"/>
      <c r="JTP42" s="51"/>
      <c r="JTQ42" s="51"/>
      <c r="JTR42" s="51"/>
      <c r="JTS42" s="51"/>
      <c r="JTT42" s="51"/>
      <c r="JTU42" s="51"/>
      <c r="JTV42" s="51"/>
      <c r="JTW42" s="51"/>
      <c r="JTX42" s="51"/>
      <c r="JTY42" s="51"/>
      <c r="JTZ42" s="51"/>
      <c r="JUA42" s="51"/>
      <c r="JUB42" s="51"/>
      <c r="JUC42" s="51"/>
      <c r="JUD42" s="51"/>
      <c r="JUE42" s="51"/>
      <c r="JUF42" s="51"/>
      <c r="JUG42" s="51"/>
      <c r="JUH42" s="51"/>
      <c r="JUI42" s="51"/>
      <c r="JUJ42" s="51"/>
      <c r="JUK42" s="51"/>
      <c r="JUL42" s="51"/>
      <c r="JUM42" s="51"/>
      <c r="JUN42" s="51"/>
      <c r="JUO42" s="51"/>
      <c r="JUP42" s="51"/>
      <c r="JUQ42" s="51"/>
      <c r="JUR42" s="51"/>
      <c r="JUS42" s="51"/>
      <c r="JUT42" s="51"/>
      <c r="JUU42" s="51"/>
      <c r="JUV42" s="51"/>
      <c r="JUW42" s="51"/>
      <c r="JUX42" s="51"/>
      <c r="JUY42" s="51"/>
      <c r="JUZ42" s="51"/>
      <c r="JVA42" s="51"/>
      <c r="JVB42" s="51"/>
      <c r="JVC42" s="51"/>
      <c r="JVD42" s="51"/>
      <c r="JVE42" s="51"/>
      <c r="JVF42" s="51"/>
      <c r="JVG42" s="51"/>
      <c r="JVH42" s="51"/>
      <c r="JVI42" s="51"/>
      <c r="JVJ42" s="51"/>
      <c r="JVK42" s="51"/>
      <c r="JVL42" s="51"/>
      <c r="JVM42" s="51"/>
      <c r="JVN42" s="51"/>
      <c r="JVO42" s="51"/>
      <c r="JVP42" s="51"/>
      <c r="JVQ42" s="51"/>
      <c r="JVR42" s="51"/>
      <c r="JVS42" s="51"/>
      <c r="JVT42" s="51"/>
      <c r="JVU42" s="51"/>
      <c r="JVV42" s="51"/>
      <c r="JVW42" s="51"/>
      <c r="JVX42" s="51"/>
      <c r="JVY42" s="51"/>
      <c r="JVZ42" s="51"/>
      <c r="JWA42" s="51"/>
      <c r="JWB42" s="51"/>
      <c r="JWC42" s="51"/>
      <c r="JWD42" s="51"/>
      <c r="JWE42" s="51"/>
      <c r="JWF42" s="51"/>
      <c r="JWG42" s="51"/>
      <c r="JWH42" s="51"/>
      <c r="JWI42" s="51"/>
      <c r="JWJ42" s="51"/>
      <c r="JWK42" s="51"/>
      <c r="JWL42" s="51"/>
      <c r="JWM42" s="51"/>
      <c r="JWN42" s="51"/>
      <c r="JWO42" s="51"/>
      <c r="JWP42" s="51"/>
      <c r="JWQ42" s="51"/>
      <c r="JWR42" s="51"/>
      <c r="JWS42" s="51"/>
      <c r="JWT42" s="51"/>
      <c r="JWU42" s="51"/>
      <c r="JWV42" s="51"/>
      <c r="JWW42" s="51"/>
      <c r="JWX42" s="51"/>
      <c r="JWY42" s="51"/>
      <c r="JWZ42" s="51"/>
      <c r="JXA42" s="51"/>
      <c r="JXB42" s="51"/>
      <c r="JXC42" s="51"/>
      <c r="JXD42" s="51"/>
      <c r="JXE42" s="51"/>
      <c r="JXF42" s="51"/>
      <c r="JXG42" s="51"/>
      <c r="JXH42" s="51"/>
      <c r="JXI42" s="51"/>
      <c r="JXJ42" s="51"/>
      <c r="JXK42" s="51"/>
      <c r="JXL42" s="51"/>
      <c r="JXM42" s="51"/>
      <c r="JXN42" s="51"/>
      <c r="JXO42" s="51"/>
      <c r="JXP42" s="51"/>
      <c r="JXQ42" s="51"/>
      <c r="JXR42" s="51"/>
      <c r="JXS42" s="51"/>
      <c r="JXT42" s="51"/>
      <c r="JXU42" s="51"/>
      <c r="JXV42" s="51"/>
      <c r="JXW42" s="51"/>
      <c r="JXX42" s="51"/>
      <c r="JXY42" s="51"/>
      <c r="JXZ42" s="51"/>
      <c r="JYA42" s="51"/>
      <c r="JYB42" s="51"/>
      <c r="JYC42" s="51"/>
      <c r="JYD42" s="51"/>
      <c r="JYE42" s="51"/>
      <c r="JYF42" s="51"/>
      <c r="JYG42" s="51"/>
      <c r="JYH42" s="51"/>
      <c r="JYI42" s="51"/>
      <c r="JYJ42" s="51"/>
      <c r="JYK42" s="51"/>
      <c r="JYL42" s="51"/>
      <c r="JYM42" s="51"/>
      <c r="JYN42" s="51"/>
      <c r="JYO42" s="51"/>
      <c r="JYP42" s="51"/>
      <c r="JYQ42" s="51"/>
      <c r="JYR42" s="51"/>
      <c r="JYS42" s="51"/>
      <c r="JYT42" s="51"/>
      <c r="JYU42" s="51"/>
      <c r="JYV42" s="51"/>
      <c r="JYW42" s="51"/>
      <c r="JYX42" s="51"/>
      <c r="JYY42" s="51"/>
      <c r="JYZ42" s="51"/>
      <c r="JZA42" s="51"/>
      <c r="JZB42" s="51"/>
      <c r="JZC42" s="51"/>
      <c r="JZD42" s="51"/>
      <c r="JZE42" s="51"/>
      <c r="JZF42" s="51"/>
      <c r="JZG42" s="51"/>
      <c r="JZH42" s="51"/>
      <c r="JZI42" s="51"/>
      <c r="JZJ42" s="51"/>
      <c r="JZK42" s="51"/>
      <c r="JZL42" s="51"/>
      <c r="JZM42" s="51"/>
      <c r="JZN42" s="51"/>
      <c r="JZO42" s="51"/>
      <c r="JZP42" s="51"/>
      <c r="JZQ42" s="51"/>
      <c r="JZR42" s="51"/>
      <c r="JZS42" s="51"/>
      <c r="JZT42" s="51"/>
      <c r="JZU42" s="51"/>
      <c r="JZV42" s="51"/>
      <c r="JZW42" s="51"/>
      <c r="JZX42" s="51"/>
      <c r="JZY42" s="51"/>
      <c r="JZZ42" s="51"/>
      <c r="KAA42" s="51"/>
      <c r="KAB42" s="51"/>
      <c r="KAC42" s="51"/>
      <c r="KAD42" s="51"/>
      <c r="KAE42" s="51"/>
      <c r="KAF42" s="51"/>
      <c r="KAG42" s="51"/>
      <c r="KAH42" s="51"/>
      <c r="KAI42" s="51"/>
      <c r="KAJ42" s="51"/>
      <c r="KAK42" s="51"/>
      <c r="KAL42" s="51"/>
      <c r="KAM42" s="51"/>
      <c r="KAN42" s="51"/>
      <c r="KAO42" s="51"/>
      <c r="KAP42" s="51"/>
      <c r="KAQ42" s="51"/>
      <c r="KAR42" s="51"/>
      <c r="KAS42" s="51"/>
      <c r="KAT42" s="51"/>
      <c r="KAU42" s="51"/>
      <c r="KAV42" s="51"/>
      <c r="KAW42" s="51"/>
      <c r="KAX42" s="51"/>
      <c r="KAY42" s="51"/>
      <c r="KAZ42" s="51"/>
      <c r="KBA42" s="51"/>
      <c r="KBB42" s="51"/>
      <c r="KBC42" s="51"/>
      <c r="KBD42" s="51"/>
      <c r="KBE42" s="51"/>
      <c r="KBF42" s="51"/>
      <c r="KBG42" s="51"/>
      <c r="KBH42" s="51"/>
      <c r="KBI42" s="51"/>
      <c r="KBJ42" s="51"/>
      <c r="KBK42" s="51"/>
      <c r="KBL42" s="51"/>
      <c r="KBM42" s="51"/>
      <c r="KBN42" s="51"/>
      <c r="KBO42" s="51"/>
      <c r="KBP42" s="51"/>
      <c r="KBQ42" s="51"/>
      <c r="KBR42" s="51"/>
      <c r="KBS42" s="51"/>
      <c r="KBT42" s="51"/>
      <c r="KBU42" s="51"/>
      <c r="KBV42" s="51"/>
      <c r="KBW42" s="51"/>
      <c r="KBX42" s="51"/>
      <c r="KBY42" s="51"/>
      <c r="KBZ42" s="51"/>
      <c r="KCA42" s="51"/>
      <c r="KCB42" s="51"/>
      <c r="KCC42" s="51"/>
      <c r="KCD42" s="51"/>
      <c r="KCE42" s="51"/>
      <c r="KCF42" s="51"/>
      <c r="KCG42" s="51"/>
      <c r="KCH42" s="51"/>
      <c r="KCI42" s="51"/>
      <c r="KCJ42" s="51"/>
      <c r="KCK42" s="51"/>
      <c r="KCL42" s="51"/>
      <c r="KCM42" s="51"/>
      <c r="KCN42" s="51"/>
      <c r="KCO42" s="51"/>
      <c r="KCP42" s="51"/>
      <c r="KCQ42" s="51"/>
      <c r="KCR42" s="51"/>
      <c r="KCS42" s="51"/>
      <c r="KCT42" s="51"/>
      <c r="KCU42" s="51"/>
      <c r="KCV42" s="51"/>
      <c r="KCW42" s="51"/>
      <c r="KCX42" s="51"/>
      <c r="KCY42" s="51"/>
      <c r="KCZ42" s="51"/>
      <c r="KDA42" s="51"/>
      <c r="KDB42" s="51"/>
      <c r="KDC42" s="51"/>
      <c r="KDD42" s="51"/>
      <c r="KDE42" s="51"/>
      <c r="KDF42" s="51"/>
      <c r="KDG42" s="51"/>
      <c r="KDH42" s="51"/>
      <c r="KDI42" s="51"/>
      <c r="KDJ42" s="51"/>
      <c r="KDK42" s="51"/>
      <c r="KDL42" s="51"/>
      <c r="KDM42" s="51"/>
      <c r="KDN42" s="51"/>
      <c r="KDO42" s="51"/>
      <c r="KDP42" s="51"/>
      <c r="KDQ42" s="51"/>
      <c r="KDR42" s="51"/>
      <c r="KDS42" s="51"/>
      <c r="KDT42" s="51"/>
      <c r="KDU42" s="51"/>
      <c r="KDV42" s="51"/>
      <c r="KDW42" s="51"/>
      <c r="KDX42" s="51"/>
      <c r="KDY42" s="51"/>
      <c r="KDZ42" s="51"/>
      <c r="KEA42" s="51"/>
      <c r="KEB42" s="51"/>
      <c r="KEC42" s="51"/>
      <c r="KED42" s="51"/>
      <c r="KEE42" s="51"/>
      <c r="KEF42" s="51"/>
      <c r="KEG42" s="51"/>
      <c r="KEH42" s="51"/>
      <c r="KEI42" s="51"/>
      <c r="KEJ42" s="51"/>
      <c r="KEK42" s="51"/>
      <c r="KEL42" s="51"/>
      <c r="KEM42" s="51"/>
      <c r="KEN42" s="51"/>
      <c r="KEO42" s="51"/>
      <c r="KEP42" s="51"/>
      <c r="KEQ42" s="51"/>
      <c r="KER42" s="51"/>
      <c r="KES42" s="51"/>
      <c r="KET42" s="51"/>
      <c r="KEU42" s="51"/>
      <c r="KEV42" s="51"/>
      <c r="KEW42" s="51"/>
      <c r="KEX42" s="51"/>
      <c r="KEY42" s="51"/>
      <c r="KEZ42" s="51"/>
      <c r="KFA42" s="51"/>
      <c r="KFB42" s="51"/>
      <c r="KFC42" s="51"/>
      <c r="KFD42" s="51"/>
      <c r="KFE42" s="51"/>
      <c r="KFF42" s="51"/>
      <c r="KFG42" s="51"/>
      <c r="KFH42" s="51"/>
      <c r="KFI42" s="51"/>
      <c r="KFJ42" s="51"/>
      <c r="KFK42" s="51"/>
      <c r="KFL42" s="51"/>
      <c r="KFM42" s="51"/>
      <c r="KFN42" s="51"/>
      <c r="KFO42" s="51"/>
      <c r="KFP42" s="51"/>
      <c r="KFQ42" s="51"/>
      <c r="KFR42" s="51"/>
      <c r="KFS42" s="51"/>
      <c r="KFT42" s="51"/>
      <c r="KFU42" s="51"/>
      <c r="KFV42" s="51"/>
      <c r="KFW42" s="51"/>
      <c r="KFX42" s="51"/>
      <c r="KFY42" s="51"/>
      <c r="KFZ42" s="51"/>
      <c r="KGA42" s="51"/>
      <c r="KGB42" s="51"/>
      <c r="KGC42" s="51"/>
      <c r="KGD42" s="51"/>
      <c r="KGE42" s="51"/>
      <c r="KGF42" s="51"/>
      <c r="KGG42" s="51"/>
      <c r="KGH42" s="51"/>
      <c r="KGI42" s="51"/>
      <c r="KGJ42" s="51"/>
      <c r="KGK42" s="51"/>
      <c r="KGL42" s="51"/>
      <c r="KGM42" s="51"/>
      <c r="KGN42" s="51"/>
      <c r="KGO42" s="51"/>
      <c r="KGP42" s="51"/>
      <c r="KGQ42" s="51"/>
      <c r="KGR42" s="51"/>
      <c r="KGS42" s="51"/>
      <c r="KGT42" s="51"/>
      <c r="KGU42" s="51"/>
      <c r="KGV42" s="51"/>
      <c r="KGW42" s="51"/>
      <c r="KGX42" s="51"/>
      <c r="KGY42" s="51"/>
      <c r="KGZ42" s="51"/>
      <c r="KHA42" s="51"/>
      <c r="KHB42" s="51"/>
      <c r="KHC42" s="51"/>
      <c r="KHD42" s="51"/>
      <c r="KHE42" s="51"/>
      <c r="KHF42" s="51"/>
      <c r="KHG42" s="51"/>
      <c r="KHH42" s="51"/>
      <c r="KHI42" s="51"/>
      <c r="KHJ42" s="51"/>
      <c r="KHK42" s="51"/>
      <c r="KHL42" s="51"/>
      <c r="KHM42" s="51"/>
      <c r="KHN42" s="51"/>
      <c r="KHO42" s="51"/>
      <c r="KHP42" s="51"/>
      <c r="KHQ42" s="51"/>
      <c r="KHR42" s="51"/>
      <c r="KHS42" s="51"/>
      <c r="KHT42" s="51"/>
      <c r="KHU42" s="51"/>
      <c r="KHV42" s="51"/>
      <c r="KHW42" s="51"/>
      <c r="KHX42" s="51"/>
      <c r="KHY42" s="51"/>
      <c r="KHZ42" s="51"/>
      <c r="KIA42" s="51"/>
      <c r="KIB42" s="51"/>
      <c r="KIC42" s="51"/>
      <c r="KID42" s="51"/>
      <c r="KIE42" s="51"/>
      <c r="KIF42" s="51"/>
      <c r="KIG42" s="51"/>
      <c r="KIH42" s="51"/>
      <c r="KII42" s="51"/>
      <c r="KIJ42" s="51"/>
      <c r="KIK42" s="51"/>
      <c r="KIL42" s="51"/>
      <c r="KIM42" s="51"/>
      <c r="KIN42" s="51"/>
      <c r="KIO42" s="51"/>
      <c r="KIP42" s="51"/>
      <c r="KIQ42" s="51"/>
      <c r="KIR42" s="51"/>
      <c r="KIS42" s="51"/>
      <c r="KIT42" s="51"/>
      <c r="KIU42" s="51"/>
      <c r="KIV42" s="51"/>
      <c r="KIW42" s="51"/>
      <c r="KIX42" s="51"/>
      <c r="KIY42" s="51"/>
      <c r="KIZ42" s="51"/>
      <c r="KJA42" s="51"/>
      <c r="KJB42" s="51"/>
      <c r="KJC42" s="51"/>
      <c r="KJD42" s="51"/>
      <c r="KJE42" s="51"/>
      <c r="KJF42" s="51"/>
      <c r="KJG42" s="51"/>
      <c r="KJH42" s="51"/>
      <c r="KJI42" s="51"/>
      <c r="KJJ42" s="51"/>
      <c r="KJK42" s="51"/>
      <c r="KJL42" s="51"/>
      <c r="KJM42" s="51"/>
      <c r="KJN42" s="51"/>
      <c r="KJO42" s="51"/>
      <c r="KJP42" s="51"/>
      <c r="KJQ42" s="51"/>
      <c r="KJR42" s="51"/>
      <c r="KJS42" s="51"/>
      <c r="KJT42" s="51"/>
      <c r="KJU42" s="51"/>
      <c r="KJV42" s="51"/>
      <c r="KJW42" s="51"/>
      <c r="KJX42" s="51"/>
      <c r="KJY42" s="51"/>
      <c r="KJZ42" s="51"/>
      <c r="KKA42" s="51"/>
      <c r="KKB42" s="51"/>
      <c r="KKC42" s="51"/>
      <c r="KKD42" s="51"/>
      <c r="KKE42" s="51"/>
      <c r="KKF42" s="51"/>
      <c r="KKG42" s="51"/>
      <c r="KKH42" s="51"/>
      <c r="KKI42" s="51"/>
      <c r="KKJ42" s="51"/>
      <c r="KKK42" s="51"/>
      <c r="KKL42" s="51"/>
      <c r="KKM42" s="51"/>
      <c r="KKN42" s="51"/>
      <c r="KKO42" s="51"/>
      <c r="KKP42" s="51"/>
      <c r="KKQ42" s="51"/>
      <c r="KKR42" s="51"/>
      <c r="KKS42" s="51"/>
      <c r="KKT42" s="51"/>
      <c r="KKU42" s="51"/>
      <c r="KKV42" s="51"/>
      <c r="KKW42" s="51"/>
      <c r="KKX42" s="51"/>
      <c r="KKY42" s="51"/>
      <c r="KKZ42" s="51"/>
      <c r="KLA42" s="51"/>
      <c r="KLB42" s="51"/>
      <c r="KLC42" s="51"/>
      <c r="KLD42" s="51"/>
      <c r="KLE42" s="51"/>
      <c r="KLF42" s="51"/>
      <c r="KLG42" s="51"/>
      <c r="KLH42" s="51"/>
      <c r="KLI42" s="51"/>
      <c r="KLJ42" s="51"/>
      <c r="KLK42" s="51"/>
      <c r="KLL42" s="51"/>
      <c r="KLM42" s="51"/>
      <c r="KLN42" s="51"/>
      <c r="KLO42" s="51"/>
      <c r="KLP42" s="51"/>
      <c r="KLQ42" s="51"/>
      <c r="KLR42" s="51"/>
      <c r="KLS42" s="51"/>
      <c r="KLT42" s="51"/>
      <c r="KLU42" s="51"/>
      <c r="KLV42" s="51"/>
      <c r="KLW42" s="51"/>
      <c r="KLX42" s="51"/>
      <c r="KLY42" s="51"/>
      <c r="KLZ42" s="51"/>
      <c r="KMA42" s="51"/>
      <c r="KMB42" s="51"/>
      <c r="KMC42" s="51"/>
      <c r="KMD42" s="51"/>
      <c r="KME42" s="51"/>
      <c r="KMF42" s="51"/>
      <c r="KMG42" s="51"/>
      <c r="KMH42" s="51"/>
      <c r="KMI42" s="51"/>
      <c r="KMJ42" s="51"/>
      <c r="KMK42" s="51"/>
      <c r="KML42" s="51"/>
      <c r="KMM42" s="51"/>
      <c r="KMN42" s="51"/>
      <c r="KMO42" s="51"/>
      <c r="KMP42" s="51"/>
      <c r="KMQ42" s="51"/>
      <c r="KMR42" s="51"/>
      <c r="KMS42" s="51"/>
      <c r="KMT42" s="51"/>
      <c r="KMU42" s="51"/>
      <c r="KMV42" s="51"/>
      <c r="KMW42" s="51"/>
      <c r="KMX42" s="51"/>
      <c r="KMY42" s="51"/>
      <c r="KMZ42" s="51"/>
      <c r="KNA42" s="51"/>
      <c r="KNB42" s="51"/>
      <c r="KNC42" s="51"/>
      <c r="KND42" s="51"/>
      <c r="KNE42" s="51"/>
      <c r="KNF42" s="51"/>
      <c r="KNG42" s="51"/>
      <c r="KNH42" s="51"/>
      <c r="KNI42" s="51"/>
      <c r="KNJ42" s="51"/>
      <c r="KNK42" s="51"/>
      <c r="KNL42" s="51"/>
      <c r="KNM42" s="51"/>
      <c r="KNN42" s="51"/>
      <c r="KNO42" s="51"/>
      <c r="KNP42" s="51"/>
      <c r="KNQ42" s="51"/>
      <c r="KNR42" s="51"/>
      <c r="KNS42" s="51"/>
      <c r="KNT42" s="51"/>
      <c r="KNU42" s="51"/>
      <c r="KNV42" s="51"/>
      <c r="KNW42" s="51"/>
      <c r="KNX42" s="51"/>
      <c r="KNY42" s="51"/>
      <c r="KNZ42" s="51"/>
      <c r="KOA42" s="51"/>
      <c r="KOB42" s="51"/>
      <c r="KOC42" s="51"/>
      <c r="KOD42" s="51"/>
      <c r="KOE42" s="51"/>
      <c r="KOF42" s="51"/>
      <c r="KOG42" s="51"/>
      <c r="KOH42" s="51"/>
      <c r="KOI42" s="51"/>
      <c r="KOJ42" s="51"/>
      <c r="KOK42" s="51"/>
      <c r="KOL42" s="51"/>
      <c r="KOM42" s="51"/>
      <c r="KON42" s="51"/>
      <c r="KOO42" s="51"/>
      <c r="KOP42" s="51"/>
      <c r="KOQ42" s="51"/>
      <c r="KOR42" s="51"/>
      <c r="KOS42" s="51"/>
      <c r="KOT42" s="51"/>
      <c r="KOU42" s="51"/>
      <c r="KOV42" s="51"/>
      <c r="KOW42" s="51"/>
      <c r="KOX42" s="51"/>
      <c r="KOY42" s="51"/>
      <c r="KOZ42" s="51"/>
      <c r="KPA42" s="51"/>
      <c r="KPB42" s="51"/>
      <c r="KPC42" s="51"/>
      <c r="KPD42" s="51"/>
      <c r="KPE42" s="51"/>
      <c r="KPF42" s="51"/>
      <c r="KPG42" s="51"/>
      <c r="KPH42" s="51"/>
      <c r="KPI42" s="51"/>
      <c r="KPJ42" s="51"/>
      <c r="KPK42" s="51"/>
      <c r="KPL42" s="51"/>
      <c r="KPM42" s="51"/>
      <c r="KPN42" s="51"/>
      <c r="KPO42" s="51"/>
      <c r="KPP42" s="51"/>
      <c r="KPQ42" s="51"/>
      <c r="KPR42" s="51"/>
      <c r="KPS42" s="51"/>
      <c r="KPT42" s="51"/>
      <c r="KPU42" s="51"/>
      <c r="KPV42" s="51"/>
      <c r="KPW42" s="51"/>
      <c r="KPX42" s="51"/>
      <c r="KPY42" s="51"/>
      <c r="KPZ42" s="51"/>
      <c r="KQA42" s="51"/>
      <c r="KQB42" s="51"/>
      <c r="KQC42" s="51"/>
      <c r="KQD42" s="51"/>
      <c r="KQE42" s="51"/>
      <c r="KQF42" s="51"/>
      <c r="KQG42" s="51"/>
      <c r="KQH42" s="51"/>
      <c r="KQI42" s="51"/>
      <c r="KQJ42" s="51"/>
      <c r="KQK42" s="51"/>
      <c r="KQL42" s="51"/>
      <c r="KQM42" s="51"/>
      <c r="KQN42" s="51"/>
      <c r="KQO42" s="51"/>
      <c r="KQP42" s="51"/>
      <c r="KQQ42" s="51"/>
      <c r="KQR42" s="51"/>
      <c r="KQS42" s="51"/>
      <c r="KQT42" s="51"/>
      <c r="KQU42" s="51"/>
      <c r="KQV42" s="51"/>
      <c r="KQW42" s="51"/>
      <c r="KQX42" s="51"/>
      <c r="KQY42" s="51"/>
      <c r="KQZ42" s="51"/>
      <c r="KRA42" s="51"/>
      <c r="KRB42" s="51"/>
      <c r="KRC42" s="51"/>
      <c r="KRD42" s="51"/>
      <c r="KRE42" s="51"/>
      <c r="KRF42" s="51"/>
      <c r="KRG42" s="51"/>
      <c r="KRH42" s="51"/>
      <c r="KRI42" s="51"/>
      <c r="KRJ42" s="51"/>
      <c r="KRK42" s="51"/>
      <c r="KRL42" s="51"/>
      <c r="KRM42" s="51"/>
      <c r="KRN42" s="51"/>
      <c r="KRO42" s="51"/>
      <c r="KRP42" s="51"/>
      <c r="KRQ42" s="51"/>
      <c r="KRR42" s="51"/>
      <c r="KRS42" s="51"/>
      <c r="KRT42" s="51"/>
      <c r="KRU42" s="51"/>
      <c r="KRV42" s="51"/>
      <c r="KRW42" s="51"/>
      <c r="KRX42" s="51"/>
      <c r="KRY42" s="51"/>
      <c r="KRZ42" s="51"/>
      <c r="KSA42" s="51"/>
      <c r="KSB42" s="51"/>
      <c r="KSC42" s="51"/>
      <c r="KSD42" s="51"/>
      <c r="KSE42" s="51"/>
      <c r="KSF42" s="51"/>
      <c r="KSG42" s="51"/>
      <c r="KSH42" s="51"/>
      <c r="KSI42" s="51"/>
      <c r="KSJ42" s="51"/>
      <c r="KSK42" s="51"/>
      <c r="KSL42" s="51"/>
      <c r="KSM42" s="51"/>
      <c r="KSN42" s="51"/>
      <c r="KSO42" s="51"/>
      <c r="KSP42" s="51"/>
      <c r="KSQ42" s="51"/>
      <c r="KSR42" s="51"/>
      <c r="KSS42" s="51"/>
      <c r="KST42" s="51"/>
      <c r="KSU42" s="51"/>
      <c r="KSV42" s="51"/>
      <c r="KSW42" s="51"/>
      <c r="KSX42" s="51"/>
      <c r="KSY42" s="51"/>
      <c r="KSZ42" s="51"/>
      <c r="KTA42" s="51"/>
      <c r="KTB42" s="51"/>
      <c r="KTC42" s="51"/>
      <c r="KTD42" s="51"/>
      <c r="KTE42" s="51"/>
      <c r="KTF42" s="51"/>
      <c r="KTG42" s="51"/>
      <c r="KTH42" s="51"/>
      <c r="KTI42" s="51"/>
      <c r="KTJ42" s="51"/>
      <c r="KTK42" s="51"/>
      <c r="KTL42" s="51"/>
      <c r="KTM42" s="51"/>
      <c r="KTN42" s="51"/>
      <c r="KTO42" s="51"/>
      <c r="KTP42" s="51"/>
      <c r="KTQ42" s="51"/>
      <c r="KTR42" s="51"/>
      <c r="KTS42" s="51"/>
      <c r="KTT42" s="51"/>
      <c r="KTU42" s="51"/>
      <c r="KTV42" s="51"/>
      <c r="KTW42" s="51"/>
      <c r="KTX42" s="51"/>
      <c r="KTY42" s="51"/>
      <c r="KTZ42" s="51"/>
      <c r="KUA42" s="51"/>
      <c r="KUB42" s="51"/>
      <c r="KUC42" s="51"/>
      <c r="KUD42" s="51"/>
      <c r="KUE42" s="51"/>
      <c r="KUF42" s="51"/>
      <c r="KUG42" s="51"/>
      <c r="KUH42" s="51"/>
      <c r="KUI42" s="51"/>
      <c r="KUJ42" s="51"/>
      <c r="KUK42" s="51"/>
      <c r="KUL42" s="51"/>
      <c r="KUM42" s="51"/>
      <c r="KUN42" s="51"/>
      <c r="KUO42" s="51"/>
      <c r="KUP42" s="51"/>
      <c r="KUQ42" s="51"/>
      <c r="KUR42" s="51"/>
      <c r="KUS42" s="51"/>
      <c r="KUT42" s="51"/>
      <c r="KUU42" s="51"/>
      <c r="KUV42" s="51"/>
      <c r="KUW42" s="51"/>
      <c r="KUX42" s="51"/>
      <c r="KUY42" s="51"/>
      <c r="KUZ42" s="51"/>
      <c r="KVA42" s="51"/>
      <c r="KVB42" s="51"/>
      <c r="KVC42" s="51"/>
      <c r="KVD42" s="51"/>
      <c r="KVE42" s="51"/>
      <c r="KVF42" s="51"/>
      <c r="KVG42" s="51"/>
      <c r="KVH42" s="51"/>
      <c r="KVI42" s="51"/>
      <c r="KVJ42" s="51"/>
      <c r="KVK42" s="51"/>
      <c r="KVL42" s="51"/>
      <c r="KVM42" s="51"/>
      <c r="KVN42" s="51"/>
      <c r="KVO42" s="51"/>
      <c r="KVP42" s="51"/>
      <c r="KVQ42" s="51"/>
      <c r="KVR42" s="51"/>
      <c r="KVS42" s="51"/>
      <c r="KVT42" s="51"/>
      <c r="KVU42" s="51"/>
      <c r="KVV42" s="51"/>
      <c r="KVW42" s="51"/>
      <c r="KVX42" s="51"/>
      <c r="KVY42" s="51"/>
      <c r="KVZ42" s="51"/>
      <c r="KWA42" s="51"/>
      <c r="KWB42" s="51"/>
      <c r="KWC42" s="51"/>
      <c r="KWD42" s="51"/>
      <c r="KWE42" s="51"/>
      <c r="KWF42" s="51"/>
      <c r="KWG42" s="51"/>
      <c r="KWH42" s="51"/>
      <c r="KWI42" s="51"/>
      <c r="KWJ42" s="51"/>
      <c r="KWK42" s="51"/>
      <c r="KWL42" s="51"/>
      <c r="KWM42" s="51"/>
      <c r="KWN42" s="51"/>
      <c r="KWO42" s="51"/>
      <c r="KWP42" s="51"/>
      <c r="KWQ42" s="51"/>
      <c r="KWR42" s="51"/>
      <c r="KWS42" s="51"/>
      <c r="KWT42" s="51"/>
      <c r="KWU42" s="51"/>
      <c r="KWV42" s="51"/>
      <c r="KWW42" s="51"/>
      <c r="KWX42" s="51"/>
      <c r="KWY42" s="51"/>
      <c r="KWZ42" s="51"/>
      <c r="KXA42" s="51"/>
      <c r="KXB42" s="51"/>
      <c r="KXC42" s="51"/>
      <c r="KXD42" s="51"/>
      <c r="KXE42" s="51"/>
      <c r="KXF42" s="51"/>
      <c r="KXG42" s="51"/>
      <c r="KXH42" s="51"/>
      <c r="KXI42" s="51"/>
      <c r="KXJ42" s="51"/>
      <c r="KXK42" s="51"/>
      <c r="KXL42" s="51"/>
      <c r="KXM42" s="51"/>
      <c r="KXN42" s="51"/>
      <c r="KXO42" s="51"/>
      <c r="KXP42" s="51"/>
      <c r="KXQ42" s="51"/>
      <c r="KXR42" s="51"/>
      <c r="KXS42" s="51"/>
      <c r="KXT42" s="51"/>
      <c r="KXU42" s="51"/>
      <c r="KXV42" s="51"/>
      <c r="KXW42" s="51"/>
      <c r="KXX42" s="51"/>
      <c r="KXY42" s="51"/>
      <c r="KXZ42" s="51"/>
      <c r="KYA42" s="51"/>
      <c r="KYB42" s="51"/>
      <c r="KYC42" s="51"/>
      <c r="KYD42" s="51"/>
      <c r="KYE42" s="51"/>
      <c r="KYF42" s="51"/>
      <c r="KYG42" s="51"/>
      <c r="KYH42" s="51"/>
      <c r="KYI42" s="51"/>
      <c r="KYJ42" s="51"/>
      <c r="KYK42" s="51"/>
      <c r="KYL42" s="51"/>
      <c r="KYM42" s="51"/>
      <c r="KYN42" s="51"/>
      <c r="KYO42" s="51"/>
      <c r="KYP42" s="51"/>
      <c r="KYQ42" s="51"/>
      <c r="KYR42" s="51"/>
      <c r="KYS42" s="51"/>
      <c r="KYT42" s="51"/>
      <c r="KYU42" s="51"/>
      <c r="KYV42" s="51"/>
      <c r="KYW42" s="51"/>
      <c r="KYX42" s="51"/>
      <c r="KYY42" s="51"/>
      <c r="KYZ42" s="51"/>
      <c r="KZA42" s="51"/>
      <c r="KZB42" s="51"/>
      <c r="KZC42" s="51"/>
      <c r="KZD42" s="51"/>
      <c r="KZE42" s="51"/>
      <c r="KZF42" s="51"/>
      <c r="KZG42" s="51"/>
      <c r="KZH42" s="51"/>
      <c r="KZI42" s="51"/>
      <c r="KZJ42" s="51"/>
      <c r="KZK42" s="51"/>
      <c r="KZL42" s="51"/>
      <c r="KZM42" s="51"/>
      <c r="KZN42" s="51"/>
      <c r="KZO42" s="51"/>
      <c r="KZP42" s="51"/>
      <c r="KZQ42" s="51"/>
      <c r="KZR42" s="51"/>
      <c r="KZS42" s="51"/>
      <c r="KZT42" s="51"/>
      <c r="KZU42" s="51"/>
      <c r="KZV42" s="51"/>
      <c r="KZW42" s="51"/>
      <c r="KZX42" s="51"/>
      <c r="KZY42" s="51"/>
      <c r="KZZ42" s="51"/>
      <c r="LAA42" s="51"/>
      <c r="LAB42" s="51"/>
      <c r="LAC42" s="51"/>
      <c r="LAD42" s="51"/>
      <c r="LAE42" s="51"/>
      <c r="LAF42" s="51"/>
      <c r="LAG42" s="51"/>
      <c r="LAH42" s="51"/>
      <c r="LAI42" s="51"/>
      <c r="LAJ42" s="51"/>
      <c r="LAK42" s="51"/>
      <c r="LAL42" s="51"/>
      <c r="LAM42" s="51"/>
      <c r="LAN42" s="51"/>
      <c r="LAO42" s="51"/>
      <c r="LAP42" s="51"/>
      <c r="LAQ42" s="51"/>
      <c r="LAR42" s="51"/>
      <c r="LAS42" s="51"/>
      <c r="LAT42" s="51"/>
      <c r="LAU42" s="51"/>
      <c r="LAV42" s="51"/>
      <c r="LAW42" s="51"/>
      <c r="LAX42" s="51"/>
      <c r="LAY42" s="51"/>
      <c r="LAZ42" s="51"/>
      <c r="LBA42" s="51"/>
      <c r="LBB42" s="51"/>
      <c r="LBC42" s="51"/>
      <c r="LBD42" s="51"/>
      <c r="LBE42" s="51"/>
      <c r="LBF42" s="51"/>
      <c r="LBG42" s="51"/>
      <c r="LBH42" s="51"/>
      <c r="LBI42" s="51"/>
      <c r="LBJ42" s="51"/>
      <c r="LBK42" s="51"/>
      <c r="LBL42" s="51"/>
      <c r="LBM42" s="51"/>
      <c r="LBN42" s="51"/>
      <c r="LBO42" s="51"/>
      <c r="LBP42" s="51"/>
      <c r="LBQ42" s="51"/>
      <c r="LBR42" s="51"/>
      <c r="LBS42" s="51"/>
      <c r="LBT42" s="51"/>
      <c r="LBU42" s="51"/>
      <c r="LBV42" s="51"/>
      <c r="LBW42" s="51"/>
      <c r="LBX42" s="51"/>
      <c r="LBY42" s="51"/>
      <c r="LBZ42" s="51"/>
      <c r="LCA42" s="51"/>
      <c r="LCB42" s="51"/>
      <c r="LCC42" s="51"/>
      <c r="LCD42" s="51"/>
      <c r="LCE42" s="51"/>
      <c r="LCF42" s="51"/>
      <c r="LCG42" s="51"/>
      <c r="LCH42" s="51"/>
      <c r="LCI42" s="51"/>
      <c r="LCJ42" s="51"/>
      <c r="LCK42" s="51"/>
      <c r="LCL42" s="51"/>
      <c r="LCM42" s="51"/>
      <c r="LCN42" s="51"/>
      <c r="LCO42" s="51"/>
      <c r="LCP42" s="51"/>
      <c r="LCQ42" s="51"/>
      <c r="LCR42" s="51"/>
      <c r="LCS42" s="51"/>
      <c r="LCT42" s="51"/>
      <c r="LCU42" s="51"/>
      <c r="LCV42" s="51"/>
      <c r="LCW42" s="51"/>
      <c r="LCX42" s="51"/>
      <c r="LCY42" s="51"/>
      <c r="LCZ42" s="51"/>
      <c r="LDA42" s="51"/>
      <c r="LDB42" s="51"/>
      <c r="LDC42" s="51"/>
      <c r="LDD42" s="51"/>
      <c r="LDE42" s="51"/>
      <c r="LDF42" s="51"/>
      <c r="LDG42" s="51"/>
      <c r="LDH42" s="51"/>
      <c r="LDI42" s="51"/>
      <c r="LDJ42" s="51"/>
      <c r="LDK42" s="51"/>
      <c r="LDL42" s="51"/>
      <c r="LDM42" s="51"/>
      <c r="LDN42" s="51"/>
      <c r="LDO42" s="51"/>
      <c r="LDP42" s="51"/>
      <c r="LDQ42" s="51"/>
      <c r="LDR42" s="51"/>
      <c r="LDS42" s="51"/>
      <c r="LDT42" s="51"/>
      <c r="LDU42" s="51"/>
      <c r="LDV42" s="51"/>
      <c r="LDW42" s="51"/>
      <c r="LDX42" s="51"/>
      <c r="LDY42" s="51"/>
      <c r="LDZ42" s="51"/>
      <c r="LEA42" s="51"/>
      <c r="LEB42" s="51"/>
      <c r="LEC42" s="51"/>
      <c r="LED42" s="51"/>
      <c r="LEE42" s="51"/>
      <c r="LEF42" s="51"/>
      <c r="LEG42" s="51"/>
      <c r="LEH42" s="51"/>
      <c r="LEI42" s="51"/>
      <c r="LEJ42" s="51"/>
      <c r="LEK42" s="51"/>
      <c r="LEL42" s="51"/>
      <c r="LEM42" s="51"/>
      <c r="LEN42" s="51"/>
      <c r="LEO42" s="51"/>
      <c r="LEP42" s="51"/>
      <c r="LEQ42" s="51"/>
      <c r="LER42" s="51"/>
      <c r="LES42" s="51"/>
      <c r="LET42" s="51"/>
      <c r="LEU42" s="51"/>
      <c r="LEV42" s="51"/>
      <c r="LEW42" s="51"/>
      <c r="LEX42" s="51"/>
      <c r="LEY42" s="51"/>
      <c r="LEZ42" s="51"/>
      <c r="LFA42" s="51"/>
      <c r="LFB42" s="51"/>
      <c r="LFC42" s="51"/>
      <c r="LFD42" s="51"/>
      <c r="LFE42" s="51"/>
      <c r="LFF42" s="51"/>
      <c r="LFG42" s="51"/>
      <c r="LFH42" s="51"/>
      <c r="LFI42" s="51"/>
      <c r="LFJ42" s="51"/>
      <c r="LFK42" s="51"/>
      <c r="LFL42" s="51"/>
      <c r="LFM42" s="51"/>
      <c r="LFN42" s="51"/>
      <c r="LFO42" s="51"/>
      <c r="LFP42" s="51"/>
      <c r="LFQ42" s="51"/>
      <c r="LFR42" s="51"/>
      <c r="LFS42" s="51"/>
      <c r="LFT42" s="51"/>
      <c r="LFU42" s="51"/>
      <c r="LFV42" s="51"/>
      <c r="LFW42" s="51"/>
      <c r="LFX42" s="51"/>
      <c r="LFY42" s="51"/>
      <c r="LFZ42" s="51"/>
      <c r="LGA42" s="51"/>
      <c r="LGB42" s="51"/>
      <c r="LGC42" s="51"/>
      <c r="LGD42" s="51"/>
      <c r="LGE42" s="51"/>
      <c r="LGF42" s="51"/>
      <c r="LGG42" s="51"/>
      <c r="LGH42" s="51"/>
      <c r="LGI42" s="51"/>
      <c r="LGJ42" s="51"/>
      <c r="LGK42" s="51"/>
      <c r="LGL42" s="51"/>
      <c r="LGM42" s="51"/>
      <c r="LGN42" s="51"/>
      <c r="LGO42" s="51"/>
      <c r="LGP42" s="51"/>
      <c r="LGQ42" s="51"/>
      <c r="LGR42" s="51"/>
      <c r="LGS42" s="51"/>
      <c r="LGT42" s="51"/>
      <c r="LGU42" s="51"/>
      <c r="LGV42" s="51"/>
      <c r="LGW42" s="51"/>
      <c r="LGX42" s="51"/>
      <c r="LGY42" s="51"/>
      <c r="LGZ42" s="51"/>
      <c r="LHA42" s="51"/>
      <c r="LHB42" s="51"/>
      <c r="LHC42" s="51"/>
      <c r="LHD42" s="51"/>
      <c r="LHE42" s="51"/>
      <c r="LHF42" s="51"/>
      <c r="LHG42" s="51"/>
      <c r="LHH42" s="51"/>
      <c r="LHI42" s="51"/>
      <c r="LHJ42" s="51"/>
      <c r="LHK42" s="51"/>
      <c r="LHL42" s="51"/>
      <c r="LHM42" s="51"/>
      <c r="LHN42" s="51"/>
      <c r="LHO42" s="51"/>
      <c r="LHP42" s="51"/>
      <c r="LHQ42" s="51"/>
      <c r="LHR42" s="51"/>
      <c r="LHS42" s="51"/>
      <c r="LHT42" s="51"/>
      <c r="LHU42" s="51"/>
      <c r="LHV42" s="51"/>
      <c r="LHW42" s="51"/>
      <c r="LHX42" s="51"/>
      <c r="LHY42" s="51"/>
      <c r="LHZ42" s="51"/>
      <c r="LIA42" s="51"/>
      <c r="LIB42" s="51"/>
      <c r="LIC42" s="51"/>
      <c r="LID42" s="51"/>
      <c r="LIE42" s="51"/>
      <c r="LIF42" s="51"/>
      <c r="LIG42" s="51"/>
      <c r="LIH42" s="51"/>
      <c r="LII42" s="51"/>
      <c r="LIJ42" s="51"/>
      <c r="LIK42" s="51"/>
      <c r="LIL42" s="51"/>
      <c r="LIM42" s="51"/>
      <c r="LIN42" s="51"/>
      <c r="LIO42" s="51"/>
      <c r="LIP42" s="51"/>
      <c r="LIQ42" s="51"/>
      <c r="LIR42" s="51"/>
      <c r="LIS42" s="51"/>
      <c r="LIT42" s="51"/>
      <c r="LIU42" s="51"/>
      <c r="LIV42" s="51"/>
      <c r="LIW42" s="51"/>
      <c r="LIX42" s="51"/>
      <c r="LIY42" s="51"/>
      <c r="LIZ42" s="51"/>
      <c r="LJA42" s="51"/>
      <c r="LJB42" s="51"/>
      <c r="LJC42" s="51"/>
      <c r="LJD42" s="51"/>
      <c r="LJE42" s="51"/>
      <c r="LJF42" s="51"/>
      <c r="LJG42" s="51"/>
      <c r="LJH42" s="51"/>
      <c r="LJI42" s="51"/>
      <c r="LJJ42" s="51"/>
      <c r="LJK42" s="51"/>
      <c r="LJL42" s="51"/>
      <c r="LJM42" s="51"/>
      <c r="LJN42" s="51"/>
      <c r="LJO42" s="51"/>
      <c r="LJP42" s="51"/>
      <c r="LJQ42" s="51"/>
      <c r="LJR42" s="51"/>
      <c r="LJS42" s="51"/>
      <c r="LJT42" s="51"/>
      <c r="LJU42" s="51"/>
      <c r="LJV42" s="51"/>
      <c r="LJW42" s="51"/>
      <c r="LJX42" s="51"/>
      <c r="LJY42" s="51"/>
      <c r="LJZ42" s="51"/>
      <c r="LKA42" s="51"/>
      <c r="LKB42" s="51"/>
      <c r="LKC42" s="51"/>
      <c r="LKD42" s="51"/>
      <c r="LKE42" s="51"/>
      <c r="LKF42" s="51"/>
      <c r="LKG42" s="51"/>
      <c r="LKH42" s="51"/>
      <c r="LKI42" s="51"/>
      <c r="LKJ42" s="51"/>
      <c r="LKK42" s="51"/>
      <c r="LKL42" s="51"/>
      <c r="LKM42" s="51"/>
      <c r="LKN42" s="51"/>
      <c r="LKO42" s="51"/>
      <c r="LKP42" s="51"/>
      <c r="LKQ42" s="51"/>
      <c r="LKR42" s="51"/>
      <c r="LKS42" s="51"/>
      <c r="LKT42" s="51"/>
      <c r="LKU42" s="51"/>
      <c r="LKV42" s="51"/>
      <c r="LKW42" s="51"/>
      <c r="LKX42" s="51"/>
      <c r="LKY42" s="51"/>
      <c r="LKZ42" s="51"/>
      <c r="LLA42" s="51"/>
      <c r="LLB42" s="51"/>
      <c r="LLC42" s="51"/>
      <c r="LLD42" s="51"/>
      <c r="LLE42" s="51"/>
      <c r="LLF42" s="51"/>
      <c r="LLG42" s="51"/>
      <c r="LLH42" s="51"/>
      <c r="LLI42" s="51"/>
      <c r="LLJ42" s="51"/>
      <c r="LLK42" s="51"/>
      <c r="LLL42" s="51"/>
      <c r="LLM42" s="51"/>
      <c r="LLN42" s="51"/>
      <c r="LLO42" s="51"/>
      <c r="LLP42" s="51"/>
      <c r="LLQ42" s="51"/>
      <c r="LLR42" s="51"/>
      <c r="LLS42" s="51"/>
      <c r="LLT42" s="51"/>
      <c r="LLU42" s="51"/>
      <c r="LLV42" s="51"/>
      <c r="LLW42" s="51"/>
      <c r="LLX42" s="51"/>
      <c r="LLY42" s="51"/>
      <c r="LLZ42" s="51"/>
      <c r="LMA42" s="51"/>
      <c r="LMB42" s="51"/>
      <c r="LMC42" s="51"/>
      <c r="LMD42" s="51"/>
      <c r="LME42" s="51"/>
      <c r="LMF42" s="51"/>
      <c r="LMG42" s="51"/>
      <c r="LMH42" s="51"/>
      <c r="LMI42" s="51"/>
      <c r="LMJ42" s="51"/>
      <c r="LMK42" s="51"/>
      <c r="LML42" s="51"/>
      <c r="LMM42" s="51"/>
      <c r="LMN42" s="51"/>
      <c r="LMO42" s="51"/>
      <c r="LMP42" s="51"/>
      <c r="LMQ42" s="51"/>
      <c r="LMR42" s="51"/>
      <c r="LMS42" s="51"/>
      <c r="LMT42" s="51"/>
      <c r="LMU42" s="51"/>
      <c r="LMV42" s="51"/>
      <c r="LMW42" s="51"/>
      <c r="LMX42" s="51"/>
      <c r="LMY42" s="51"/>
      <c r="LMZ42" s="51"/>
      <c r="LNA42" s="51"/>
      <c r="LNB42" s="51"/>
      <c r="LNC42" s="51"/>
      <c r="LND42" s="51"/>
      <c r="LNE42" s="51"/>
      <c r="LNF42" s="51"/>
      <c r="LNG42" s="51"/>
      <c r="LNH42" s="51"/>
      <c r="LNI42" s="51"/>
      <c r="LNJ42" s="51"/>
      <c r="LNK42" s="51"/>
      <c r="LNL42" s="51"/>
      <c r="LNM42" s="51"/>
      <c r="LNN42" s="51"/>
      <c r="LNO42" s="51"/>
      <c r="LNP42" s="51"/>
      <c r="LNQ42" s="51"/>
      <c r="LNR42" s="51"/>
      <c r="LNS42" s="51"/>
      <c r="LNT42" s="51"/>
      <c r="LNU42" s="51"/>
      <c r="LNV42" s="51"/>
      <c r="LNW42" s="51"/>
      <c r="LNX42" s="51"/>
      <c r="LNY42" s="51"/>
      <c r="LNZ42" s="51"/>
      <c r="LOA42" s="51"/>
      <c r="LOB42" s="51"/>
      <c r="LOC42" s="51"/>
      <c r="LOD42" s="51"/>
      <c r="LOE42" s="51"/>
      <c r="LOF42" s="51"/>
      <c r="LOG42" s="51"/>
      <c r="LOH42" s="51"/>
      <c r="LOI42" s="51"/>
      <c r="LOJ42" s="51"/>
      <c r="LOK42" s="51"/>
      <c r="LOL42" s="51"/>
      <c r="LOM42" s="51"/>
      <c r="LON42" s="51"/>
      <c r="LOO42" s="51"/>
      <c r="LOP42" s="51"/>
      <c r="LOQ42" s="51"/>
      <c r="LOR42" s="51"/>
      <c r="LOS42" s="51"/>
      <c r="LOT42" s="51"/>
      <c r="LOU42" s="51"/>
      <c r="LOV42" s="51"/>
      <c r="LOW42" s="51"/>
      <c r="LOX42" s="51"/>
      <c r="LOY42" s="51"/>
      <c r="LOZ42" s="51"/>
      <c r="LPA42" s="51"/>
      <c r="LPB42" s="51"/>
      <c r="LPC42" s="51"/>
      <c r="LPD42" s="51"/>
      <c r="LPE42" s="51"/>
      <c r="LPF42" s="51"/>
      <c r="LPG42" s="51"/>
      <c r="LPH42" s="51"/>
      <c r="LPI42" s="51"/>
      <c r="LPJ42" s="51"/>
      <c r="LPK42" s="51"/>
      <c r="LPL42" s="51"/>
      <c r="LPM42" s="51"/>
      <c r="LPN42" s="51"/>
      <c r="LPO42" s="51"/>
      <c r="LPP42" s="51"/>
      <c r="LPQ42" s="51"/>
      <c r="LPR42" s="51"/>
      <c r="LPS42" s="51"/>
      <c r="LPT42" s="51"/>
      <c r="LPU42" s="51"/>
      <c r="LPV42" s="51"/>
      <c r="LPW42" s="51"/>
      <c r="LPX42" s="51"/>
      <c r="LPY42" s="51"/>
      <c r="LPZ42" s="51"/>
      <c r="LQA42" s="51"/>
      <c r="LQB42" s="51"/>
      <c r="LQC42" s="51"/>
      <c r="LQD42" s="51"/>
      <c r="LQE42" s="51"/>
      <c r="LQF42" s="51"/>
      <c r="LQG42" s="51"/>
      <c r="LQH42" s="51"/>
      <c r="LQI42" s="51"/>
      <c r="LQJ42" s="51"/>
      <c r="LQK42" s="51"/>
      <c r="LQL42" s="51"/>
      <c r="LQM42" s="51"/>
      <c r="LQN42" s="51"/>
      <c r="LQO42" s="51"/>
      <c r="LQP42" s="51"/>
      <c r="LQQ42" s="51"/>
      <c r="LQR42" s="51"/>
      <c r="LQS42" s="51"/>
      <c r="LQT42" s="51"/>
      <c r="LQU42" s="51"/>
      <c r="LQV42" s="51"/>
      <c r="LQW42" s="51"/>
      <c r="LQX42" s="51"/>
      <c r="LQY42" s="51"/>
      <c r="LQZ42" s="51"/>
      <c r="LRA42" s="51"/>
      <c r="LRB42" s="51"/>
      <c r="LRC42" s="51"/>
      <c r="LRD42" s="51"/>
      <c r="LRE42" s="51"/>
      <c r="LRF42" s="51"/>
      <c r="LRG42" s="51"/>
      <c r="LRH42" s="51"/>
      <c r="LRI42" s="51"/>
      <c r="LRJ42" s="51"/>
      <c r="LRK42" s="51"/>
      <c r="LRL42" s="51"/>
      <c r="LRM42" s="51"/>
      <c r="LRN42" s="51"/>
      <c r="LRO42" s="51"/>
      <c r="LRP42" s="51"/>
      <c r="LRQ42" s="51"/>
      <c r="LRR42" s="51"/>
      <c r="LRS42" s="51"/>
      <c r="LRT42" s="51"/>
      <c r="LRU42" s="51"/>
      <c r="LRV42" s="51"/>
      <c r="LRW42" s="51"/>
      <c r="LRX42" s="51"/>
      <c r="LRY42" s="51"/>
      <c r="LRZ42" s="51"/>
      <c r="LSA42" s="51"/>
      <c r="LSB42" s="51"/>
      <c r="LSC42" s="51"/>
      <c r="LSD42" s="51"/>
      <c r="LSE42" s="51"/>
      <c r="LSF42" s="51"/>
      <c r="LSG42" s="51"/>
      <c r="LSH42" s="51"/>
      <c r="LSI42" s="51"/>
      <c r="LSJ42" s="51"/>
      <c r="LSK42" s="51"/>
      <c r="LSL42" s="51"/>
      <c r="LSM42" s="51"/>
      <c r="LSN42" s="51"/>
      <c r="LSO42" s="51"/>
      <c r="LSP42" s="51"/>
      <c r="LSQ42" s="51"/>
      <c r="LSR42" s="51"/>
      <c r="LSS42" s="51"/>
      <c r="LST42" s="51"/>
      <c r="LSU42" s="51"/>
      <c r="LSV42" s="51"/>
      <c r="LSW42" s="51"/>
      <c r="LSX42" s="51"/>
      <c r="LSY42" s="51"/>
      <c r="LSZ42" s="51"/>
      <c r="LTA42" s="51"/>
      <c r="LTB42" s="51"/>
      <c r="LTC42" s="51"/>
      <c r="LTD42" s="51"/>
      <c r="LTE42" s="51"/>
      <c r="LTF42" s="51"/>
      <c r="LTG42" s="51"/>
      <c r="LTH42" s="51"/>
      <c r="LTI42" s="51"/>
      <c r="LTJ42" s="51"/>
      <c r="LTK42" s="51"/>
      <c r="LTL42" s="51"/>
      <c r="LTM42" s="51"/>
      <c r="LTN42" s="51"/>
      <c r="LTO42" s="51"/>
      <c r="LTP42" s="51"/>
      <c r="LTQ42" s="51"/>
      <c r="LTR42" s="51"/>
      <c r="LTS42" s="51"/>
      <c r="LTT42" s="51"/>
      <c r="LTU42" s="51"/>
      <c r="LTV42" s="51"/>
      <c r="LTW42" s="51"/>
      <c r="LTX42" s="51"/>
      <c r="LTY42" s="51"/>
      <c r="LTZ42" s="51"/>
      <c r="LUA42" s="51"/>
      <c r="LUB42" s="51"/>
      <c r="LUC42" s="51"/>
      <c r="LUD42" s="51"/>
      <c r="LUE42" s="51"/>
      <c r="LUF42" s="51"/>
      <c r="LUG42" s="51"/>
      <c r="LUH42" s="51"/>
      <c r="LUI42" s="51"/>
      <c r="LUJ42" s="51"/>
      <c r="LUK42" s="51"/>
      <c r="LUL42" s="51"/>
      <c r="LUM42" s="51"/>
      <c r="LUN42" s="51"/>
      <c r="LUO42" s="51"/>
      <c r="LUP42" s="51"/>
      <c r="LUQ42" s="51"/>
      <c r="LUR42" s="51"/>
      <c r="LUS42" s="51"/>
      <c r="LUT42" s="51"/>
      <c r="LUU42" s="51"/>
      <c r="LUV42" s="51"/>
      <c r="LUW42" s="51"/>
      <c r="LUX42" s="51"/>
      <c r="LUY42" s="51"/>
      <c r="LUZ42" s="51"/>
      <c r="LVA42" s="51"/>
      <c r="LVB42" s="51"/>
      <c r="LVC42" s="51"/>
      <c r="LVD42" s="51"/>
      <c r="LVE42" s="51"/>
      <c r="LVF42" s="51"/>
      <c r="LVG42" s="51"/>
      <c r="LVH42" s="51"/>
      <c r="LVI42" s="51"/>
      <c r="LVJ42" s="51"/>
      <c r="LVK42" s="51"/>
      <c r="LVL42" s="51"/>
      <c r="LVM42" s="51"/>
      <c r="LVN42" s="51"/>
      <c r="LVO42" s="51"/>
      <c r="LVP42" s="51"/>
      <c r="LVQ42" s="51"/>
      <c r="LVR42" s="51"/>
      <c r="LVS42" s="51"/>
      <c r="LVT42" s="51"/>
      <c r="LVU42" s="51"/>
      <c r="LVV42" s="51"/>
      <c r="LVW42" s="51"/>
      <c r="LVX42" s="51"/>
      <c r="LVY42" s="51"/>
      <c r="LVZ42" s="51"/>
      <c r="LWA42" s="51"/>
      <c r="LWB42" s="51"/>
      <c r="LWC42" s="51"/>
      <c r="LWD42" s="51"/>
      <c r="LWE42" s="51"/>
      <c r="LWF42" s="51"/>
      <c r="LWG42" s="51"/>
      <c r="LWH42" s="51"/>
      <c r="LWI42" s="51"/>
      <c r="LWJ42" s="51"/>
      <c r="LWK42" s="51"/>
      <c r="LWL42" s="51"/>
      <c r="LWM42" s="51"/>
      <c r="LWN42" s="51"/>
      <c r="LWO42" s="51"/>
      <c r="LWP42" s="51"/>
      <c r="LWQ42" s="51"/>
      <c r="LWR42" s="51"/>
      <c r="LWS42" s="51"/>
      <c r="LWT42" s="51"/>
      <c r="LWU42" s="51"/>
      <c r="LWV42" s="51"/>
      <c r="LWW42" s="51"/>
      <c r="LWX42" s="51"/>
      <c r="LWY42" s="51"/>
      <c r="LWZ42" s="51"/>
      <c r="LXA42" s="51"/>
      <c r="LXB42" s="51"/>
      <c r="LXC42" s="51"/>
      <c r="LXD42" s="51"/>
      <c r="LXE42" s="51"/>
      <c r="LXF42" s="51"/>
      <c r="LXG42" s="51"/>
      <c r="LXH42" s="51"/>
      <c r="LXI42" s="51"/>
      <c r="LXJ42" s="51"/>
      <c r="LXK42" s="51"/>
      <c r="LXL42" s="51"/>
      <c r="LXM42" s="51"/>
      <c r="LXN42" s="51"/>
      <c r="LXO42" s="51"/>
      <c r="LXP42" s="51"/>
      <c r="LXQ42" s="51"/>
      <c r="LXR42" s="51"/>
      <c r="LXS42" s="51"/>
      <c r="LXT42" s="51"/>
      <c r="LXU42" s="51"/>
      <c r="LXV42" s="51"/>
      <c r="LXW42" s="51"/>
      <c r="LXX42" s="51"/>
      <c r="LXY42" s="51"/>
      <c r="LXZ42" s="51"/>
      <c r="LYA42" s="51"/>
      <c r="LYB42" s="51"/>
      <c r="LYC42" s="51"/>
      <c r="LYD42" s="51"/>
      <c r="LYE42" s="51"/>
      <c r="LYF42" s="51"/>
      <c r="LYG42" s="51"/>
      <c r="LYH42" s="51"/>
      <c r="LYI42" s="51"/>
      <c r="LYJ42" s="51"/>
      <c r="LYK42" s="51"/>
      <c r="LYL42" s="51"/>
      <c r="LYM42" s="51"/>
      <c r="LYN42" s="51"/>
      <c r="LYO42" s="51"/>
      <c r="LYP42" s="51"/>
      <c r="LYQ42" s="51"/>
      <c r="LYR42" s="51"/>
      <c r="LYS42" s="51"/>
      <c r="LYT42" s="51"/>
      <c r="LYU42" s="51"/>
      <c r="LYV42" s="51"/>
      <c r="LYW42" s="51"/>
      <c r="LYX42" s="51"/>
      <c r="LYY42" s="51"/>
      <c r="LYZ42" s="51"/>
      <c r="LZA42" s="51"/>
      <c r="LZB42" s="51"/>
      <c r="LZC42" s="51"/>
      <c r="LZD42" s="51"/>
      <c r="LZE42" s="51"/>
      <c r="LZF42" s="51"/>
      <c r="LZG42" s="51"/>
      <c r="LZH42" s="51"/>
      <c r="LZI42" s="51"/>
      <c r="LZJ42" s="51"/>
      <c r="LZK42" s="51"/>
      <c r="LZL42" s="51"/>
      <c r="LZM42" s="51"/>
      <c r="LZN42" s="51"/>
      <c r="LZO42" s="51"/>
      <c r="LZP42" s="51"/>
      <c r="LZQ42" s="51"/>
      <c r="LZR42" s="51"/>
      <c r="LZS42" s="51"/>
      <c r="LZT42" s="51"/>
      <c r="LZU42" s="51"/>
      <c r="LZV42" s="51"/>
      <c r="LZW42" s="51"/>
      <c r="LZX42" s="51"/>
      <c r="LZY42" s="51"/>
      <c r="LZZ42" s="51"/>
      <c r="MAA42" s="51"/>
      <c r="MAB42" s="51"/>
      <c r="MAC42" s="51"/>
      <c r="MAD42" s="51"/>
      <c r="MAE42" s="51"/>
      <c r="MAF42" s="51"/>
      <c r="MAG42" s="51"/>
      <c r="MAH42" s="51"/>
      <c r="MAI42" s="51"/>
      <c r="MAJ42" s="51"/>
      <c r="MAK42" s="51"/>
      <c r="MAL42" s="51"/>
      <c r="MAM42" s="51"/>
      <c r="MAN42" s="51"/>
      <c r="MAO42" s="51"/>
      <c r="MAP42" s="51"/>
      <c r="MAQ42" s="51"/>
      <c r="MAR42" s="51"/>
      <c r="MAS42" s="51"/>
      <c r="MAT42" s="51"/>
      <c r="MAU42" s="51"/>
      <c r="MAV42" s="51"/>
      <c r="MAW42" s="51"/>
      <c r="MAX42" s="51"/>
      <c r="MAY42" s="51"/>
      <c r="MAZ42" s="51"/>
      <c r="MBA42" s="51"/>
      <c r="MBB42" s="51"/>
      <c r="MBC42" s="51"/>
      <c r="MBD42" s="51"/>
      <c r="MBE42" s="51"/>
      <c r="MBF42" s="51"/>
      <c r="MBG42" s="51"/>
      <c r="MBH42" s="51"/>
      <c r="MBI42" s="51"/>
      <c r="MBJ42" s="51"/>
      <c r="MBK42" s="51"/>
      <c r="MBL42" s="51"/>
      <c r="MBM42" s="51"/>
      <c r="MBN42" s="51"/>
      <c r="MBO42" s="51"/>
      <c r="MBP42" s="51"/>
      <c r="MBQ42" s="51"/>
      <c r="MBR42" s="51"/>
      <c r="MBS42" s="51"/>
      <c r="MBT42" s="51"/>
      <c r="MBU42" s="51"/>
      <c r="MBV42" s="51"/>
      <c r="MBW42" s="51"/>
      <c r="MBX42" s="51"/>
      <c r="MBY42" s="51"/>
      <c r="MBZ42" s="51"/>
      <c r="MCA42" s="51"/>
      <c r="MCB42" s="51"/>
      <c r="MCC42" s="51"/>
      <c r="MCD42" s="51"/>
      <c r="MCE42" s="51"/>
      <c r="MCF42" s="51"/>
      <c r="MCG42" s="51"/>
      <c r="MCH42" s="51"/>
      <c r="MCI42" s="51"/>
      <c r="MCJ42" s="51"/>
      <c r="MCK42" s="51"/>
      <c r="MCL42" s="51"/>
      <c r="MCM42" s="51"/>
      <c r="MCN42" s="51"/>
      <c r="MCO42" s="51"/>
      <c r="MCP42" s="51"/>
      <c r="MCQ42" s="51"/>
      <c r="MCR42" s="51"/>
      <c r="MCS42" s="51"/>
      <c r="MCT42" s="51"/>
      <c r="MCU42" s="51"/>
      <c r="MCV42" s="51"/>
      <c r="MCW42" s="51"/>
      <c r="MCX42" s="51"/>
      <c r="MCY42" s="51"/>
      <c r="MCZ42" s="51"/>
      <c r="MDA42" s="51"/>
      <c r="MDB42" s="51"/>
      <c r="MDC42" s="51"/>
      <c r="MDD42" s="51"/>
      <c r="MDE42" s="51"/>
      <c r="MDF42" s="51"/>
      <c r="MDG42" s="51"/>
      <c r="MDH42" s="51"/>
      <c r="MDI42" s="51"/>
      <c r="MDJ42" s="51"/>
      <c r="MDK42" s="51"/>
      <c r="MDL42" s="51"/>
      <c r="MDM42" s="51"/>
      <c r="MDN42" s="51"/>
      <c r="MDO42" s="51"/>
      <c r="MDP42" s="51"/>
      <c r="MDQ42" s="51"/>
      <c r="MDR42" s="51"/>
      <c r="MDS42" s="51"/>
      <c r="MDT42" s="51"/>
      <c r="MDU42" s="51"/>
      <c r="MDV42" s="51"/>
      <c r="MDW42" s="51"/>
      <c r="MDX42" s="51"/>
      <c r="MDY42" s="51"/>
      <c r="MDZ42" s="51"/>
      <c r="MEA42" s="51"/>
      <c r="MEB42" s="51"/>
      <c r="MEC42" s="51"/>
      <c r="MED42" s="51"/>
      <c r="MEE42" s="51"/>
      <c r="MEF42" s="51"/>
      <c r="MEG42" s="51"/>
      <c r="MEH42" s="51"/>
      <c r="MEI42" s="51"/>
      <c r="MEJ42" s="51"/>
      <c r="MEK42" s="51"/>
      <c r="MEL42" s="51"/>
      <c r="MEM42" s="51"/>
      <c r="MEN42" s="51"/>
      <c r="MEO42" s="51"/>
      <c r="MEP42" s="51"/>
      <c r="MEQ42" s="51"/>
      <c r="MER42" s="51"/>
      <c r="MES42" s="51"/>
      <c r="MET42" s="51"/>
      <c r="MEU42" s="51"/>
      <c r="MEV42" s="51"/>
      <c r="MEW42" s="51"/>
      <c r="MEX42" s="51"/>
      <c r="MEY42" s="51"/>
      <c r="MEZ42" s="51"/>
      <c r="MFA42" s="51"/>
      <c r="MFB42" s="51"/>
      <c r="MFC42" s="51"/>
      <c r="MFD42" s="51"/>
      <c r="MFE42" s="51"/>
      <c r="MFF42" s="51"/>
      <c r="MFG42" s="51"/>
      <c r="MFH42" s="51"/>
      <c r="MFI42" s="51"/>
      <c r="MFJ42" s="51"/>
      <c r="MFK42" s="51"/>
      <c r="MFL42" s="51"/>
      <c r="MFM42" s="51"/>
      <c r="MFN42" s="51"/>
      <c r="MFO42" s="51"/>
      <c r="MFP42" s="51"/>
      <c r="MFQ42" s="51"/>
      <c r="MFR42" s="51"/>
      <c r="MFS42" s="51"/>
      <c r="MFT42" s="51"/>
      <c r="MFU42" s="51"/>
      <c r="MFV42" s="51"/>
      <c r="MFW42" s="51"/>
      <c r="MFX42" s="51"/>
      <c r="MFY42" s="51"/>
      <c r="MFZ42" s="51"/>
      <c r="MGA42" s="51"/>
      <c r="MGB42" s="51"/>
      <c r="MGC42" s="51"/>
      <c r="MGD42" s="51"/>
      <c r="MGE42" s="51"/>
      <c r="MGF42" s="51"/>
      <c r="MGG42" s="51"/>
      <c r="MGH42" s="51"/>
      <c r="MGI42" s="51"/>
      <c r="MGJ42" s="51"/>
      <c r="MGK42" s="51"/>
      <c r="MGL42" s="51"/>
      <c r="MGM42" s="51"/>
      <c r="MGN42" s="51"/>
      <c r="MGO42" s="51"/>
      <c r="MGP42" s="51"/>
      <c r="MGQ42" s="51"/>
      <c r="MGR42" s="51"/>
      <c r="MGS42" s="51"/>
      <c r="MGT42" s="51"/>
      <c r="MGU42" s="51"/>
      <c r="MGV42" s="51"/>
      <c r="MGW42" s="51"/>
      <c r="MGX42" s="51"/>
      <c r="MGY42" s="51"/>
      <c r="MGZ42" s="51"/>
      <c r="MHA42" s="51"/>
      <c r="MHB42" s="51"/>
      <c r="MHC42" s="51"/>
      <c r="MHD42" s="51"/>
      <c r="MHE42" s="51"/>
      <c r="MHF42" s="51"/>
      <c r="MHG42" s="51"/>
      <c r="MHH42" s="51"/>
      <c r="MHI42" s="51"/>
      <c r="MHJ42" s="51"/>
      <c r="MHK42" s="51"/>
      <c r="MHL42" s="51"/>
      <c r="MHM42" s="51"/>
      <c r="MHN42" s="51"/>
      <c r="MHO42" s="51"/>
      <c r="MHP42" s="51"/>
      <c r="MHQ42" s="51"/>
      <c r="MHR42" s="51"/>
      <c r="MHS42" s="51"/>
      <c r="MHT42" s="51"/>
      <c r="MHU42" s="51"/>
      <c r="MHV42" s="51"/>
      <c r="MHW42" s="51"/>
      <c r="MHX42" s="51"/>
      <c r="MHY42" s="51"/>
      <c r="MHZ42" s="51"/>
      <c r="MIA42" s="51"/>
      <c r="MIB42" s="51"/>
      <c r="MIC42" s="51"/>
      <c r="MID42" s="51"/>
      <c r="MIE42" s="51"/>
      <c r="MIF42" s="51"/>
      <c r="MIG42" s="51"/>
      <c r="MIH42" s="51"/>
      <c r="MII42" s="51"/>
      <c r="MIJ42" s="51"/>
      <c r="MIK42" s="51"/>
      <c r="MIL42" s="51"/>
      <c r="MIM42" s="51"/>
      <c r="MIN42" s="51"/>
      <c r="MIO42" s="51"/>
      <c r="MIP42" s="51"/>
      <c r="MIQ42" s="51"/>
      <c r="MIR42" s="51"/>
      <c r="MIS42" s="51"/>
      <c r="MIT42" s="51"/>
      <c r="MIU42" s="51"/>
      <c r="MIV42" s="51"/>
      <c r="MIW42" s="51"/>
      <c r="MIX42" s="51"/>
      <c r="MIY42" s="51"/>
      <c r="MIZ42" s="51"/>
      <c r="MJA42" s="51"/>
      <c r="MJB42" s="51"/>
      <c r="MJC42" s="51"/>
      <c r="MJD42" s="51"/>
      <c r="MJE42" s="51"/>
      <c r="MJF42" s="51"/>
      <c r="MJG42" s="51"/>
      <c r="MJH42" s="51"/>
      <c r="MJI42" s="51"/>
      <c r="MJJ42" s="51"/>
      <c r="MJK42" s="51"/>
      <c r="MJL42" s="51"/>
      <c r="MJM42" s="51"/>
      <c r="MJN42" s="51"/>
      <c r="MJO42" s="51"/>
      <c r="MJP42" s="51"/>
      <c r="MJQ42" s="51"/>
      <c r="MJR42" s="51"/>
      <c r="MJS42" s="51"/>
      <c r="MJT42" s="51"/>
      <c r="MJU42" s="51"/>
      <c r="MJV42" s="51"/>
      <c r="MJW42" s="51"/>
      <c r="MJX42" s="51"/>
      <c r="MJY42" s="51"/>
      <c r="MJZ42" s="51"/>
      <c r="MKA42" s="51"/>
      <c r="MKB42" s="51"/>
      <c r="MKC42" s="51"/>
      <c r="MKD42" s="51"/>
      <c r="MKE42" s="51"/>
      <c r="MKF42" s="51"/>
      <c r="MKG42" s="51"/>
      <c r="MKH42" s="51"/>
      <c r="MKI42" s="51"/>
      <c r="MKJ42" s="51"/>
      <c r="MKK42" s="51"/>
      <c r="MKL42" s="51"/>
      <c r="MKM42" s="51"/>
      <c r="MKN42" s="51"/>
      <c r="MKO42" s="51"/>
      <c r="MKP42" s="51"/>
      <c r="MKQ42" s="51"/>
      <c r="MKR42" s="51"/>
      <c r="MKS42" s="51"/>
      <c r="MKT42" s="51"/>
      <c r="MKU42" s="51"/>
      <c r="MKV42" s="51"/>
      <c r="MKW42" s="51"/>
      <c r="MKX42" s="51"/>
      <c r="MKY42" s="51"/>
      <c r="MKZ42" s="51"/>
      <c r="MLA42" s="51"/>
      <c r="MLB42" s="51"/>
      <c r="MLC42" s="51"/>
      <c r="MLD42" s="51"/>
      <c r="MLE42" s="51"/>
      <c r="MLF42" s="51"/>
      <c r="MLG42" s="51"/>
      <c r="MLH42" s="51"/>
      <c r="MLI42" s="51"/>
      <c r="MLJ42" s="51"/>
      <c r="MLK42" s="51"/>
      <c r="MLL42" s="51"/>
      <c r="MLM42" s="51"/>
      <c r="MLN42" s="51"/>
      <c r="MLO42" s="51"/>
      <c r="MLP42" s="51"/>
      <c r="MLQ42" s="51"/>
      <c r="MLR42" s="51"/>
      <c r="MLS42" s="51"/>
      <c r="MLT42" s="51"/>
      <c r="MLU42" s="51"/>
      <c r="MLV42" s="51"/>
      <c r="MLW42" s="51"/>
      <c r="MLX42" s="51"/>
      <c r="MLY42" s="51"/>
      <c r="MLZ42" s="51"/>
      <c r="MMA42" s="51"/>
      <c r="MMB42" s="51"/>
      <c r="MMC42" s="51"/>
      <c r="MMD42" s="51"/>
      <c r="MME42" s="51"/>
      <c r="MMF42" s="51"/>
      <c r="MMG42" s="51"/>
      <c r="MMH42" s="51"/>
      <c r="MMI42" s="51"/>
      <c r="MMJ42" s="51"/>
      <c r="MMK42" s="51"/>
      <c r="MML42" s="51"/>
      <c r="MMM42" s="51"/>
      <c r="MMN42" s="51"/>
      <c r="MMO42" s="51"/>
      <c r="MMP42" s="51"/>
      <c r="MMQ42" s="51"/>
      <c r="MMR42" s="51"/>
      <c r="MMS42" s="51"/>
      <c r="MMT42" s="51"/>
      <c r="MMU42" s="51"/>
      <c r="MMV42" s="51"/>
      <c r="MMW42" s="51"/>
      <c r="MMX42" s="51"/>
      <c r="MMY42" s="51"/>
      <c r="MMZ42" s="51"/>
      <c r="MNA42" s="51"/>
      <c r="MNB42" s="51"/>
      <c r="MNC42" s="51"/>
      <c r="MND42" s="51"/>
      <c r="MNE42" s="51"/>
      <c r="MNF42" s="51"/>
      <c r="MNG42" s="51"/>
      <c r="MNH42" s="51"/>
      <c r="MNI42" s="51"/>
      <c r="MNJ42" s="51"/>
      <c r="MNK42" s="51"/>
      <c r="MNL42" s="51"/>
      <c r="MNM42" s="51"/>
      <c r="MNN42" s="51"/>
      <c r="MNO42" s="51"/>
      <c r="MNP42" s="51"/>
      <c r="MNQ42" s="51"/>
      <c r="MNR42" s="51"/>
      <c r="MNS42" s="51"/>
      <c r="MNT42" s="51"/>
      <c r="MNU42" s="51"/>
      <c r="MNV42" s="51"/>
      <c r="MNW42" s="51"/>
      <c r="MNX42" s="51"/>
      <c r="MNY42" s="51"/>
      <c r="MNZ42" s="51"/>
      <c r="MOA42" s="51"/>
      <c r="MOB42" s="51"/>
      <c r="MOC42" s="51"/>
      <c r="MOD42" s="51"/>
      <c r="MOE42" s="51"/>
      <c r="MOF42" s="51"/>
      <c r="MOG42" s="51"/>
      <c r="MOH42" s="51"/>
      <c r="MOI42" s="51"/>
      <c r="MOJ42" s="51"/>
      <c r="MOK42" s="51"/>
      <c r="MOL42" s="51"/>
      <c r="MOM42" s="51"/>
      <c r="MON42" s="51"/>
      <c r="MOO42" s="51"/>
      <c r="MOP42" s="51"/>
      <c r="MOQ42" s="51"/>
      <c r="MOR42" s="51"/>
      <c r="MOS42" s="51"/>
      <c r="MOT42" s="51"/>
      <c r="MOU42" s="51"/>
      <c r="MOV42" s="51"/>
      <c r="MOW42" s="51"/>
      <c r="MOX42" s="51"/>
      <c r="MOY42" s="51"/>
      <c r="MOZ42" s="51"/>
      <c r="MPA42" s="51"/>
      <c r="MPB42" s="51"/>
      <c r="MPC42" s="51"/>
      <c r="MPD42" s="51"/>
      <c r="MPE42" s="51"/>
      <c r="MPF42" s="51"/>
      <c r="MPG42" s="51"/>
      <c r="MPH42" s="51"/>
      <c r="MPI42" s="51"/>
      <c r="MPJ42" s="51"/>
      <c r="MPK42" s="51"/>
      <c r="MPL42" s="51"/>
      <c r="MPM42" s="51"/>
      <c r="MPN42" s="51"/>
      <c r="MPO42" s="51"/>
      <c r="MPP42" s="51"/>
      <c r="MPQ42" s="51"/>
      <c r="MPR42" s="51"/>
      <c r="MPS42" s="51"/>
      <c r="MPT42" s="51"/>
      <c r="MPU42" s="51"/>
      <c r="MPV42" s="51"/>
      <c r="MPW42" s="51"/>
      <c r="MPX42" s="51"/>
      <c r="MPY42" s="51"/>
      <c r="MPZ42" s="51"/>
      <c r="MQA42" s="51"/>
      <c r="MQB42" s="51"/>
      <c r="MQC42" s="51"/>
      <c r="MQD42" s="51"/>
      <c r="MQE42" s="51"/>
      <c r="MQF42" s="51"/>
      <c r="MQG42" s="51"/>
      <c r="MQH42" s="51"/>
      <c r="MQI42" s="51"/>
      <c r="MQJ42" s="51"/>
      <c r="MQK42" s="51"/>
      <c r="MQL42" s="51"/>
      <c r="MQM42" s="51"/>
      <c r="MQN42" s="51"/>
      <c r="MQO42" s="51"/>
      <c r="MQP42" s="51"/>
      <c r="MQQ42" s="51"/>
      <c r="MQR42" s="51"/>
      <c r="MQS42" s="51"/>
      <c r="MQT42" s="51"/>
      <c r="MQU42" s="51"/>
      <c r="MQV42" s="51"/>
      <c r="MQW42" s="51"/>
      <c r="MQX42" s="51"/>
      <c r="MQY42" s="51"/>
      <c r="MQZ42" s="51"/>
      <c r="MRA42" s="51"/>
      <c r="MRB42" s="51"/>
      <c r="MRC42" s="51"/>
      <c r="MRD42" s="51"/>
      <c r="MRE42" s="51"/>
      <c r="MRF42" s="51"/>
      <c r="MRG42" s="51"/>
      <c r="MRH42" s="51"/>
      <c r="MRI42" s="51"/>
      <c r="MRJ42" s="51"/>
      <c r="MRK42" s="51"/>
      <c r="MRL42" s="51"/>
      <c r="MRM42" s="51"/>
      <c r="MRN42" s="51"/>
      <c r="MRO42" s="51"/>
      <c r="MRP42" s="51"/>
      <c r="MRQ42" s="51"/>
      <c r="MRR42" s="51"/>
      <c r="MRS42" s="51"/>
      <c r="MRT42" s="51"/>
      <c r="MRU42" s="51"/>
      <c r="MRV42" s="51"/>
      <c r="MRW42" s="51"/>
      <c r="MRX42" s="51"/>
      <c r="MRY42" s="51"/>
      <c r="MRZ42" s="51"/>
      <c r="MSA42" s="51"/>
      <c r="MSB42" s="51"/>
      <c r="MSC42" s="51"/>
      <c r="MSD42" s="51"/>
      <c r="MSE42" s="51"/>
      <c r="MSF42" s="51"/>
      <c r="MSG42" s="51"/>
      <c r="MSH42" s="51"/>
      <c r="MSI42" s="51"/>
      <c r="MSJ42" s="51"/>
      <c r="MSK42" s="51"/>
      <c r="MSL42" s="51"/>
      <c r="MSM42" s="51"/>
      <c r="MSN42" s="51"/>
      <c r="MSO42" s="51"/>
      <c r="MSP42" s="51"/>
      <c r="MSQ42" s="51"/>
      <c r="MSR42" s="51"/>
      <c r="MSS42" s="51"/>
      <c r="MST42" s="51"/>
      <c r="MSU42" s="51"/>
      <c r="MSV42" s="51"/>
      <c r="MSW42" s="51"/>
      <c r="MSX42" s="51"/>
      <c r="MSY42" s="51"/>
      <c r="MSZ42" s="51"/>
      <c r="MTA42" s="51"/>
      <c r="MTB42" s="51"/>
      <c r="MTC42" s="51"/>
      <c r="MTD42" s="51"/>
      <c r="MTE42" s="51"/>
      <c r="MTF42" s="51"/>
      <c r="MTG42" s="51"/>
      <c r="MTH42" s="51"/>
      <c r="MTI42" s="51"/>
      <c r="MTJ42" s="51"/>
      <c r="MTK42" s="51"/>
      <c r="MTL42" s="51"/>
      <c r="MTM42" s="51"/>
      <c r="MTN42" s="51"/>
      <c r="MTO42" s="51"/>
      <c r="MTP42" s="51"/>
      <c r="MTQ42" s="51"/>
      <c r="MTR42" s="51"/>
      <c r="MTS42" s="51"/>
      <c r="MTT42" s="51"/>
      <c r="MTU42" s="51"/>
      <c r="MTV42" s="51"/>
      <c r="MTW42" s="51"/>
      <c r="MTX42" s="51"/>
      <c r="MTY42" s="51"/>
      <c r="MTZ42" s="51"/>
      <c r="MUA42" s="51"/>
      <c r="MUB42" s="51"/>
      <c r="MUC42" s="51"/>
      <c r="MUD42" s="51"/>
      <c r="MUE42" s="51"/>
      <c r="MUF42" s="51"/>
      <c r="MUG42" s="51"/>
      <c r="MUH42" s="51"/>
      <c r="MUI42" s="51"/>
      <c r="MUJ42" s="51"/>
      <c r="MUK42" s="51"/>
      <c r="MUL42" s="51"/>
      <c r="MUM42" s="51"/>
      <c r="MUN42" s="51"/>
      <c r="MUO42" s="51"/>
      <c r="MUP42" s="51"/>
      <c r="MUQ42" s="51"/>
      <c r="MUR42" s="51"/>
      <c r="MUS42" s="51"/>
      <c r="MUT42" s="51"/>
      <c r="MUU42" s="51"/>
      <c r="MUV42" s="51"/>
      <c r="MUW42" s="51"/>
      <c r="MUX42" s="51"/>
      <c r="MUY42" s="51"/>
      <c r="MUZ42" s="51"/>
      <c r="MVA42" s="51"/>
      <c r="MVB42" s="51"/>
      <c r="MVC42" s="51"/>
      <c r="MVD42" s="51"/>
      <c r="MVE42" s="51"/>
      <c r="MVF42" s="51"/>
      <c r="MVG42" s="51"/>
      <c r="MVH42" s="51"/>
      <c r="MVI42" s="51"/>
      <c r="MVJ42" s="51"/>
      <c r="MVK42" s="51"/>
      <c r="MVL42" s="51"/>
      <c r="MVM42" s="51"/>
      <c r="MVN42" s="51"/>
      <c r="MVO42" s="51"/>
      <c r="MVP42" s="51"/>
      <c r="MVQ42" s="51"/>
      <c r="MVR42" s="51"/>
      <c r="MVS42" s="51"/>
      <c r="MVT42" s="51"/>
      <c r="MVU42" s="51"/>
      <c r="MVV42" s="51"/>
      <c r="MVW42" s="51"/>
      <c r="MVX42" s="51"/>
      <c r="MVY42" s="51"/>
      <c r="MVZ42" s="51"/>
      <c r="MWA42" s="51"/>
      <c r="MWB42" s="51"/>
      <c r="MWC42" s="51"/>
      <c r="MWD42" s="51"/>
      <c r="MWE42" s="51"/>
      <c r="MWF42" s="51"/>
      <c r="MWG42" s="51"/>
      <c r="MWH42" s="51"/>
      <c r="MWI42" s="51"/>
      <c r="MWJ42" s="51"/>
      <c r="MWK42" s="51"/>
      <c r="MWL42" s="51"/>
      <c r="MWM42" s="51"/>
      <c r="MWN42" s="51"/>
      <c r="MWO42" s="51"/>
      <c r="MWP42" s="51"/>
      <c r="MWQ42" s="51"/>
      <c r="MWR42" s="51"/>
      <c r="MWS42" s="51"/>
      <c r="MWT42" s="51"/>
      <c r="MWU42" s="51"/>
      <c r="MWV42" s="51"/>
      <c r="MWW42" s="51"/>
      <c r="MWX42" s="51"/>
      <c r="MWY42" s="51"/>
      <c r="MWZ42" s="51"/>
      <c r="MXA42" s="51"/>
      <c r="MXB42" s="51"/>
      <c r="MXC42" s="51"/>
      <c r="MXD42" s="51"/>
      <c r="MXE42" s="51"/>
      <c r="MXF42" s="51"/>
      <c r="MXG42" s="51"/>
      <c r="MXH42" s="51"/>
      <c r="MXI42" s="51"/>
      <c r="MXJ42" s="51"/>
      <c r="MXK42" s="51"/>
      <c r="MXL42" s="51"/>
      <c r="MXM42" s="51"/>
      <c r="MXN42" s="51"/>
      <c r="MXO42" s="51"/>
      <c r="MXP42" s="51"/>
      <c r="MXQ42" s="51"/>
      <c r="MXR42" s="51"/>
      <c r="MXS42" s="51"/>
      <c r="MXT42" s="51"/>
      <c r="MXU42" s="51"/>
      <c r="MXV42" s="51"/>
      <c r="MXW42" s="51"/>
      <c r="MXX42" s="51"/>
      <c r="MXY42" s="51"/>
      <c r="MXZ42" s="51"/>
      <c r="MYA42" s="51"/>
      <c r="MYB42" s="51"/>
      <c r="MYC42" s="51"/>
      <c r="MYD42" s="51"/>
      <c r="MYE42" s="51"/>
      <c r="MYF42" s="51"/>
      <c r="MYG42" s="51"/>
      <c r="MYH42" s="51"/>
      <c r="MYI42" s="51"/>
      <c r="MYJ42" s="51"/>
      <c r="MYK42" s="51"/>
      <c r="MYL42" s="51"/>
      <c r="MYM42" s="51"/>
      <c r="MYN42" s="51"/>
      <c r="MYO42" s="51"/>
      <c r="MYP42" s="51"/>
      <c r="MYQ42" s="51"/>
      <c r="MYR42" s="51"/>
      <c r="MYS42" s="51"/>
      <c r="MYT42" s="51"/>
      <c r="MYU42" s="51"/>
      <c r="MYV42" s="51"/>
      <c r="MYW42" s="51"/>
      <c r="MYX42" s="51"/>
      <c r="MYY42" s="51"/>
      <c r="MYZ42" s="51"/>
      <c r="MZA42" s="51"/>
      <c r="MZB42" s="51"/>
      <c r="MZC42" s="51"/>
      <c r="MZD42" s="51"/>
      <c r="MZE42" s="51"/>
      <c r="MZF42" s="51"/>
      <c r="MZG42" s="51"/>
      <c r="MZH42" s="51"/>
      <c r="MZI42" s="51"/>
      <c r="MZJ42" s="51"/>
      <c r="MZK42" s="51"/>
      <c r="MZL42" s="51"/>
      <c r="MZM42" s="51"/>
      <c r="MZN42" s="51"/>
      <c r="MZO42" s="51"/>
      <c r="MZP42" s="51"/>
      <c r="MZQ42" s="51"/>
      <c r="MZR42" s="51"/>
      <c r="MZS42" s="51"/>
      <c r="MZT42" s="51"/>
      <c r="MZU42" s="51"/>
      <c r="MZV42" s="51"/>
      <c r="MZW42" s="51"/>
      <c r="MZX42" s="51"/>
      <c r="MZY42" s="51"/>
      <c r="MZZ42" s="51"/>
      <c r="NAA42" s="51"/>
      <c r="NAB42" s="51"/>
      <c r="NAC42" s="51"/>
      <c r="NAD42" s="51"/>
      <c r="NAE42" s="51"/>
      <c r="NAF42" s="51"/>
      <c r="NAG42" s="51"/>
      <c r="NAH42" s="51"/>
      <c r="NAI42" s="51"/>
      <c r="NAJ42" s="51"/>
      <c r="NAK42" s="51"/>
      <c r="NAL42" s="51"/>
      <c r="NAM42" s="51"/>
      <c r="NAN42" s="51"/>
      <c r="NAO42" s="51"/>
      <c r="NAP42" s="51"/>
      <c r="NAQ42" s="51"/>
      <c r="NAR42" s="51"/>
      <c r="NAS42" s="51"/>
      <c r="NAT42" s="51"/>
      <c r="NAU42" s="51"/>
      <c r="NAV42" s="51"/>
      <c r="NAW42" s="51"/>
      <c r="NAX42" s="51"/>
      <c r="NAY42" s="51"/>
      <c r="NAZ42" s="51"/>
      <c r="NBA42" s="51"/>
      <c r="NBB42" s="51"/>
      <c r="NBC42" s="51"/>
      <c r="NBD42" s="51"/>
      <c r="NBE42" s="51"/>
      <c r="NBF42" s="51"/>
      <c r="NBG42" s="51"/>
      <c r="NBH42" s="51"/>
      <c r="NBI42" s="51"/>
      <c r="NBJ42" s="51"/>
      <c r="NBK42" s="51"/>
      <c r="NBL42" s="51"/>
      <c r="NBM42" s="51"/>
      <c r="NBN42" s="51"/>
      <c r="NBO42" s="51"/>
      <c r="NBP42" s="51"/>
      <c r="NBQ42" s="51"/>
      <c r="NBR42" s="51"/>
      <c r="NBS42" s="51"/>
      <c r="NBT42" s="51"/>
      <c r="NBU42" s="51"/>
      <c r="NBV42" s="51"/>
      <c r="NBW42" s="51"/>
      <c r="NBX42" s="51"/>
      <c r="NBY42" s="51"/>
      <c r="NBZ42" s="51"/>
      <c r="NCA42" s="51"/>
      <c r="NCB42" s="51"/>
      <c r="NCC42" s="51"/>
      <c r="NCD42" s="51"/>
      <c r="NCE42" s="51"/>
      <c r="NCF42" s="51"/>
      <c r="NCG42" s="51"/>
      <c r="NCH42" s="51"/>
      <c r="NCI42" s="51"/>
      <c r="NCJ42" s="51"/>
      <c r="NCK42" s="51"/>
      <c r="NCL42" s="51"/>
      <c r="NCM42" s="51"/>
      <c r="NCN42" s="51"/>
      <c r="NCO42" s="51"/>
      <c r="NCP42" s="51"/>
      <c r="NCQ42" s="51"/>
      <c r="NCR42" s="51"/>
      <c r="NCS42" s="51"/>
      <c r="NCT42" s="51"/>
      <c r="NCU42" s="51"/>
      <c r="NCV42" s="51"/>
      <c r="NCW42" s="51"/>
      <c r="NCX42" s="51"/>
      <c r="NCY42" s="51"/>
      <c r="NCZ42" s="51"/>
      <c r="NDA42" s="51"/>
      <c r="NDB42" s="51"/>
      <c r="NDC42" s="51"/>
      <c r="NDD42" s="51"/>
      <c r="NDE42" s="51"/>
      <c r="NDF42" s="51"/>
      <c r="NDG42" s="51"/>
      <c r="NDH42" s="51"/>
      <c r="NDI42" s="51"/>
      <c r="NDJ42" s="51"/>
      <c r="NDK42" s="51"/>
      <c r="NDL42" s="51"/>
      <c r="NDM42" s="51"/>
      <c r="NDN42" s="51"/>
      <c r="NDO42" s="51"/>
      <c r="NDP42" s="51"/>
      <c r="NDQ42" s="51"/>
      <c r="NDR42" s="51"/>
      <c r="NDS42" s="51"/>
      <c r="NDT42" s="51"/>
      <c r="NDU42" s="51"/>
      <c r="NDV42" s="51"/>
      <c r="NDW42" s="51"/>
      <c r="NDX42" s="51"/>
      <c r="NDY42" s="51"/>
      <c r="NDZ42" s="51"/>
      <c r="NEA42" s="51"/>
      <c r="NEB42" s="51"/>
      <c r="NEC42" s="51"/>
      <c r="NED42" s="51"/>
      <c r="NEE42" s="51"/>
      <c r="NEF42" s="51"/>
      <c r="NEG42" s="51"/>
      <c r="NEH42" s="51"/>
      <c r="NEI42" s="51"/>
      <c r="NEJ42" s="51"/>
      <c r="NEK42" s="51"/>
      <c r="NEL42" s="51"/>
      <c r="NEM42" s="51"/>
      <c r="NEN42" s="51"/>
      <c r="NEO42" s="51"/>
      <c r="NEP42" s="51"/>
      <c r="NEQ42" s="51"/>
      <c r="NER42" s="51"/>
      <c r="NES42" s="51"/>
      <c r="NET42" s="51"/>
      <c r="NEU42" s="51"/>
      <c r="NEV42" s="51"/>
      <c r="NEW42" s="51"/>
      <c r="NEX42" s="51"/>
      <c r="NEY42" s="51"/>
      <c r="NEZ42" s="51"/>
      <c r="NFA42" s="51"/>
      <c r="NFB42" s="51"/>
      <c r="NFC42" s="51"/>
      <c r="NFD42" s="51"/>
      <c r="NFE42" s="51"/>
      <c r="NFF42" s="51"/>
      <c r="NFG42" s="51"/>
      <c r="NFH42" s="51"/>
      <c r="NFI42" s="51"/>
      <c r="NFJ42" s="51"/>
      <c r="NFK42" s="51"/>
      <c r="NFL42" s="51"/>
      <c r="NFM42" s="51"/>
      <c r="NFN42" s="51"/>
      <c r="NFO42" s="51"/>
      <c r="NFP42" s="51"/>
      <c r="NFQ42" s="51"/>
      <c r="NFR42" s="51"/>
      <c r="NFS42" s="51"/>
      <c r="NFT42" s="51"/>
      <c r="NFU42" s="51"/>
      <c r="NFV42" s="51"/>
      <c r="NFW42" s="51"/>
      <c r="NFX42" s="51"/>
      <c r="NFY42" s="51"/>
      <c r="NFZ42" s="51"/>
      <c r="NGA42" s="51"/>
      <c r="NGB42" s="51"/>
      <c r="NGC42" s="51"/>
      <c r="NGD42" s="51"/>
      <c r="NGE42" s="51"/>
      <c r="NGF42" s="51"/>
      <c r="NGG42" s="51"/>
      <c r="NGH42" s="51"/>
      <c r="NGI42" s="51"/>
      <c r="NGJ42" s="51"/>
      <c r="NGK42" s="51"/>
      <c r="NGL42" s="51"/>
      <c r="NGM42" s="51"/>
      <c r="NGN42" s="51"/>
      <c r="NGO42" s="51"/>
      <c r="NGP42" s="51"/>
      <c r="NGQ42" s="51"/>
      <c r="NGR42" s="51"/>
      <c r="NGS42" s="51"/>
      <c r="NGT42" s="51"/>
      <c r="NGU42" s="51"/>
      <c r="NGV42" s="51"/>
      <c r="NGW42" s="51"/>
      <c r="NGX42" s="51"/>
      <c r="NGY42" s="51"/>
      <c r="NGZ42" s="51"/>
      <c r="NHA42" s="51"/>
      <c r="NHB42" s="51"/>
      <c r="NHC42" s="51"/>
      <c r="NHD42" s="51"/>
      <c r="NHE42" s="51"/>
      <c r="NHF42" s="51"/>
      <c r="NHG42" s="51"/>
      <c r="NHH42" s="51"/>
      <c r="NHI42" s="51"/>
      <c r="NHJ42" s="51"/>
      <c r="NHK42" s="51"/>
      <c r="NHL42" s="51"/>
      <c r="NHM42" s="51"/>
      <c r="NHN42" s="51"/>
      <c r="NHO42" s="51"/>
      <c r="NHP42" s="51"/>
      <c r="NHQ42" s="51"/>
      <c r="NHR42" s="51"/>
      <c r="NHS42" s="51"/>
      <c r="NHT42" s="51"/>
      <c r="NHU42" s="51"/>
      <c r="NHV42" s="51"/>
      <c r="NHW42" s="51"/>
      <c r="NHX42" s="51"/>
      <c r="NHY42" s="51"/>
      <c r="NHZ42" s="51"/>
      <c r="NIA42" s="51"/>
      <c r="NIB42" s="51"/>
      <c r="NIC42" s="51"/>
      <c r="NID42" s="51"/>
      <c r="NIE42" s="51"/>
      <c r="NIF42" s="51"/>
      <c r="NIG42" s="51"/>
      <c r="NIH42" s="51"/>
      <c r="NII42" s="51"/>
      <c r="NIJ42" s="51"/>
      <c r="NIK42" s="51"/>
      <c r="NIL42" s="51"/>
      <c r="NIM42" s="51"/>
      <c r="NIN42" s="51"/>
      <c r="NIO42" s="51"/>
      <c r="NIP42" s="51"/>
      <c r="NIQ42" s="51"/>
      <c r="NIR42" s="51"/>
      <c r="NIS42" s="51"/>
      <c r="NIT42" s="51"/>
      <c r="NIU42" s="51"/>
      <c r="NIV42" s="51"/>
      <c r="NIW42" s="51"/>
      <c r="NIX42" s="51"/>
      <c r="NIY42" s="51"/>
      <c r="NIZ42" s="51"/>
      <c r="NJA42" s="51"/>
      <c r="NJB42" s="51"/>
      <c r="NJC42" s="51"/>
      <c r="NJD42" s="51"/>
      <c r="NJE42" s="51"/>
      <c r="NJF42" s="51"/>
      <c r="NJG42" s="51"/>
      <c r="NJH42" s="51"/>
      <c r="NJI42" s="51"/>
      <c r="NJJ42" s="51"/>
      <c r="NJK42" s="51"/>
      <c r="NJL42" s="51"/>
      <c r="NJM42" s="51"/>
      <c r="NJN42" s="51"/>
      <c r="NJO42" s="51"/>
      <c r="NJP42" s="51"/>
      <c r="NJQ42" s="51"/>
      <c r="NJR42" s="51"/>
      <c r="NJS42" s="51"/>
      <c r="NJT42" s="51"/>
      <c r="NJU42" s="51"/>
      <c r="NJV42" s="51"/>
      <c r="NJW42" s="51"/>
      <c r="NJX42" s="51"/>
      <c r="NJY42" s="51"/>
      <c r="NJZ42" s="51"/>
      <c r="NKA42" s="51"/>
      <c r="NKB42" s="51"/>
      <c r="NKC42" s="51"/>
      <c r="NKD42" s="51"/>
      <c r="NKE42" s="51"/>
      <c r="NKF42" s="51"/>
      <c r="NKG42" s="51"/>
      <c r="NKH42" s="51"/>
      <c r="NKI42" s="51"/>
      <c r="NKJ42" s="51"/>
      <c r="NKK42" s="51"/>
      <c r="NKL42" s="51"/>
      <c r="NKM42" s="51"/>
      <c r="NKN42" s="51"/>
      <c r="NKO42" s="51"/>
      <c r="NKP42" s="51"/>
      <c r="NKQ42" s="51"/>
      <c r="NKR42" s="51"/>
      <c r="NKS42" s="51"/>
      <c r="NKT42" s="51"/>
      <c r="NKU42" s="51"/>
      <c r="NKV42" s="51"/>
      <c r="NKW42" s="51"/>
      <c r="NKX42" s="51"/>
      <c r="NKY42" s="51"/>
      <c r="NKZ42" s="51"/>
      <c r="NLA42" s="51"/>
      <c r="NLB42" s="51"/>
      <c r="NLC42" s="51"/>
      <c r="NLD42" s="51"/>
      <c r="NLE42" s="51"/>
      <c r="NLF42" s="51"/>
      <c r="NLG42" s="51"/>
      <c r="NLH42" s="51"/>
      <c r="NLI42" s="51"/>
      <c r="NLJ42" s="51"/>
      <c r="NLK42" s="51"/>
      <c r="NLL42" s="51"/>
      <c r="NLM42" s="51"/>
      <c r="NLN42" s="51"/>
      <c r="NLO42" s="51"/>
      <c r="NLP42" s="51"/>
      <c r="NLQ42" s="51"/>
      <c r="NLR42" s="51"/>
      <c r="NLS42" s="51"/>
      <c r="NLT42" s="51"/>
      <c r="NLU42" s="51"/>
      <c r="NLV42" s="51"/>
      <c r="NLW42" s="51"/>
      <c r="NLX42" s="51"/>
      <c r="NLY42" s="51"/>
      <c r="NLZ42" s="51"/>
      <c r="NMA42" s="51"/>
      <c r="NMB42" s="51"/>
      <c r="NMC42" s="51"/>
      <c r="NMD42" s="51"/>
      <c r="NME42" s="51"/>
      <c r="NMF42" s="51"/>
      <c r="NMG42" s="51"/>
      <c r="NMH42" s="51"/>
      <c r="NMI42" s="51"/>
      <c r="NMJ42" s="51"/>
      <c r="NMK42" s="51"/>
      <c r="NML42" s="51"/>
      <c r="NMM42" s="51"/>
      <c r="NMN42" s="51"/>
      <c r="NMO42" s="51"/>
      <c r="NMP42" s="51"/>
      <c r="NMQ42" s="51"/>
      <c r="NMR42" s="51"/>
      <c r="NMS42" s="51"/>
      <c r="NMT42" s="51"/>
      <c r="NMU42" s="51"/>
      <c r="NMV42" s="51"/>
      <c r="NMW42" s="51"/>
      <c r="NMX42" s="51"/>
      <c r="NMY42" s="51"/>
      <c r="NMZ42" s="51"/>
      <c r="NNA42" s="51"/>
      <c r="NNB42" s="51"/>
      <c r="NNC42" s="51"/>
      <c r="NND42" s="51"/>
      <c r="NNE42" s="51"/>
      <c r="NNF42" s="51"/>
      <c r="NNG42" s="51"/>
      <c r="NNH42" s="51"/>
      <c r="NNI42" s="51"/>
      <c r="NNJ42" s="51"/>
      <c r="NNK42" s="51"/>
      <c r="NNL42" s="51"/>
      <c r="NNM42" s="51"/>
      <c r="NNN42" s="51"/>
      <c r="NNO42" s="51"/>
      <c r="NNP42" s="51"/>
      <c r="NNQ42" s="51"/>
      <c r="NNR42" s="51"/>
      <c r="NNS42" s="51"/>
      <c r="NNT42" s="51"/>
      <c r="NNU42" s="51"/>
      <c r="NNV42" s="51"/>
      <c r="NNW42" s="51"/>
      <c r="NNX42" s="51"/>
      <c r="NNY42" s="51"/>
      <c r="NNZ42" s="51"/>
      <c r="NOA42" s="51"/>
      <c r="NOB42" s="51"/>
      <c r="NOC42" s="51"/>
      <c r="NOD42" s="51"/>
      <c r="NOE42" s="51"/>
      <c r="NOF42" s="51"/>
      <c r="NOG42" s="51"/>
      <c r="NOH42" s="51"/>
      <c r="NOI42" s="51"/>
      <c r="NOJ42" s="51"/>
      <c r="NOK42" s="51"/>
      <c r="NOL42" s="51"/>
      <c r="NOM42" s="51"/>
      <c r="NON42" s="51"/>
      <c r="NOO42" s="51"/>
      <c r="NOP42" s="51"/>
      <c r="NOQ42" s="51"/>
      <c r="NOR42" s="51"/>
      <c r="NOS42" s="51"/>
      <c r="NOT42" s="51"/>
      <c r="NOU42" s="51"/>
      <c r="NOV42" s="51"/>
      <c r="NOW42" s="51"/>
      <c r="NOX42" s="51"/>
      <c r="NOY42" s="51"/>
      <c r="NOZ42" s="51"/>
      <c r="NPA42" s="51"/>
      <c r="NPB42" s="51"/>
      <c r="NPC42" s="51"/>
      <c r="NPD42" s="51"/>
      <c r="NPE42" s="51"/>
      <c r="NPF42" s="51"/>
      <c r="NPG42" s="51"/>
      <c r="NPH42" s="51"/>
      <c r="NPI42" s="51"/>
      <c r="NPJ42" s="51"/>
      <c r="NPK42" s="51"/>
      <c r="NPL42" s="51"/>
      <c r="NPM42" s="51"/>
      <c r="NPN42" s="51"/>
      <c r="NPO42" s="51"/>
      <c r="NPP42" s="51"/>
      <c r="NPQ42" s="51"/>
      <c r="NPR42" s="51"/>
      <c r="NPS42" s="51"/>
      <c r="NPT42" s="51"/>
      <c r="NPU42" s="51"/>
      <c r="NPV42" s="51"/>
      <c r="NPW42" s="51"/>
      <c r="NPX42" s="51"/>
      <c r="NPY42" s="51"/>
      <c r="NPZ42" s="51"/>
      <c r="NQA42" s="51"/>
      <c r="NQB42" s="51"/>
      <c r="NQC42" s="51"/>
      <c r="NQD42" s="51"/>
      <c r="NQE42" s="51"/>
      <c r="NQF42" s="51"/>
      <c r="NQG42" s="51"/>
      <c r="NQH42" s="51"/>
      <c r="NQI42" s="51"/>
      <c r="NQJ42" s="51"/>
      <c r="NQK42" s="51"/>
      <c r="NQL42" s="51"/>
      <c r="NQM42" s="51"/>
      <c r="NQN42" s="51"/>
      <c r="NQO42" s="51"/>
      <c r="NQP42" s="51"/>
      <c r="NQQ42" s="51"/>
      <c r="NQR42" s="51"/>
      <c r="NQS42" s="51"/>
      <c r="NQT42" s="51"/>
      <c r="NQU42" s="51"/>
      <c r="NQV42" s="51"/>
      <c r="NQW42" s="51"/>
      <c r="NQX42" s="51"/>
      <c r="NQY42" s="51"/>
      <c r="NQZ42" s="51"/>
      <c r="NRA42" s="51"/>
      <c r="NRB42" s="51"/>
      <c r="NRC42" s="51"/>
      <c r="NRD42" s="51"/>
      <c r="NRE42" s="51"/>
      <c r="NRF42" s="51"/>
      <c r="NRG42" s="51"/>
      <c r="NRH42" s="51"/>
      <c r="NRI42" s="51"/>
      <c r="NRJ42" s="51"/>
      <c r="NRK42" s="51"/>
      <c r="NRL42" s="51"/>
      <c r="NRM42" s="51"/>
      <c r="NRN42" s="51"/>
      <c r="NRO42" s="51"/>
      <c r="NRP42" s="51"/>
      <c r="NRQ42" s="51"/>
      <c r="NRR42" s="51"/>
      <c r="NRS42" s="51"/>
      <c r="NRT42" s="51"/>
      <c r="NRU42" s="51"/>
      <c r="NRV42" s="51"/>
      <c r="NRW42" s="51"/>
      <c r="NRX42" s="51"/>
      <c r="NRY42" s="51"/>
      <c r="NRZ42" s="51"/>
      <c r="NSA42" s="51"/>
      <c r="NSB42" s="51"/>
      <c r="NSC42" s="51"/>
      <c r="NSD42" s="51"/>
      <c r="NSE42" s="51"/>
      <c r="NSF42" s="51"/>
      <c r="NSG42" s="51"/>
      <c r="NSH42" s="51"/>
      <c r="NSI42" s="51"/>
      <c r="NSJ42" s="51"/>
      <c r="NSK42" s="51"/>
      <c r="NSL42" s="51"/>
      <c r="NSM42" s="51"/>
      <c r="NSN42" s="51"/>
      <c r="NSO42" s="51"/>
      <c r="NSP42" s="51"/>
      <c r="NSQ42" s="51"/>
      <c r="NSR42" s="51"/>
      <c r="NSS42" s="51"/>
      <c r="NST42" s="51"/>
      <c r="NSU42" s="51"/>
      <c r="NSV42" s="51"/>
      <c r="NSW42" s="51"/>
      <c r="NSX42" s="51"/>
      <c r="NSY42" s="51"/>
      <c r="NSZ42" s="51"/>
      <c r="NTA42" s="51"/>
      <c r="NTB42" s="51"/>
      <c r="NTC42" s="51"/>
      <c r="NTD42" s="51"/>
      <c r="NTE42" s="51"/>
      <c r="NTF42" s="51"/>
      <c r="NTG42" s="51"/>
      <c r="NTH42" s="51"/>
      <c r="NTI42" s="51"/>
      <c r="NTJ42" s="51"/>
      <c r="NTK42" s="51"/>
      <c r="NTL42" s="51"/>
      <c r="NTM42" s="51"/>
      <c r="NTN42" s="51"/>
      <c r="NTO42" s="51"/>
      <c r="NTP42" s="51"/>
      <c r="NTQ42" s="51"/>
      <c r="NTR42" s="51"/>
      <c r="NTS42" s="51"/>
      <c r="NTT42" s="51"/>
      <c r="NTU42" s="51"/>
      <c r="NTV42" s="51"/>
      <c r="NTW42" s="51"/>
      <c r="NTX42" s="51"/>
      <c r="NTY42" s="51"/>
      <c r="NTZ42" s="51"/>
      <c r="NUA42" s="51"/>
      <c r="NUB42" s="51"/>
      <c r="NUC42" s="51"/>
      <c r="NUD42" s="51"/>
      <c r="NUE42" s="51"/>
      <c r="NUF42" s="51"/>
      <c r="NUG42" s="51"/>
      <c r="NUH42" s="51"/>
      <c r="NUI42" s="51"/>
      <c r="NUJ42" s="51"/>
      <c r="NUK42" s="51"/>
      <c r="NUL42" s="51"/>
      <c r="NUM42" s="51"/>
      <c r="NUN42" s="51"/>
      <c r="NUO42" s="51"/>
      <c r="NUP42" s="51"/>
      <c r="NUQ42" s="51"/>
      <c r="NUR42" s="51"/>
      <c r="NUS42" s="51"/>
      <c r="NUT42" s="51"/>
      <c r="NUU42" s="51"/>
      <c r="NUV42" s="51"/>
      <c r="NUW42" s="51"/>
      <c r="NUX42" s="51"/>
      <c r="NUY42" s="51"/>
      <c r="NUZ42" s="51"/>
      <c r="NVA42" s="51"/>
      <c r="NVB42" s="51"/>
      <c r="NVC42" s="51"/>
      <c r="NVD42" s="51"/>
      <c r="NVE42" s="51"/>
      <c r="NVF42" s="51"/>
      <c r="NVG42" s="51"/>
      <c r="NVH42" s="51"/>
      <c r="NVI42" s="51"/>
      <c r="NVJ42" s="51"/>
      <c r="NVK42" s="51"/>
      <c r="NVL42" s="51"/>
      <c r="NVM42" s="51"/>
      <c r="NVN42" s="51"/>
      <c r="NVO42" s="51"/>
      <c r="NVP42" s="51"/>
      <c r="NVQ42" s="51"/>
      <c r="NVR42" s="51"/>
      <c r="NVS42" s="51"/>
      <c r="NVT42" s="51"/>
      <c r="NVU42" s="51"/>
      <c r="NVV42" s="51"/>
      <c r="NVW42" s="51"/>
      <c r="NVX42" s="51"/>
      <c r="NVY42" s="51"/>
      <c r="NVZ42" s="51"/>
      <c r="NWA42" s="51"/>
      <c r="NWB42" s="51"/>
      <c r="NWC42" s="51"/>
      <c r="NWD42" s="51"/>
      <c r="NWE42" s="51"/>
      <c r="NWF42" s="51"/>
      <c r="NWG42" s="51"/>
      <c r="NWH42" s="51"/>
      <c r="NWI42" s="51"/>
      <c r="NWJ42" s="51"/>
      <c r="NWK42" s="51"/>
      <c r="NWL42" s="51"/>
      <c r="NWM42" s="51"/>
      <c r="NWN42" s="51"/>
      <c r="NWO42" s="51"/>
      <c r="NWP42" s="51"/>
      <c r="NWQ42" s="51"/>
      <c r="NWR42" s="51"/>
      <c r="NWS42" s="51"/>
      <c r="NWT42" s="51"/>
      <c r="NWU42" s="51"/>
      <c r="NWV42" s="51"/>
      <c r="NWW42" s="51"/>
      <c r="NWX42" s="51"/>
      <c r="NWY42" s="51"/>
      <c r="NWZ42" s="51"/>
      <c r="NXA42" s="51"/>
      <c r="NXB42" s="51"/>
      <c r="NXC42" s="51"/>
      <c r="NXD42" s="51"/>
      <c r="NXE42" s="51"/>
      <c r="NXF42" s="51"/>
      <c r="NXG42" s="51"/>
      <c r="NXH42" s="51"/>
      <c r="NXI42" s="51"/>
      <c r="NXJ42" s="51"/>
      <c r="NXK42" s="51"/>
      <c r="NXL42" s="51"/>
      <c r="NXM42" s="51"/>
      <c r="NXN42" s="51"/>
      <c r="NXO42" s="51"/>
      <c r="NXP42" s="51"/>
      <c r="NXQ42" s="51"/>
      <c r="NXR42" s="51"/>
      <c r="NXS42" s="51"/>
      <c r="NXT42" s="51"/>
      <c r="NXU42" s="51"/>
      <c r="NXV42" s="51"/>
      <c r="NXW42" s="51"/>
      <c r="NXX42" s="51"/>
      <c r="NXY42" s="51"/>
      <c r="NXZ42" s="51"/>
      <c r="NYA42" s="51"/>
      <c r="NYB42" s="51"/>
      <c r="NYC42" s="51"/>
      <c r="NYD42" s="51"/>
      <c r="NYE42" s="51"/>
      <c r="NYF42" s="51"/>
      <c r="NYG42" s="51"/>
      <c r="NYH42" s="51"/>
      <c r="NYI42" s="51"/>
      <c r="NYJ42" s="51"/>
      <c r="NYK42" s="51"/>
      <c r="NYL42" s="51"/>
      <c r="NYM42" s="51"/>
      <c r="NYN42" s="51"/>
      <c r="NYO42" s="51"/>
      <c r="NYP42" s="51"/>
      <c r="NYQ42" s="51"/>
      <c r="NYR42" s="51"/>
      <c r="NYS42" s="51"/>
      <c r="NYT42" s="51"/>
      <c r="NYU42" s="51"/>
      <c r="NYV42" s="51"/>
      <c r="NYW42" s="51"/>
      <c r="NYX42" s="51"/>
      <c r="NYY42" s="51"/>
      <c r="NYZ42" s="51"/>
      <c r="NZA42" s="51"/>
      <c r="NZB42" s="51"/>
      <c r="NZC42" s="51"/>
      <c r="NZD42" s="51"/>
      <c r="NZE42" s="51"/>
      <c r="NZF42" s="51"/>
      <c r="NZG42" s="51"/>
      <c r="NZH42" s="51"/>
      <c r="NZI42" s="51"/>
      <c r="NZJ42" s="51"/>
      <c r="NZK42" s="51"/>
      <c r="NZL42" s="51"/>
      <c r="NZM42" s="51"/>
      <c r="NZN42" s="51"/>
      <c r="NZO42" s="51"/>
      <c r="NZP42" s="51"/>
      <c r="NZQ42" s="51"/>
      <c r="NZR42" s="51"/>
      <c r="NZS42" s="51"/>
      <c r="NZT42" s="51"/>
      <c r="NZU42" s="51"/>
      <c r="NZV42" s="51"/>
      <c r="NZW42" s="51"/>
      <c r="NZX42" s="51"/>
      <c r="NZY42" s="51"/>
      <c r="NZZ42" s="51"/>
      <c r="OAA42" s="51"/>
      <c r="OAB42" s="51"/>
      <c r="OAC42" s="51"/>
      <c r="OAD42" s="51"/>
      <c r="OAE42" s="51"/>
      <c r="OAF42" s="51"/>
      <c r="OAG42" s="51"/>
      <c r="OAH42" s="51"/>
      <c r="OAI42" s="51"/>
      <c r="OAJ42" s="51"/>
      <c r="OAK42" s="51"/>
      <c r="OAL42" s="51"/>
      <c r="OAM42" s="51"/>
      <c r="OAN42" s="51"/>
      <c r="OAO42" s="51"/>
      <c r="OAP42" s="51"/>
      <c r="OAQ42" s="51"/>
      <c r="OAR42" s="51"/>
      <c r="OAS42" s="51"/>
      <c r="OAT42" s="51"/>
      <c r="OAU42" s="51"/>
      <c r="OAV42" s="51"/>
      <c r="OAW42" s="51"/>
      <c r="OAX42" s="51"/>
      <c r="OAY42" s="51"/>
      <c r="OAZ42" s="51"/>
      <c r="OBA42" s="51"/>
      <c r="OBB42" s="51"/>
      <c r="OBC42" s="51"/>
      <c r="OBD42" s="51"/>
      <c r="OBE42" s="51"/>
      <c r="OBF42" s="51"/>
      <c r="OBG42" s="51"/>
      <c r="OBH42" s="51"/>
      <c r="OBI42" s="51"/>
      <c r="OBJ42" s="51"/>
      <c r="OBK42" s="51"/>
      <c r="OBL42" s="51"/>
      <c r="OBM42" s="51"/>
      <c r="OBN42" s="51"/>
      <c r="OBO42" s="51"/>
      <c r="OBP42" s="51"/>
      <c r="OBQ42" s="51"/>
      <c r="OBR42" s="51"/>
      <c r="OBS42" s="51"/>
      <c r="OBT42" s="51"/>
      <c r="OBU42" s="51"/>
      <c r="OBV42" s="51"/>
      <c r="OBW42" s="51"/>
      <c r="OBX42" s="51"/>
      <c r="OBY42" s="51"/>
      <c r="OBZ42" s="51"/>
      <c r="OCA42" s="51"/>
      <c r="OCB42" s="51"/>
      <c r="OCC42" s="51"/>
      <c r="OCD42" s="51"/>
      <c r="OCE42" s="51"/>
      <c r="OCF42" s="51"/>
      <c r="OCG42" s="51"/>
      <c r="OCH42" s="51"/>
      <c r="OCI42" s="51"/>
      <c r="OCJ42" s="51"/>
      <c r="OCK42" s="51"/>
      <c r="OCL42" s="51"/>
      <c r="OCM42" s="51"/>
      <c r="OCN42" s="51"/>
      <c r="OCO42" s="51"/>
      <c r="OCP42" s="51"/>
      <c r="OCQ42" s="51"/>
      <c r="OCR42" s="51"/>
      <c r="OCS42" s="51"/>
      <c r="OCT42" s="51"/>
      <c r="OCU42" s="51"/>
      <c r="OCV42" s="51"/>
      <c r="OCW42" s="51"/>
      <c r="OCX42" s="51"/>
      <c r="OCY42" s="51"/>
      <c r="OCZ42" s="51"/>
      <c r="ODA42" s="51"/>
      <c r="ODB42" s="51"/>
      <c r="ODC42" s="51"/>
      <c r="ODD42" s="51"/>
      <c r="ODE42" s="51"/>
      <c r="ODF42" s="51"/>
      <c r="ODG42" s="51"/>
      <c r="ODH42" s="51"/>
      <c r="ODI42" s="51"/>
      <c r="ODJ42" s="51"/>
      <c r="ODK42" s="51"/>
      <c r="ODL42" s="51"/>
      <c r="ODM42" s="51"/>
      <c r="ODN42" s="51"/>
      <c r="ODO42" s="51"/>
      <c r="ODP42" s="51"/>
      <c r="ODQ42" s="51"/>
      <c r="ODR42" s="51"/>
      <c r="ODS42" s="51"/>
      <c r="ODT42" s="51"/>
      <c r="ODU42" s="51"/>
      <c r="ODV42" s="51"/>
      <c r="ODW42" s="51"/>
      <c r="ODX42" s="51"/>
      <c r="ODY42" s="51"/>
      <c r="ODZ42" s="51"/>
      <c r="OEA42" s="51"/>
      <c r="OEB42" s="51"/>
      <c r="OEC42" s="51"/>
      <c r="OED42" s="51"/>
      <c r="OEE42" s="51"/>
      <c r="OEF42" s="51"/>
      <c r="OEG42" s="51"/>
      <c r="OEH42" s="51"/>
      <c r="OEI42" s="51"/>
      <c r="OEJ42" s="51"/>
      <c r="OEK42" s="51"/>
      <c r="OEL42" s="51"/>
      <c r="OEM42" s="51"/>
      <c r="OEN42" s="51"/>
      <c r="OEO42" s="51"/>
      <c r="OEP42" s="51"/>
      <c r="OEQ42" s="51"/>
      <c r="OER42" s="51"/>
      <c r="OES42" s="51"/>
      <c r="OET42" s="51"/>
      <c r="OEU42" s="51"/>
      <c r="OEV42" s="51"/>
      <c r="OEW42" s="51"/>
      <c r="OEX42" s="51"/>
      <c r="OEY42" s="51"/>
      <c r="OEZ42" s="51"/>
      <c r="OFA42" s="51"/>
      <c r="OFB42" s="51"/>
      <c r="OFC42" s="51"/>
      <c r="OFD42" s="51"/>
      <c r="OFE42" s="51"/>
      <c r="OFF42" s="51"/>
      <c r="OFG42" s="51"/>
      <c r="OFH42" s="51"/>
      <c r="OFI42" s="51"/>
      <c r="OFJ42" s="51"/>
      <c r="OFK42" s="51"/>
      <c r="OFL42" s="51"/>
      <c r="OFM42" s="51"/>
      <c r="OFN42" s="51"/>
      <c r="OFO42" s="51"/>
      <c r="OFP42" s="51"/>
      <c r="OFQ42" s="51"/>
      <c r="OFR42" s="51"/>
      <c r="OFS42" s="51"/>
      <c r="OFT42" s="51"/>
      <c r="OFU42" s="51"/>
      <c r="OFV42" s="51"/>
      <c r="OFW42" s="51"/>
      <c r="OFX42" s="51"/>
      <c r="OFY42" s="51"/>
      <c r="OFZ42" s="51"/>
      <c r="OGA42" s="51"/>
      <c r="OGB42" s="51"/>
      <c r="OGC42" s="51"/>
      <c r="OGD42" s="51"/>
      <c r="OGE42" s="51"/>
      <c r="OGF42" s="51"/>
      <c r="OGG42" s="51"/>
      <c r="OGH42" s="51"/>
      <c r="OGI42" s="51"/>
      <c r="OGJ42" s="51"/>
      <c r="OGK42" s="51"/>
      <c r="OGL42" s="51"/>
      <c r="OGM42" s="51"/>
      <c r="OGN42" s="51"/>
      <c r="OGO42" s="51"/>
      <c r="OGP42" s="51"/>
      <c r="OGQ42" s="51"/>
      <c r="OGR42" s="51"/>
      <c r="OGS42" s="51"/>
      <c r="OGT42" s="51"/>
      <c r="OGU42" s="51"/>
      <c r="OGV42" s="51"/>
      <c r="OGW42" s="51"/>
      <c r="OGX42" s="51"/>
      <c r="OGY42" s="51"/>
      <c r="OGZ42" s="51"/>
      <c r="OHA42" s="51"/>
      <c r="OHB42" s="51"/>
      <c r="OHC42" s="51"/>
      <c r="OHD42" s="51"/>
      <c r="OHE42" s="51"/>
      <c r="OHF42" s="51"/>
      <c r="OHG42" s="51"/>
      <c r="OHH42" s="51"/>
      <c r="OHI42" s="51"/>
      <c r="OHJ42" s="51"/>
      <c r="OHK42" s="51"/>
      <c r="OHL42" s="51"/>
      <c r="OHM42" s="51"/>
      <c r="OHN42" s="51"/>
      <c r="OHO42" s="51"/>
      <c r="OHP42" s="51"/>
      <c r="OHQ42" s="51"/>
      <c r="OHR42" s="51"/>
      <c r="OHS42" s="51"/>
      <c r="OHT42" s="51"/>
      <c r="OHU42" s="51"/>
      <c r="OHV42" s="51"/>
      <c r="OHW42" s="51"/>
      <c r="OHX42" s="51"/>
      <c r="OHY42" s="51"/>
      <c r="OHZ42" s="51"/>
      <c r="OIA42" s="51"/>
      <c r="OIB42" s="51"/>
      <c r="OIC42" s="51"/>
      <c r="OID42" s="51"/>
      <c r="OIE42" s="51"/>
      <c r="OIF42" s="51"/>
      <c r="OIG42" s="51"/>
      <c r="OIH42" s="51"/>
      <c r="OII42" s="51"/>
      <c r="OIJ42" s="51"/>
      <c r="OIK42" s="51"/>
      <c r="OIL42" s="51"/>
      <c r="OIM42" s="51"/>
      <c r="OIN42" s="51"/>
      <c r="OIO42" s="51"/>
      <c r="OIP42" s="51"/>
      <c r="OIQ42" s="51"/>
      <c r="OIR42" s="51"/>
      <c r="OIS42" s="51"/>
      <c r="OIT42" s="51"/>
      <c r="OIU42" s="51"/>
      <c r="OIV42" s="51"/>
      <c r="OIW42" s="51"/>
      <c r="OIX42" s="51"/>
      <c r="OIY42" s="51"/>
      <c r="OIZ42" s="51"/>
      <c r="OJA42" s="51"/>
      <c r="OJB42" s="51"/>
      <c r="OJC42" s="51"/>
      <c r="OJD42" s="51"/>
      <c r="OJE42" s="51"/>
      <c r="OJF42" s="51"/>
      <c r="OJG42" s="51"/>
      <c r="OJH42" s="51"/>
      <c r="OJI42" s="51"/>
      <c r="OJJ42" s="51"/>
      <c r="OJK42" s="51"/>
      <c r="OJL42" s="51"/>
      <c r="OJM42" s="51"/>
      <c r="OJN42" s="51"/>
      <c r="OJO42" s="51"/>
      <c r="OJP42" s="51"/>
      <c r="OJQ42" s="51"/>
      <c r="OJR42" s="51"/>
      <c r="OJS42" s="51"/>
      <c r="OJT42" s="51"/>
      <c r="OJU42" s="51"/>
      <c r="OJV42" s="51"/>
      <c r="OJW42" s="51"/>
      <c r="OJX42" s="51"/>
      <c r="OJY42" s="51"/>
      <c r="OJZ42" s="51"/>
      <c r="OKA42" s="51"/>
      <c r="OKB42" s="51"/>
      <c r="OKC42" s="51"/>
      <c r="OKD42" s="51"/>
      <c r="OKE42" s="51"/>
      <c r="OKF42" s="51"/>
      <c r="OKG42" s="51"/>
      <c r="OKH42" s="51"/>
      <c r="OKI42" s="51"/>
      <c r="OKJ42" s="51"/>
      <c r="OKK42" s="51"/>
      <c r="OKL42" s="51"/>
      <c r="OKM42" s="51"/>
      <c r="OKN42" s="51"/>
      <c r="OKO42" s="51"/>
      <c r="OKP42" s="51"/>
      <c r="OKQ42" s="51"/>
      <c r="OKR42" s="51"/>
      <c r="OKS42" s="51"/>
      <c r="OKT42" s="51"/>
      <c r="OKU42" s="51"/>
      <c r="OKV42" s="51"/>
      <c r="OKW42" s="51"/>
      <c r="OKX42" s="51"/>
      <c r="OKY42" s="51"/>
      <c r="OKZ42" s="51"/>
      <c r="OLA42" s="51"/>
      <c r="OLB42" s="51"/>
      <c r="OLC42" s="51"/>
      <c r="OLD42" s="51"/>
      <c r="OLE42" s="51"/>
      <c r="OLF42" s="51"/>
      <c r="OLG42" s="51"/>
      <c r="OLH42" s="51"/>
      <c r="OLI42" s="51"/>
      <c r="OLJ42" s="51"/>
      <c r="OLK42" s="51"/>
      <c r="OLL42" s="51"/>
      <c r="OLM42" s="51"/>
      <c r="OLN42" s="51"/>
      <c r="OLO42" s="51"/>
      <c r="OLP42" s="51"/>
      <c r="OLQ42" s="51"/>
      <c r="OLR42" s="51"/>
      <c r="OLS42" s="51"/>
      <c r="OLT42" s="51"/>
      <c r="OLU42" s="51"/>
      <c r="OLV42" s="51"/>
      <c r="OLW42" s="51"/>
      <c r="OLX42" s="51"/>
      <c r="OLY42" s="51"/>
      <c r="OLZ42" s="51"/>
      <c r="OMA42" s="51"/>
      <c r="OMB42" s="51"/>
      <c r="OMC42" s="51"/>
      <c r="OMD42" s="51"/>
      <c r="OME42" s="51"/>
      <c r="OMF42" s="51"/>
      <c r="OMG42" s="51"/>
      <c r="OMH42" s="51"/>
      <c r="OMI42" s="51"/>
      <c r="OMJ42" s="51"/>
      <c r="OMK42" s="51"/>
      <c r="OML42" s="51"/>
      <c r="OMM42" s="51"/>
      <c r="OMN42" s="51"/>
      <c r="OMO42" s="51"/>
      <c r="OMP42" s="51"/>
      <c r="OMQ42" s="51"/>
      <c r="OMR42" s="51"/>
      <c r="OMS42" s="51"/>
      <c r="OMT42" s="51"/>
      <c r="OMU42" s="51"/>
      <c r="OMV42" s="51"/>
      <c r="OMW42" s="51"/>
      <c r="OMX42" s="51"/>
      <c r="OMY42" s="51"/>
      <c r="OMZ42" s="51"/>
      <c r="ONA42" s="51"/>
      <c r="ONB42" s="51"/>
      <c r="ONC42" s="51"/>
      <c r="OND42" s="51"/>
      <c r="ONE42" s="51"/>
      <c r="ONF42" s="51"/>
      <c r="ONG42" s="51"/>
      <c r="ONH42" s="51"/>
      <c r="ONI42" s="51"/>
      <c r="ONJ42" s="51"/>
      <c r="ONK42" s="51"/>
      <c r="ONL42" s="51"/>
      <c r="ONM42" s="51"/>
      <c r="ONN42" s="51"/>
      <c r="ONO42" s="51"/>
      <c r="ONP42" s="51"/>
      <c r="ONQ42" s="51"/>
      <c r="ONR42" s="51"/>
      <c r="ONS42" s="51"/>
      <c r="ONT42" s="51"/>
      <c r="ONU42" s="51"/>
      <c r="ONV42" s="51"/>
      <c r="ONW42" s="51"/>
      <c r="ONX42" s="51"/>
      <c r="ONY42" s="51"/>
      <c r="ONZ42" s="51"/>
      <c r="OOA42" s="51"/>
      <c r="OOB42" s="51"/>
      <c r="OOC42" s="51"/>
      <c r="OOD42" s="51"/>
      <c r="OOE42" s="51"/>
      <c r="OOF42" s="51"/>
      <c r="OOG42" s="51"/>
      <c r="OOH42" s="51"/>
      <c r="OOI42" s="51"/>
      <c r="OOJ42" s="51"/>
      <c r="OOK42" s="51"/>
      <c r="OOL42" s="51"/>
      <c r="OOM42" s="51"/>
      <c r="OON42" s="51"/>
      <c r="OOO42" s="51"/>
      <c r="OOP42" s="51"/>
      <c r="OOQ42" s="51"/>
      <c r="OOR42" s="51"/>
      <c r="OOS42" s="51"/>
      <c r="OOT42" s="51"/>
      <c r="OOU42" s="51"/>
      <c r="OOV42" s="51"/>
      <c r="OOW42" s="51"/>
      <c r="OOX42" s="51"/>
      <c r="OOY42" s="51"/>
      <c r="OOZ42" s="51"/>
      <c r="OPA42" s="51"/>
      <c r="OPB42" s="51"/>
      <c r="OPC42" s="51"/>
      <c r="OPD42" s="51"/>
      <c r="OPE42" s="51"/>
      <c r="OPF42" s="51"/>
      <c r="OPG42" s="51"/>
      <c r="OPH42" s="51"/>
      <c r="OPI42" s="51"/>
      <c r="OPJ42" s="51"/>
      <c r="OPK42" s="51"/>
      <c r="OPL42" s="51"/>
      <c r="OPM42" s="51"/>
      <c r="OPN42" s="51"/>
      <c r="OPO42" s="51"/>
      <c r="OPP42" s="51"/>
      <c r="OPQ42" s="51"/>
      <c r="OPR42" s="51"/>
      <c r="OPS42" s="51"/>
      <c r="OPT42" s="51"/>
      <c r="OPU42" s="51"/>
      <c r="OPV42" s="51"/>
      <c r="OPW42" s="51"/>
      <c r="OPX42" s="51"/>
      <c r="OPY42" s="51"/>
      <c r="OPZ42" s="51"/>
      <c r="OQA42" s="51"/>
      <c r="OQB42" s="51"/>
      <c r="OQC42" s="51"/>
      <c r="OQD42" s="51"/>
      <c r="OQE42" s="51"/>
      <c r="OQF42" s="51"/>
      <c r="OQG42" s="51"/>
      <c r="OQH42" s="51"/>
      <c r="OQI42" s="51"/>
      <c r="OQJ42" s="51"/>
      <c r="OQK42" s="51"/>
      <c r="OQL42" s="51"/>
      <c r="OQM42" s="51"/>
      <c r="OQN42" s="51"/>
      <c r="OQO42" s="51"/>
      <c r="OQP42" s="51"/>
      <c r="OQQ42" s="51"/>
      <c r="OQR42" s="51"/>
      <c r="OQS42" s="51"/>
      <c r="OQT42" s="51"/>
      <c r="OQU42" s="51"/>
      <c r="OQV42" s="51"/>
      <c r="OQW42" s="51"/>
      <c r="OQX42" s="51"/>
      <c r="OQY42" s="51"/>
      <c r="OQZ42" s="51"/>
      <c r="ORA42" s="51"/>
      <c r="ORB42" s="51"/>
      <c r="ORC42" s="51"/>
      <c r="ORD42" s="51"/>
      <c r="ORE42" s="51"/>
      <c r="ORF42" s="51"/>
      <c r="ORG42" s="51"/>
      <c r="ORH42" s="51"/>
      <c r="ORI42" s="51"/>
      <c r="ORJ42" s="51"/>
      <c r="ORK42" s="51"/>
      <c r="ORL42" s="51"/>
      <c r="ORM42" s="51"/>
      <c r="ORN42" s="51"/>
      <c r="ORO42" s="51"/>
      <c r="ORP42" s="51"/>
      <c r="ORQ42" s="51"/>
      <c r="ORR42" s="51"/>
      <c r="ORS42" s="51"/>
      <c r="ORT42" s="51"/>
      <c r="ORU42" s="51"/>
      <c r="ORV42" s="51"/>
      <c r="ORW42" s="51"/>
      <c r="ORX42" s="51"/>
      <c r="ORY42" s="51"/>
      <c r="ORZ42" s="51"/>
      <c r="OSA42" s="51"/>
      <c r="OSB42" s="51"/>
      <c r="OSC42" s="51"/>
      <c r="OSD42" s="51"/>
      <c r="OSE42" s="51"/>
      <c r="OSF42" s="51"/>
      <c r="OSG42" s="51"/>
      <c r="OSH42" s="51"/>
      <c r="OSI42" s="51"/>
      <c r="OSJ42" s="51"/>
      <c r="OSK42" s="51"/>
      <c r="OSL42" s="51"/>
      <c r="OSM42" s="51"/>
      <c r="OSN42" s="51"/>
      <c r="OSO42" s="51"/>
      <c r="OSP42" s="51"/>
      <c r="OSQ42" s="51"/>
      <c r="OSR42" s="51"/>
      <c r="OSS42" s="51"/>
      <c r="OST42" s="51"/>
      <c r="OSU42" s="51"/>
      <c r="OSV42" s="51"/>
      <c r="OSW42" s="51"/>
      <c r="OSX42" s="51"/>
      <c r="OSY42" s="51"/>
      <c r="OSZ42" s="51"/>
      <c r="OTA42" s="51"/>
      <c r="OTB42" s="51"/>
      <c r="OTC42" s="51"/>
      <c r="OTD42" s="51"/>
      <c r="OTE42" s="51"/>
      <c r="OTF42" s="51"/>
      <c r="OTG42" s="51"/>
      <c r="OTH42" s="51"/>
      <c r="OTI42" s="51"/>
      <c r="OTJ42" s="51"/>
      <c r="OTK42" s="51"/>
      <c r="OTL42" s="51"/>
      <c r="OTM42" s="51"/>
      <c r="OTN42" s="51"/>
      <c r="OTO42" s="51"/>
      <c r="OTP42" s="51"/>
      <c r="OTQ42" s="51"/>
      <c r="OTR42" s="51"/>
      <c r="OTS42" s="51"/>
      <c r="OTT42" s="51"/>
      <c r="OTU42" s="51"/>
      <c r="OTV42" s="51"/>
      <c r="OTW42" s="51"/>
      <c r="OTX42" s="51"/>
      <c r="OTY42" s="51"/>
      <c r="OTZ42" s="51"/>
      <c r="OUA42" s="51"/>
      <c r="OUB42" s="51"/>
      <c r="OUC42" s="51"/>
      <c r="OUD42" s="51"/>
      <c r="OUE42" s="51"/>
      <c r="OUF42" s="51"/>
      <c r="OUG42" s="51"/>
      <c r="OUH42" s="51"/>
      <c r="OUI42" s="51"/>
      <c r="OUJ42" s="51"/>
      <c r="OUK42" s="51"/>
      <c r="OUL42" s="51"/>
      <c r="OUM42" s="51"/>
      <c r="OUN42" s="51"/>
      <c r="OUO42" s="51"/>
      <c r="OUP42" s="51"/>
      <c r="OUQ42" s="51"/>
      <c r="OUR42" s="51"/>
      <c r="OUS42" s="51"/>
      <c r="OUT42" s="51"/>
      <c r="OUU42" s="51"/>
      <c r="OUV42" s="51"/>
      <c r="OUW42" s="51"/>
      <c r="OUX42" s="51"/>
      <c r="OUY42" s="51"/>
      <c r="OUZ42" s="51"/>
      <c r="OVA42" s="51"/>
      <c r="OVB42" s="51"/>
      <c r="OVC42" s="51"/>
      <c r="OVD42" s="51"/>
      <c r="OVE42" s="51"/>
      <c r="OVF42" s="51"/>
      <c r="OVG42" s="51"/>
      <c r="OVH42" s="51"/>
      <c r="OVI42" s="51"/>
      <c r="OVJ42" s="51"/>
      <c r="OVK42" s="51"/>
      <c r="OVL42" s="51"/>
      <c r="OVM42" s="51"/>
      <c r="OVN42" s="51"/>
      <c r="OVO42" s="51"/>
      <c r="OVP42" s="51"/>
      <c r="OVQ42" s="51"/>
      <c r="OVR42" s="51"/>
      <c r="OVS42" s="51"/>
      <c r="OVT42" s="51"/>
      <c r="OVU42" s="51"/>
      <c r="OVV42" s="51"/>
      <c r="OVW42" s="51"/>
      <c r="OVX42" s="51"/>
      <c r="OVY42" s="51"/>
      <c r="OVZ42" s="51"/>
      <c r="OWA42" s="51"/>
      <c r="OWB42" s="51"/>
      <c r="OWC42" s="51"/>
      <c r="OWD42" s="51"/>
      <c r="OWE42" s="51"/>
      <c r="OWF42" s="51"/>
      <c r="OWG42" s="51"/>
      <c r="OWH42" s="51"/>
      <c r="OWI42" s="51"/>
      <c r="OWJ42" s="51"/>
      <c r="OWK42" s="51"/>
      <c r="OWL42" s="51"/>
      <c r="OWM42" s="51"/>
      <c r="OWN42" s="51"/>
      <c r="OWO42" s="51"/>
      <c r="OWP42" s="51"/>
      <c r="OWQ42" s="51"/>
      <c r="OWR42" s="51"/>
      <c r="OWS42" s="51"/>
      <c r="OWT42" s="51"/>
      <c r="OWU42" s="51"/>
      <c r="OWV42" s="51"/>
      <c r="OWW42" s="51"/>
      <c r="OWX42" s="51"/>
      <c r="OWY42" s="51"/>
      <c r="OWZ42" s="51"/>
      <c r="OXA42" s="51"/>
      <c r="OXB42" s="51"/>
      <c r="OXC42" s="51"/>
      <c r="OXD42" s="51"/>
      <c r="OXE42" s="51"/>
      <c r="OXF42" s="51"/>
      <c r="OXG42" s="51"/>
      <c r="OXH42" s="51"/>
      <c r="OXI42" s="51"/>
      <c r="OXJ42" s="51"/>
      <c r="OXK42" s="51"/>
      <c r="OXL42" s="51"/>
      <c r="OXM42" s="51"/>
      <c r="OXN42" s="51"/>
      <c r="OXO42" s="51"/>
      <c r="OXP42" s="51"/>
      <c r="OXQ42" s="51"/>
      <c r="OXR42" s="51"/>
      <c r="OXS42" s="51"/>
      <c r="OXT42" s="51"/>
      <c r="OXU42" s="51"/>
      <c r="OXV42" s="51"/>
      <c r="OXW42" s="51"/>
      <c r="OXX42" s="51"/>
      <c r="OXY42" s="51"/>
      <c r="OXZ42" s="51"/>
      <c r="OYA42" s="51"/>
      <c r="OYB42" s="51"/>
      <c r="OYC42" s="51"/>
      <c r="OYD42" s="51"/>
      <c r="OYE42" s="51"/>
      <c r="OYF42" s="51"/>
      <c r="OYG42" s="51"/>
      <c r="OYH42" s="51"/>
      <c r="OYI42" s="51"/>
      <c r="OYJ42" s="51"/>
      <c r="OYK42" s="51"/>
      <c r="OYL42" s="51"/>
      <c r="OYM42" s="51"/>
      <c r="OYN42" s="51"/>
      <c r="OYO42" s="51"/>
      <c r="OYP42" s="51"/>
      <c r="OYQ42" s="51"/>
      <c r="OYR42" s="51"/>
      <c r="OYS42" s="51"/>
      <c r="OYT42" s="51"/>
      <c r="OYU42" s="51"/>
      <c r="OYV42" s="51"/>
      <c r="OYW42" s="51"/>
      <c r="OYX42" s="51"/>
      <c r="OYY42" s="51"/>
      <c r="OYZ42" s="51"/>
      <c r="OZA42" s="51"/>
      <c r="OZB42" s="51"/>
      <c r="OZC42" s="51"/>
      <c r="OZD42" s="51"/>
      <c r="OZE42" s="51"/>
      <c r="OZF42" s="51"/>
      <c r="OZG42" s="51"/>
      <c r="OZH42" s="51"/>
      <c r="OZI42" s="51"/>
      <c r="OZJ42" s="51"/>
      <c r="OZK42" s="51"/>
      <c r="OZL42" s="51"/>
      <c r="OZM42" s="51"/>
      <c r="OZN42" s="51"/>
      <c r="OZO42" s="51"/>
      <c r="OZP42" s="51"/>
      <c r="OZQ42" s="51"/>
      <c r="OZR42" s="51"/>
      <c r="OZS42" s="51"/>
      <c r="OZT42" s="51"/>
      <c r="OZU42" s="51"/>
      <c r="OZV42" s="51"/>
      <c r="OZW42" s="51"/>
      <c r="OZX42" s="51"/>
      <c r="OZY42" s="51"/>
      <c r="OZZ42" s="51"/>
      <c r="PAA42" s="51"/>
      <c r="PAB42" s="51"/>
      <c r="PAC42" s="51"/>
      <c r="PAD42" s="51"/>
      <c r="PAE42" s="51"/>
      <c r="PAF42" s="51"/>
      <c r="PAG42" s="51"/>
      <c r="PAH42" s="51"/>
      <c r="PAI42" s="51"/>
      <c r="PAJ42" s="51"/>
      <c r="PAK42" s="51"/>
      <c r="PAL42" s="51"/>
      <c r="PAM42" s="51"/>
      <c r="PAN42" s="51"/>
      <c r="PAO42" s="51"/>
      <c r="PAP42" s="51"/>
      <c r="PAQ42" s="51"/>
      <c r="PAR42" s="51"/>
      <c r="PAS42" s="51"/>
      <c r="PAT42" s="51"/>
      <c r="PAU42" s="51"/>
      <c r="PAV42" s="51"/>
      <c r="PAW42" s="51"/>
      <c r="PAX42" s="51"/>
      <c r="PAY42" s="51"/>
      <c r="PAZ42" s="51"/>
      <c r="PBA42" s="51"/>
      <c r="PBB42" s="51"/>
      <c r="PBC42" s="51"/>
      <c r="PBD42" s="51"/>
      <c r="PBE42" s="51"/>
      <c r="PBF42" s="51"/>
      <c r="PBG42" s="51"/>
      <c r="PBH42" s="51"/>
      <c r="PBI42" s="51"/>
      <c r="PBJ42" s="51"/>
      <c r="PBK42" s="51"/>
      <c r="PBL42" s="51"/>
      <c r="PBM42" s="51"/>
      <c r="PBN42" s="51"/>
      <c r="PBO42" s="51"/>
      <c r="PBP42" s="51"/>
      <c r="PBQ42" s="51"/>
      <c r="PBR42" s="51"/>
      <c r="PBS42" s="51"/>
      <c r="PBT42" s="51"/>
      <c r="PBU42" s="51"/>
      <c r="PBV42" s="51"/>
      <c r="PBW42" s="51"/>
      <c r="PBX42" s="51"/>
      <c r="PBY42" s="51"/>
      <c r="PBZ42" s="51"/>
      <c r="PCA42" s="51"/>
      <c r="PCB42" s="51"/>
      <c r="PCC42" s="51"/>
      <c r="PCD42" s="51"/>
      <c r="PCE42" s="51"/>
      <c r="PCF42" s="51"/>
      <c r="PCG42" s="51"/>
      <c r="PCH42" s="51"/>
      <c r="PCI42" s="51"/>
      <c r="PCJ42" s="51"/>
      <c r="PCK42" s="51"/>
      <c r="PCL42" s="51"/>
      <c r="PCM42" s="51"/>
      <c r="PCN42" s="51"/>
      <c r="PCO42" s="51"/>
      <c r="PCP42" s="51"/>
      <c r="PCQ42" s="51"/>
      <c r="PCR42" s="51"/>
      <c r="PCS42" s="51"/>
      <c r="PCT42" s="51"/>
      <c r="PCU42" s="51"/>
      <c r="PCV42" s="51"/>
      <c r="PCW42" s="51"/>
      <c r="PCX42" s="51"/>
      <c r="PCY42" s="51"/>
      <c r="PCZ42" s="51"/>
      <c r="PDA42" s="51"/>
      <c r="PDB42" s="51"/>
      <c r="PDC42" s="51"/>
      <c r="PDD42" s="51"/>
      <c r="PDE42" s="51"/>
      <c r="PDF42" s="51"/>
      <c r="PDG42" s="51"/>
      <c r="PDH42" s="51"/>
      <c r="PDI42" s="51"/>
      <c r="PDJ42" s="51"/>
      <c r="PDK42" s="51"/>
      <c r="PDL42" s="51"/>
      <c r="PDM42" s="51"/>
      <c r="PDN42" s="51"/>
      <c r="PDO42" s="51"/>
      <c r="PDP42" s="51"/>
      <c r="PDQ42" s="51"/>
      <c r="PDR42" s="51"/>
      <c r="PDS42" s="51"/>
      <c r="PDT42" s="51"/>
      <c r="PDU42" s="51"/>
      <c r="PDV42" s="51"/>
      <c r="PDW42" s="51"/>
      <c r="PDX42" s="51"/>
      <c r="PDY42" s="51"/>
      <c r="PDZ42" s="51"/>
      <c r="PEA42" s="51"/>
      <c r="PEB42" s="51"/>
      <c r="PEC42" s="51"/>
      <c r="PED42" s="51"/>
      <c r="PEE42" s="51"/>
      <c r="PEF42" s="51"/>
      <c r="PEG42" s="51"/>
      <c r="PEH42" s="51"/>
      <c r="PEI42" s="51"/>
      <c r="PEJ42" s="51"/>
      <c r="PEK42" s="51"/>
      <c r="PEL42" s="51"/>
      <c r="PEM42" s="51"/>
      <c r="PEN42" s="51"/>
      <c r="PEO42" s="51"/>
      <c r="PEP42" s="51"/>
      <c r="PEQ42" s="51"/>
      <c r="PER42" s="51"/>
      <c r="PES42" s="51"/>
      <c r="PET42" s="51"/>
      <c r="PEU42" s="51"/>
      <c r="PEV42" s="51"/>
      <c r="PEW42" s="51"/>
      <c r="PEX42" s="51"/>
      <c r="PEY42" s="51"/>
      <c r="PEZ42" s="51"/>
      <c r="PFA42" s="51"/>
      <c r="PFB42" s="51"/>
      <c r="PFC42" s="51"/>
      <c r="PFD42" s="51"/>
      <c r="PFE42" s="51"/>
      <c r="PFF42" s="51"/>
      <c r="PFG42" s="51"/>
      <c r="PFH42" s="51"/>
      <c r="PFI42" s="51"/>
      <c r="PFJ42" s="51"/>
      <c r="PFK42" s="51"/>
      <c r="PFL42" s="51"/>
      <c r="PFM42" s="51"/>
      <c r="PFN42" s="51"/>
      <c r="PFO42" s="51"/>
      <c r="PFP42" s="51"/>
      <c r="PFQ42" s="51"/>
      <c r="PFR42" s="51"/>
      <c r="PFS42" s="51"/>
      <c r="PFT42" s="51"/>
      <c r="PFU42" s="51"/>
      <c r="PFV42" s="51"/>
      <c r="PFW42" s="51"/>
      <c r="PFX42" s="51"/>
      <c r="PFY42" s="51"/>
      <c r="PFZ42" s="51"/>
      <c r="PGA42" s="51"/>
      <c r="PGB42" s="51"/>
      <c r="PGC42" s="51"/>
      <c r="PGD42" s="51"/>
      <c r="PGE42" s="51"/>
      <c r="PGF42" s="51"/>
      <c r="PGG42" s="51"/>
      <c r="PGH42" s="51"/>
      <c r="PGI42" s="51"/>
      <c r="PGJ42" s="51"/>
      <c r="PGK42" s="51"/>
      <c r="PGL42" s="51"/>
      <c r="PGM42" s="51"/>
      <c r="PGN42" s="51"/>
      <c r="PGO42" s="51"/>
      <c r="PGP42" s="51"/>
      <c r="PGQ42" s="51"/>
      <c r="PGR42" s="51"/>
      <c r="PGS42" s="51"/>
      <c r="PGT42" s="51"/>
      <c r="PGU42" s="51"/>
      <c r="PGV42" s="51"/>
      <c r="PGW42" s="51"/>
      <c r="PGX42" s="51"/>
      <c r="PGY42" s="51"/>
      <c r="PGZ42" s="51"/>
      <c r="PHA42" s="51"/>
      <c r="PHB42" s="51"/>
      <c r="PHC42" s="51"/>
      <c r="PHD42" s="51"/>
      <c r="PHE42" s="51"/>
      <c r="PHF42" s="51"/>
      <c r="PHG42" s="51"/>
      <c r="PHH42" s="51"/>
      <c r="PHI42" s="51"/>
      <c r="PHJ42" s="51"/>
      <c r="PHK42" s="51"/>
      <c r="PHL42" s="51"/>
      <c r="PHM42" s="51"/>
      <c r="PHN42" s="51"/>
      <c r="PHO42" s="51"/>
      <c r="PHP42" s="51"/>
      <c r="PHQ42" s="51"/>
      <c r="PHR42" s="51"/>
      <c r="PHS42" s="51"/>
      <c r="PHT42" s="51"/>
      <c r="PHU42" s="51"/>
      <c r="PHV42" s="51"/>
      <c r="PHW42" s="51"/>
      <c r="PHX42" s="51"/>
      <c r="PHY42" s="51"/>
      <c r="PHZ42" s="51"/>
      <c r="PIA42" s="51"/>
      <c r="PIB42" s="51"/>
      <c r="PIC42" s="51"/>
      <c r="PID42" s="51"/>
      <c r="PIE42" s="51"/>
      <c r="PIF42" s="51"/>
      <c r="PIG42" s="51"/>
      <c r="PIH42" s="51"/>
      <c r="PII42" s="51"/>
      <c r="PIJ42" s="51"/>
      <c r="PIK42" s="51"/>
      <c r="PIL42" s="51"/>
      <c r="PIM42" s="51"/>
      <c r="PIN42" s="51"/>
      <c r="PIO42" s="51"/>
      <c r="PIP42" s="51"/>
      <c r="PIQ42" s="51"/>
      <c r="PIR42" s="51"/>
      <c r="PIS42" s="51"/>
      <c r="PIT42" s="51"/>
      <c r="PIU42" s="51"/>
      <c r="PIV42" s="51"/>
      <c r="PIW42" s="51"/>
      <c r="PIX42" s="51"/>
      <c r="PIY42" s="51"/>
      <c r="PIZ42" s="51"/>
      <c r="PJA42" s="51"/>
      <c r="PJB42" s="51"/>
      <c r="PJC42" s="51"/>
      <c r="PJD42" s="51"/>
      <c r="PJE42" s="51"/>
      <c r="PJF42" s="51"/>
      <c r="PJG42" s="51"/>
      <c r="PJH42" s="51"/>
      <c r="PJI42" s="51"/>
      <c r="PJJ42" s="51"/>
      <c r="PJK42" s="51"/>
      <c r="PJL42" s="51"/>
      <c r="PJM42" s="51"/>
      <c r="PJN42" s="51"/>
      <c r="PJO42" s="51"/>
      <c r="PJP42" s="51"/>
      <c r="PJQ42" s="51"/>
      <c r="PJR42" s="51"/>
      <c r="PJS42" s="51"/>
      <c r="PJT42" s="51"/>
      <c r="PJU42" s="51"/>
      <c r="PJV42" s="51"/>
      <c r="PJW42" s="51"/>
      <c r="PJX42" s="51"/>
      <c r="PJY42" s="51"/>
      <c r="PJZ42" s="51"/>
      <c r="PKA42" s="51"/>
      <c r="PKB42" s="51"/>
      <c r="PKC42" s="51"/>
      <c r="PKD42" s="51"/>
      <c r="PKE42" s="51"/>
      <c r="PKF42" s="51"/>
      <c r="PKG42" s="51"/>
      <c r="PKH42" s="51"/>
      <c r="PKI42" s="51"/>
      <c r="PKJ42" s="51"/>
      <c r="PKK42" s="51"/>
      <c r="PKL42" s="51"/>
      <c r="PKM42" s="51"/>
      <c r="PKN42" s="51"/>
      <c r="PKO42" s="51"/>
      <c r="PKP42" s="51"/>
      <c r="PKQ42" s="51"/>
      <c r="PKR42" s="51"/>
      <c r="PKS42" s="51"/>
      <c r="PKT42" s="51"/>
      <c r="PKU42" s="51"/>
      <c r="PKV42" s="51"/>
      <c r="PKW42" s="51"/>
      <c r="PKX42" s="51"/>
      <c r="PKY42" s="51"/>
      <c r="PKZ42" s="51"/>
      <c r="PLA42" s="51"/>
      <c r="PLB42" s="51"/>
      <c r="PLC42" s="51"/>
      <c r="PLD42" s="51"/>
      <c r="PLE42" s="51"/>
      <c r="PLF42" s="51"/>
      <c r="PLG42" s="51"/>
      <c r="PLH42" s="51"/>
      <c r="PLI42" s="51"/>
      <c r="PLJ42" s="51"/>
      <c r="PLK42" s="51"/>
      <c r="PLL42" s="51"/>
      <c r="PLM42" s="51"/>
      <c r="PLN42" s="51"/>
      <c r="PLO42" s="51"/>
      <c r="PLP42" s="51"/>
      <c r="PLQ42" s="51"/>
      <c r="PLR42" s="51"/>
      <c r="PLS42" s="51"/>
      <c r="PLT42" s="51"/>
      <c r="PLU42" s="51"/>
      <c r="PLV42" s="51"/>
      <c r="PLW42" s="51"/>
      <c r="PLX42" s="51"/>
      <c r="PLY42" s="51"/>
      <c r="PLZ42" s="51"/>
      <c r="PMA42" s="51"/>
      <c r="PMB42" s="51"/>
      <c r="PMC42" s="51"/>
      <c r="PMD42" s="51"/>
      <c r="PME42" s="51"/>
      <c r="PMF42" s="51"/>
      <c r="PMG42" s="51"/>
      <c r="PMH42" s="51"/>
      <c r="PMI42" s="51"/>
      <c r="PMJ42" s="51"/>
      <c r="PMK42" s="51"/>
      <c r="PML42" s="51"/>
      <c r="PMM42" s="51"/>
      <c r="PMN42" s="51"/>
      <c r="PMO42" s="51"/>
      <c r="PMP42" s="51"/>
      <c r="PMQ42" s="51"/>
      <c r="PMR42" s="51"/>
      <c r="PMS42" s="51"/>
      <c r="PMT42" s="51"/>
      <c r="PMU42" s="51"/>
      <c r="PMV42" s="51"/>
      <c r="PMW42" s="51"/>
      <c r="PMX42" s="51"/>
      <c r="PMY42" s="51"/>
      <c r="PMZ42" s="51"/>
      <c r="PNA42" s="51"/>
      <c r="PNB42" s="51"/>
      <c r="PNC42" s="51"/>
      <c r="PND42" s="51"/>
      <c r="PNE42" s="51"/>
      <c r="PNF42" s="51"/>
      <c r="PNG42" s="51"/>
      <c r="PNH42" s="51"/>
      <c r="PNI42" s="51"/>
      <c r="PNJ42" s="51"/>
      <c r="PNK42" s="51"/>
      <c r="PNL42" s="51"/>
      <c r="PNM42" s="51"/>
      <c r="PNN42" s="51"/>
      <c r="PNO42" s="51"/>
      <c r="PNP42" s="51"/>
      <c r="PNQ42" s="51"/>
      <c r="PNR42" s="51"/>
      <c r="PNS42" s="51"/>
      <c r="PNT42" s="51"/>
      <c r="PNU42" s="51"/>
      <c r="PNV42" s="51"/>
      <c r="PNW42" s="51"/>
      <c r="PNX42" s="51"/>
      <c r="PNY42" s="51"/>
      <c r="PNZ42" s="51"/>
      <c r="POA42" s="51"/>
      <c r="POB42" s="51"/>
      <c r="POC42" s="51"/>
      <c r="POD42" s="51"/>
      <c r="POE42" s="51"/>
      <c r="POF42" s="51"/>
      <c r="POG42" s="51"/>
      <c r="POH42" s="51"/>
      <c r="POI42" s="51"/>
      <c r="POJ42" s="51"/>
      <c r="POK42" s="51"/>
      <c r="POL42" s="51"/>
      <c r="POM42" s="51"/>
      <c r="PON42" s="51"/>
      <c r="POO42" s="51"/>
      <c r="POP42" s="51"/>
      <c r="POQ42" s="51"/>
      <c r="POR42" s="51"/>
      <c r="POS42" s="51"/>
      <c r="POT42" s="51"/>
      <c r="POU42" s="51"/>
      <c r="POV42" s="51"/>
      <c r="POW42" s="51"/>
      <c r="POX42" s="51"/>
      <c r="POY42" s="51"/>
      <c r="POZ42" s="51"/>
      <c r="PPA42" s="51"/>
      <c r="PPB42" s="51"/>
      <c r="PPC42" s="51"/>
      <c r="PPD42" s="51"/>
      <c r="PPE42" s="51"/>
      <c r="PPF42" s="51"/>
      <c r="PPG42" s="51"/>
      <c r="PPH42" s="51"/>
      <c r="PPI42" s="51"/>
      <c r="PPJ42" s="51"/>
      <c r="PPK42" s="51"/>
      <c r="PPL42" s="51"/>
      <c r="PPM42" s="51"/>
      <c r="PPN42" s="51"/>
      <c r="PPO42" s="51"/>
      <c r="PPP42" s="51"/>
      <c r="PPQ42" s="51"/>
      <c r="PPR42" s="51"/>
      <c r="PPS42" s="51"/>
      <c r="PPT42" s="51"/>
      <c r="PPU42" s="51"/>
      <c r="PPV42" s="51"/>
      <c r="PPW42" s="51"/>
      <c r="PPX42" s="51"/>
      <c r="PPY42" s="51"/>
      <c r="PPZ42" s="51"/>
      <c r="PQA42" s="51"/>
      <c r="PQB42" s="51"/>
      <c r="PQC42" s="51"/>
      <c r="PQD42" s="51"/>
      <c r="PQE42" s="51"/>
      <c r="PQF42" s="51"/>
      <c r="PQG42" s="51"/>
      <c r="PQH42" s="51"/>
      <c r="PQI42" s="51"/>
      <c r="PQJ42" s="51"/>
      <c r="PQK42" s="51"/>
      <c r="PQL42" s="51"/>
      <c r="PQM42" s="51"/>
      <c r="PQN42" s="51"/>
      <c r="PQO42" s="51"/>
      <c r="PQP42" s="51"/>
      <c r="PQQ42" s="51"/>
      <c r="PQR42" s="51"/>
      <c r="PQS42" s="51"/>
      <c r="PQT42" s="51"/>
      <c r="PQU42" s="51"/>
      <c r="PQV42" s="51"/>
      <c r="PQW42" s="51"/>
      <c r="PQX42" s="51"/>
      <c r="PQY42" s="51"/>
      <c r="PQZ42" s="51"/>
      <c r="PRA42" s="51"/>
      <c r="PRB42" s="51"/>
      <c r="PRC42" s="51"/>
      <c r="PRD42" s="51"/>
      <c r="PRE42" s="51"/>
      <c r="PRF42" s="51"/>
      <c r="PRG42" s="51"/>
      <c r="PRH42" s="51"/>
      <c r="PRI42" s="51"/>
      <c r="PRJ42" s="51"/>
      <c r="PRK42" s="51"/>
      <c r="PRL42" s="51"/>
      <c r="PRM42" s="51"/>
      <c r="PRN42" s="51"/>
      <c r="PRO42" s="51"/>
      <c r="PRP42" s="51"/>
      <c r="PRQ42" s="51"/>
      <c r="PRR42" s="51"/>
      <c r="PRS42" s="51"/>
      <c r="PRT42" s="51"/>
      <c r="PRU42" s="51"/>
      <c r="PRV42" s="51"/>
      <c r="PRW42" s="51"/>
      <c r="PRX42" s="51"/>
      <c r="PRY42" s="51"/>
      <c r="PRZ42" s="51"/>
      <c r="PSA42" s="51"/>
      <c r="PSB42" s="51"/>
      <c r="PSC42" s="51"/>
      <c r="PSD42" s="51"/>
      <c r="PSE42" s="51"/>
      <c r="PSF42" s="51"/>
      <c r="PSG42" s="51"/>
      <c r="PSH42" s="51"/>
      <c r="PSI42" s="51"/>
      <c r="PSJ42" s="51"/>
      <c r="PSK42" s="51"/>
      <c r="PSL42" s="51"/>
      <c r="PSM42" s="51"/>
      <c r="PSN42" s="51"/>
      <c r="PSO42" s="51"/>
      <c r="PSP42" s="51"/>
      <c r="PSQ42" s="51"/>
      <c r="PSR42" s="51"/>
      <c r="PSS42" s="51"/>
      <c r="PST42" s="51"/>
      <c r="PSU42" s="51"/>
      <c r="PSV42" s="51"/>
      <c r="PSW42" s="51"/>
      <c r="PSX42" s="51"/>
      <c r="PSY42" s="51"/>
      <c r="PSZ42" s="51"/>
      <c r="PTA42" s="51"/>
      <c r="PTB42" s="51"/>
      <c r="PTC42" s="51"/>
      <c r="PTD42" s="51"/>
      <c r="PTE42" s="51"/>
      <c r="PTF42" s="51"/>
      <c r="PTG42" s="51"/>
      <c r="PTH42" s="51"/>
      <c r="PTI42" s="51"/>
      <c r="PTJ42" s="51"/>
      <c r="PTK42" s="51"/>
      <c r="PTL42" s="51"/>
      <c r="PTM42" s="51"/>
      <c r="PTN42" s="51"/>
      <c r="PTO42" s="51"/>
      <c r="PTP42" s="51"/>
      <c r="PTQ42" s="51"/>
      <c r="PTR42" s="51"/>
      <c r="PTS42" s="51"/>
      <c r="PTT42" s="51"/>
      <c r="PTU42" s="51"/>
      <c r="PTV42" s="51"/>
      <c r="PTW42" s="51"/>
      <c r="PTX42" s="51"/>
      <c r="PTY42" s="51"/>
      <c r="PTZ42" s="51"/>
      <c r="PUA42" s="51"/>
      <c r="PUB42" s="51"/>
      <c r="PUC42" s="51"/>
      <c r="PUD42" s="51"/>
      <c r="PUE42" s="51"/>
      <c r="PUF42" s="51"/>
      <c r="PUG42" s="51"/>
      <c r="PUH42" s="51"/>
      <c r="PUI42" s="51"/>
      <c r="PUJ42" s="51"/>
      <c r="PUK42" s="51"/>
      <c r="PUL42" s="51"/>
      <c r="PUM42" s="51"/>
      <c r="PUN42" s="51"/>
      <c r="PUO42" s="51"/>
      <c r="PUP42" s="51"/>
      <c r="PUQ42" s="51"/>
      <c r="PUR42" s="51"/>
      <c r="PUS42" s="51"/>
      <c r="PUT42" s="51"/>
      <c r="PUU42" s="51"/>
      <c r="PUV42" s="51"/>
      <c r="PUW42" s="51"/>
      <c r="PUX42" s="51"/>
      <c r="PUY42" s="51"/>
      <c r="PUZ42" s="51"/>
      <c r="PVA42" s="51"/>
      <c r="PVB42" s="51"/>
      <c r="PVC42" s="51"/>
      <c r="PVD42" s="51"/>
      <c r="PVE42" s="51"/>
      <c r="PVF42" s="51"/>
      <c r="PVG42" s="51"/>
      <c r="PVH42" s="51"/>
      <c r="PVI42" s="51"/>
      <c r="PVJ42" s="51"/>
      <c r="PVK42" s="51"/>
      <c r="PVL42" s="51"/>
      <c r="PVM42" s="51"/>
      <c r="PVN42" s="51"/>
      <c r="PVO42" s="51"/>
      <c r="PVP42" s="51"/>
      <c r="PVQ42" s="51"/>
      <c r="PVR42" s="51"/>
      <c r="PVS42" s="51"/>
      <c r="PVT42" s="51"/>
      <c r="PVU42" s="51"/>
      <c r="PVV42" s="51"/>
      <c r="PVW42" s="51"/>
      <c r="PVX42" s="51"/>
      <c r="PVY42" s="51"/>
      <c r="PVZ42" s="51"/>
      <c r="PWA42" s="51"/>
      <c r="PWB42" s="51"/>
      <c r="PWC42" s="51"/>
      <c r="PWD42" s="51"/>
      <c r="PWE42" s="51"/>
      <c r="PWF42" s="51"/>
      <c r="PWG42" s="51"/>
      <c r="PWH42" s="51"/>
      <c r="PWI42" s="51"/>
      <c r="PWJ42" s="51"/>
      <c r="PWK42" s="51"/>
      <c r="PWL42" s="51"/>
      <c r="PWM42" s="51"/>
      <c r="PWN42" s="51"/>
      <c r="PWO42" s="51"/>
      <c r="PWP42" s="51"/>
      <c r="PWQ42" s="51"/>
      <c r="PWR42" s="51"/>
      <c r="PWS42" s="51"/>
      <c r="PWT42" s="51"/>
      <c r="PWU42" s="51"/>
      <c r="PWV42" s="51"/>
      <c r="PWW42" s="51"/>
      <c r="PWX42" s="51"/>
      <c r="PWY42" s="51"/>
      <c r="PWZ42" s="51"/>
      <c r="PXA42" s="51"/>
      <c r="PXB42" s="51"/>
      <c r="PXC42" s="51"/>
      <c r="PXD42" s="51"/>
      <c r="PXE42" s="51"/>
      <c r="PXF42" s="51"/>
      <c r="PXG42" s="51"/>
      <c r="PXH42" s="51"/>
      <c r="PXI42" s="51"/>
      <c r="PXJ42" s="51"/>
      <c r="PXK42" s="51"/>
      <c r="PXL42" s="51"/>
      <c r="PXM42" s="51"/>
      <c r="PXN42" s="51"/>
      <c r="PXO42" s="51"/>
      <c r="PXP42" s="51"/>
      <c r="PXQ42" s="51"/>
      <c r="PXR42" s="51"/>
      <c r="PXS42" s="51"/>
      <c r="PXT42" s="51"/>
      <c r="PXU42" s="51"/>
      <c r="PXV42" s="51"/>
      <c r="PXW42" s="51"/>
      <c r="PXX42" s="51"/>
      <c r="PXY42" s="51"/>
      <c r="PXZ42" s="51"/>
      <c r="PYA42" s="51"/>
      <c r="PYB42" s="51"/>
      <c r="PYC42" s="51"/>
      <c r="PYD42" s="51"/>
      <c r="PYE42" s="51"/>
      <c r="PYF42" s="51"/>
      <c r="PYG42" s="51"/>
      <c r="PYH42" s="51"/>
      <c r="PYI42" s="51"/>
      <c r="PYJ42" s="51"/>
      <c r="PYK42" s="51"/>
      <c r="PYL42" s="51"/>
      <c r="PYM42" s="51"/>
      <c r="PYN42" s="51"/>
      <c r="PYO42" s="51"/>
      <c r="PYP42" s="51"/>
      <c r="PYQ42" s="51"/>
      <c r="PYR42" s="51"/>
      <c r="PYS42" s="51"/>
      <c r="PYT42" s="51"/>
      <c r="PYU42" s="51"/>
      <c r="PYV42" s="51"/>
      <c r="PYW42" s="51"/>
      <c r="PYX42" s="51"/>
      <c r="PYY42" s="51"/>
      <c r="PYZ42" s="51"/>
      <c r="PZA42" s="51"/>
      <c r="PZB42" s="51"/>
      <c r="PZC42" s="51"/>
      <c r="PZD42" s="51"/>
      <c r="PZE42" s="51"/>
      <c r="PZF42" s="51"/>
      <c r="PZG42" s="51"/>
      <c r="PZH42" s="51"/>
      <c r="PZI42" s="51"/>
      <c r="PZJ42" s="51"/>
      <c r="PZK42" s="51"/>
      <c r="PZL42" s="51"/>
      <c r="PZM42" s="51"/>
      <c r="PZN42" s="51"/>
      <c r="PZO42" s="51"/>
      <c r="PZP42" s="51"/>
      <c r="PZQ42" s="51"/>
      <c r="PZR42" s="51"/>
      <c r="PZS42" s="51"/>
      <c r="PZT42" s="51"/>
      <c r="PZU42" s="51"/>
      <c r="PZV42" s="51"/>
      <c r="PZW42" s="51"/>
      <c r="PZX42" s="51"/>
      <c r="PZY42" s="51"/>
      <c r="PZZ42" s="51"/>
      <c r="QAA42" s="51"/>
      <c r="QAB42" s="51"/>
      <c r="QAC42" s="51"/>
      <c r="QAD42" s="51"/>
      <c r="QAE42" s="51"/>
      <c r="QAF42" s="51"/>
      <c r="QAG42" s="51"/>
      <c r="QAH42" s="51"/>
      <c r="QAI42" s="51"/>
      <c r="QAJ42" s="51"/>
      <c r="QAK42" s="51"/>
      <c r="QAL42" s="51"/>
      <c r="QAM42" s="51"/>
      <c r="QAN42" s="51"/>
      <c r="QAO42" s="51"/>
      <c r="QAP42" s="51"/>
      <c r="QAQ42" s="51"/>
      <c r="QAR42" s="51"/>
      <c r="QAS42" s="51"/>
      <c r="QAT42" s="51"/>
      <c r="QAU42" s="51"/>
      <c r="QAV42" s="51"/>
      <c r="QAW42" s="51"/>
      <c r="QAX42" s="51"/>
      <c r="QAY42" s="51"/>
      <c r="QAZ42" s="51"/>
      <c r="QBA42" s="51"/>
      <c r="QBB42" s="51"/>
      <c r="QBC42" s="51"/>
      <c r="QBD42" s="51"/>
      <c r="QBE42" s="51"/>
      <c r="QBF42" s="51"/>
      <c r="QBG42" s="51"/>
      <c r="QBH42" s="51"/>
      <c r="QBI42" s="51"/>
      <c r="QBJ42" s="51"/>
      <c r="QBK42" s="51"/>
      <c r="QBL42" s="51"/>
      <c r="QBM42" s="51"/>
      <c r="QBN42" s="51"/>
      <c r="QBO42" s="51"/>
      <c r="QBP42" s="51"/>
      <c r="QBQ42" s="51"/>
      <c r="QBR42" s="51"/>
      <c r="QBS42" s="51"/>
      <c r="QBT42" s="51"/>
      <c r="QBU42" s="51"/>
      <c r="QBV42" s="51"/>
      <c r="QBW42" s="51"/>
      <c r="QBX42" s="51"/>
      <c r="QBY42" s="51"/>
      <c r="QBZ42" s="51"/>
      <c r="QCA42" s="51"/>
      <c r="QCB42" s="51"/>
      <c r="QCC42" s="51"/>
      <c r="QCD42" s="51"/>
      <c r="QCE42" s="51"/>
      <c r="QCF42" s="51"/>
      <c r="QCG42" s="51"/>
      <c r="QCH42" s="51"/>
      <c r="QCI42" s="51"/>
      <c r="QCJ42" s="51"/>
      <c r="QCK42" s="51"/>
      <c r="QCL42" s="51"/>
      <c r="QCM42" s="51"/>
      <c r="QCN42" s="51"/>
      <c r="QCO42" s="51"/>
      <c r="QCP42" s="51"/>
      <c r="QCQ42" s="51"/>
      <c r="QCR42" s="51"/>
      <c r="QCS42" s="51"/>
      <c r="QCT42" s="51"/>
      <c r="QCU42" s="51"/>
      <c r="QCV42" s="51"/>
      <c r="QCW42" s="51"/>
      <c r="QCX42" s="51"/>
      <c r="QCY42" s="51"/>
      <c r="QCZ42" s="51"/>
      <c r="QDA42" s="51"/>
      <c r="QDB42" s="51"/>
      <c r="QDC42" s="51"/>
      <c r="QDD42" s="51"/>
      <c r="QDE42" s="51"/>
      <c r="QDF42" s="51"/>
      <c r="QDG42" s="51"/>
      <c r="QDH42" s="51"/>
      <c r="QDI42" s="51"/>
      <c r="QDJ42" s="51"/>
      <c r="QDK42" s="51"/>
      <c r="QDL42" s="51"/>
      <c r="QDM42" s="51"/>
      <c r="QDN42" s="51"/>
      <c r="QDO42" s="51"/>
      <c r="QDP42" s="51"/>
      <c r="QDQ42" s="51"/>
      <c r="QDR42" s="51"/>
      <c r="QDS42" s="51"/>
      <c r="QDT42" s="51"/>
      <c r="QDU42" s="51"/>
      <c r="QDV42" s="51"/>
      <c r="QDW42" s="51"/>
      <c r="QDX42" s="51"/>
      <c r="QDY42" s="51"/>
      <c r="QDZ42" s="51"/>
      <c r="QEA42" s="51"/>
      <c r="QEB42" s="51"/>
      <c r="QEC42" s="51"/>
      <c r="QED42" s="51"/>
      <c r="QEE42" s="51"/>
      <c r="QEF42" s="51"/>
      <c r="QEG42" s="51"/>
      <c r="QEH42" s="51"/>
      <c r="QEI42" s="51"/>
      <c r="QEJ42" s="51"/>
      <c r="QEK42" s="51"/>
      <c r="QEL42" s="51"/>
      <c r="QEM42" s="51"/>
      <c r="QEN42" s="51"/>
      <c r="QEO42" s="51"/>
      <c r="QEP42" s="51"/>
      <c r="QEQ42" s="51"/>
      <c r="QER42" s="51"/>
      <c r="QES42" s="51"/>
      <c r="QET42" s="51"/>
      <c r="QEU42" s="51"/>
      <c r="QEV42" s="51"/>
      <c r="QEW42" s="51"/>
      <c r="QEX42" s="51"/>
      <c r="QEY42" s="51"/>
      <c r="QEZ42" s="51"/>
      <c r="QFA42" s="51"/>
      <c r="QFB42" s="51"/>
      <c r="QFC42" s="51"/>
      <c r="QFD42" s="51"/>
      <c r="QFE42" s="51"/>
      <c r="QFF42" s="51"/>
      <c r="QFG42" s="51"/>
      <c r="QFH42" s="51"/>
      <c r="QFI42" s="51"/>
      <c r="QFJ42" s="51"/>
      <c r="QFK42" s="51"/>
      <c r="QFL42" s="51"/>
      <c r="QFM42" s="51"/>
      <c r="QFN42" s="51"/>
      <c r="QFO42" s="51"/>
      <c r="QFP42" s="51"/>
      <c r="QFQ42" s="51"/>
      <c r="QFR42" s="51"/>
      <c r="QFS42" s="51"/>
      <c r="QFT42" s="51"/>
      <c r="QFU42" s="51"/>
      <c r="QFV42" s="51"/>
      <c r="QFW42" s="51"/>
      <c r="QFX42" s="51"/>
      <c r="QFY42" s="51"/>
      <c r="QFZ42" s="51"/>
      <c r="QGA42" s="51"/>
      <c r="QGB42" s="51"/>
      <c r="QGC42" s="51"/>
      <c r="QGD42" s="51"/>
      <c r="QGE42" s="51"/>
      <c r="QGF42" s="51"/>
      <c r="QGG42" s="51"/>
      <c r="QGH42" s="51"/>
      <c r="QGI42" s="51"/>
      <c r="QGJ42" s="51"/>
      <c r="QGK42" s="51"/>
      <c r="QGL42" s="51"/>
      <c r="QGM42" s="51"/>
      <c r="QGN42" s="51"/>
      <c r="QGO42" s="51"/>
      <c r="QGP42" s="51"/>
      <c r="QGQ42" s="51"/>
      <c r="QGR42" s="51"/>
      <c r="QGS42" s="51"/>
      <c r="QGT42" s="51"/>
      <c r="QGU42" s="51"/>
      <c r="QGV42" s="51"/>
      <c r="QGW42" s="51"/>
      <c r="QGX42" s="51"/>
      <c r="QGY42" s="51"/>
      <c r="QGZ42" s="51"/>
      <c r="QHA42" s="51"/>
      <c r="QHB42" s="51"/>
      <c r="QHC42" s="51"/>
      <c r="QHD42" s="51"/>
      <c r="QHE42" s="51"/>
      <c r="QHF42" s="51"/>
      <c r="QHG42" s="51"/>
      <c r="QHH42" s="51"/>
      <c r="QHI42" s="51"/>
      <c r="QHJ42" s="51"/>
      <c r="QHK42" s="51"/>
      <c r="QHL42" s="51"/>
      <c r="QHM42" s="51"/>
      <c r="QHN42" s="51"/>
      <c r="QHO42" s="51"/>
      <c r="QHP42" s="51"/>
      <c r="QHQ42" s="51"/>
      <c r="QHR42" s="51"/>
      <c r="QHS42" s="51"/>
      <c r="QHT42" s="51"/>
      <c r="QHU42" s="51"/>
      <c r="QHV42" s="51"/>
      <c r="QHW42" s="51"/>
      <c r="QHX42" s="51"/>
      <c r="QHY42" s="51"/>
      <c r="QHZ42" s="51"/>
      <c r="QIA42" s="51"/>
      <c r="QIB42" s="51"/>
      <c r="QIC42" s="51"/>
      <c r="QID42" s="51"/>
      <c r="QIE42" s="51"/>
      <c r="QIF42" s="51"/>
      <c r="QIG42" s="51"/>
      <c r="QIH42" s="51"/>
      <c r="QII42" s="51"/>
      <c r="QIJ42" s="51"/>
      <c r="QIK42" s="51"/>
      <c r="QIL42" s="51"/>
      <c r="QIM42" s="51"/>
      <c r="QIN42" s="51"/>
      <c r="QIO42" s="51"/>
      <c r="QIP42" s="51"/>
      <c r="QIQ42" s="51"/>
      <c r="QIR42" s="51"/>
      <c r="QIS42" s="51"/>
      <c r="QIT42" s="51"/>
      <c r="QIU42" s="51"/>
      <c r="QIV42" s="51"/>
      <c r="QIW42" s="51"/>
      <c r="QIX42" s="51"/>
      <c r="QIY42" s="51"/>
      <c r="QIZ42" s="51"/>
      <c r="QJA42" s="51"/>
      <c r="QJB42" s="51"/>
      <c r="QJC42" s="51"/>
      <c r="QJD42" s="51"/>
      <c r="QJE42" s="51"/>
      <c r="QJF42" s="51"/>
      <c r="QJG42" s="51"/>
      <c r="QJH42" s="51"/>
      <c r="QJI42" s="51"/>
      <c r="QJJ42" s="51"/>
      <c r="QJK42" s="51"/>
      <c r="QJL42" s="51"/>
      <c r="QJM42" s="51"/>
      <c r="QJN42" s="51"/>
      <c r="QJO42" s="51"/>
      <c r="QJP42" s="51"/>
      <c r="QJQ42" s="51"/>
      <c r="QJR42" s="51"/>
      <c r="QJS42" s="51"/>
      <c r="QJT42" s="51"/>
      <c r="QJU42" s="51"/>
      <c r="QJV42" s="51"/>
      <c r="QJW42" s="51"/>
      <c r="QJX42" s="51"/>
      <c r="QJY42" s="51"/>
      <c r="QJZ42" s="51"/>
      <c r="QKA42" s="51"/>
      <c r="QKB42" s="51"/>
      <c r="QKC42" s="51"/>
      <c r="QKD42" s="51"/>
      <c r="QKE42" s="51"/>
      <c r="QKF42" s="51"/>
      <c r="QKG42" s="51"/>
      <c r="QKH42" s="51"/>
      <c r="QKI42" s="51"/>
      <c r="QKJ42" s="51"/>
      <c r="QKK42" s="51"/>
      <c r="QKL42" s="51"/>
      <c r="QKM42" s="51"/>
      <c r="QKN42" s="51"/>
      <c r="QKO42" s="51"/>
      <c r="QKP42" s="51"/>
      <c r="QKQ42" s="51"/>
      <c r="QKR42" s="51"/>
      <c r="QKS42" s="51"/>
      <c r="QKT42" s="51"/>
      <c r="QKU42" s="51"/>
      <c r="QKV42" s="51"/>
      <c r="QKW42" s="51"/>
      <c r="QKX42" s="51"/>
      <c r="QKY42" s="51"/>
      <c r="QKZ42" s="51"/>
      <c r="QLA42" s="51"/>
      <c r="QLB42" s="51"/>
      <c r="QLC42" s="51"/>
      <c r="QLD42" s="51"/>
      <c r="QLE42" s="51"/>
      <c r="QLF42" s="51"/>
      <c r="QLG42" s="51"/>
      <c r="QLH42" s="51"/>
      <c r="QLI42" s="51"/>
      <c r="QLJ42" s="51"/>
      <c r="QLK42" s="51"/>
      <c r="QLL42" s="51"/>
      <c r="QLM42" s="51"/>
      <c r="QLN42" s="51"/>
      <c r="QLO42" s="51"/>
      <c r="QLP42" s="51"/>
      <c r="QLQ42" s="51"/>
      <c r="QLR42" s="51"/>
      <c r="QLS42" s="51"/>
      <c r="QLT42" s="51"/>
      <c r="QLU42" s="51"/>
      <c r="QLV42" s="51"/>
      <c r="QLW42" s="51"/>
      <c r="QLX42" s="51"/>
      <c r="QLY42" s="51"/>
      <c r="QLZ42" s="51"/>
      <c r="QMA42" s="51"/>
      <c r="QMB42" s="51"/>
      <c r="QMC42" s="51"/>
      <c r="QMD42" s="51"/>
      <c r="QME42" s="51"/>
      <c r="QMF42" s="51"/>
      <c r="QMG42" s="51"/>
      <c r="QMH42" s="51"/>
      <c r="QMI42" s="51"/>
      <c r="QMJ42" s="51"/>
      <c r="QMK42" s="51"/>
      <c r="QML42" s="51"/>
      <c r="QMM42" s="51"/>
      <c r="QMN42" s="51"/>
      <c r="QMO42" s="51"/>
      <c r="QMP42" s="51"/>
      <c r="QMQ42" s="51"/>
      <c r="QMR42" s="51"/>
      <c r="QMS42" s="51"/>
      <c r="QMT42" s="51"/>
      <c r="QMU42" s="51"/>
      <c r="QMV42" s="51"/>
      <c r="QMW42" s="51"/>
      <c r="QMX42" s="51"/>
      <c r="QMY42" s="51"/>
      <c r="QMZ42" s="51"/>
      <c r="QNA42" s="51"/>
      <c r="QNB42" s="51"/>
      <c r="QNC42" s="51"/>
      <c r="QND42" s="51"/>
      <c r="QNE42" s="51"/>
      <c r="QNF42" s="51"/>
      <c r="QNG42" s="51"/>
      <c r="QNH42" s="51"/>
      <c r="QNI42" s="51"/>
      <c r="QNJ42" s="51"/>
      <c r="QNK42" s="51"/>
      <c r="QNL42" s="51"/>
      <c r="QNM42" s="51"/>
      <c r="QNN42" s="51"/>
      <c r="QNO42" s="51"/>
      <c r="QNP42" s="51"/>
      <c r="QNQ42" s="51"/>
      <c r="QNR42" s="51"/>
      <c r="QNS42" s="51"/>
      <c r="QNT42" s="51"/>
      <c r="QNU42" s="51"/>
      <c r="QNV42" s="51"/>
      <c r="QNW42" s="51"/>
      <c r="QNX42" s="51"/>
      <c r="QNY42" s="51"/>
      <c r="QNZ42" s="51"/>
      <c r="QOA42" s="51"/>
      <c r="QOB42" s="51"/>
      <c r="QOC42" s="51"/>
      <c r="QOD42" s="51"/>
      <c r="QOE42" s="51"/>
      <c r="QOF42" s="51"/>
      <c r="QOG42" s="51"/>
      <c r="QOH42" s="51"/>
      <c r="QOI42" s="51"/>
      <c r="QOJ42" s="51"/>
      <c r="QOK42" s="51"/>
      <c r="QOL42" s="51"/>
      <c r="QOM42" s="51"/>
      <c r="QON42" s="51"/>
      <c r="QOO42" s="51"/>
      <c r="QOP42" s="51"/>
      <c r="QOQ42" s="51"/>
      <c r="QOR42" s="51"/>
      <c r="QOS42" s="51"/>
      <c r="QOT42" s="51"/>
      <c r="QOU42" s="51"/>
      <c r="QOV42" s="51"/>
      <c r="QOW42" s="51"/>
      <c r="QOX42" s="51"/>
      <c r="QOY42" s="51"/>
      <c r="QOZ42" s="51"/>
      <c r="QPA42" s="51"/>
      <c r="QPB42" s="51"/>
      <c r="QPC42" s="51"/>
      <c r="QPD42" s="51"/>
      <c r="QPE42" s="51"/>
      <c r="QPF42" s="51"/>
      <c r="QPG42" s="51"/>
      <c r="QPH42" s="51"/>
      <c r="QPI42" s="51"/>
      <c r="QPJ42" s="51"/>
      <c r="QPK42" s="51"/>
      <c r="QPL42" s="51"/>
      <c r="QPM42" s="51"/>
      <c r="QPN42" s="51"/>
      <c r="QPO42" s="51"/>
      <c r="QPP42" s="51"/>
      <c r="QPQ42" s="51"/>
      <c r="QPR42" s="51"/>
      <c r="QPS42" s="51"/>
      <c r="QPT42" s="51"/>
      <c r="QPU42" s="51"/>
      <c r="QPV42" s="51"/>
      <c r="QPW42" s="51"/>
      <c r="QPX42" s="51"/>
      <c r="QPY42" s="51"/>
      <c r="QPZ42" s="51"/>
      <c r="QQA42" s="51"/>
      <c r="QQB42" s="51"/>
      <c r="QQC42" s="51"/>
      <c r="QQD42" s="51"/>
      <c r="QQE42" s="51"/>
      <c r="QQF42" s="51"/>
      <c r="QQG42" s="51"/>
      <c r="QQH42" s="51"/>
      <c r="QQI42" s="51"/>
      <c r="QQJ42" s="51"/>
      <c r="QQK42" s="51"/>
      <c r="QQL42" s="51"/>
      <c r="QQM42" s="51"/>
      <c r="QQN42" s="51"/>
      <c r="QQO42" s="51"/>
      <c r="QQP42" s="51"/>
      <c r="QQQ42" s="51"/>
      <c r="QQR42" s="51"/>
      <c r="QQS42" s="51"/>
      <c r="QQT42" s="51"/>
      <c r="QQU42" s="51"/>
      <c r="QQV42" s="51"/>
      <c r="QQW42" s="51"/>
      <c r="QQX42" s="51"/>
      <c r="QQY42" s="51"/>
      <c r="QQZ42" s="51"/>
      <c r="QRA42" s="51"/>
      <c r="QRB42" s="51"/>
      <c r="QRC42" s="51"/>
      <c r="QRD42" s="51"/>
      <c r="QRE42" s="51"/>
      <c r="QRF42" s="51"/>
      <c r="QRG42" s="51"/>
      <c r="QRH42" s="51"/>
      <c r="QRI42" s="51"/>
      <c r="QRJ42" s="51"/>
      <c r="QRK42" s="51"/>
      <c r="QRL42" s="51"/>
      <c r="QRM42" s="51"/>
      <c r="QRN42" s="51"/>
      <c r="QRO42" s="51"/>
      <c r="QRP42" s="51"/>
      <c r="QRQ42" s="51"/>
      <c r="QRR42" s="51"/>
      <c r="QRS42" s="51"/>
      <c r="QRT42" s="51"/>
      <c r="QRU42" s="51"/>
      <c r="QRV42" s="51"/>
      <c r="QRW42" s="51"/>
      <c r="QRX42" s="51"/>
      <c r="QRY42" s="51"/>
      <c r="QRZ42" s="51"/>
      <c r="QSA42" s="51"/>
      <c r="QSB42" s="51"/>
      <c r="QSC42" s="51"/>
      <c r="QSD42" s="51"/>
      <c r="QSE42" s="51"/>
      <c r="QSF42" s="51"/>
      <c r="QSG42" s="51"/>
      <c r="QSH42" s="51"/>
      <c r="QSI42" s="51"/>
      <c r="QSJ42" s="51"/>
      <c r="QSK42" s="51"/>
      <c r="QSL42" s="51"/>
      <c r="QSM42" s="51"/>
      <c r="QSN42" s="51"/>
      <c r="QSO42" s="51"/>
      <c r="QSP42" s="51"/>
      <c r="QSQ42" s="51"/>
      <c r="QSR42" s="51"/>
      <c r="QSS42" s="51"/>
      <c r="QST42" s="51"/>
      <c r="QSU42" s="51"/>
      <c r="QSV42" s="51"/>
      <c r="QSW42" s="51"/>
      <c r="QSX42" s="51"/>
      <c r="QSY42" s="51"/>
      <c r="QSZ42" s="51"/>
      <c r="QTA42" s="51"/>
      <c r="QTB42" s="51"/>
      <c r="QTC42" s="51"/>
      <c r="QTD42" s="51"/>
      <c r="QTE42" s="51"/>
      <c r="QTF42" s="51"/>
      <c r="QTG42" s="51"/>
      <c r="QTH42" s="51"/>
      <c r="QTI42" s="51"/>
      <c r="QTJ42" s="51"/>
      <c r="QTK42" s="51"/>
      <c r="QTL42" s="51"/>
      <c r="QTM42" s="51"/>
      <c r="QTN42" s="51"/>
      <c r="QTO42" s="51"/>
      <c r="QTP42" s="51"/>
      <c r="QTQ42" s="51"/>
      <c r="QTR42" s="51"/>
      <c r="QTS42" s="51"/>
      <c r="QTT42" s="51"/>
      <c r="QTU42" s="51"/>
      <c r="QTV42" s="51"/>
      <c r="QTW42" s="51"/>
      <c r="QTX42" s="51"/>
      <c r="QTY42" s="51"/>
      <c r="QTZ42" s="51"/>
      <c r="QUA42" s="51"/>
      <c r="QUB42" s="51"/>
      <c r="QUC42" s="51"/>
      <c r="QUD42" s="51"/>
      <c r="QUE42" s="51"/>
      <c r="QUF42" s="51"/>
      <c r="QUG42" s="51"/>
      <c r="QUH42" s="51"/>
      <c r="QUI42" s="51"/>
      <c r="QUJ42" s="51"/>
      <c r="QUK42" s="51"/>
      <c r="QUL42" s="51"/>
      <c r="QUM42" s="51"/>
      <c r="QUN42" s="51"/>
      <c r="QUO42" s="51"/>
      <c r="QUP42" s="51"/>
      <c r="QUQ42" s="51"/>
      <c r="QUR42" s="51"/>
      <c r="QUS42" s="51"/>
      <c r="QUT42" s="51"/>
      <c r="QUU42" s="51"/>
      <c r="QUV42" s="51"/>
      <c r="QUW42" s="51"/>
      <c r="QUX42" s="51"/>
      <c r="QUY42" s="51"/>
      <c r="QUZ42" s="51"/>
      <c r="QVA42" s="51"/>
      <c r="QVB42" s="51"/>
      <c r="QVC42" s="51"/>
      <c r="QVD42" s="51"/>
      <c r="QVE42" s="51"/>
      <c r="QVF42" s="51"/>
      <c r="QVG42" s="51"/>
      <c r="QVH42" s="51"/>
      <c r="QVI42" s="51"/>
      <c r="QVJ42" s="51"/>
      <c r="QVK42" s="51"/>
      <c r="QVL42" s="51"/>
      <c r="QVM42" s="51"/>
      <c r="QVN42" s="51"/>
      <c r="QVO42" s="51"/>
      <c r="QVP42" s="51"/>
      <c r="QVQ42" s="51"/>
      <c r="QVR42" s="51"/>
      <c r="QVS42" s="51"/>
      <c r="QVT42" s="51"/>
      <c r="QVU42" s="51"/>
      <c r="QVV42" s="51"/>
      <c r="QVW42" s="51"/>
      <c r="QVX42" s="51"/>
      <c r="QVY42" s="51"/>
      <c r="QVZ42" s="51"/>
      <c r="QWA42" s="51"/>
      <c r="QWB42" s="51"/>
      <c r="QWC42" s="51"/>
      <c r="QWD42" s="51"/>
      <c r="QWE42" s="51"/>
      <c r="QWF42" s="51"/>
      <c r="QWG42" s="51"/>
      <c r="QWH42" s="51"/>
      <c r="QWI42" s="51"/>
      <c r="QWJ42" s="51"/>
      <c r="QWK42" s="51"/>
      <c r="QWL42" s="51"/>
      <c r="QWM42" s="51"/>
      <c r="QWN42" s="51"/>
      <c r="QWO42" s="51"/>
      <c r="QWP42" s="51"/>
      <c r="QWQ42" s="51"/>
      <c r="QWR42" s="51"/>
      <c r="QWS42" s="51"/>
      <c r="QWT42" s="51"/>
      <c r="QWU42" s="51"/>
      <c r="QWV42" s="51"/>
      <c r="QWW42" s="51"/>
      <c r="QWX42" s="51"/>
      <c r="QWY42" s="51"/>
      <c r="QWZ42" s="51"/>
      <c r="QXA42" s="51"/>
      <c r="QXB42" s="51"/>
      <c r="QXC42" s="51"/>
      <c r="QXD42" s="51"/>
      <c r="QXE42" s="51"/>
      <c r="QXF42" s="51"/>
      <c r="QXG42" s="51"/>
      <c r="QXH42" s="51"/>
      <c r="QXI42" s="51"/>
      <c r="QXJ42" s="51"/>
      <c r="QXK42" s="51"/>
      <c r="QXL42" s="51"/>
      <c r="QXM42" s="51"/>
      <c r="QXN42" s="51"/>
      <c r="QXO42" s="51"/>
      <c r="QXP42" s="51"/>
      <c r="QXQ42" s="51"/>
      <c r="QXR42" s="51"/>
      <c r="QXS42" s="51"/>
      <c r="QXT42" s="51"/>
      <c r="QXU42" s="51"/>
      <c r="QXV42" s="51"/>
      <c r="QXW42" s="51"/>
      <c r="QXX42" s="51"/>
      <c r="QXY42" s="51"/>
      <c r="QXZ42" s="51"/>
      <c r="QYA42" s="51"/>
      <c r="QYB42" s="51"/>
      <c r="QYC42" s="51"/>
      <c r="QYD42" s="51"/>
      <c r="QYE42" s="51"/>
      <c r="QYF42" s="51"/>
      <c r="QYG42" s="51"/>
      <c r="QYH42" s="51"/>
      <c r="QYI42" s="51"/>
      <c r="QYJ42" s="51"/>
      <c r="QYK42" s="51"/>
      <c r="QYL42" s="51"/>
      <c r="QYM42" s="51"/>
      <c r="QYN42" s="51"/>
      <c r="QYO42" s="51"/>
      <c r="QYP42" s="51"/>
      <c r="QYQ42" s="51"/>
      <c r="QYR42" s="51"/>
      <c r="QYS42" s="51"/>
      <c r="QYT42" s="51"/>
      <c r="QYU42" s="51"/>
      <c r="QYV42" s="51"/>
      <c r="QYW42" s="51"/>
      <c r="QYX42" s="51"/>
      <c r="QYY42" s="51"/>
      <c r="QYZ42" s="51"/>
      <c r="QZA42" s="51"/>
      <c r="QZB42" s="51"/>
      <c r="QZC42" s="51"/>
      <c r="QZD42" s="51"/>
      <c r="QZE42" s="51"/>
      <c r="QZF42" s="51"/>
      <c r="QZG42" s="51"/>
      <c r="QZH42" s="51"/>
      <c r="QZI42" s="51"/>
      <c r="QZJ42" s="51"/>
      <c r="QZK42" s="51"/>
      <c r="QZL42" s="51"/>
      <c r="QZM42" s="51"/>
      <c r="QZN42" s="51"/>
      <c r="QZO42" s="51"/>
      <c r="QZP42" s="51"/>
      <c r="QZQ42" s="51"/>
      <c r="QZR42" s="51"/>
      <c r="QZS42" s="51"/>
      <c r="QZT42" s="51"/>
      <c r="QZU42" s="51"/>
      <c r="QZV42" s="51"/>
      <c r="QZW42" s="51"/>
      <c r="QZX42" s="51"/>
      <c r="QZY42" s="51"/>
      <c r="QZZ42" s="51"/>
      <c r="RAA42" s="51"/>
      <c r="RAB42" s="51"/>
      <c r="RAC42" s="51"/>
      <c r="RAD42" s="51"/>
      <c r="RAE42" s="51"/>
      <c r="RAF42" s="51"/>
      <c r="RAG42" s="51"/>
      <c r="RAH42" s="51"/>
      <c r="RAI42" s="51"/>
      <c r="RAJ42" s="51"/>
      <c r="RAK42" s="51"/>
      <c r="RAL42" s="51"/>
      <c r="RAM42" s="51"/>
      <c r="RAN42" s="51"/>
      <c r="RAO42" s="51"/>
      <c r="RAP42" s="51"/>
      <c r="RAQ42" s="51"/>
      <c r="RAR42" s="51"/>
      <c r="RAS42" s="51"/>
      <c r="RAT42" s="51"/>
      <c r="RAU42" s="51"/>
      <c r="RAV42" s="51"/>
      <c r="RAW42" s="51"/>
      <c r="RAX42" s="51"/>
      <c r="RAY42" s="51"/>
      <c r="RAZ42" s="51"/>
      <c r="RBA42" s="51"/>
      <c r="RBB42" s="51"/>
      <c r="RBC42" s="51"/>
      <c r="RBD42" s="51"/>
      <c r="RBE42" s="51"/>
      <c r="RBF42" s="51"/>
      <c r="RBG42" s="51"/>
      <c r="RBH42" s="51"/>
      <c r="RBI42" s="51"/>
      <c r="RBJ42" s="51"/>
      <c r="RBK42" s="51"/>
      <c r="RBL42" s="51"/>
      <c r="RBM42" s="51"/>
      <c r="RBN42" s="51"/>
      <c r="RBO42" s="51"/>
      <c r="RBP42" s="51"/>
      <c r="RBQ42" s="51"/>
      <c r="RBR42" s="51"/>
      <c r="RBS42" s="51"/>
      <c r="RBT42" s="51"/>
      <c r="RBU42" s="51"/>
      <c r="RBV42" s="51"/>
      <c r="RBW42" s="51"/>
      <c r="RBX42" s="51"/>
      <c r="RBY42" s="51"/>
      <c r="RBZ42" s="51"/>
      <c r="RCA42" s="51"/>
      <c r="RCB42" s="51"/>
      <c r="RCC42" s="51"/>
      <c r="RCD42" s="51"/>
      <c r="RCE42" s="51"/>
      <c r="RCF42" s="51"/>
      <c r="RCG42" s="51"/>
      <c r="RCH42" s="51"/>
      <c r="RCI42" s="51"/>
      <c r="RCJ42" s="51"/>
      <c r="RCK42" s="51"/>
      <c r="RCL42" s="51"/>
      <c r="RCM42" s="51"/>
      <c r="RCN42" s="51"/>
      <c r="RCO42" s="51"/>
      <c r="RCP42" s="51"/>
      <c r="RCQ42" s="51"/>
      <c r="RCR42" s="51"/>
      <c r="RCS42" s="51"/>
      <c r="RCT42" s="51"/>
      <c r="RCU42" s="51"/>
      <c r="RCV42" s="51"/>
      <c r="RCW42" s="51"/>
      <c r="RCX42" s="51"/>
      <c r="RCY42" s="51"/>
      <c r="RCZ42" s="51"/>
      <c r="RDA42" s="51"/>
      <c r="RDB42" s="51"/>
      <c r="RDC42" s="51"/>
      <c r="RDD42" s="51"/>
      <c r="RDE42" s="51"/>
      <c r="RDF42" s="51"/>
      <c r="RDG42" s="51"/>
      <c r="RDH42" s="51"/>
      <c r="RDI42" s="51"/>
      <c r="RDJ42" s="51"/>
      <c r="RDK42" s="51"/>
      <c r="RDL42" s="51"/>
      <c r="RDM42" s="51"/>
      <c r="RDN42" s="51"/>
      <c r="RDO42" s="51"/>
      <c r="RDP42" s="51"/>
      <c r="RDQ42" s="51"/>
      <c r="RDR42" s="51"/>
      <c r="RDS42" s="51"/>
      <c r="RDT42" s="51"/>
      <c r="RDU42" s="51"/>
      <c r="RDV42" s="51"/>
      <c r="RDW42" s="51"/>
      <c r="RDX42" s="51"/>
      <c r="RDY42" s="51"/>
      <c r="RDZ42" s="51"/>
      <c r="REA42" s="51"/>
      <c r="REB42" s="51"/>
      <c r="REC42" s="51"/>
      <c r="RED42" s="51"/>
      <c r="REE42" s="51"/>
      <c r="REF42" s="51"/>
      <c r="REG42" s="51"/>
      <c r="REH42" s="51"/>
      <c r="REI42" s="51"/>
      <c r="REJ42" s="51"/>
      <c r="REK42" s="51"/>
      <c r="REL42" s="51"/>
      <c r="REM42" s="51"/>
      <c r="REN42" s="51"/>
      <c r="REO42" s="51"/>
      <c r="REP42" s="51"/>
      <c r="REQ42" s="51"/>
      <c r="RER42" s="51"/>
      <c r="RES42" s="51"/>
      <c r="RET42" s="51"/>
      <c r="REU42" s="51"/>
      <c r="REV42" s="51"/>
      <c r="REW42" s="51"/>
      <c r="REX42" s="51"/>
      <c r="REY42" s="51"/>
      <c r="REZ42" s="51"/>
      <c r="RFA42" s="51"/>
      <c r="RFB42" s="51"/>
      <c r="RFC42" s="51"/>
      <c r="RFD42" s="51"/>
      <c r="RFE42" s="51"/>
      <c r="RFF42" s="51"/>
      <c r="RFG42" s="51"/>
      <c r="RFH42" s="51"/>
      <c r="RFI42" s="51"/>
      <c r="RFJ42" s="51"/>
      <c r="RFK42" s="51"/>
      <c r="RFL42" s="51"/>
      <c r="RFM42" s="51"/>
      <c r="RFN42" s="51"/>
      <c r="RFO42" s="51"/>
      <c r="RFP42" s="51"/>
      <c r="RFQ42" s="51"/>
      <c r="RFR42" s="51"/>
      <c r="RFS42" s="51"/>
      <c r="RFT42" s="51"/>
      <c r="RFU42" s="51"/>
      <c r="RFV42" s="51"/>
      <c r="RFW42" s="51"/>
      <c r="RFX42" s="51"/>
      <c r="RFY42" s="51"/>
      <c r="RFZ42" s="51"/>
      <c r="RGA42" s="51"/>
      <c r="RGB42" s="51"/>
      <c r="RGC42" s="51"/>
      <c r="RGD42" s="51"/>
      <c r="RGE42" s="51"/>
      <c r="RGF42" s="51"/>
      <c r="RGG42" s="51"/>
      <c r="RGH42" s="51"/>
      <c r="RGI42" s="51"/>
      <c r="RGJ42" s="51"/>
      <c r="RGK42" s="51"/>
      <c r="RGL42" s="51"/>
      <c r="RGM42" s="51"/>
      <c r="RGN42" s="51"/>
      <c r="RGO42" s="51"/>
      <c r="RGP42" s="51"/>
      <c r="RGQ42" s="51"/>
      <c r="RGR42" s="51"/>
      <c r="RGS42" s="51"/>
      <c r="RGT42" s="51"/>
      <c r="RGU42" s="51"/>
      <c r="RGV42" s="51"/>
      <c r="RGW42" s="51"/>
      <c r="RGX42" s="51"/>
      <c r="RGY42" s="51"/>
      <c r="RGZ42" s="51"/>
      <c r="RHA42" s="51"/>
      <c r="RHB42" s="51"/>
      <c r="RHC42" s="51"/>
      <c r="RHD42" s="51"/>
      <c r="RHE42" s="51"/>
      <c r="RHF42" s="51"/>
      <c r="RHG42" s="51"/>
      <c r="RHH42" s="51"/>
      <c r="RHI42" s="51"/>
      <c r="RHJ42" s="51"/>
      <c r="RHK42" s="51"/>
      <c r="RHL42" s="51"/>
      <c r="RHM42" s="51"/>
      <c r="RHN42" s="51"/>
      <c r="RHO42" s="51"/>
      <c r="RHP42" s="51"/>
      <c r="RHQ42" s="51"/>
      <c r="RHR42" s="51"/>
      <c r="RHS42" s="51"/>
      <c r="RHT42" s="51"/>
      <c r="RHU42" s="51"/>
      <c r="RHV42" s="51"/>
      <c r="RHW42" s="51"/>
      <c r="RHX42" s="51"/>
      <c r="RHY42" s="51"/>
      <c r="RHZ42" s="51"/>
      <c r="RIA42" s="51"/>
      <c r="RIB42" s="51"/>
      <c r="RIC42" s="51"/>
      <c r="RID42" s="51"/>
      <c r="RIE42" s="51"/>
      <c r="RIF42" s="51"/>
      <c r="RIG42" s="51"/>
      <c r="RIH42" s="51"/>
      <c r="RII42" s="51"/>
      <c r="RIJ42" s="51"/>
      <c r="RIK42" s="51"/>
      <c r="RIL42" s="51"/>
      <c r="RIM42" s="51"/>
      <c r="RIN42" s="51"/>
      <c r="RIO42" s="51"/>
      <c r="RIP42" s="51"/>
      <c r="RIQ42" s="51"/>
      <c r="RIR42" s="51"/>
      <c r="RIS42" s="51"/>
      <c r="RIT42" s="51"/>
      <c r="RIU42" s="51"/>
      <c r="RIV42" s="51"/>
      <c r="RIW42" s="51"/>
      <c r="RIX42" s="51"/>
      <c r="RIY42" s="51"/>
      <c r="RIZ42" s="51"/>
      <c r="RJA42" s="51"/>
      <c r="RJB42" s="51"/>
      <c r="RJC42" s="51"/>
      <c r="RJD42" s="51"/>
      <c r="RJE42" s="51"/>
      <c r="RJF42" s="51"/>
      <c r="RJG42" s="51"/>
      <c r="RJH42" s="51"/>
      <c r="RJI42" s="51"/>
      <c r="RJJ42" s="51"/>
      <c r="RJK42" s="51"/>
      <c r="RJL42" s="51"/>
      <c r="RJM42" s="51"/>
      <c r="RJN42" s="51"/>
      <c r="RJO42" s="51"/>
      <c r="RJP42" s="51"/>
      <c r="RJQ42" s="51"/>
      <c r="RJR42" s="51"/>
      <c r="RJS42" s="51"/>
      <c r="RJT42" s="51"/>
      <c r="RJU42" s="51"/>
      <c r="RJV42" s="51"/>
      <c r="RJW42" s="51"/>
      <c r="RJX42" s="51"/>
      <c r="RJY42" s="51"/>
      <c r="RJZ42" s="51"/>
      <c r="RKA42" s="51"/>
      <c r="RKB42" s="51"/>
      <c r="RKC42" s="51"/>
      <c r="RKD42" s="51"/>
      <c r="RKE42" s="51"/>
      <c r="RKF42" s="51"/>
      <c r="RKG42" s="51"/>
      <c r="RKH42" s="51"/>
      <c r="RKI42" s="51"/>
      <c r="RKJ42" s="51"/>
      <c r="RKK42" s="51"/>
      <c r="RKL42" s="51"/>
      <c r="RKM42" s="51"/>
      <c r="RKN42" s="51"/>
      <c r="RKO42" s="51"/>
      <c r="RKP42" s="51"/>
      <c r="RKQ42" s="51"/>
      <c r="RKR42" s="51"/>
      <c r="RKS42" s="51"/>
      <c r="RKT42" s="51"/>
      <c r="RKU42" s="51"/>
      <c r="RKV42" s="51"/>
      <c r="RKW42" s="51"/>
      <c r="RKX42" s="51"/>
      <c r="RKY42" s="51"/>
      <c r="RKZ42" s="51"/>
      <c r="RLA42" s="51"/>
      <c r="RLB42" s="51"/>
      <c r="RLC42" s="51"/>
      <c r="RLD42" s="51"/>
      <c r="RLE42" s="51"/>
      <c r="RLF42" s="51"/>
      <c r="RLG42" s="51"/>
      <c r="RLH42" s="51"/>
      <c r="RLI42" s="51"/>
      <c r="RLJ42" s="51"/>
      <c r="RLK42" s="51"/>
      <c r="RLL42" s="51"/>
      <c r="RLM42" s="51"/>
      <c r="RLN42" s="51"/>
      <c r="RLO42" s="51"/>
      <c r="RLP42" s="51"/>
      <c r="RLQ42" s="51"/>
      <c r="RLR42" s="51"/>
      <c r="RLS42" s="51"/>
      <c r="RLT42" s="51"/>
      <c r="RLU42" s="51"/>
      <c r="RLV42" s="51"/>
      <c r="RLW42" s="51"/>
      <c r="RLX42" s="51"/>
      <c r="RLY42" s="51"/>
      <c r="RLZ42" s="51"/>
      <c r="RMA42" s="51"/>
      <c r="RMB42" s="51"/>
      <c r="RMC42" s="51"/>
      <c r="RMD42" s="51"/>
      <c r="RME42" s="51"/>
      <c r="RMF42" s="51"/>
      <c r="RMG42" s="51"/>
      <c r="RMH42" s="51"/>
      <c r="RMI42" s="51"/>
      <c r="RMJ42" s="51"/>
      <c r="RMK42" s="51"/>
      <c r="RML42" s="51"/>
      <c r="RMM42" s="51"/>
      <c r="RMN42" s="51"/>
      <c r="RMO42" s="51"/>
      <c r="RMP42" s="51"/>
      <c r="RMQ42" s="51"/>
      <c r="RMR42" s="51"/>
      <c r="RMS42" s="51"/>
      <c r="RMT42" s="51"/>
      <c r="RMU42" s="51"/>
      <c r="RMV42" s="51"/>
      <c r="RMW42" s="51"/>
      <c r="RMX42" s="51"/>
      <c r="RMY42" s="51"/>
      <c r="RMZ42" s="51"/>
      <c r="RNA42" s="51"/>
      <c r="RNB42" s="51"/>
      <c r="RNC42" s="51"/>
      <c r="RND42" s="51"/>
      <c r="RNE42" s="51"/>
      <c r="RNF42" s="51"/>
      <c r="RNG42" s="51"/>
      <c r="RNH42" s="51"/>
      <c r="RNI42" s="51"/>
      <c r="RNJ42" s="51"/>
      <c r="RNK42" s="51"/>
      <c r="RNL42" s="51"/>
      <c r="RNM42" s="51"/>
      <c r="RNN42" s="51"/>
      <c r="RNO42" s="51"/>
      <c r="RNP42" s="51"/>
      <c r="RNQ42" s="51"/>
      <c r="RNR42" s="51"/>
      <c r="RNS42" s="51"/>
      <c r="RNT42" s="51"/>
      <c r="RNU42" s="51"/>
      <c r="RNV42" s="51"/>
      <c r="RNW42" s="51"/>
      <c r="RNX42" s="51"/>
      <c r="RNY42" s="51"/>
      <c r="RNZ42" s="51"/>
      <c r="ROA42" s="51"/>
      <c r="ROB42" s="51"/>
      <c r="ROC42" s="51"/>
      <c r="ROD42" s="51"/>
      <c r="ROE42" s="51"/>
      <c r="ROF42" s="51"/>
      <c r="ROG42" s="51"/>
      <c r="ROH42" s="51"/>
      <c r="ROI42" s="51"/>
      <c r="ROJ42" s="51"/>
      <c r="ROK42" s="51"/>
      <c r="ROL42" s="51"/>
      <c r="ROM42" s="51"/>
      <c r="RON42" s="51"/>
      <c r="ROO42" s="51"/>
      <c r="ROP42" s="51"/>
      <c r="ROQ42" s="51"/>
      <c r="ROR42" s="51"/>
      <c r="ROS42" s="51"/>
      <c r="ROT42" s="51"/>
      <c r="ROU42" s="51"/>
      <c r="ROV42" s="51"/>
      <c r="ROW42" s="51"/>
      <c r="ROX42" s="51"/>
      <c r="ROY42" s="51"/>
      <c r="ROZ42" s="51"/>
      <c r="RPA42" s="51"/>
      <c r="RPB42" s="51"/>
      <c r="RPC42" s="51"/>
      <c r="RPD42" s="51"/>
      <c r="RPE42" s="51"/>
      <c r="RPF42" s="51"/>
      <c r="RPG42" s="51"/>
      <c r="RPH42" s="51"/>
      <c r="RPI42" s="51"/>
      <c r="RPJ42" s="51"/>
      <c r="RPK42" s="51"/>
      <c r="RPL42" s="51"/>
      <c r="RPM42" s="51"/>
      <c r="RPN42" s="51"/>
      <c r="RPO42" s="51"/>
      <c r="RPP42" s="51"/>
      <c r="RPQ42" s="51"/>
      <c r="RPR42" s="51"/>
      <c r="RPS42" s="51"/>
      <c r="RPT42" s="51"/>
      <c r="RPU42" s="51"/>
      <c r="RPV42" s="51"/>
      <c r="RPW42" s="51"/>
      <c r="RPX42" s="51"/>
      <c r="RPY42" s="51"/>
      <c r="RPZ42" s="51"/>
      <c r="RQA42" s="51"/>
      <c r="RQB42" s="51"/>
      <c r="RQC42" s="51"/>
      <c r="RQD42" s="51"/>
      <c r="RQE42" s="51"/>
      <c r="RQF42" s="51"/>
      <c r="RQG42" s="51"/>
      <c r="RQH42" s="51"/>
      <c r="RQI42" s="51"/>
      <c r="RQJ42" s="51"/>
      <c r="RQK42" s="51"/>
      <c r="RQL42" s="51"/>
      <c r="RQM42" s="51"/>
      <c r="RQN42" s="51"/>
      <c r="RQO42" s="51"/>
      <c r="RQP42" s="51"/>
      <c r="RQQ42" s="51"/>
      <c r="RQR42" s="51"/>
      <c r="RQS42" s="51"/>
      <c r="RQT42" s="51"/>
      <c r="RQU42" s="51"/>
      <c r="RQV42" s="51"/>
      <c r="RQW42" s="51"/>
      <c r="RQX42" s="51"/>
      <c r="RQY42" s="51"/>
      <c r="RQZ42" s="51"/>
      <c r="RRA42" s="51"/>
      <c r="RRB42" s="51"/>
      <c r="RRC42" s="51"/>
      <c r="RRD42" s="51"/>
      <c r="RRE42" s="51"/>
      <c r="RRF42" s="51"/>
      <c r="RRG42" s="51"/>
      <c r="RRH42" s="51"/>
      <c r="RRI42" s="51"/>
      <c r="RRJ42" s="51"/>
      <c r="RRK42" s="51"/>
      <c r="RRL42" s="51"/>
      <c r="RRM42" s="51"/>
      <c r="RRN42" s="51"/>
      <c r="RRO42" s="51"/>
      <c r="RRP42" s="51"/>
      <c r="RRQ42" s="51"/>
      <c r="RRR42" s="51"/>
      <c r="RRS42" s="51"/>
      <c r="RRT42" s="51"/>
      <c r="RRU42" s="51"/>
      <c r="RRV42" s="51"/>
      <c r="RRW42" s="51"/>
      <c r="RRX42" s="51"/>
      <c r="RRY42" s="51"/>
      <c r="RRZ42" s="51"/>
      <c r="RSA42" s="51"/>
      <c r="RSB42" s="51"/>
      <c r="RSC42" s="51"/>
      <c r="RSD42" s="51"/>
      <c r="RSE42" s="51"/>
      <c r="RSF42" s="51"/>
      <c r="RSG42" s="51"/>
      <c r="RSH42" s="51"/>
      <c r="RSI42" s="51"/>
      <c r="RSJ42" s="51"/>
      <c r="RSK42" s="51"/>
      <c r="RSL42" s="51"/>
      <c r="RSM42" s="51"/>
      <c r="RSN42" s="51"/>
      <c r="RSO42" s="51"/>
      <c r="RSP42" s="51"/>
      <c r="RSQ42" s="51"/>
      <c r="RSR42" s="51"/>
      <c r="RSS42" s="51"/>
      <c r="RST42" s="51"/>
      <c r="RSU42" s="51"/>
      <c r="RSV42" s="51"/>
      <c r="RSW42" s="51"/>
      <c r="RSX42" s="51"/>
      <c r="RSY42" s="51"/>
      <c r="RSZ42" s="51"/>
      <c r="RTA42" s="51"/>
      <c r="RTB42" s="51"/>
      <c r="RTC42" s="51"/>
      <c r="RTD42" s="51"/>
      <c r="RTE42" s="51"/>
      <c r="RTF42" s="51"/>
      <c r="RTG42" s="51"/>
      <c r="RTH42" s="51"/>
      <c r="RTI42" s="51"/>
      <c r="RTJ42" s="51"/>
      <c r="RTK42" s="51"/>
      <c r="RTL42" s="51"/>
      <c r="RTM42" s="51"/>
      <c r="RTN42" s="51"/>
      <c r="RTO42" s="51"/>
      <c r="RTP42" s="51"/>
      <c r="RTQ42" s="51"/>
      <c r="RTR42" s="51"/>
      <c r="RTS42" s="51"/>
      <c r="RTT42" s="51"/>
      <c r="RTU42" s="51"/>
      <c r="RTV42" s="51"/>
      <c r="RTW42" s="51"/>
      <c r="RTX42" s="51"/>
      <c r="RTY42" s="51"/>
      <c r="RTZ42" s="51"/>
      <c r="RUA42" s="51"/>
      <c r="RUB42" s="51"/>
      <c r="RUC42" s="51"/>
      <c r="RUD42" s="51"/>
      <c r="RUE42" s="51"/>
      <c r="RUF42" s="51"/>
      <c r="RUG42" s="51"/>
      <c r="RUH42" s="51"/>
      <c r="RUI42" s="51"/>
      <c r="RUJ42" s="51"/>
      <c r="RUK42" s="51"/>
      <c r="RUL42" s="51"/>
      <c r="RUM42" s="51"/>
      <c r="RUN42" s="51"/>
      <c r="RUO42" s="51"/>
      <c r="RUP42" s="51"/>
      <c r="RUQ42" s="51"/>
      <c r="RUR42" s="51"/>
      <c r="RUS42" s="51"/>
      <c r="RUT42" s="51"/>
      <c r="RUU42" s="51"/>
      <c r="RUV42" s="51"/>
      <c r="RUW42" s="51"/>
      <c r="RUX42" s="51"/>
      <c r="RUY42" s="51"/>
      <c r="RUZ42" s="51"/>
      <c r="RVA42" s="51"/>
      <c r="RVB42" s="51"/>
      <c r="RVC42" s="51"/>
      <c r="RVD42" s="51"/>
      <c r="RVE42" s="51"/>
      <c r="RVF42" s="51"/>
      <c r="RVG42" s="51"/>
      <c r="RVH42" s="51"/>
      <c r="RVI42" s="51"/>
      <c r="RVJ42" s="51"/>
      <c r="RVK42" s="51"/>
      <c r="RVL42" s="51"/>
      <c r="RVM42" s="51"/>
      <c r="RVN42" s="51"/>
      <c r="RVO42" s="51"/>
      <c r="RVP42" s="51"/>
      <c r="RVQ42" s="51"/>
      <c r="RVR42" s="51"/>
      <c r="RVS42" s="51"/>
      <c r="RVT42" s="51"/>
      <c r="RVU42" s="51"/>
      <c r="RVV42" s="51"/>
      <c r="RVW42" s="51"/>
      <c r="RVX42" s="51"/>
      <c r="RVY42" s="51"/>
      <c r="RVZ42" s="51"/>
      <c r="RWA42" s="51"/>
      <c r="RWB42" s="51"/>
      <c r="RWC42" s="51"/>
      <c r="RWD42" s="51"/>
      <c r="RWE42" s="51"/>
      <c r="RWF42" s="51"/>
      <c r="RWG42" s="51"/>
      <c r="RWH42" s="51"/>
      <c r="RWI42" s="51"/>
      <c r="RWJ42" s="51"/>
      <c r="RWK42" s="51"/>
      <c r="RWL42" s="51"/>
      <c r="RWM42" s="51"/>
      <c r="RWN42" s="51"/>
      <c r="RWO42" s="51"/>
      <c r="RWP42" s="51"/>
      <c r="RWQ42" s="51"/>
      <c r="RWR42" s="51"/>
      <c r="RWS42" s="51"/>
      <c r="RWT42" s="51"/>
      <c r="RWU42" s="51"/>
      <c r="RWV42" s="51"/>
      <c r="RWW42" s="51"/>
      <c r="RWX42" s="51"/>
      <c r="RWY42" s="51"/>
      <c r="RWZ42" s="51"/>
      <c r="RXA42" s="51"/>
      <c r="RXB42" s="51"/>
      <c r="RXC42" s="51"/>
      <c r="RXD42" s="51"/>
      <c r="RXE42" s="51"/>
      <c r="RXF42" s="51"/>
      <c r="RXG42" s="51"/>
      <c r="RXH42" s="51"/>
      <c r="RXI42" s="51"/>
      <c r="RXJ42" s="51"/>
      <c r="RXK42" s="51"/>
      <c r="RXL42" s="51"/>
      <c r="RXM42" s="51"/>
      <c r="RXN42" s="51"/>
      <c r="RXO42" s="51"/>
      <c r="RXP42" s="51"/>
      <c r="RXQ42" s="51"/>
      <c r="RXR42" s="51"/>
      <c r="RXS42" s="51"/>
      <c r="RXT42" s="51"/>
      <c r="RXU42" s="51"/>
      <c r="RXV42" s="51"/>
      <c r="RXW42" s="51"/>
      <c r="RXX42" s="51"/>
      <c r="RXY42" s="51"/>
      <c r="RXZ42" s="51"/>
      <c r="RYA42" s="51"/>
      <c r="RYB42" s="51"/>
      <c r="RYC42" s="51"/>
      <c r="RYD42" s="51"/>
      <c r="RYE42" s="51"/>
      <c r="RYF42" s="51"/>
      <c r="RYG42" s="51"/>
      <c r="RYH42" s="51"/>
      <c r="RYI42" s="51"/>
      <c r="RYJ42" s="51"/>
      <c r="RYK42" s="51"/>
      <c r="RYL42" s="51"/>
      <c r="RYM42" s="51"/>
      <c r="RYN42" s="51"/>
      <c r="RYO42" s="51"/>
      <c r="RYP42" s="51"/>
      <c r="RYQ42" s="51"/>
      <c r="RYR42" s="51"/>
      <c r="RYS42" s="51"/>
      <c r="RYT42" s="51"/>
      <c r="RYU42" s="51"/>
      <c r="RYV42" s="51"/>
      <c r="RYW42" s="51"/>
      <c r="RYX42" s="51"/>
      <c r="RYY42" s="51"/>
      <c r="RYZ42" s="51"/>
      <c r="RZA42" s="51"/>
      <c r="RZB42" s="51"/>
      <c r="RZC42" s="51"/>
      <c r="RZD42" s="51"/>
      <c r="RZE42" s="51"/>
      <c r="RZF42" s="51"/>
      <c r="RZG42" s="51"/>
      <c r="RZH42" s="51"/>
      <c r="RZI42" s="51"/>
      <c r="RZJ42" s="51"/>
      <c r="RZK42" s="51"/>
      <c r="RZL42" s="51"/>
      <c r="RZM42" s="51"/>
      <c r="RZN42" s="51"/>
      <c r="RZO42" s="51"/>
      <c r="RZP42" s="51"/>
      <c r="RZQ42" s="51"/>
      <c r="RZR42" s="51"/>
      <c r="RZS42" s="51"/>
      <c r="RZT42" s="51"/>
      <c r="RZU42" s="51"/>
      <c r="RZV42" s="51"/>
      <c r="RZW42" s="51"/>
      <c r="RZX42" s="51"/>
      <c r="RZY42" s="51"/>
      <c r="RZZ42" s="51"/>
      <c r="SAA42" s="51"/>
      <c r="SAB42" s="51"/>
      <c r="SAC42" s="51"/>
      <c r="SAD42" s="51"/>
      <c r="SAE42" s="51"/>
      <c r="SAF42" s="51"/>
      <c r="SAG42" s="51"/>
      <c r="SAH42" s="51"/>
      <c r="SAI42" s="51"/>
      <c r="SAJ42" s="51"/>
      <c r="SAK42" s="51"/>
      <c r="SAL42" s="51"/>
      <c r="SAM42" s="51"/>
      <c r="SAN42" s="51"/>
      <c r="SAO42" s="51"/>
      <c r="SAP42" s="51"/>
      <c r="SAQ42" s="51"/>
      <c r="SAR42" s="51"/>
      <c r="SAS42" s="51"/>
      <c r="SAT42" s="51"/>
      <c r="SAU42" s="51"/>
      <c r="SAV42" s="51"/>
      <c r="SAW42" s="51"/>
      <c r="SAX42" s="51"/>
      <c r="SAY42" s="51"/>
      <c r="SAZ42" s="51"/>
      <c r="SBA42" s="51"/>
      <c r="SBB42" s="51"/>
      <c r="SBC42" s="51"/>
      <c r="SBD42" s="51"/>
      <c r="SBE42" s="51"/>
      <c r="SBF42" s="51"/>
      <c r="SBG42" s="51"/>
      <c r="SBH42" s="51"/>
      <c r="SBI42" s="51"/>
      <c r="SBJ42" s="51"/>
      <c r="SBK42" s="51"/>
      <c r="SBL42" s="51"/>
      <c r="SBM42" s="51"/>
      <c r="SBN42" s="51"/>
      <c r="SBO42" s="51"/>
      <c r="SBP42" s="51"/>
      <c r="SBQ42" s="51"/>
      <c r="SBR42" s="51"/>
      <c r="SBS42" s="51"/>
      <c r="SBT42" s="51"/>
      <c r="SBU42" s="51"/>
      <c r="SBV42" s="51"/>
      <c r="SBW42" s="51"/>
      <c r="SBX42" s="51"/>
      <c r="SBY42" s="51"/>
      <c r="SBZ42" s="51"/>
      <c r="SCA42" s="51"/>
      <c r="SCB42" s="51"/>
      <c r="SCC42" s="51"/>
      <c r="SCD42" s="51"/>
      <c r="SCE42" s="51"/>
      <c r="SCF42" s="51"/>
      <c r="SCG42" s="51"/>
      <c r="SCH42" s="51"/>
      <c r="SCI42" s="51"/>
      <c r="SCJ42" s="51"/>
      <c r="SCK42" s="51"/>
      <c r="SCL42" s="51"/>
      <c r="SCM42" s="51"/>
      <c r="SCN42" s="51"/>
      <c r="SCO42" s="51"/>
      <c r="SCP42" s="51"/>
      <c r="SCQ42" s="51"/>
      <c r="SCR42" s="51"/>
      <c r="SCS42" s="51"/>
      <c r="SCT42" s="51"/>
      <c r="SCU42" s="51"/>
      <c r="SCV42" s="51"/>
      <c r="SCW42" s="51"/>
      <c r="SCX42" s="51"/>
      <c r="SCY42" s="51"/>
      <c r="SCZ42" s="51"/>
      <c r="SDA42" s="51"/>
      <c r="SDB42" s="51"/>
      <c r="SDC42" s="51"/>
      <c r="SDD42" s="51"/>
      <c r="SDE42" s="51"/>
      <c r="SDF42" s="51"/>
      <c r="SDG42" s="51"/>
      <c r="SDH42" s="51"/>
      <c r="SDI42" s="51"/>
      <c r="SDJ42" s="51"/>
      <c r="SDK42" s="51"/>
      <c r="SDL42" s="51"/>
      <c r="SDM42" s="51"/>
      <c r="SDN42" s="51"/>
      <c r="SDO42" s="51"/>
      <c r="SDP42" s="51"/>
      <c r="SDQ42" s="51"/>
      <c r="SDR42" s="51"/>
      <c r="SDS42" s="51"/>
      <c r="SDT42" s="51"/>
      <c r="SDU42" s="51"/>
      <c r="SDV42" s="51"/>
      <c r="SDW42" s="51"/>
      <c r="SDX42" s="51"/>
      <c r="SDY42" s="51"/>
      <c r="SDZ42" s="51"/>
      <c r="SEA42" s="51"/>
      <c r="SEB42" s="51"/>
      <c r="SEC42" s="51"/>
      <c r="SED42" s="51"/>
      <c r="SEE42" s="51"/>
      <c r="SEF42" s="51"/>
      <c r="SEG42" s="51"/>
      <c r="SEH42" s="51"/>
      <c r="SEI42" s="51"/>
      <c r="SEJ42" s="51"/>
      <c r="SEK42" s="51"/>
      <c r="SEL42" s="51"/>
      <c r="SEM42" s="51"/>
      <c r="SEN42" s="51"/>
      <c r="SEO42" s="51"/>
      <c r="SEP42" s="51"/>
      <c r="SEQ42" s="51"/>
      <c r="SER42" s="51"/>
      <c r="SES42" s="51"/>
      <c r="SET42" s="51"/>
      <c r="SEU42" s="51"/>
      <c r="SEV42" s="51"/>
      <c r="SEW42" s="51"/>
      <c r="SEX42" s="51"/>
      <c r="SEY42" s="51"/>
      <c r="SEZ42" s="51"/>
      <c r="SFA42" s="51"/>
      <c r="SFB42" s="51"/>
      <c r="SFC42" s="51"/>
      <c r="SFD42" s="51"/>
      <c r="SFE42" s="51"/>
      <c r="SFF42" s="51"/>
      <c r="SFG42" s="51"/>
      <c r="SFH42" s="51"/>
      <c r="SFI42" s="51"/>
      <c r="SFJ42" s="51"/>
      <c r="SFK42" s="51"/>
      <c r="SFL42" s="51"/>
      <c r="SFM42" s="51"/>
      <c r="SFN42" s="51"/>
      <c r="SFO42" s="51"/>
      <c r="SFP42" s="51"/>
      <c r="SFQ42" s="51"/>
      <c r="SFR42" s="51"/>
      <c r="SFS42" s="51"/>
      <c r="SFT42" s="51"/>
      <c r="SFU42" s="51"/>
      <c r="SFV42" s="51"/>
      <c r="SFW42" s="51"/>
      <c r="SFX42" s="51"/>
      <c r="SFY42" s="51"/>
      <c r="SFZ42" s="51"/>
      <c r="SGA42" s="51"/>
      <c r="SGB42" s="51"/>
      <c r="SGC42" s="51"/>
      <c r="SGD42" s="51"/>
      <c r="SGE42" s="51"/>
      <c r="SGF42" s="51"/>
      <c r="SGG42" s="51"/>
      <c r="SGH42" s="51"/>
      <c r="SGI42" s="51"/>
      <c r="SGJ42" s="51"/>
      <c r="SGK42" s="51"/>
      <c r="SGL42" s="51"/>
      <c r="SGM42" s="51"/>
      <c r="SGN42" s="51"/>
      <c r="SGO42" s="51"/>
      <c r="SGP42" s="51"/>
      <c r="SGQ42" s="51"/>
      <c r="SGR42" s="51"/>
      <c r="SGS42" s="51"/>
      <c r="SGT42" s="51"/>
      <c r="SGU42" s="51"/>
      <c r="SGV42" s="51"/>
      <c r="SGW42" s="51"/>
      <c r="SGX42" s="51"/>
      <c r="SGY42" s="51"/>
      <c r="SGZ42" s="51"/>
      <c r="SHA42" s="51"/>
      <c r="SHB42" s="51"/>
      <c r="SHC42" s="51"/>
      <c r="SHD42" s="51"/>
      <c r="SHE42" s="51"/>
      <c r="SHF42" s="51"/>
      <c r="SHG42" s="51"/>
      <c r="SHH42" s="51"/>
      <c r="SHI42" s="51"/>
      <c r="SHJ42" s="51"/>
      <c r="SHK42" s="51"/>
      <c r="SHL42" s="51"/>
      <c r="SHM42" s="51"/>
      <c r="SHN42" s="51"/>
      <c r="SHO42" s="51"/>
      <c r="SHP42" s="51"/>
      <c r="SHQ42" s="51"/>
      <c r="SHR42" s="51"/>
      <c r="SHS42" s="51"/>
      <c r="SHT42" s="51"/>
      <c r="SHU42" s="51"/>
      <c r="SHV42" s="51"/>
      <c r="SHW42" s="51"/>
      <c r="SHX42" s="51"/>
      <c r="SHY42" s="51"/>
      <c r="SHZ42" s="51"/>
      <c r="SIA42" s="51"/>
      <c r="SIB42" s="51"/>
      <c r="SIC42" s="51"/>
      <c r="SID42" s="51"/>
      <c r="SIE42" s="51"/>
      <c r="SIF42" s="51"/>
      <c r="SIG42" s="51"/>
      <c r="SIH42" s="51"/>
      <c r="SII42" s="51"/>
      <c r="SIJ42" s="51"/>
      <c r="SIK42" s="51"/>
      <c r="SIL42" s="51"/>
      <c r="SIM42" s="51"/>
      <c r="SIN42" s="51"/>
      <c r="SIO42" s="51"/>
      <c r="SIP42" s="51"/>
      <c r="SIQ42" s="51"/>
      <c r="SIR42" s="51"/>
      <c r="SIS42" s="51"/>
      <c r="SIT42" s="51"/>
      <c r="SIU42" s="51"/>
      <c r="SIV42" s="51"/>
      <c r="SIW42" s="51"/>
      <c r="SIX42" s="51"/>
      <c r="SIY42" s="51"/>
      <c r="SIZ42" s="51"/>
      <c r="SJA42" s="51"/>
      <c r="SJB42" s="51"/>
      <c r="SJC42" s="51"/>
      <c r="SJD42" s="51"/>
      <c r="SJE42" s="51"/>
      <c r="SJF42" s="51"/>
      <c r="SJG42" s="51"/>
      <c r="SJH42" s="51"/>
      <c r="SJI42" s="51"/>
      <c r="SJJ42" s="51"/>
      <c r="SJK42" s="51"/>
      <c r="SJL42" s="51"/>
      <c r="SJM42" s="51"/>
      <c r="SJN42" s="51"/>
      <c r="SJO42" s="51"/>
      <c r="SJP42" s="51"/>
      <c r="SJQ42" s="51"/>
      <c r="SJR42" s="51"/>
      <c r="SJS42" s="51"/>
      <c r="SJT42" s="51"/>
      <c r="SJU42" s="51"/>
      <c r="SJV42" s="51"/>
      <c r="SJW42" s="51"/>
      <c r="SJX42" s="51"/>
      <c r="SJY42" s="51"/>
      <c r="SJZ42" s="51"/>
      <c r="SKA42" s="51"/>
      <c r="SKB42" s="51"/>
      <c r="SKC42" s="51"/>
      <c r="SKD42" s="51"/>
      <c r="SKE42" s="51"/>
      <c r="SKF42" s="51"/>
      <c r="SKG42" s="51"/>
      <c r="SKH42" s="51"/>
      <c r="SKI42" s="51"/>
      <c r="SKJ42" s="51"/>
      <c r="SKK42" s="51"/>
      <c r="SKL42" s="51"/>
      <c r="SKM42" s="51"/>
      <c r="SKN42" s="51"/>
      <c r="SKO42" s="51"/>
      <c r="SKP42" s="51"/>
      <c r="SKQ42" s="51"/>
      <c r="SKR42" s="51"/>
      <c r="SKS42" s="51"/>
      <c r="SKT42" s="51"/>
      <c r="SKU42" s="51"/>
      <c r="SKV42" s="51"/>
      <c r="SKW42" s="51"/>
      <c r="SKX42" s="51"/>
      <c r="SKY42" s="51"/>
      <c r="SKZ42" s="51"/>
      <c r="SLA42" s="51"/>
      <c r="SLB42" s="51"/>
      <c r="SLC42" s="51"/>
      <c r="SLD42" s="51"/>
      <c r="SLE42" s="51"/>
      <c r="SLF42" s="51"/>
      <c r="SLG42" s="51"/>
      <c r="SLH42" s="51"/>
      <c r="SLI42" s="51"/>
      <c r="SLJ42" s="51"/>
      <c r="SLK42" s="51"/>
      <c r="SLL42" s="51"/>
      <c r="SLM42" s="51"/>
      <c r="SLN42" s="51"/>
      <c r="SLO42" s="51"/>
      <c r="SLP42" s="51"/>
      <c r="SLQ42" s="51"/>
      <c r="SLR42" s="51"/>
      <c r="SLS42" s="51"/>
      <c r="SLT42" s="51"/>
      <c r="SLU42" s="51"/>
      <c r="SLV42" s="51"/>
      <c r="SLW42" s="51"/>
      <c r="SLX42" s="51"/>
      <c r="SLY42" s="51"/>
      <c r="SLZ42" s="51"/>
      <c r="SMA42" s="51"/>
      <c r="SMB42" s="51"/>
      <c r="SMC42" s="51"/>
      <c r="SMD42" s="51"/>
      <c r="SME42" s="51"/>
      <c r="SMF42" s="51"/>
      <c r="SMG42" s="51"/>
      <c r="SMH42" s="51"/>
      <c r="SMI42" s="51"/>
      <c r="SMJ42" s="51"/>
      <c r="SMK42" s="51"/>
      <c r="SML42" s="51"/>
      <c r="SMM42" s="51"/>
      <c r="SMN42" s="51"/>
      <c r="SMO42" s="51"/>
      <c r="SMP42" s="51"/>
      <c r="SMQ42" s="51"/>
      <c r="SMR42" s="51"/>
      <c r="SMS42" s="51"/>
      <c r="SMT42" s="51"/>
      <c r="SMU42" s="51"/>
      <c r="SMV42" s="51"/>
      <c r="SMW42" s="51"/>
      <c r="SMX42" s="51"/>
      <c r="SMY42" s="51"/>
      <c r="SMZ42" s="51"/>
      <c r="SNA42" s="51"/>
      <c r="SNB42" s="51"/>
      <c r="SNC42" s="51"/>
      <c r="SND42" s="51"/>
      <c r="SNE42" s="51"/>
      <c r="SNF42" s="51"/>
      <c r="SNG42" s="51"/>
      <c r="SNH42" s="51"/>
      <c r="SNI42" s="51"/>
      <c r="SNJ42" s="51"/>
      <c r="SNK42" s="51"/>
      <c r="SNL42" s="51"/>
      <c r="SNM42" s="51"/>
      <c r="SNN42" s="51"/>
      <c r="SNO42" s="51"/>
      <c r="SNP42" s="51"/>
      <c r="SNQ42" s="51"/>
      <c r="SNR42" s="51"/>
      <c r="SNS42" s="51"/>
      <c r="SNT42" s="51"/>
      <c r="SNU42" s="51"/>
      <c r="SNV42" s="51"/>
      <c r="SNW42" s="51"/>
      <c r="SNX42" s="51"/>
      <c r="SNY42" s="51"/>
      <c r="SNZ42" s="51"/>
      <c r="SOA42" s="51"/>
      <c r="SOB42" s="51"/>
      <c r="SOC42" s="51"/>
      <c r="SOD42" s="51"/>
      <c r="SOE42" s="51"/>
      <c r="SOF42" s="51"/>
      <c r="SOG42" s="51"/>
      <c r="SOH42" s="51"/>
      <c r="SOI42" s="51"/>
      <c r="SOJ42" s="51"/>
      <c r="SOK42" s="51"/>
      <c r="SOL42" s="51"/>
      <c r="SOM42" s="51"/>
      <c r="SON42" s="51"/>
      <c r="SOO42" s="51"/>
      <c r="SOP42" s="51"/>
      <c r="SOQ42" s="51"/>
      <c r="SOR42" s="51"/>
      <c r="SOS42" s="51"/>
      <c r="SOT42" s="51"/>
      <c r="SOU42" s="51"/>
      <c r="SOV42" s="51"/>
      <c r="SOW42" s="51"/>
      <c r="SOX42" s="51"/>
      <c r="SOY42" s="51"/>
      <c r="SOZ42" s="51"/>
      <c r="SPA42" s="51"/>
      <c r="SPB42" s="51"/>
      <c r="SPC42" s="51"/>
      <c r="SPD42" s="51"/>
      <c r="SPE42" s="51"/>
      <c r="SPF42" s="51"/>
      <c r="SPG42" s="51"/>
      <c r="SPH42" s="51"/>
      <c r="SPI42" s="51"/>
      <c r="SPJ42" s="51"/>
      <c r="SPK42" s="51"/>
      <c r="SPL42" s="51"/>
      <c r="SPM42" s="51"/>
      <c r="SPN42" s="51"/>
      <c r="SPO42" s="51"/>
      <c r="SPP42" s="51"/>
      <c r="SPQ42" s="51"/>
      <c r="SPR42" s="51"/>
      <c r="SPS42" s="51"/>
      <c r="SPT42" s="51"/>
      <c r="SPU42" s="51"/>
      <c r="SPV42" s="51"/>
      <c r="SPW42" s="51"/>
      <c r="SPX42" s="51"/>
      <c r="SPY42" s="51"/>
      <c r="SPZ42" s="51"/>
      <c r="SQA42" s="51"/>
      <c r="SQB42" s="51"/>
      <c r="SQC42" s="51"/>
      <c r="SQD42" s="51"/>
      <c r="SQE42" s="51"/>
      <c r="SQF42" s="51"/>
      <c r="SQG42" s="51"/>
      <c r="SQH42" s="51"/>
      <c r="SQI42" s="51"/>
      <c r="SQJ42" s="51"/>
      <c r="SQK42" s="51"/>
      <c r="SQL42" s="51"/>
      <c r="SQM42" s="51"/>
      <c r="SQN42" s="51"/>
      <c r="SQO42" s="51"/>
      <c r="SQP42" s="51"/>
      <c r="SQQ42" s="51"/>
      <c r="SQR42" s="51"/>
      <c r="SQS42" s="51"/>
      <c r="SQT42" s="51"/>
      <c r="SQU42" s="51"/>
      <c r="SQV42" s="51"/>
      <c r="SQW42" s="51"/>
      <c r="SQX42" s="51"/>
      <c r="SQY42" s="51"/>
      <c r="SQZ42" s="51"/>
      <c r="SRA42" s="51"/>
      <c r="SRB42" s="51"/>
      <c r="SRC42" s="51"/>
      <c r="SRD42" s="51"/>
      <c r="SRE42" s="51"/>
      <c r="SRF42" s="51"/>
      <c r="SRG42" s="51"/>
      <c r="SRH42" s="51"/>
      <c r="SRI42" s="51"/>
      <c r="SRJ42" s="51"/>
      <c r="SRK42" s="51"/>
      <c r="SRL42" s="51"/>
      <c r="SRM42" s="51"/>
      <c r="SRN42" s="51"/>
      <c r="SRO42" s="51"/>
      <c r="SRP42" s="51"/>
      <c r="SRQ42" s="51"/>
      <c r="SRR42" s="51"/>
      <c r="SRS42" s="51"/>
      <c r="SRT42" s="51"/>
      <c r="SRU42" s="51"/>
      <c r="SRV42" s="51"/>
      <c r="SRW42" s="51"/>
      <c r="SRX42" s="51"/>
      <c r="SRY42" s="51"/>
      <c r="SRZ42" s="51"/>
      <c r="SSA42" s="51"/>
      <c r="SSB42" s="51"/>
      <c r="SSC42" s="51"/>
      <c r="SSD42" s="51"/>
      <c r="SSE42" s="51"/>
      <c r="SSF42" s="51"/>
      <c r="SSG42" s="51"/>
      <c r="SSH42" s="51"/>
      <c r="SSI42" s="51"/>
      <c r="SSJ42" s="51"/>
      <c r="SSK42" s="51"/>
      <c r="SSL42" s="51"/>
      <c r="SSM42" s="51"/>
      <c r="SSN42" s="51"/>
      <c r="SSO42" s="51"/>
      <c r="SSP42" s="51"/>
      <c r="SSQ42" s="51"/>
      <c r="SSR42" s="51"/>
      <c r="SSS42" s="51"/>
      <c r="SST42" s="51"/>
      <c r="SSU42" s="51"/>
      <c r="SSV42" s="51"/>
      <c r="SSW42" s="51"/>
      <c r="SSX42" s="51"/>
      <c r="SSY42" s="51"/>
      <c r="SSZ42" s="51"/>
      <c r="STA42" s="51"/>
      <c r="STB42" s="51"/>
      <c r="STC42" s="51"/>
      <c r="STD42" s="51"/>
      <c r="STE42" s="51"/>
      <c r="STF42" s="51"/>
      <c r="STG42" s="51"/>
      <c r="STH42" s="51"/>
      <c r="STI42" s="51"/>
      <c r="STJ42" s="51"/>
      <c r="STK42" s="51"/>
      <c r="STL42" s="51"/>
      <c r="STM42" s="51"/>
      <c r="STN42" s="51"/>
      <c r="STO42" s="51"/>
      <c r="STP42" s="51"/>
      <c r="STQ42" s="51"/>
      <c r="STR42" s="51"/>
      <c r="STS42" s="51"/>
      <c r="STT42" s="51"/>
      <c r="STU42" s="51"/>
      <c r="STV42" s="51"/>
      <c r="STW42" s="51"/>
      <c r="STX42" s="51"/>
      <c r="STY42" s="51"/>
      <c r="STZ42" s="51"/>
      <c r="SUA42" s="51"/>
      <c r="SUB42" s="51"/>
      <c r="SUC42" s="51"/>
      <c r="SUD42" s="51"/>
      <c r="SUE42" s="51"/>
      <c r="SUF42" s="51"/>
      <c r="SUG42" s="51"/>
      <c r="SUH42" s="51"/>
      <c r="SUI42" s="51"/>
      <c r="SUJ42" s="51"/>
      <c r="SUK42" s="51"/>
      <c r="SUL42" s="51"/>
      <c r="SUM42" s="51"/>
      <c r="SUN42" s="51"/>
      <c r="SUO42" s="51"/>
      <c r="SUP42" s="51"/>
      <c r="SUQ42" s="51"/>
      <c r="SUR42" s="51"/>
      <c r="SUS42" s="51"/>
      <c r="SUT42" s="51"/>
      <c r="SUU42" s="51"/>
      <c r="SUV42" s="51"/>
      <c r="SUW42" s="51"/>
      <c r="SUX42" s="51"/>
      <c r="SUY42" s="51"/>
      <c r="SUZ42" s="51"/>
      <c r="SVA42" s="51"/>
      <c r="SVB42" s="51"/>
      <c r="SVC42" s="51"/>
      <c r="SVD42" s="51"/>
      <c r="SVE42" s="51"/>
      <c r="SVF42" s="51"/>
      <c r="SVG42" s="51"/>
      <c r="SVH42" s="51"/>
      <c r="SVI42" s="51"/>
      <c r="SVJ42" s="51"/>
      <c r="SVK42" s="51"/>
      <c r="SVL42" s="51"/>
      <c r="SVM42" s="51"/>
      <c r="SVN42" s="51"/>
      <c r="SVO42" s="51"/>
      <c r="SVP42" s="51"/>
      <c r="SVQ42" s="51"/>
      <c r="SVR42" s="51"/>
      <c r="SVS42" s="51"/>
      <c r="SVT42" s="51"/>
      <c r="SVU42" s="51"/>
      <c r="SVV42" s="51"/>
      <c r="SVW42" s="51"/>
      <c r="SVX42" s="51"/>
      <c r="SVY42" s="51"/>
      <c r="SVZ42" s="51"/>
      <c r="SWA42" s="51"/>
      <c r="SWB42" s="51"/>
      <c r="SWC42" s="51"/>
      <c r="SWD42" s="51"/>
      <c r="SWE42" s="51"/>
      <c r="SWF42" s="51"/>
      <c r="SWG42" s="51"/>
      <c r="SWH42" s="51"/>
      <c r="SWI42" s="51"/>
      <c r="SWJ42" s="51"/>
      <c r="SWK42" s="51"/>
      <c r="SWL42" s="51"/>
      <c r="SWM42" s="51"/>
      <c r="SWN42" s="51"/>
      <c r="SWO42" s="51"/>
      <c r="SWP42" s="51"/>
      <c r="SWQ42" s="51"/>
      <c r="SWR42" s="51"/>
      <c r="SWS42" s="51"/>
      <c r="SWT42" s="51"/>
      <c r="SWU42" s="51"/>
      <c r="SWV42" s="51"/>
      <c r="SWW42" s="51"/>
      <c r="SWX42" s="51"/>
      <c r="SWY42" s="51"/>
      <c r="SWZ42" s="51"/>
      <c r="SXA42" s="51"/>
      <c r="SXB42" s="51"/>
      <c r="SXC42" s="51"/>
      <c r="SXD42" s="51"/>
      <c r="SXE42" s="51"/>
      <c r="SXF42" s="51"/>
      <c r="SXG42" s="51"/>
      <c r="SXH42" s="51"/>
      <c r="SXI42" s="51"/>
      <c r="SXJ42" s="51"/>
      <c r="SXK42" s="51"/>
      <c r="SXL42" s="51"/>
      <c r="SXM42" s="51"/>
      <c r="SXN42" s="51"/>
      <c r="SXO42" s="51"/>
      <c r="SXP42" s="51"/>
      <c r="SXQ42" s="51"/>
      <c r="SXR42" s="51"/>
      <c r="SXS42" s="51"/>
      <c r="SXT42" s="51"/>
      <c r="SXU42" s="51"/>
      <c r="SXV42" s="51"/>
      <c r="SXW42" s="51"/>
      <c r="SXX42" s="51"/>
      <c r="SXY42" s="51"/>
      <c r="SXZ42" s="51"/>
      <c r="SYA42" s="51"/>
      <c r="SYB42" s="51"/>
      <c r="SYC42" s="51"/>
      <c r="SYD42" s="51"/>
      <c r="SYE42" s="51"/>
      <c r="SYF42" s="51"/>
      <c r="SYG42" s="51"/>
      <c r="SYH42" s="51"/>
      <c r="SYI42" s="51"/>
      <c r="SYJ42" s="51"/>
      <c r="SYK42" s="51"/>
      <c r="SYL42" s="51"/>
      <c r="SYM42" s="51"/>
      <c r="SYN42" s="51"/>
      <c r="SYO42" s="51"/>
      <c r="SYP42" s="51"/>
      <c r="SYQ42" s="51"/>
      <c r="SYR42" s="51"/>
      <c r="SYS42" s="51"/>
      <c r="SYT42" s="51"/>
      <c r="SYU42" s="51"/>
      <c r="SYV42" s="51"/>
      <c r="SYW42" s="51"/>
      <c r="SYX42" s="51"/>
      <c r="SYY42" s="51"/>
      <c r="SYZ42" s="51"/>
      <c r="SZA42" s="51"/>
      <c r="SZB42" s="51"/>
      <c r="SZC42" s="51"/>
      <c r="SZD42" s="51"/>
      <c r="SZE42" s="51"/>
      <c r="SZF42" s="51"/>
      <c r="SZG42" s="51"/>
      <c r="SZH42" s="51"/>
      <c r="SZI42" s="51"/>
      <c r="SZJ42" s="51"/>
      <c r="SZK42" s="51"/>
      <c r="SZL42" s="51"/>
      <c r="SZM42" s="51"/>
      <c r="SZN42" s="51"/>
      <c r="SZO42" s="51"/>
      <c r="SZP42" s="51"/>
      <c r="SZQ42" s="51"/>
      <c r="SZR42" s="51"/>
      <c r="SZS42" s="51"/>
      <c r="SZT42" s="51"/>
      <c r="SZU42" s="51"/>
      <c r="SZV42" s="51"/>
      <c r="SZW42" s="51"/>
      <c r="SZX42" s="51"/>
      <c r="SZY42" s="51"/>
      <c r="SZZ42" s="51"/>
      <c r="TAA42" s="51"/>
      <c r="TAB42" s="51"/>
      <c r="TAC42" s="51"/>
      <c r="TAD42" s="51"/>
      <c r="TAE42" s="51"/>
      <c r="TAF42" s="51"/>
      <c r="TAG42" s="51"/>
      <c r="TAH42" s="51"/>
      <c r="TAI42" s="51"/>
      <c r="TAJ42" s="51"/>
      <c r="TAK42" s="51"/>
      <c r="TAL42" s="51"/>
      <c r="TAM42" s="51"/>
      <c r="TAN42" s="51"/>
      <c r="TAO42" s="51"/>
      <c r="TAP42" s="51"/>
      <c r="TAQ42" s="51"/>
      <c r="TAR42" s="51"/>
      <c r="TAS42" s="51"/>
      <c r="TAT42" s="51"/>
      <c r="TAU42" s="51"/>
      <c r="TAV42" s="51"/>
      <c r="TAW42" s="51"/>
      <c r="TAX42" s="51"/>
      <c r="TAY42" s="51"/>
      <c r="TAZ42" s="51"/>
      <c r="TBA42" s="51"/>
      <c r="TBB42" s="51"/>
      <c r="TBC42" s="51"/>
      <c r="TBD42" s="51"/>
      <c r="TBE42" s="51"/>
      <c r="TBF42" s="51"/>
      <c r="TBG42" s="51"/>
      <c r="TBH42" s="51"/>
      <c r="TBI42" s="51"/>
      <c r="TBJ42" s="51"/>
      <c r="TBK42" s="51"/>
      <c r="TBL42" s="51"/>
      <c r="TBM42" s="51"/>
      <c r="TBN42" s="51"/>
      <c r="TBO42" s="51"/>
      <c r="TBP42" s="51"/>
      <c r="TBQ42" s="51"/>
      <c r="TBR42" s="51"/>
      <c r="TBS42" s="51"/>
      <c r="TBT42" s="51"/>
      <c r="TBU42" s="51"/>
      <c r="TBV42" s="51"/>
      <c r="TBW42" s="51"/>
      <c r="TBX42" s="51"/>
      <c r="TBY42" s="51"/>
      <c r="TBZ42" s="51"/>
      <c r="TCA42" s="51"/>
      <c r="TCB42" s="51"/>
      <c r="TCC42" s="51"/>
      <c r="TCD42" s="51"/>
      <c r="TCE42" s="51"/>
      <c r="TCF42" s="51"/>
      <c r="TCG42" s="51"/>
      <c r="TCH42" s="51"/>
      <c r="TCI42" s="51"/>
      <c r="TCJ42" s="51"/>
      <c r="TCK42" s="51"/>
      <c r="TCL42" s="51"/>
      <c r="TCM42" s="51"/>
      <c r="TCN42" s="51"/>
      <c r="TCO42" s="51"/>
      <c r="TCP42" s="51"/>
      <c r="TCQ42" s="51"/>
      <c r="TCR42" s="51"/>
      <c r="TCS42" s="51"/>
      <c r="TCT42" s="51"/>
      <c r="TCU42" s="51"/>
      <c r="TCV42" s="51"/>
      <c r="TCW42" s="51"/>
      <c r="TCX42" s="51"/>
      <c r="TCY42" s="51"/>
      <c r="TCZ42" s="51"/>
      <c r="TDA42" s="51"/>
      <c r="TDB42" s="51"/>
      <c r="TDC42" s="51"/>
      <c r="TDD42" s="51"/>
      <c r="TDE42" s="51"/>
      <c r="TDF42" s="51"/>
      <c r="TDG42" s="51"/>
      <c r="TDH42" s="51"/>
      <c r="TDI42" s="51"/>
      <c r="TDJ42" s="51"/>
      <c r="TDK42" s="51"/>
      <c r="TDL42" s="51"/>
      <c r="TDM42" s="51"/>
      <c r="TDN42" s="51"/>
      <c r="TDO42" s="51"/>
      <c r="TDP42" s="51"/>
      <c r="TDQ42" s="51"/>
      <c r="TDR42" s="51"/>
      <c r="TDS42" s="51"/>
      <c r="TDT42" s="51"/>
      <c r="TDU42" s="51"/>
      <c r="TDV42" s="51"/>
      <c r="TDW42" s="51"/>
      <c r="TDX42" s="51"/>
      <c r="TDY42" s="51"/>
      <c r="TDZ42" s="51"/>
      <c r="TEA42" s="51"/>
      <c r="TEB42" s="51"/>
      <c r="TEC42" s="51"/>
      <c r="TED42" s="51"/>
      <c r="TEE42" s="51"/>
      <c r="TEF42" s="51"/>
      <c r="TEG42" s="51"/>
      <c r="TEH42" s="51"/>
      <c r="TEI42" s="51"/>
      <c r="TEJ42" s="51"/>
      <c r="TEK42" s="51"/>
      <c r="TEL42" s="51"/>
      <c r="TEM42" s="51"/>
      <c r="TEN42" s="51"/>
      <c r="TEO42" s="51"/>
      <c r="TEP42" s="51"/>
      <c r="TEQ42" s="51"/>
      <c r="TER42" s="51"/>
      <c r="TES42" s="51"/>
      <c r="TET42" s="51"/>
      <c r="TEU42" s="51"/>
      <c r="TEV42" s="51"/>
      <c r="TEW42" s="51"/>
      <c r="TEX42" s="51"/>
      <c r="TEY42" s="51"/>
      <c r="TEZ42" s="51"/>
      <c r="TFA42" s="51"/>
      <c r="TFB42" s="51"/>
      <c r="TFC42" s="51"/>
      <c r="TFD42" s="51"/>
      <c r="TFE42" s="51"/>
      <c r="TFF42" s="51"/>
      <c r="TFG42" s="51"/>
      <c r="TFH42" s="51"/>
      <c r="TFI42" s="51"/>
      <c r="TFJ42" s="51"/>
      <c r="TFK42" s="51"/>
      <c r="TFL42" s="51"/>
      <c r="TFM42" s="51"/>
      <c r="TFN42" s="51"/>
      <c r="TFO42" s="51"/>
      <c r="TFP42" s="51"/>
      <c r="TFQ42" s="51"/>
      <c r="TFR42" s="51"/>
      <c r="TFS42" s="51"/>
      <c r="TFT42" s="51"/>
      <c r="TFU42" s="51"/>
      <c r="TFV42" s="51"/>
      <c r="TFW42" s="51"/>
      <c r="TFX42" s="51"/>
      <c r="TFY42" s="51"/>
      <c r="TFZ42" s="51"/>
      <c r="TGA42" s="51"/>
      <c r="TGB42" s="51"/>
      <c r="TGC42" s="51"/>
      <c r="TGD42" s="51"/>
      <c r="TGE42" s="51"/>
      <c r="TGF42" s="51"/>
      <c r="TGG42" s="51"/>
      <c r="TGH42" s="51"/>
      <c r="TGI42" s="51"/>
      <c r="TGJ42" s="51"/>
      <c r="TGK42" s="51"/>
      <c r="TGL42" s="51"/>
      <c r="TGM42" s="51"/>
      <c r="TGN42" s="51"/>
      <c r="TGO42" s="51"/>
      <c r="TGP42" s="51"/>
      <c r="TGQ42" s="51"/>
      <c r="TGR42" s="51"/>
      <c r="TGS42" s="51"/>
      <c r="TGT42" s="51"/>
      <c r="TGU42" s="51"/>
      <c r="TGV42" s="51"/>
      <c r="TGW42" s="51"/>
      <c r="TGX42" s="51"/>
      <c r="TGY42" s="51"/>
      <c r="TGZ42" s="51"/>
      <c r="THA42" s="51"/>
      <c r="THB42" s="51"/>
      <c r="THC42" s="51"/>
      <c r="THD42" s="51"/>
      <c r="THE42" s="51"/>
      <c r="THF42" s="51"/>
      <c r="THG42" s="51"/>
      <c r="THH42" s="51"/>
      <c r="THI42" s="51"/>
      <c r="THJ42" s="51"/>
      <c r="THK42" s="51"/>
      <c r="THL42" s="51"/>
      <c r="THM42" s="51"/>
      <c r="THN42" s="51"/>
      <c r="THO42" s="51"/>
      <c r="THP42" s="51"/>
      <c r="THQ42" s="51"/>
      <c r="THR42" s="51"/>
      <c r="THS42" s="51"/>
      <c r="THT42" s="51"/>
      <c r="THU42" s="51"/>
      <c r="THV42" s="51"/>
      <c r="THW42" s="51"/>
      <c r="THX42" s="51"/>
      <c r="THY42" s="51"/>
      <c r="THZ42" s="51"/>
      <c r="TIA42" s="51"/>
      <c r="TIB42" s="51"/>
      <c r="TIC42" s="51"/>
      <c r="TID42" s="51"/>
      <c r="TIE42" s="51"/>
      <c r="TIF42" s="51"/>
      <c r="TIG42" s="51"/>
      <c r="TIH42" s="51"/>
      <c r="TII42" s="51"/>
      <c r="TIJ42" s="51"/>
      <c r="TIK42" s="51"/>
      <c r="TIL42" s="51"/>
      <c r="TIM42" s="51"/>
      <c r="TIN42" s="51"/>
      <c r="TIO42" s="51"/>
      <c r="TIP42" s="51"/>
      <c r="TIQ42" s="51"/>
      <c r="TIR42" s="51"/>
      <c r="TIS42" s="51"/>
      <c r="TIT42" s="51"/>
      <c r="TIU42" s="51"/>
      <c r="TIV42" s="51"/>
      <c r="TIW42" s="51"/>
      <c r="TIX42" s="51"/>
      <c r="TIY42" s="51"/>
      <c r="TIZ42" s="51"/>
      <c r="TJA42" s="51"/>
      <c r="TJB42" s="51"/>
      <c r="TJC42" s="51"/>
      <c r="TJD42" s="51"/>
      <c r="TJE42" s="51"/>
      <c r="TJF42" s="51"/>
      <c r="TJG42" s="51"/>
      <c r="TJH42" s="51"/>
      <c r="TJI42" s="51"/>
      <c r="TJJ42" s="51"/>
      <c r="TJK42" s="51"/>
      <c r="TJL42" s="51"/>
      <c r="TJM42" s="51"/>
      <c r="TJN42" s="51"/>
      <c r="TJO42" s="51"/>
      <c r="TJP42" s="51"/>
      <c r="TJQ42" s="51"/>
      <c r="TJR42" s="51"/>
      <c r="TJS42" s="51"/>
      <c r="TJT42" s="51"/>
      <c r="TJU42" s="51"/>
      <c r="TJV42" s="51"/>
      <c r="TJW42" s="51"/>
      <c r="TJX42" s="51"/>
      <c r="TJY42" s="51"/>
      <c r="TJZ42" s="51"/>
      <c r="TKA42" s="51"/>
      <c r="TKB42" s="51"/>
      <c r="TKC42" s="51"/>
      <c r="TKD42" s="51"/>
      <c r="TKE42" s="51"/>
      <c r="TKF42" s="51"/>
      <c r="TKG42" s="51"/>
      <c r="TKH42" s="51"/>
      <c r="TKI42" s="51"/>
      <c r="TKJ42" s="51"/>
      <c r="TKK42" s="51"/>
      <c r="TKL42" s="51"/>
      <c r="TKM42" s="51"/>
      <c r="TKN42" s="51"/>
      <c r="TKO42" s="51"/>
      <c r="TKP42" s="51"/>
      <c r="TKQ42" s="51"/>
      <c r="TKR42" s="51"/>
      <c r="TKS42" s="51"/>
      <c r="TKT42" s="51"/>
      <c r="TKU42" s="51"/>
      <c r="TKV42" s="51"/>
      <c r="TKW42" s="51"/>
      <c r="TKX42" s="51"/>
      <c r="TKY42" s="51"/>
      <c r="TKZ42" s="51"/>
      <c r="TLA42" s="51"/>
      <c r="TLB42" s="51"/>
      <c r="TLC42" s="51"/>
      <c r="TLD42" s="51"/>
      <c r="TLE42" s="51"/>
      <c r="TLF42" s="51"/>
      <c r="TLG42" s="51"/>
      <c r="TLH42" s="51"/>
      <c r="TLI42" s="51"/>
      <c r="TLJ42" s="51"/>
      <c r="TLK42" s="51"/>
      <c r="TLL42" s="51"/>
      <c r="TLM42" s="51"/>
      <c r="TLN42" s="51"/>
      <c r="TLO42" s="51"/>
      <c r="TLP42" s="51"/>
      <c r="TLQ42" s="51"/>
      <c r="TLR42" s="51"/>
      <c r="TLS42" s="51"/>
      <c r="TLT42" s="51"/>
      <c r="TLU42" s="51"/>
      <c r="TLV42" s="51"/>
      <c r="TLW42" s="51"/>
      <c r="TLX42" s="51"/>
      <c r="TLY42" s="51"/>
      <c r="TLZ42" s="51"/>
      <c r="TMA42" s="51"/>
      <c r="TMB42" s="51"/>
      <c r="TMC42" s="51"/>
      <c r="TMD42" s="51"/>
      <c r="TME42" s="51"/>
      <c r="TMF42" s="51"/>
      <c r="TMG42" s="51"/>
      <c r="TMH42" s="51"/>
      <c r="TMI42" s="51"/>
      <c r="TMJ42" s="51"/>
      <c r="TMK42" s="51"/>
      <c r="TML42" s="51"/>
      <c r="TMM42" s="51"/>
      <c r="TMN42" s="51"/>
      <c r="TMO42" s="51"/>
      <c r="TMP42" s="51"/>
      <c r="TMQ42" s="51"/>
      <c r="TMR42" s="51"/>
      <c r="TMS42" s="51"/>
      <c r="TMT42" s="51"/>
      <c r="TMU42" s="51"/>
      <c r="TMV42" s="51"/>
      <c r="TMW42" s="51"/>
      <c r="TMX42" s="51"/>
      <c r="TMY42" s="51"/>
      <c r="TMZ42" s="51"/>
      <c r="TNA42" s="51"/>
      <c r="TNB42" s="51"/>
      <c r="TNC42" s="51"/>
      <c r="TND42" s="51"/>
      <c r="TNE42" s="51"/>
      <c r="TNF42" s="51"/>
      <c r="TNG42" s="51"/>
      <c r="TNH42" s="51"/>
      <c r="TNI42" s="51"/>
      <c r="TNJ42" s="51"/>
      <c r="TNK42" s="51"/>
      <c r="TNL42" s="51"/>
      <c r="TNM42" s="51"/>
      <c r="TNN42" s="51"/>
      <c r="TNO42" s="51"/>
      <c r="TNP42" s="51"/>
      <c r="TNQ42" s="51"/>
      <c r="TNR42" s="51"/>
      <c r="TNS42" s="51"/>
      <c r="TNT42" s="51"/>
      <c r="TNU42" s="51"/>
      <c r="TNV42" s="51"/>
      <c r="TNW42" s="51"/>
      <c r="TNX42" s="51"/>
      <c r="TNY42" s="51"/>
      <c r="TNZ42" s="51"/>
      <c r="TOA42" s="51"/>
      <c r="TOB42" s="51"/>
      <c r="TOC42" s="51"/>
      <c r="TOD42" s="51"/>
      <c r="TOE42" s="51"/>
      <c r="TOF42" s="51"/>
      <c r="TOG42" s="51"/>
      <c r="TOH42" s="51"/>
      <c r="TOI42" s="51"/>
      <c r="TOJ42" s="51"/>
      <c r="TOK42" s="51"/>
      <c r="TOL42" s="51"/>
      <c r="TOM42" s="51"/>
      <c r="TON42" s="51"/>
      <c r="TOO42" s="51"/>
      <c r="TOP42" s="51"/>
      <c r="TOQ42" s="51"/>
      <c r="TOR42" s="51"/>
      <c r="TOS42" s="51"/>
      <c r="TOT42" s="51"/>
      <c r="TOU42" s="51"/>
      <c r="TOV42" s="51"/>
      <c r="TOW42" s="51"/>
      <c r="TOX42" s="51"/>
      <c r="TOY42" s="51"/>
      <c r="TOZ42" s="51"/>
      <c r="TPA42" s="51"/>
      <c r="TPB42" s="51"/>
      <c r="TPC42" s="51"/>
      <c r="TPD42" s="51"/>
      <c r="TPE42" s="51"/>
      <c r="TPF42" s="51"/>
      <c r="TPG42" s="51"/>
      <c r="TPH42" s="51"/>
      <c r="TPI42" s="51"/>
      <c r="TPJ42" s="51"/>
      <c r="TPK42" s="51"/>
      <c r="TPL42" s="51"/>
      <c r="TPM42" s="51"/>
      <c r="TPN42" s="51"/>
      <c r="TPO42" s="51"/>
      <c r="TPP42" s="51"/>
      <c r="TPQ42" s="51"/>
      <c r="TPR42" s="51"/>
      <c r="TPS42" s="51"/>
      <c r="TPT42" s="51"/>
      <c r="TPU42" s="51"/>
      <c r="TPV42" s="51"/>
      <c r="TPW42" s="51"/>
      <c r="TPX42" s="51"/>
      <c r="TPY42" s="51"/>
      <c r="TPZ42" s="51"/>
      <c r="TQA42" s="51"/>
      <c r="TQB42" s="51"/>
      <c r="TQC42" s="51"/>
      <c r="TQD42" s="51"/>
      <c r="TQE42" s="51"/>
      <c r="TQF42" s="51"/>
      <c r="TQG42" s="51"/>
      <c r="TQH42" s="51"/>
      <c r="TQI42" s="51"/>
      <c r="TQJ42" s="51"/>
      <c r="TQK42" s="51"/>
      <c r="TQL42" s="51"/>
      <c r="TQM42" s="51"/>
      <c r="TQN42" s="51"/>
      <c r="TQO42" s="51"/>
      <c r="TQP42" s="51"/>
      <c r="TQQ42" s="51"/>
      <c r="TQR42" s="51"/>
      <c r="TQS42" s="51"/>
      <c r="TQT42" s="51"/>
      <c r="TQU42" s="51"/>
      <c r="TQV42" s="51"/>
      <c r="TQW42" s="51"/>
      <c r="TQX42" s="51"/>
      <c r="TQY42" s="51"/>
      <c r="TQZ42" s="51"/>
      <c r="TRA42" s="51"/>
      <c r="TRB42" s="51"/>
      <c r="TRC42" s="51"/>
      <c r="TRD42" s="51"/>
      <c r="TRE42" s="51"/>
      <c r="TRF42" s="51"/>
      <c r="TRG42" s="51"/>
      <c r="TRH42" s="51"/>
      <c r="TRI42" s="51"/>
      <c r="TRJ42" s="51"/>
      <c r="TRK42" s="51"/>
      <c r="TRL42" s="51"/>
      <c r="TRM42" s="51"/>
      <c r="TRN42" s="51"/>
      <c r="TRO42" s="51"/>
      <c r="TRP42" s="51"/>
      <c r="TRQ42" s="51"/>
      <c r="TRR42" s="51"/>
      <c r="TRS42" s="51"/>
      <c r="TRT42" s="51"/>
      <c r="TRU42" s="51"/>
      <c r="TRV42" s="51"/>
      <c r="TRW42" s="51"/>
      <c r="TRX42" s="51"/>
      <c r="TRY42" s="51"/>
      <c r="TRZ42" s="51"/>
      <c r="TSA42" s="51"/>
      <c r="TSB42" s="51"/>
      <c r="TSC42" s="51"/>
      <c r="TSD42" s="51"/>
      <c r="TSE42" s="51"/>
      <c r="TSF42" s="51"/>
      <c r="TSG42" s="51"/>
      <c r="TSH42" s="51"/>
      <c r="TSI42" s="51"/>
      <c r="TSJ42" s="51"/>
      <c r="TSK42" s="51"/>
      <c r="TSL42" s="51"/>
      <c r="TSM42" s="51"/>
      <c r="TSN42" s="51"/>
      <c r="TSO42" s="51"/>
      <c r="TSP42" s="51"/>
      <c r="TSQ42" s="51"/>
      <c r="TSR42" s="51"/>
      <c r="TSS42" s="51"/>
      <c r="TST42" s="51"/>
      <c r="TSU42" s="51"/>
      <c r="TSV42" s="51"/>
      <c r="TSW42" s="51"/>
      <c r="TSX42" s="51"/>
      <c r="TSY42" s="51"/>
      <c r="TSZ42" s="51"/>
      <c r="TTA42" s="51"/>
      <c r="TTB42" s="51"/>
      <c r="TTC42" s="51"/>
      <c r="TTD42" s="51"/>
      <c r="TTE42" s="51"/>
      <c r="TTF42" s="51"/>
      <c r="TTG42" s="51"/>
      <c r="TTH42" s="51"/>
      <c r="TTI42" s="51"/>
      <c r="TTJ42" s="51"/>
      <c r="TTK42" s="51"/>
      <c r="TTL42" s="51"/>
      <c r="TTM42" s="51"/>
      <c r="TTN42" s="51"/>
      <c r="TTO42" s="51"/>
      <c r="TTP42" s="51"/>
      <c r="TTQ42" s="51"/>
      <c r="TTR42" s="51"/>
      <c r="TTS42" s="51"/>
      <c r="TTT42" s="51"/>
      <c r="TTU42" s="51"/>
      <c r="TTV42" s="51"/>
      <c r="TTW42" s="51"/>
      <c r="TTX42" s="51"/>
      <c r="TTY42" s="51"/>
      <c r="TTZ42" s="51"/>
      <c r="TUA42" s="51"/>
      <c r="TUB42" s="51"/>
      <c r="TUC42" s="51"/>
      <c r="TUD42" s="51"/>
      <c r="TUE42" s="51"/>
      <c r="TUF42" s="51"/>
      <c r="TUG42" s="51"/>
      <c r="TUH42" s="51"/>
      <c r="TUI42" s="51"/>
      <c r="TUJ42" s="51"/>
      <c r="TUK42" s="51"/>
      <c r="TUL42" s="51"/>
      <c r="TUM42" s="51"/>
      <c r="TUN42" s="51"/>
      <c r="TUO42" s="51"/>
      <c r="TUP42" s="51"/>
      <c r="TUQ42" s="51"/>
      <c r="TUR42" s="51"/>
      <c r="TUS42" s="51"/>
      <c r="TUT42" s="51"/>
      <c r="TUU42" s="51"/>
      <c r="TUV42" s="51"/>
      <c r="TUW42" s="51"/>
      <c r="TUX42" s="51"/>
      <c r="TUY42" s="51"/>
      <c r="TUZ42" s="51"/>
      <c r="TVA42" s="51"/>
      <c r="TVB42" s="51"/>
      <c r="TVC42" s="51"/>
      <c r="TVD42" s="51"/>
      <c r="TVE42" s="51"/>
      <c r="TVF42" s="51"/>
      <c r="TVG42" s="51"/>
      <c r="TVH42" s="51"/>
      <c r="TVI42" s="51"/>
      <c r="TVJ42" s="51"/>
      <c r="TVK42" s="51"/>
      <c r="TVL42" s="51"/>
      <c r="TVM42" s="51"/>
      <c r="TVN42" s="51"/>
      <c r="TVO42" s="51"/>
      <c r="TVP42" s="51"/>
      <c r="TVQ42" s="51"/>
      <c r="TVR42" s="51"/>
      <c r="TVS42" s="51"/>
      <c r="TVT42" s="51"/>
      <c r="TVU42" s="51"/>
      <c r="TVV42" s="51"/>
      <c r="TVW42" s="51"/>
      <c r="TVX42" s="51"/>
      <c r="TVY42" s="51"/>
      <c r="TVZ42" s="51"/>
      <c r="TWA42" s="51"/>
      <c r="TWB42" s="51"/>
      <c r="TWC42" s="51"/>
      <c r="TWD42" s="51"/>
      <c r="TWE42" s="51"/>
      <c r="TWF42" s="51"/>
      <c r="TWG42" s="51"/>
      <c r="TWH42" s="51"/>
      <c r="TWI42" s="51"/>
      <c r="TWJ42" s="51"/>
      <c r="TWK42" s="51"/>
      <c r="TWL42" s="51"/>
      <c r="TWM42" s="51"/>
      <c r="TWN42" s="51"/>
      <c r="TWO42" s="51"/>
      <c r="TWP42" s="51"/>
      <c r="TWQ42" s="51"/>
      <c r="TWR42" s="51"/>
      <c r="TWS42" s="51"/>
      <c r="TWT42" s="51"/>
      <c r="TWU42" s="51"/>
      <c r="TWV42" s="51"/>
      <c r="TWW42" s="51"/>
      <c r="TWX42" s="51"/>
      <c r="TWY42" s="51"/>
      <c r="TWZ42" s="51"/>
      <c r="TXA42" s="51"/>
      <c r="TXB42" s="51"/>
      <c r="TXC42" s="51"/>
      <c r="TXD42" s="51"/>
      <c r="TXE42" s="51"/>
      <c r="TXF42" s="51"/>
      <c r="TXG42" s="51"/>
      <c r="TXH42" s="51"/>
      <c r="TXI42" s="51"/>
      <c r="TXJ42" s="51"/>
      <c r="TXK42" s="51"/>
      <c r="TXL42" s="51"/>
      <c r="TXM42" s="51"/>
      <c r="TXN42" s="51"/>
      <c r="TXO42" s="51"/>
      <c r="TXP42" s="51"/>
      <c r="TXQ42" s="51"/>
      <c r="TXR42" s="51"/>
      <c r="TXS42" s="51"/>
      <c r="TXT42" s="51"/>
      <c r="TXU42" s="51"/>
      <c r="TXV42" s="51"/>
      <c r="TXW42" s="51"/>
      <c r="TXX42" s="51"/>
      <c r="TXY42" s="51"/>
      <c r="TXZ42" s="51"/>
      <c r="TYA42" s="51"/>
      <c r="TYB42" s="51"/>
      <c r="TYC42" s="51"/>
      <c r="TYD42" s="51"/>
      <c r="TYE42" s="51"/>
      <c r="TYF42" s="51"/>
      <c r="TYG42" s="51"/>
      <c r="TYH42" s="51"/>
      <c r="TYI42" s="51"/>
      <c r="TYJ42" s="51"/>
      <c r="TYK42" s="51"/>
      <c r="TYL42" s="51"/>
      <c r="TYM42" s="51"/>
      <c r="TYN42" s="51"/>
      <c r="TYO42" s="51"/>
      <c r="TYP42" s="51"/>
      <c r="TYQ42" s="51"/>
      <c r="TYR42" s="51"/>
      <c r="TYS42" s="51"/>
      <c r="TYT42" s="51"/>
      <c r="TYU42" s="51"/>
      <c r="TYV42" s="51"/>
      <c r="TYW42" s="51"/>
      <c r="TYX42" s="51"/>
      <c r="TYY42" s="51"/>
      <c r="TYZ42" s="51"/>
      <c r="TZA42" s="51"/>
      <c r="TZB42" s="51"/>
      <c r="TZC42" s="51"/>
      <c r="TZD42" s="51"/>
      <c r="TZE42" s="51"/>
      <c r="TZF42" s="51"/>
      <c r="TZG42" s="51"/>
      <c r="TZH42" s="51"/>
      <c r="TZI42" s="51"/>
      <c r="TZJ42" s="51"/>
      <c r="TZK42" s="51"/>
      <c r="TZL42" s="51"/>
      <c r="TZM42" s="51"/>
      <c r="TZN42" s="51"/>
      <c r="TZO42" s="51"/>
      <c r="TZP42" s="51"/>
      <c r="TZQ42" s="51"/>
      <c r="TZR42" s="51"/>
      <c r="TZS42" s="51"/>
      <c r="TZT42" s="51"/>
      <c r="TZU42" s="51"/>
      <c r="TZV42" s="51"/>
      <c r="TZW42" s="51"/>
      <c r="TZX42" s="51"/>
      <c r="TZY42" s="51"/>
      <c r="TZZ42" s="51"/>
      <c r="UAA42" s="51"/>
      <c r="UAB42" s="51"/>
      <c r="UAC42" s="51"/>
      <c r="UAD42" s="51"/>
      <c r="UAE42" s="51"/>
      <c r="UAF42" s="51"/>
      <c r="UAG42" s="51"/>
      <c r="UAH42" s="51"/>
      <c r="UAI42" s="51"/>
      <c r="UAJ42" s="51"/>
      <c r="UAK42" s="51"/>
      <c r="UAL42" s="51"/>
      <c r="UAM42" s="51"/>
      <c r="UAN42" s="51"/>
      <c r="UAO42" s="51"/>
      <c r="UAP42" s="51"/>
      <c r="UAQ42" s="51"/>
      <c r="UAR42" s="51"/>
      <c r="UAS42" s="51"/>
      <c r="UAT42" s="51"/>
      <c r="UAU42" s="51"/>
      <c r="UAV42" s="51"/>
      <c r="UAW42" s="51"/>
      <c r="UAX42" s="51"/>
      <c r="UAY42" s="51"/>
      <c r="UAZ42" s="51"/>
      <c r="UBA42" s="51"/>
      <c r="UBB42" s="51"/>
      <c r="UBC42" s="51"/>
      <c r="UBD42" s="51"/>
      <c r="UBE42" s="51"/>
      <c r="UBF42" s="51"/>
      <c r="UBG42" s="51"/>
      <c r="UBH42" s="51"/>
      <c r="UBI42" s="51"/>
      <c r="UBJ42" s="51"/>
      <c r="UBK42" s="51"/>
      <c r="UBL42" s="51"/>
      <c r="UBM42" s="51"/>
      <c r="UBN42" s="51"/>
      <c r="UBO42" s="51"/>
      <c r="UBP42" s="51"/>
      <c r="UBQ42" s="51"/>
      <c r="UBR42" s="51"/>
      <c r="UBS42" s="51"/>
      <c r="UBT42" s="51"/>
      <c r="UBU42" s="51"/>
      <c r="UBV42" s="51"/>
      <c r="UBW42" s="51"/>
      <c r="UBX42" s="51"/>
      <c r="UBY42" s="51"/>
      <c r="UBZ42" s="51"/>
      <c r="UCA42" s="51"/>
      <c r="UCB42" s="51"/>
      <c r="UCC42" s="51"/>
      <c r="UCD42" s="51"/>
      <c r="UCE42" s="51"/>
      <c r="UCF42" s="51"/>
      <c r="UCG42" s="51"/>
      <c r="UCH42" s="51"/>
      <c r="UCI42" s="51"/>
      <c r="UCJ42" s="51"/>
      <c r="UCK42" s="51"/>
      <c r="UCL42" s="51"/>
      <c r="UCM42" s="51"/>
      <c r="UCN42" s="51"/>
      <c r="UCO42" s="51"/>
      <c r="UCP42" s="51"/>
      <c r="UCQ42" s="51"/>
      <c r="UCR42" s="51"/>
      <c r="UCS42" s="51"/>
      <c r="UCT42" s="51"/>
      <c r="UCU42" s="51"/>
      <c r="UCV42" s="51"/>
      <c r="UCW42" s="51"/>
      <c r="UCX42" s="51"/>
      <c r="UCY42" s="51"/>
      <c r="UCZ42" s="51"/>
      <c r="UDA42" s="51"/>
      <c r="UDB42" s="51"/>
      <c r="UDC42" s="51"/>
      <c r="UDD42" s="51"/>
      <c r="UDE42" s="51"/>
      <c r="UDF42" s="51"/>
      <c r="UDG42" s="51"/>
      <c r="UDH42" s="51"/>
      <c r="UDI42" s="51"/>
      <c r="UDJ42" s="51"/>
      <c r="UDK42" s="51"/>
      <c r="UDL42" s="51"/>
      <c r="UDM42" s="51"/>
      <c r="UDN42" s="51"/>
      <c r="UDO42" s="51"/>
      <c r="UDP42" s="51"/>
      <c r="UDQ42" s="51"/>
      <c r="UDR42" s="51"/>
      <c r="UDS42" s="51"/>
      <c r="UDT42" s="51"/>
      <c r="UDU42" s="51"/>
      <c r="UDV42" s="51"/>
      <c r="UDW42" s="51"/>
      <c r="UDX42" s="51"/>
      <c r="UDY42" s="51"/>
      <c r="UDZ42" s="51"/>
      <c r="UEA42" s="51"/>
      <c r="UEB42" s="51"/>
      <c r="UEC42" s="51"/>
      <c r="UED42" s="51"/>
      <c r="UEE42" s="51"/>
      <c r="UEF42" s="51"/>
      <c r="UEG42" s="51"/>
      <c r="UEH42" s="51"/>
      <c r="UEI42" s="51"/>
      <c r="UEJ42" s="51"/>
      <c r="UEK42" s="51"/>
      <c r="UEL42" s="51"/>
      <c r="UEM42" s="51"/>
      <c r="UEN42" s="51"/>
      <c r="UEO42" s="51"/>
      <c r="UEP42" s="51"/>
      <c r="UEQ42" s="51"/>
      <c r="UER42" s="51"/>
      <c r="UES42" s="51"/>
      <c r="UET42" s="51"/>
      <c r="UEU42" s="51"/>
      <c r="UEV42" s="51"/>
      <c r="UEW42" s="51"/>
      <c r="UEX42" s="51"/>
      <c r="UEY42" s="51"/>
      <c r="UEZ42" s="51"/>
      <c r="UFA42" s="51"/>
      <c r="UFB42" s="51"/>
      <c r="UFC42" s="51"/>
      <c r="UFD42" s="51"/>
      <c r="UFE42" s="51"/>
      <c r="UFF42" s="51"/>
      <c r="UFG42" s="51"/>
      <c r="UFH42" s="51"/>
      <c r="UFI42" s="51"/>
      <c r="UFJ42" s="51"/>
      <c r="UFK42" s="51"/>
      <c r="UFL42" s="51"/>
      <c r="UFM42" s="51"/>
      <c r="UFN42" s="51"/>
      <c r="UFO42" s="51"/>
      <c r="UFP42" s="51"/>
      <c r="UFQ42" s="51"/>
      <c r="UFR42" s="51"/>
      <c r="UFS42" s="51"/>
      <c r="UFT42" s="51"/>
      <c r="UFU42" s="51"/>
      <c r="UFV42" s="51"/>
      <c r="UFW42" s="51"/>
      <c r="UFX42" s="51"/>
      <c r="UFY42" s="51"/>
      <c r="UFZ42" s="51"/>
      <c r="UGA42" s="51"/>
      <c r="UGB42" s="51"/>
      <c r="UGC42" s="51"/>
      <c r="UGD42" s="51"/>
      <c r="UGE42" s="51"/>
      <c r="UGF42" s="51"/>
      <c r="UGG42" s="51"/>
      <c r="UGH42" s="51"/>
      <c r="UGI42" s="51"/>
      <c r="UGJ42" s="51"/>
      <c r="UGK42" s="51"/>
      <c r="UGL42" s="51"/>
      <c r="UGM42" s="51"/>
      <c r="UGN42" s="51"/>
      <c r="UGO42" s="51"/>
      <c r="UGP42" s="51"/>
      <c r="UGQ42" s="51"/>
      <c r="UGR42" s="51"/>
      <c r="UGS42" s="51"/>
      <c r="UGT42" s="51"/>
      <c r="UGU42" s="51"/>
      <c r="UGV42" s="51"/>
      <c r="UGW42" s="51"/>
      <c r="UGX42" s="51"/>
      <c r="UGY42" s="51"/>
      <c r="UGZ42" s="51"/>
      <c r="UHA42" s="51"/>
      <c r="UHB42" s="51"/>
      <c r="UHC42" s="51"/>
      <c r="UHD42" s="51"/>
      <c r="UHE42" s="51"/>
      <c r="UHF42" s="51"/>
      <c r="UHG42" s="51"/>
      <c r="UHH42" s="51"/>
      <c r="UHI42" s="51"/>
      <c r="UHJ42" s="51"/>
      <c r="UHK42" s="51"/>
      <c r="UHL42" s="51"/>
      <c r="UHM42" s="51"/>
      <c r="UHN42" s="51"/>
      <c r="UHO42" s="51"/>
      <c r="UHP42" s="51"/>
      <c r="UHQ42" s="51"/>
      <c r="UHR42" s="51"/>
      <c r="UHS42" s="51"/>
      <c r="UHT42" s="51"/>
      <c r="UHU42" s="51"/>
      <c r="UHV42" s="51"/>
      <c r="UHW42" s="51"/>
      <c r="UHX42" s="51"/>
      <c r="UHY42" s="51"/>
      <c r="UHZ42" s="51"/>
      <c r="UIA42" s="51"/>
      <c r="UIB42" s="51"/>
      <c r="UIC42" s="51"/>
      <c r="UID42" s="51"/>
      <c r="UIE42" s="51"/>
      <c r="UIF42" s="51"/>
      <c r="UIG42" s="51"/>
      <c r="UIH42" s="51"/>
      <c r="UII42" s="51"/>
      <c r="UIJ42" s="51"/>
      <c r="UIK42" s="51"/>
      <c r="UIL42" s="51"/>
      <c r="UIM42" s="51"/>
      <c r="UIN42" s="51"/>
      <c r="UIO42" s="51"/>
      <c r="UIP42" s="51"/>
      <c r="UIQ42" s="51"/>
      <c r="UIR42" s="51"/>
      <c r="UIS42" s="51"/>
      <c r="UIT42" s="51"/>
      <c r="UIU42" s="51"/>
      <c r="UIV42" s="51"/>
      <c r="UIW42" s="51"/>
      <c r="UIX42" s="51"/>
      <c r="UIY42" s="51"/>
      <c r="UIZ42" s="51"/>
      <c r="UJA42" s="51"/>
      <c r="UJB42" s="51"/>
      <c r="UJC42" s="51"/>
      <c r="UJD42" s="51"/>
      <c r="UJE42" s="51"/>
      <c r="UJF42" s="51"/>
      <c r="UJG42" s="51"/>
      <c r="UJH42" s="51"/>
      <c r="UJI42" s="51"/>
      <c r="UJJ42" s="51"/>
      <c r="UJK42" s="51"/>
      <c r="UJL42" s="51"/>
      <c r="UJM42" s="51"/>
      <c r="UJN42" s="51"/>
      <c r="UJO42" s="51"/>
      <c r="UJP42" s="51"/>
      <c r="UJQ42" s="51"/>
      <c r="UJR42" s="51"/>
      <c r="UJS42" s="51"/>
      <c r="UJT42" s="51"/>
      <c r="UJU42" s="51"/>
      <c r="UJV42" s="51"/>
      <c r="UJW42" s="51"/>
      <c r="UJX42" s="51"/>
      <c r="UJY42" s="51"/>
      <c r="UJZ42" s="51"/>
      <c r="UKA42" s="51"/>
      <c r="UKB42" s="51"/>
      <c r="UKC42" s="51"/>
      <c r="UKD42" s="51"/>
      <c r="UKE42" s="51"/>
      <c r="UKF42" s="51"/>
      <c r="UKG42" s="51"/>
      <c r="UKH42" s="51"/>
      <c r="UKI42" s="51"/>
      <c r="UKJ42" s="51"/>
      <c r="UKK42" s="51"/>
      <c r="UKL42" s="51"/>
      <c r="UKM42" s="51"/>
      <c r="UKN42" s="51"/>
      <c r="UKO42" s="51"/>
      <c r="UKP42" s="51"/>
      <c r="UKQ42" s="51"/>
      <c r="UKR42" s="51"/>
      <c r="UKS42" s="51"/>
      <c r="UKT42" s="51"/>
      <c r="UKU42" s="51"/>
      <c r="UKV42" s="51"/>
      <c r="UKW42" s="51"/>
      <c r="UKX42" s="51"/>
      <c r="UKY42" s="51"/>
      <c r="UKZ42" s="51"/>
      <c r="ULA42" s="51"/>
      <c r="ULB42" s="51"/>
      <c r="ULC42" s="51"/>
      <c r="ULD42" s="51"/>
      <c r="ULE42" s="51"/>
      <c r="ULF42" s="51"/>
      <c r="ULG42" s="51"/>
      <c r="ULH42" s="51"/>
      <c r="ULI42" s="51"/>
      <c r="ULJ42" s="51"/>
      <c r="ULK42" s="51"/>
      <c r="ULL42" s="51"/>
      <c r="ULM42" s="51"/>
      <c r="ULN42" s="51"/>
      <c r="ULO42" s="51"/>
      <c r="ULP42" s="51"/>
      <c r="ULQ42" s="51"/>
      <c r="ULR42" s="51"/>
      <c r="ULS42" s="51"/>
      <c r="ULT42" s="51"/>
      <c r="ULU42" s="51"/>
      <c r="ULV42" s="51"/>
      <c r="ULW42" s="51"/>
      <c r="ULX42" s="51"/>
      <c r="ULY42" s="51"/>
      <c r="ULZ42" s="51"/>
      <c r="UMA42" s="51"/>
      <c r="UMB42" s="51"/>
      <c r="UMC42" s="51"/>
      <c r="UMD42" s="51"/>
      <c r="UME42" s="51"/>
      <c r="UMF42" s="51"/>
      <c r="UMG42" s="51"/>
      <c r="UMH42" s="51"/>
      <c r="UMI42" s="51"/>
      <c r="UMJ42" s="51"/>
      <c r="UMK42" s="51"/>
      <c r="UML42" s="51"/>
      <c r="UMM42" s="51"/>
      <c r="UMN42" s="51"/>
      <c r="UMO42" s="51"/>
      <c r="UMP42" s="51"/>
      <c r="UMQ42" s="51"/>
      <c r="UMR42" s="51"/>
      <c r="UMS42" s="51"/>
      <c r="UMT42" s="51"/>
      <c r="UMU42" s="51"/>
      <c r="UMV42" s="51"/>
      <c r="UMW42" s="51"/>
      <c r="UMX42" s="51"/>
      <c r="UMY42" s="51"/>
      <c r="UMZ42" s="51"/>
      <c r="UNA42" s="51"/>
      <c r="UNB42" s="51"/>
      <c r="UNC42" s="51"/>
      <c r="UND42" s="51"/>
      <c r="UNE42" s="51"/>
      <c r="UNF42" s="51"/>
      <c r="UNG42" s="51"/>
      <c r="UNH42" s="51"/>
      <c r="UNI42" s="51"/>
      <c r="UNJ42" s="51"/>
      <c r="UNK42" s="51"/>
      <c r="UNL42" s="51"/>
      <c r="UNM42" s="51"/>
      <c r="UNN42" s="51"/>
      <c r="UNO42" s="51"/>
      <c r="UNP42" s="51"/>
      <c r="UNQ42" s="51"/>
      <c r="UNR42" s="51"/>
      <c r="UNS42" s="51"/>
      <c r="UNT42" s="51"/>
      <c r="UNU42" s="51"/>
      <c r="UNV42" s="51"/>
      <c r="UNW42" s="51"/>
      <c r="UNX42" s="51"/>
      <c r="UNY42" s="51"/>
      <c r="UNZ42" s="51"/>
      <c r="UOA42" s="51"/>
      <c r="UOB42" s="51"/>
      <c r="UOC42" s="51"/>
      <c r="UOD42" s="51"/>
      <c r="UOE42" s="51"/>
      <c r="UOF42" s="51"/>
      <c r="UOG42" s="51"/>
      <c r="UOH42" s="51"/>
      <c r="UOI42" s="51"/>
      <c r="UOJ42" s="51"/>
      <c r="UOK42" s="51"/>
      <c r="UOL42" s="51"/>
      <c r="UOM42" s="51"/>
      <c r="UON42" s="51"/>
      <c r="UOO42" s="51"/>
      <c r="UOP42" s="51"/>
      <c r="UOQ42" s="51"/>
      <c r="UOR42" s="51"/>
      <c r="UOS42" s="51"/>
      <c r="UOT42" s="51"/>
      <c r="UOU42" s="51"/>
      <c r="UOV42" s="51"/>
      <c r="UOW42" s="51"/>
      <c r="UOX42" s="51"/>
      <c r="UOY42" s="51"/>
      <c r="UOZ42" s="51"/>
      <c r="UPA42" s="51"/>
      <c r="UPB42" s="51"/>
      <c r="UPC42" s="51"/>
      <c r="UPD42" s="51"/>
      <c r="UPE42" s="51"/>
      <c r="UPF42" s="51"/>
      <c r="UPG42" s="51"/>
      <c r="UPH42" s="51"/>
      <c r="UPI42" s="51"/>
      <c r="UPJ42" s="51"/>
      <c r="UPK42" s="51"/>
      <c r="UPL42" s="51"/>
      <c r="UPM42" s="51"/>
      <c r="UPN42" s="51"/>
      <c r="UPO42" s="51"/>
      <c r="UPP42" s="51"/>
      <c r="UPQ42" s="51"/>
      <c r="UPR42" s="51"/>
      <c r="UPS42" s="51"/>
      <c r="UPT42" s="51"/>
      <c r="UPU42" s="51"/>
      <c r="UPV42" s="51"/>
      <c r="UPW42" s="51"/>
      <c r="UPX42" s="51"/>
      <c r="UPY42" s="51"/>
      <c r="UPZ42" s="51"/>
      <c r="UQA42" s="51"/>
      <c r="UQB42" s="51"/>
      <c r="UQC42" s="51"/>
      <c r="UQD42" s="51"/>
      <c r="UQE42" s="51"/>
      <c r="UQF42" s="51"/>
      <c r="UQG42" s="51"/>
      <c r="UQH42" s="51"/>
      <c r="UQI42" s="51"/>
      <c r="UQJ42" s="51"/>
      <c r="UQK42" s="51"/>
      <c r="UQL42" s="51"/>
      <c r="UQM42" s="51"/>
      <c r="UQN42" s="51"/>
      <c r="UQO42" s="51"/>
      <c r="UQP42" s="51"/>
      <c r="UQQ42" s="51"/>
      <c r="UQR42" s="51"/>
      <c r="UQS42" s="51"/>
      <c r="UQT42" s="51"/>
      <c r="UQU42" s="51"/>
      <c r="UQV42" s="51"/>
      <c r="UQW42" s="51"/>
      <c r="UQX42" s="51"/>
      <c r="UQY42" s="51"/>
      <c r="UQZ42" s="51"/>
      <c r="URA42" s="51"/>
      <c r="URB42" s="51"/>
      <c r="URC42" s="51"/>
      <c r="URD42" s="51"/>
      <c r="URE42" s="51"/>
      <c r="URF42" s="51"/>
      <c r="URG42" s="51"/>
      <c r="URH42" s="51"/>
      <c r="URI42" s="51"/>
      <c r="URJ42" s="51"/>
      <c r="URK42" s="51"/>
      <c r="URL42" s="51"/>
      <c r="URM42" s="51"/>
      <c r="URN42" s="51"/>
      <c r="URO42" s="51"/>
      <c r="URP42" s="51"/>
      <c r="URQ42" s="51"/>
      <c r="URR42" s="51"/>
      <c r="URS42" s="51"/>
      <c r="URT42" s="51"/>
      <c r="URU42" s="51"/>
      <c r="URV42" s="51"/>
      <c r="URW42" s="51"/>
      <c r="URX42" s="51"/>
      <c r="URY42" s="51"/>
      <c r="URZ42" s="51"/>
      <c r="USA42" s="51"/>
      <c r="USB42" s="51"/>
      <c r="USC42" s="51"/>
      <c r="USD42" s="51"/>
      <c r="USE42" s="51"/>
      <c r="USF42" s="51"/>
      <c r="USG42" s="51"/>
      <c r="USH42" s="51"/>
      <c r="USI42" s="51"/>
      <c r="USJ42" s="51"/>
      <c r="USK42" s="51"/>
      <c r="USL42" s="51"/>
      <c r="USM42" s="51"/>
      <c r="USN42" s="51"/>
      <c r="USO42" s="51"/>
      <c r="USP42" s="51"/>
      <c r="USQ42" s="51"/>
      <c r="USR42" s="51"/>
      <c r="USS42" s="51"/>
      <c r="UST42" s="51"/>
      <c r="USU42" s="51"/>
      <c r="USV42" s="51"/>
      <c r="USW42" s="51"/>
      <c r="USX42" s="51"/>
      <c r="USY42" s="51"/>
      <c r="USZ42" s="51"/>
      <c r="UTA42" s="51"/>
      <c r="UTB42" s="51"/>
      <c r="UTC42" s="51"/>
      <c r="UTD42" s="51"/>
      <c r="UTE42" s="51"/>
      <c r="UTF42" s="51"/>
      <c r="UTG42" s="51"/>
      <c r="UTH42" s="51"/>
      <c r="UTI42" s="51"/>
      <c r="UTJ42" s="51"/>
      <c r="UTK42" s="51"/>
      <c r="UTL42" s="51"/>
      <c r="UTM42" s="51"/>
      <c r="UTN42" s="51"/>
      <c r="UTO42" s="51"/>
      <c r="UTP42" s="51"/>
      <c r="UTQ42" s="51"/>
      <c r="UTR42" s="51"/>
      <c r="UTS42" s="51"/>
      <c r="UTT42" s="51"/>
      <c r="UTU42" s="51"/>
      <c r="UTV42" s="51"/>
      <c r="UTW42" s="51"/>
      <c r="UTX42" s="51"/>
      <c r="UTY42" s="51"/>
      <c r="UTZ42" s="51"/>
      <c r="UUA42" s="51"/>
      <c r="UUB42" s="51"/>
      <c r="UUC42" s="51"/>
      <c r="UUD42" s="51"/>
      <c r="UUE42" s="51"/>
      <c r="UUF42" s="51"/>
      <c r="UUG42" s="51"/>
      <c r="UUH42" s="51"/>
      <c r="UUI42" s="51"/>
      <c r="UUJ42" s="51"/>
      <c r="UUK42" s="51"/>
      <c r="UUL42" s="51"/>
      <c r="UUM42" s="51"/>
      <c r="UUN42" s="51"/>
      <c r="UUO42" s="51"/>
      <c r="UUP42" s="51"/>
      <c r="UUQ42" s="51"/>
      <c r="UUR42" s="51"/>
      <c r="UUS42" s="51"/>
      <c r="UUT42" s="51"/>
      <c r="UUU42" s="51"/>
      <c r="UUV42" s="51"/>
      <c r="UUW42" s="51"/>
      <c r="UUX42" s="51"/>
      <c r="UUY42" s="51"/>
      <c r="UUZ42" s="51"/>
      <c r="UVA42" s="51"/>
      <c r="UVB42" s="51"/>
      <c r="UVC42" s="51"/>
      <c r="UVD42" s="51"/>
      <c r="UVE42" s="51"/>
      <c r="UVF42" s="51"/>
      <c r="UVG42" s="51"/>
      <c r="UVH42" s="51"/>
      <c r="UVI42" s="51"/>
      <c r="UVJ42" s="51"/>
      <c r="UVK42" s="51"/>
      <c r="UVL42" s="51"/>
      <c r="UVM42" s="51"/>
      <c r="UVN42" s="51"/>
      <c r="UVO42" s="51"/>
      <c r="UVP42" s="51"/>
      <c r="UVQ42" s="51"/>
      <c r="UVR42" s="51"/>
      <c r="UVS42" s="51"/>
      <c r="UVT42" s="51"/>
      <c r="UVU42" s="51"/>
      <c r="UVV42" s="51"/>
      <c r="UVW42" s="51"/>
      <c r="UVX42" s="51"/>
      <c r="UVY42" s="51"/>
      <c r="UVZ42" s="51"/>
      <c r="UWA42" s="51"/>
      <c r="UWB42" s="51"/>
      <c r="UWC42" s="51"/>
      <c r="UWD42" s="51"/>
      <c r="UWE42" s="51"/>
      <c r="UWF42" s="51"/>
      <c r="UWG42" s="51"/>
      <c r="UWH42" s="51"/>
      <c r="UWI42" s="51"/>
      <c r="UWJ42" s="51"/>
      <c r="UWK42" s="51"/>
      <c r="UWL42" s="51"/>
      <c r="UWM42" s="51"/>
      <c r="UWN42" s="51"/>
      <c r="UWO42" s="51"/>
      <c r="UWP42" s="51"/>
      <c r="UWQ42" s="51"/>
      <c r="UWR42" s="51"/>
      <c r="UWS42" s="51"/>
      <c r="UWT42" s="51"/>
      <c r="UWU42" s="51"/>
      <c r="UWV42" s="51"/>
      <c r="UWW42" s="51"/>
      <c r="UWX42" s="51"/>
      <c r="UWY42" s="51"/>
      <c r="UWZ42" s="51"/>
      <c r="UXA42" s="51"/>
      <c r="UXB42" s="51"/>
      <c r="UXC42" s="51"/>
      <c r="UXD42" s="51"/>
      <c r="UXE42" s="51"/>
      <c r="UXF42" s="51"/>
      <c r="UXG42" s="51"/>
      <c r="UXH42" s="51"/>
      <c r="UXI42" s="51"/>
      <c r="UXJ42" s="51"/>
      <c r="UXK42" s="51"/>
      <c r="UXL42" s="51"/>
      <c r="UXM42" s="51"/>
      <c r="UXN42" s="51"/>
      <c r="UXO42" s="51"/>
      <c r="UXP42" s="51"/>
      <c r="UXQ42" s="51"/>
      <c r="UXR42" s="51"/>
      <c r="UXS42" s="51"/>
      <c r="UXT42" s="51"/>
      <c r="UXU42" s="51"/>
      <c r="UXV42" s="51"/>
      <c r="UXW42" s="51"/>
      <c r="UXX42" s="51"/>
      <c r="UXY42" s="51"/>
      <c r="UXZ42" s="51"/>
      <c r="UYA42" s="51"/>
      <c r="UYB42" s="51"/>
      <c r="UYC42" s="51"/>
      <c r="UYD42" s="51"/>
      <c r="UYE42" s="51"/>
      <c r="UYF42" s="51"/>
      <c r="UYG42" s="51"/>
      <c r="UYH42" s="51"/>
      <c r="UYI42" s="51"/>
      <c r="UYJ42" s="51"/>
      <c r="UYK42" s="51"/>
      <c r="UYL42" s="51"/>
      <c r="UYM42" s="51"/>
      <c r="UYN42" s="51"/>
      <c r="UYO42" s="51"/>
      <c r="UYP42" s="51"/>
      <c r="UYQ42" s="51"/>
      <c r="UYR42" s="51"/>
      <c r="UYS42" s="51"/>
      <c r="UYT42" s="51"/>
      <c r="UYU42" s="51"/>
      <c r="UYV42" s="51"/>
      <c r="UYW42" s="51"/>
      <c r="UYX42" s="51"/>
      <c r="UYY42" s="51"/>
      <c r="UYZ42" s="51"/>
      <c r="UZA42" s="51"/>
      <c r="UZB42" s="51"/>
      <c r="UZC42" s="51"/>
      <c r="UZD42" s="51"/>
      <c r="UZE42" s="51"/>
      <c r="UZF42" s="51"/>
      <c r="UZG42" s="51"/>
      <c r="UZH42" s="51"/>
      <c r="UZI42" s="51"/>
      <c r="UZJ42" s="51"/>
      <c r="UZK42" s="51"/>
      <c r="UZL42" s="51"/>
      <c r="UZM42" s="51"/>
      <c r="UZN42" s="51"/>
      <c r="UZO42" s="51"/>
      <c r="UZP42" s="51"/>
      <c r="UZQ42" s="51"/>
      <c r="UZR42" s="51"/>
      <c r="UZS42" s="51"/>
      <c r="UZT42" s="51"/>
      <c r="UZU42" s="51"/>
      <c r="UZV42" s="51"/>
      <c r="UZW42" s="51"/>
      <c r="UZX42" s="51"/>
      <c r="UZY42" s="51"/>
      <c r="UZZ42" s="51"/>
      <c r="VAA42" s="51"/>
      <c r="VAB42" s="51"/>
      <c r="VAC42" s="51"/>
      <c r="VAD42" s="51"/>
      <c r="VAE42" s="51"/>
      <c r="VAF42" s="51"/>
      <c r="VAG42" s="51"/>
      <c r="VAH42" s="51"/>
      <c r="VAI42" s="51"/>
      <c r="VAJ42" s="51"/>
      <c r="VAK42" s="51"/>
      <c r="VAL42" s="51"/>
      <c r="VAM42" s="51"/>
      <c r="VAN42" s="51"/>
      <c r="VAO42" s="51"/>
      <c r="VAP42" s="51"/>
      <c r="VAQ42" s="51"/>
      <c r="VAR42" s="51"/>
      <c r="VAS42" s="51"/>
      <c r="VAT42" s="51"/>
      <c r="VAU42" s="51"/>
      <c r="VAV42" s="51"/>
      <c r="VAW42" s="51"/>
      <c r="VAX42" s="51"/>
      <c r="VAY42" s="51"/>
      <c r="VAZ42" s="51"/>
      <c r="VBA42" s="51"/>
      <c r="VBB42" s="51"/>
      <c r="VBC42" s="51"/>
      <c r="VBD42" s="51"/>
      <c r="VBE42" s="51"/>
      <c r="VBF42" s="51"/>
      <c r="VBG42" s="51"/>
      <c r="VBH42" s="51"/>
      <c r="VBI42" s="51"/>
      <c r="VBJ42" s="51"/>
      <c r="VBK42" s="51"/>
      <c r="VBL42" s="51"/>
      <c r="VBM42" s="51"/>
      <c r="VBN42" s="51"/>
      <c r="VBO42" s="51"/>
      <c r="VBP42" s="51"/>
      <c r="VBQ42" s="51"/>
      <c r="VBR42" s="51"/>
      <c r="VBS42" s="51"/>
      <c r="VBT42" s="51"/>
      <c r="VBU42" s="51"/>
      <c r="VBV42" s="51"/>
      <c r="VBW42" s="51"/>
      <c r="VBX42" s="51"/>
      <c r="VBY42" s="51"/>
      <c r="VBZ42" s="51"/>
      <c r="VCA42" s="51"/>
      <c r="VCB42" s="51"/>
      <c r="VCC42" s="51"/>
      <c r="VCD42" s="51"/>
      <c r="VCE42" s="51"/>
      <c r="VCF42" s="51"/>
      <c r="VCG42" s="51"/>
      <c r="VCH42" s="51"/>
      <c r="VCI42" s="51"/>
      <c r="VCJ42" s="51"/>
      <c r="VCK42" s="51"/>
      <c r="VCL42" s="51"/>
      <c r="VCM42" s="51"/>
      <c r="VCN42" s="51"/>
      <c r="VCO42" s="51"/>
      <c r="VCP42" s="51"/>
      <c r="VCQ42" s="51"/>
      <c r="VCR42" s="51"/>
      <c r="VCS42" s="51"/>
      <c r="VCT42" s="51"/>
      <c r="VCU42" s="51"/>
      <c r="VCV42" s="51"/>
      <c r="VCW42" s="51"/>
      <c r="VCX42" s="51"/>
      <c r="VCY42" s="51"/>
      <c r="VCZ42" s="51"/>
      <c r="VDA42" s="51"/>
      <c r="VDB42" s="51"/>
      <c r="VDC42" s="51"/>
      <c r="VDD42" s="51"/>
      <c r="VDE42" s="51"/>
      <c r="VDF42" s="51"/>
      <c r="VDG42" s="51"/>
      <c r="VDH42" s="51"/>
      <c r="VDI42" s="51"/>
      <c r="VDJ42" s="51"/>
      <c r="VDK42" s="51"/>
      <c r="VDL42" s="51"/>
      <c r="VDM42" s="51"/>
      <c r="VDN42" s="51"/>
      <c r="VDO42" s="51"/>
      <c r="VDP42" s="51"/>
      <c r="VDQ42" s="51"/>
      <c r="VDR42" s="51"/>
      <c r="VDS42" s="51"/>
      <c r="VDT42" s="51"/>
      <c r="VDU42" s="51"/>
      <c r="VDV42" s="51"/>
      <c r="VDW42" s="51"/>
      <c r="VDX42" s="51"/>
      <c r="VDY42" s="51"/>
      <c r="VDZ42" s="51"/>
      <c r="VEA42" s="51"/>
      <c r="VEB42" s="51"/>
      <c r="VEC42" s="51"/>
      <c r="VED42" s="51"/>
      <c r="VEE42" s="51"/>
      <c r="VEF42" s="51"/>
      <c r="VEG42" s="51"/>
      <c r="VEH42" s="51"/>
      <c r="VEI42" s="51"/>
      <c r="VEJ42" s="51"/>
      <c r="VEK42" s="51"/>
      <c r="VEL42" s="51"/>
      <c r="VEM42" s="51"/>
      <c r="VEN42" s="51"/>
      <c r="VEO42" s="51"/>
      <c r="VEP42" s="51"/>
      <c r="VEQ42" s="51"/>
      <c r="VER42" s="51"/>
      <c r="VES42" s="51"/>
      <c r="VET42" s="51"/>
      <c r="VEU42" s="51"/>
      <c r="VEV42" s="51"/>
      <c r="VEW42" s="51"/>
      <c r="VEX42" s="51"/>
      <c r="VEY42" s="51"/>
      <c r="VEZ42" s="51"/>
      <c r="VFA42" s="51"/>
      <c r="VFB42" s="51"/>
      <c r="VFC42" s="51"/>
      <c r="VFD42" s="51"/>
      <c r="VFE42" s="51"/>
      <c r="VFF42" s="51"/>
      <c r="VFG42" s="51"/>
      <c r="VFH42" s="51"/>
      <c r="VFI42" s="51"/>
      <c r="VFJ42" s="51"/>
      <c r="VFK42" s="51"/>
      <c r="VFL42" s="51"/>
      <c r="VFM42" s="51"/>
      <c r="VFN42" s="51"/>
      <c r="VFO42" s="51"/>
      <c r="VFP42" s="51"/>
      <c r="VFQ42" s="51"/>
      <c r="VFR42" s="51"/>
      <c r="VFS42" s="51"/>
      <c r="VFT42" s="51"/>
      <c r="VFU42" s="51"/>
      <c r="VFV42" s="51"/>
      <c r="VFW42" s="51"/>
      <c r="VFX42" s="51"/>
      <c r="VFY42" s="51"/>
      <c r="VFZ42" s="51"/>
      <c r="VGA42" s="51"/>
      <c r="VGB42" s="51"/>
      <c r="VGC42" s="51"/>
      <c r="VGD42" s="51"/>
      <c r="VGE42" s="51"/>
      <c r="VGF42" s="51"/>
      <c r="VGG42" s="51"/>
      <c r="VGH42" s="51"/>
      <c r="VGI42" s="51"/>
      <c r="VGJ42" s="51"/>
      <c r="VGK42" s="51"/>
      <c r="VGL42" s="51"/>
      <c r="VGM42" s="51"/>
      <c r="VGN42" s="51"/>
      <c r="VGO42" s="51"/>
      <c r="VGP42" s="51"/>
      <c r="VGQ42" s="51"/>
      <c r="VGR42" s="51"/>
      <c r="VGS42" s="51"/>
      <c r="VGT42" s="51"/>
      <c r="VGU42" s="51"/>
      <c r="VGV42" s="51"/>
      <c r="VGW42" s="51"/>
      <c r="VGX42" s="51"/>
      <c r="VGY42" s="51"/>
      <c r="VGZ42" s="51"/>
      <c r="VHA42" s="51"/>
      <c r="VHB42" s="51"/>
      <c r="VHC42" s="51"/>
      <c r="VHD42" s="51"/>
      <c r="VHE42" s="51"/>
      <c r="VHF42" s="51"/>
      <c r="VHG42" s="51"/>
      <c r="VHH42" s="51"/>
      <c r="VHI42" s="51"/>
      <c r="VHJ42" s="51"/>
      <c r="VHK42" s="51"/>
      <c r="VHL42" s="51"/>
      <c r="VHM42" s="51"/>
      <c r="VHN42" s="51"/>
      <c r="VHO42" s="51"/>
      <c r="VHP42" s="51"/>
      <c r="VHQ42" s="51"/>
      <c r="VHR42" s="51"/>
      <c r="VHS42" s="51"/>
      <c r="VHT42" s="51"/>
      <c r="VHU42" s="51"/>
      <c r="VHV42" s="51"/>
      <c r="VHW42" s="51"/>
      <c r="VHX42" s="51"/>
      <c r="VHY42" s="51"/>
      <c r="VHZ42" s="51"/>
      <c r="VIA42" s="51"/>
      <c r="VIB42" s="51"/>
      <c r="VIC42" s="51"/>
      <c r="VID42" s="51"/>
      <c r="VIE42" s="51"/>
      <c r="VIF42" s="51"/>
      <c r="VIG42" s="51"/>
      <c r="VIH42" s="51"/>
      <c r="VII42" s="51"/>
      <c r="VIJ42" s="51"/>
      <c r="VIK42" s="51"/>
      <c r="VIL42" s="51"/>
      <c r="VIM42" s="51"/>
      <c r="VIN42" s="51"/>
      <c r="VIO42" s="51"/>
      <c r="VIP42" s="51"/>
      <c r="VIQ42" s="51"/>
      <c r="VIR42" s="51"/>
      <c r="VIS42" s="51"/>
      <c r="VIT42" s="51"/>
      <c r="VIU42" s="51"/>
      <c r="VIV42" s="51"/>
      <c r="VIW42" s="51"/>
      <c r="VIX42" s="51"/>
      <c r="VIY42" s="51"/>
      <c r="VIZ42" s="51"/>
      <c r="VJA42" s="51"/>
      <c r="VJB42" s="51"/>
      <c r="VJC42" s="51"/>
      <c r="VJD42" s="51"/>
      <c r="VJE42" s="51"/>
      <c r="VJF42" s="51"/>
      <c r="VJG42" s="51"/>
      <c r="VJH42" s="51"/>
      <c r="VJI42" s="51"/>
      <c r="VJJ42" s="51"/>
      <c r="VJK42" s="51"/>
      <c r="VJL42" s="51"/>
      <c r="VJM42" s="51"/>
      <c r="VJN42" s="51"/>
      <c r="VJO42" s="51"/>
      <c r="VJP42" s="51"/>
      <c r="VJQ42" s="51"/>
      <c r="VJR42" s="51"/>
      <c r="VJS42" s="51"/>
      <c r="VJT42" s="51"/>
      <c r="VJU42" s="51"/>
      <c r="VJV42" s="51"/>
      <c r="VJW42" s="51"/>
      <c r="VJX42" s="51"/>
      <c r="VJY42" s="51"/>
      <c r="VJZ42" s="51"/>
      <c r="VKA42" s="51"/>
      <c r="VKB42" s="51"/>
      <c r="VKC42" s="51"/>
      <c r="VKD42" s="51"/>
      <c r="VKE42" s="51"/>
      <c r="VKF42" s="51"/>
      <c r="VKG42" s="51"/>
      <c r="VKH42" s="51"/>
      <c r="VKI42" s="51"/>
      <c r="VKJ42" s="51"/>
      <c r="VKK42" s="51"/>
      <c r="VKL42" s="51"/>
      <c r="VKM42" s="51"/>
      <c r="VKN42" s="51"/>
      <c r="VKO42" s="51"/>
      <c r="VKP42" s="51"/>
      <c r="VKQ42" s="51"/>
      <c r="VKR42" s="51"/>
      <c r="VKS42" s="51"/>
      <c r="VKT42" s="51"/>
      <c r="VKU42" s="51"/>
      <c r="VKV42" s="51"/>
      <c r="VKW42" s="51"/>
      <c r="VKX42" s="51"/>
      <c r="VKY42" s="51"/>
      <c r="VKZ42" s="51"/>
      <c r="VLA42" s="51"/>
      <c r="VLB42" s="51"/>
      <c r="VLC42" s="51"/>
      <c r="VLD42" s="51"/>
      <c r="VLE42" s="51"/>
      <c r="VLF42" s="51"/>
      <c r="VLG42" s="51"/>
      <c r="VLH42" s="51"/>
      <c r="VLI42" s="51"/>
      <c r="VLJ42" s="51"/>
      <c r="VLK42" s="51"/>
      <c r="VLL42" s="51"/>
      <c r="VLM42" s="51"/>
      <c r="VLN42" s="51"/>
      <c r="VLO42" s="51"/>
      <c r="VLP42" s="51"/>
      <c r="VLQ42" s="51"/>
      <c r="VLR42" s="51"/>
      <c r="VLS42" s="51"/>
      <c r="VLT42" s="51"/>
      <c r="VLU42" s="51"/>
      <c r="VLV42" s="51"/>
      <c r="VLW42" s="51"/>
      <c r="VLX42" s="51"/>
      <c r="VLY42" s="51"/>
      <c r="VLZ42" s="51"/>
      <c r="VMA42" s="51"/>
      <c r="VMB42" s="51"/>
      <c r="VMC42" s="51"/>
      <c r="VMD42" s="51"/>
      <c r="VME42" s="51"/>
      <c r="VMF42" s="51"/>
      <c r="VMG42" s="51"/>
      <c r="VMH42" s="51"/>
      <c r="VMI42" s="51"/>
      <c r="VMJ42" s="51"/>
      <c r="VMK42" s="51"/>
      <c r="VML42" s="51"/>
      <c r="VMM42" s="51"/>
      <c r="VMN42" s="51"/>
      <c r="VMO42" s="51"/>
      <c r="VMP42" s="51"/>
      <c r="VMQ42" s="51"/>
      <c r="VMR42" s="51"/>
      <c r="VMS42" s="51"/>
      <c r="VMT42" s="51"/>
      <c r="VMU42" s="51"/>
      <c r="VMV42" s="51"/>
      <c r="VMW42" s="51"/>
      <c r="VMX42" s="51"/>
      <c r="VMY42" s="51"/>
      <c r="VMZ42" s="51"/>
      <c r="VNA42" s="51"/>
      <c r="VNB42" s="51"/>
      <c r="VNC42" s="51"/>
      <c r="VND42" s="51"/>
      <c r="VNE42" s="51"/>
      <c r="VNF42" s="51"/>
      <c r="VNG42" s="51"/>
      <c r="VNH42" s="51"/>
      <c r="VNI42" s="51"/>
      <c r="VNJ42" s="51"/>
      <c r="VNK42" s="51"/>
      <c r="VNL42" s="51"/>
      <c r="VNM42" s="51"/>
      <c r="VNN42" s="51"/>
      <c r="VNO42" s="51"/>
      <c r="VNP42" s="51"/>
      <c r="VNQ42" s="51"/>
      <c r="VNR42" s="51"/>
      <c r="VNS42" s="51"/>
      <c r="VNT42" s="51"/>
      <c r="VNU42" s="51"/>
      <c r="VNV42" s="51"/>
      <c r="VNW42" s="51"/>
      <c r="VNX42" s="51"/>
      <c r="VNY42" s="51"/>
      <c r="VNZ42" s="51"/>
      <c r="VOA42" s="51"/>
      <c r="VOB42" s="51"/>
      <c r="VOC42" s="51"/>
      <c r="VOD42" s="51"/>
      <c r="VOE42" s="51"/>
      <c r="VOF42" s="51"/>
      <c r="VOG42" s="51"/>
      <c r="VOH42" s="51"/>
      <c r="VOI42" s="51"/>
      <c r="VOJ42" s="51"/>
      <c r="VOK42" s="51"/>
      <c r="VOL42" s="51"/>
      <c r="VOM42" s="51"/>
      <c r="VON42" s="51"/>
      <c r="VOO42" s="51"/>
      <c r="VOP42" s="51"/>
      <c r="VOQ42" s="51"/>
      <c r="VOR42" s="51"/>
      <c r="VOS42" s="51"/>
      <c r="VOT42" s="51"/>
      <c r="VOU42" s="51"/>
      <c r="VOV42" s="51"/>
      <c r="VOW42" s="51"/>
      <c r="VOX42" s="51"/>
      <c r="VOY42" s="51"/>
      <c r="VOZ42" s="51"/>
      <c r="VPA42" s="51"/>
      <c r="VPB42" s="51"/>
      <c r="VPC42" s="51"/>
      <c r="VPD42" s="51"/>
      <c r="VPE42" s="51"/>
      <c r="VPF42" s="51"/>
      <c r="VPG42" s="51"/>
      <c r="VPH42" s="51"/>
      <c r="VPI42" s="51"/>
      <c r="VPJ42" s="51"/>
      <c r="VPK42" s="51"/>
      <c r="VPL42" s="51"/>
      <c r="VPM42" s="51"/>
      <c r="VPN42" s="51"/>
      <c r="VPO42" s="51"/>
      <c r="VPP42" s="51"/>
      <c r="VPQ42" s="51"/>
      <c r="VPR42" s="51"/>
      <c r="VPS42" s="51"/>
      <c r="VPT42" s="51"/>
      <c r="VPU42" s="51"/>
      <c r="VPV42" s="51"/>
      <c r="VPW42" s="51"/>
      <c r="VPX42" s="51"/>
      <c r="VPY42" s="51"/>
      <c r="VPZ42" s="51"/>
      <c r="VQA42" s="51"/>
      <c r="VQB42" s="51"/>
      <c r="VQC42" s="51"/>
      <c r="VQD42" s="51"/>
      <c r="VQE42" s="51"/>
      <c r="VQF42" s="51"/>
      <c r="VQG42" s="51"/>
      <c r="VQH42" s="51"/>
      <c r="VQI42" s="51"/>
      <c r="VQJ42" s="51"/>
      <c r="VQK42" s="51"/>
      <c r="VQL42" s="51"/>
      <c r="VQM42" s="51"/>
      <c r="VQN42" s="51"/>
      <c r="VQO42" s="51"/>
      <c r="VQP42" s="51"/>
      <c r="VQQ42" s="51"/>
      <c r="VQR42" s="51"/>
      <c r="VQS42" s="51"/>
      <c r="VQT42" s="51"/>
      <c r="VQU42" s="51"/>
      <c r="VQV42" s="51"/>
      <c r="VQW42" s="51"/>
      <c r="VQX42" s="51"/>
      <c r="VQY42" s="51"/>
      <c r="VQZ42" s="51"/>
      <c r="VRA42" s="51"/>
      <c r="VRB42" s="51"/>
      <c r="VRC42" s="51"/>
      <c r="VRD42" s="51"/>
      <c r="VRE42" s="51"/>
      <c r="VRF42" s="51"/>
      <c r="VRG42" s="51"/>
      <c r="VRH42" s="51"/>
      <c r="VRI42" s="51"/>
      <c r="VRJ42" s="51"/>
      <c r="VRK42" s="51"/>
      <c r="VRL42" s="51"/>
      <c r="VRM42" s="51"/>
      <c r="VRN42" s="51"/>
      <c r="VRO42" s="51"/>
      <c r="VRP42" s="51"/>
      <c r="VRQ42" s="51"/>
      <c r="VRR42" s="51"/>
      <c r="VRS42" s="51"/>
      <c r="VRT42" s="51"/>
      <c r="VRU42" s="51"/>
      <c r="VRV42" s="51"/>
      <c r="VRW42" s="51"/>
      <c r="VRX42" s="51"/>
      <c r="VRY42" s="51"/>
      <c r="VRZ42" s="51"/>
      <c r="VSA42" s="51"/>
      <c r="VSB42" s="51"/>
      <c r="VSC42" s="51"/>
      <c r="VSD42" s="51"/>
      <c r="VSE42" s="51"/>
      <c r="VSF42" s="51"/>
      <c r="VSG42" s="51"/>
      <c r="VSH42" s="51"/>
      <c r="VSI42" s="51"/>
      <c r="VSJ42" s="51"/>
      <c r="VSK42" s="51"/>
      <c r="VSL42" s="51"/>
      <c r="VSM42" s="51"/>
      <c r="VSN42" s="51"/>
      <c r="VSO42" s="51"/>
      <c r="VSP42" s="51"/>
      <c r="VSQ42" s="51"/>
      <c r="VSR42" s="51"/>
      <c r="VSS42" s="51"/>
      <c r="VST42" s="51"/>
      <c r="VSU42" s="51"/>
      <c r="VSV42" s="51"/>
      <c r="VSW42" s="51"/>
      <c r="VSX42" s="51"/>
      <c r="VSY42" s="51"/>
      <c r="VSZ42" s="51"/>
      <c r="VTA42" s="51"/>
      <c r="VTB42" s="51"/>
      <c r="VTC42" s="51"/>
      <c r="VTD42" s="51"/>
      <c r="VTE42" s="51"/>
      <c r="VTF42" s="51"/>
      <c r="VTG42" s="51"/>
      <c r="VTH42" s="51"/>
      <c r="VTI42" s="51"/>
      <c r="VTJ42" s="51"/>
      <c r="VTK42" s="51"/>
      <c r="VTL42" s="51"/>
      <c r="VTM42" s="51"/>
      <c r="VTN42" s="51"/>
      <c r="VTO42" s="51"/>
      <c r="VTP42" s="51"/>
      <c r="VTQ42" s="51"/>
      <c r="VTR42" s="51"/>
      <c r="VTS42" s="51"/>
      <c r="VTT42" s="51"/>
      <c r="VTU42" s="51"/>
      <c r="VTV42" s="51"/>
      <c r="VTW42" s="51"/>
      <c r="VTX42" s="51"/>
      <c r="VTY42" s="51"/>
      <c r="VTZ42" s="51"/>
      <c r="VUA42" s="51"/>
      <c r="VUB42" s="51"/>
      <c r="VUC42" s="51"/>
      <c r="VUD42" s="51"/>
      <c r="VUE42" s="51"/>
      <c r="VUF42" s="51"/>
      <c r="VUG42" s="51"/>
      <c r="VUH42" s="51"/>
      <c r="VUI42" s="51"/>
      <c r="VUJ42" s="51"/>
      <c r="VUK42" s="51"/>
      <c r="VUL42" s="51"/>
      <c r="VUM42" s="51"/>
      <c r="VUN42" s="51"/>
      <c r="VUO42" s="51"/>
      <c r="VUP42" s="51"/>
      <c r="VUQ42" s="51"/>
      <c r="VUR42" s="51"/>
      <c r="VUS42" s="51"/>
      <c r="VUT42" s="51"/>
      <c r="VUU42" s="51"/>
      <c r="VUV42" s="51"/>
      <c r="VUW42" s="51"/>
      <c r="VUX42" s="51"/>
      <c r="VUY42" s="51"/>
      <c r="VUZ42" s="51"/>
      <c r="VVA42" s="51"/>
      <c r="VVB42" s="51"/>
      <c r="VVC42" s="51"/>
      <c r="VVD42" s="51"/>
      <c r="VVE42" s="51"/>
      <c r="VVF42" s="51"/>
      <c r="VVG42" s="51"/>
      <c r="VVH42" s="51"/>
      <c r="VVI42" s="51"/>
      <c r="VVJ42" s="51"/>
      <c r="VVK42" s="51"/>
      <c r="VVL42" s="51"/>
      <c r="VVM42" s="51"/>
      <c r="VVN42" s="51"/>
      <c r="VVO42" s="51"/>
      <c r="VVP42" s="51"/>
      <c r="VVQ42" s="51"/>
      <c r="VVR42" s="51"/>
      <c r="VVS42" s="51"/>
      <c r="VVT42" s="51"/>
      <c r="VVU42" s="51"/>
      <c r="VVV42" s="51"/>
      <c r="VVW42" s="51"/>
      <c r="VVX42" s="51"/>
      <c r="VVY42" s="51"/>
      <c r="VVZ42" s="51"/>
      <c r="VWA42" s="51"/>
      <c r="VWB42" s="51"/>
      <c r="VWC42" s="51"/>
      <c r="VWD42" s="51"/>
      <c r="VWE42" s="51"/>
      <c r="VWF42" s="51"/>
      <c r="VWG42" s="51"/>
      <c r="VWH42" s="51"/>
      <c r="VWI42" s="51"/>
      <c r="VWJ42" s="51"/>
      <c r="VWK42" s="51"/>
      <c r="VWL42" s="51"/>
      <c r="VWM42" s="51"/>
      <c r="VWN42" s="51"/>
      <c r="VWO42" s="51"/>
      <c r="VWP42" s="51"/>
      <c r="VWQ42" s="51"/>
      <c r="VWR42" s="51"/>
      <c r="VWS42" s="51"/>
      <c r="VWT42" s="51"/>
      <c r="VWU42" s="51"/>
      <c r="VWV42" s="51"/>
      <c r="VWW42" s="51"/>
      <c r="VWX42" s="51"/>
      <c r="VWY42" s="51"/>
      <c r="VWZ42" s="51"/>
      <c r="VXA42" s="51"/>
      <c r="VXB42" s="51"/>
      <c r="VXC42" s="51"/>
      <c r="VXD42" s="51"/>
      <c r="VXE42" s="51"/>
      <c r="VXF42" s="51"/>
      <c r="VXG42" s="51"/>
      <c r="VXH42" s="51"/>
      <c r="VXI42" s="51"/>
      <c r="VXJ42" s="51"/>
      <c r="VXK42" s="51"/>
      <c r="VXL42" s="51"/>
      <c r="VXM42" s="51"/>
      <c r="VXN42" s="51"/>
      <c r="VXO42" s="51"/>
      <c r="VXP42" s="51"/>
      <c r="VXQ42" s="51"/>
      <c r="VXR42" s="51"/>
      <c r="VXS42" s="51"/>
      <c r="VXT42" s="51"/>
      <c r="VXU42" s="51"/>
      <c r="VXV42" s="51"/>
      <c r="VXW42" s="51"/>
      <c r="VXX42" s="51"/>
      <c r="VXY42" s="51"/>
      <c r="VXZ42" s="51"/>
      <c r="VYA42" s="51"/>
      <c r="VYB42" s="51"/>
      <c r="VYC42" s="51"/>
      <c r="VYD42" s="51"/>
      <c r="VYE42" s="51"/>
      <c r="VYF42" s="51"/>
      <c r="VYG42" s="51"/>
      <c r="VYH42" s="51"/>
      <c r="VYI42" s="51"/>
      <c r="VYJ42" s="51"/>
      <c r="VYK42" s="51"/>
      <c r="VYL42" s="51"/>
      <c r="VYM42" s="51"/>
      <c r="VYN42" s="51"/>
      <c r="VYO42" s="51"/>
      <c r="VYP42" s="51"/>
      <c r="VYQ42" s="51"/>
      <c r="VYR42" s="51"/>
      <c r="VYS42" s="51"/>
      <c r="VYT42" s="51"/>
      <c r="VYU42" s="51"/>
      <c r="VYV42" s="51"/>
      <c r="VYW42" s="51"/>
      <c r="VYX42" s="51"/>
      <c r="VYY42" s="51"/>
      <c r="VYZ42" s="51"/>
      <c r="VZA42" s="51"/>
      <c r="VZB42" s="51"/>
      <c r="VZC42" s="51"/>
      <c r="VZD42" s="51"/>
      <c r="VZE42" s="51"/>
      <c r="VZF42" s="51"/>
      <c r="VZG42" s="51"/>
      <c r="VZH42" s="51"/>
      <c r="VZI42" s="51"/>
      <c r="VZJ42" s="51"/>
      <c r="VZK42" s="51"/>
      <c r="VZL42" s="51"/>
      <c r="VZM42" s="51"/>
      <c r="VZN42" s="51"/>
      <c r="VZO42" s="51"/>
      <c r="VZP42" s="51"/>
      <c r="VZQ42" s="51"/>
      <c r="VZR42" s="51"/>
      <c r="VZS42" s="51"/>
      <c r="VZT42" s="51"/>
      <c r="VZU42" s="51"/>
      <c r="VZV42" s="51"/>
      <c r="VZW42" s="51"/>
      <c r="VZX42" s="51"/>
      <c r="VZY42" s="51"/>
      <c r="VZZ42" s="51"/>
      <c r="WAA42" s="51"/>
      <c r="WAB42" s="51"/>
      <c r="WAC42" s="51"/>
      <c r="WAD42" s="51"/>
      <c r="WAE42" s="51"/>
      <c r="WAF42" s="51"/>
      <c r="WAG42" s="51"/>
      <c r="WAH42" s="51"/>
      <c r="WAI42" s="51"/>
      <c r="WAJ42" s="51"/>
      <c r="WAK42" s="51"/>
      <c r="WAL42" s="51"/>
      <c r="WAM42" s="51"/>
      <c r="WAN42" s="51"/>
      <c r="WAO42" s="51"/>
      <c r="WAP42" s="51"/>
      <c r="WAQ42" s="51"/>
      <c r="WAR42" s="51"/>
      <c r="WAS42" s="51"/>
      <c r="WAT42" s="51"/>
      <c r="WAU42" s="51"/>
      <c r="WAV42" s="51"/>
      <c r="WAW42" s="51"/>
      <c r="WAX42" s="51"/>
      <c r="WAY42" s="51"/>
      <c r="WAZ42" s="51"/>
      <c r="WBA42" s="51"/>
      <c r="WBB42" s="51"/>
      <c r="WBC42" s="51"/>
      <c r="WBD42" s="51"/>
      <c r="WBE42" s="51"/>
      <c r="WBF42" s="51"/>
      <c r="WBG42" s="51"/>
      <c r="WBH42" s="51"/>
      <c r="WBI42" s="51"/>
      <c r="WBJ42" s="51"/>
      <c r="WBK42" s="51"/>
      <c r="WBL42" s="51"/>
      <c r="WBM42" s="51"/>
      <c r="WBN42" s="51"/>
      <c r="WBO42" s="51"/>
      <c r="WBP42" s="51"/>
      <c r="WBQ42" s="51"/>
      <c r="WBR42" s="51"/>
      <c r="WBS42" s="51"/>
      <c r="WBT42" s="51"/>
      <c r="WBU42" s="51"/>
      <c r="WBV42" s="51"/>
      <c r="WBW42" s="51"/>
      <c r="WBX42" s="51"/>
      <c r="WBY42" s="51"/>
      <c r="WBZ42" s="51"/>
      <c r="WCA42" s="51"/>
      <c r="WCB42" s="51"/>
      <c r="WCC42" s="51"/>
      <c r="WCD42" s="51"/>
      <c r="WCE42" s="51"/>
      <c r="WCF42" s="51"/>
      <c r="WCG42" s="51"/>
      <c r="WCH42" s="51"/>
      <c r="WCI42" s="51"/>
      <c r="WCJ42" s="51"/>
      <c r="WCK42" s="51"/>
      <c r="WCL42" s="51"/>
      <c r="WCM42" s="51"/>
      <c r="WCN42" s="51"/>
      <c r="WCO42" s="51"/>
      <c r="WCP42" s="51"/>
      <c r="WCQ42" s="51"/>
      <c r="WCR42" s="51"/>
      <c r="WCS42" s="51"/>
      <c r="WCT42" s="51"/>
      <c r="WCU42" s="51"/>
      <c r="WCV42" s="51"/>
      <c r="WCW42" s="51"/>
      <c r="WCX42" s="51"/>
      <c r="WCY42" s="51"/>
      <c r="WCZ42" s="51"/>
      <c r="WDA42" s="51"/>
      <c r="WDB42" s="51"/>
      <c r="WDC42" s="51"/>
      <c r="WDD42" s="51"/>
      <c r="WDE42" s="51"/>
      <c r="WDF42" s="51"/>
      <c r="WDG42" s="51"/>
      <c r="WDH42" s="51"/>
      <c r="WDI42" s="51"/>
      <c r="WDJ42" s="51"/>
      <c r="WDK42" s="51"/>
      <c r="WDL42" s="51"/>
      <c r="WDM42" s="51"/>
      <c r="WDN42" s="51"/>
      <c r="WDO42" s="51"/>
      <c r="WDP42" s="51"/>
      <c r="WDQ42" s="51"/>
      <c r="WDR42" s="51"/>
      <c r="WDS42" s="51"/>
      <c r="WDT42" s="51"/>
      <c r="WDU42" s="51"/>
      <c r="WDV42" s="51"/>
      <c r="WDW42" s="51"/>
      <c r="WDX42" s="51"/>
      <c r="WDY42" s="51"/>
      <c r="WDZ42" s="51"/>
      <c r="WEA42" s="51"/>
      <c r="WEB42" s="51"/>
      <c r="WEC42" s="51"/>
      <c r="WED42" s="51"/>
      <c r="WEE42" s="51"/>
      <c r="WEF42" s="51"/>
      <c r="WEG42" s="51"/>
      <c r="WEH42" s="51"/>
      <c r="WEI42" s="51"/>
      <c r="WEJ42" s="51"/>
      <c r="WEK42" s="51"/>
      <c r="WEL42" s="51"/>
      <c r="WEM42" s="51"/>
      <c r="WEN42" s="51"/>
      <c r="WEO42" s="51"/>
      <c r="WEP42" s="51"/>
      <c r="WEQ42" s="51"/>
      <c r="WER42" s="51"/>
      <c r="WES42" s="51"/>
      <c r="WET42" s="51"/>
      <c r="WEU42" s="51"/>
      <c r="WEV42" s="51"/>
      <c r="WEW42" s="51"/>
      <c r="WEX42" s="51"/>
      <c r="WEY42" s="51"/>
      <c r="WEZ42" s="51"/>
      <c r="WFA42" s="51"/>
      <c r="WFB42" s="51"/>
      <c r="WFC42" s="51"/>
      <c r="WFD42" s="51"/>
      <c r="WFE42" s="51"/>
      <c r="WFF42" s="51"/>
      <c r="WFG42" s="51"/>
      <c r="WFH42" s="51"/>
      <c r="WFI42" s="51"/>
      <c r="WFJ42" s="51"/>
      <c r="WFK42" s="51"/>
      <c r="WFL42" s="51"/>
      <c r="WFM42" s="51"/>
      <c r="WFN42" s="51"/>
      <c r="WFO42" s="51"/>
      <c r="WFP42" s="51"/>
      <c r="WFQ42" s="51"/>
      <c r="WFR42" s="51"/>
      <c r="WFS42" s="51"/>
      <c r="WFT42" s="51"/>
      <c r="WFU42" s="51"/>
      <c r="WFV42" s="51"/>
      <c r="WFW42" s="51"/>
      <c r="WFX42" s="51"/>
      <c r="WFY42" s="51"/>
      <c r="WFZ42" s="51"/>
      <c r="WGA42" s="51"/>
      <c r="WGB42" s="51"/>
      <c r="WGC42" s="51"/>
      <c r="WGD42" s="51"/>
      <c r="WGE42" s="51"/>
      <c r="WGF42" s="51"/>
      <c r="WGG42" s="51"/>
      <c r="WGH42" s="51"/>
      <c r="WGI42" s="51"/>
      <c r="WGJ42" s="51"/>
      <c r="WGK42" s="51"/>
      <c r="WGL42" s="51"/>
      <c r="WGM42" s="51"/>
      <c r="WGN42" s="51"/>
      <c r="WGO42" s="51"/>
      <c r="WGP42" s="51"/>
      <c r="WGQ42" s="51"/>
      <c r="WGR42" s="51"/>
      <c r="WGS42" s="51"/>
      <c r="WGT42" s="51"/>
      <c r="WGU42" s="51"/>
      <c r="WGV42" s="51"/>
      <c r="WGW42" s="51"/>
      <c r="WGX42" s="51"/>
      <c r="WGY42" s="51"/>
      <c r="WGZ42" s="51"/>
      <c r="WHA42" s="51"/>
      <c r="WHB42" s="51"/>
      <c r="WHC42" s="51"/>
      <c r="WHD42" s="51"/>
      <c r="WHE42" s="51"/>
      <c r="WHF42" s="51"/>
      <c r="WHG42" s="51"/>
      <c r="WHH42" s="51"/>
      <c r="WHI42" s="51"/>
      <c r="WHJ42" s="51"/>
      <c r="WHK42" s="51"/>
      <c r="WHL42" s="51"/>
      <c r="WHM42" s="51"/>
      <c r="WHN42" s="51"/>
      <c r="WHO42" s="51"/>
      <c r="WHP42" s="51"/>
      <c r="WHQ42" s="51"/>
      <c r="WHR42" s="51"/>
      <c r="WHS42" s="51"/>
      <c r="WHT42" s="51"/>
      <c r="WHU42" s="51"/>
      <c r="WHV42" s="51"/>
      <c r="WHW42" s="51"/>
      <c r="WHX42" s="51"/>
      <c r="WHY42" s="51"/>
      <c r="WHZ42" s="51"/>
      <c r="WIA42" s="51"/>
      <c r="WIB42" s="51"/>
      <c r="WIC42" s="51"/>
      <c r="WID42" s="51"/>
      <c r="WIE42" s="51"/>
      <c r="WIF42" s="51"/>
      <c r="WIG42" s="51"/>
      <c r="WIH42" s="51"/>
      <c r="WII42" s="51"/>
      <c r="WIJ42" s="51"/>
      <c r="WIK42" s="51"/>
      <c r="WIL42" s="51"/>
      <c r="WIM42" s="51"/>
      <c r="WIN42" s="51"/>
      <c r="WIO42" s="51"/>
      <c r="WIP42" s="51"/>
      <c r="WIQ42" s="51"/>
      <c r="WIR42" s="51"/>
      <c r="WIS42" s="51"/>
      <c r="WIT42" s="51"/>
      <c r="WIU42" s="51"/>
      <c r="WIV42" s="51"/>
      <c r="WIW42" s="51"/>
      <c r="WIX42" s="51"/>
      <c r="WIY42" s="51"/>
      <c r="WIZ42" s="51"/>
      <c r="WJA42" s="51"/>
      <c r="WJB42" s="51"/>
      <c r="WJC42" s="51"/>
      <c r="WJD42" s="51"/>
      <c r="WJE42" s="51"/>
      <c r="WJF42" s="51"/>
      <c r="WJG42" s="51"/>
      <c r="WJH42" s="51"/>
      <c r="WJI42" s="51"/>
      <c r="WJJ42" s="51"/>
      <c r="WJK42" s="51"/>
      <c r="WJL42" s="51"/>
      <c r="WJM42" s="51"/>
      <c r="WJN42" s="51"/>
      <c r="WJO42" s="51"/>
      <c r="WJP42" s="51"/>
      <c r="WJQ42" s="51"/>
      <c r="WJR42" s="51"/>
      <c r="WJS42" s="51"/>
      <c r="WJT42" s="51"/>
      <c r="WJU42" s="51"/>
      <c r="WJV42" s="51"/>
      <c r="WJW42" s="51"/>
      <c r="WJX42" s="51"/>
      <c r="WJY42" s="51"/>
      <c r="WJZ42" s="51"/>
      <c r="WKA42" s="51"/>
      <c r="WKB42" s="51"/>
      <c r="WKC42" s="51"/>
      <c r="WKD42" s="51"/>
      <c r="WKE42" s="51"/>
      <c r="WKF42" s="51"/>
      <c r="WKG42" s="51"/>
      <c r="WKH42" s="51"/>
      <c r="WKI42" s="51"/>
      <c r="WKJ42" s="51"/>
      <c r="WKK42" s="51"/>
      <c r="WKL42" s="51"/>
      <c r="WKM42" s="51"/>
      <c r="WKN42" s="51"/>
      <c r="WKO42" s="51"/>
      <c r="WKP42" s="51"/>
      <c r="WKQ42" s="51"/>
      <c r="WKR42" s="51"/>
      <c r="WKS42" s="51"/>
      <c r="WKT42" s="51"/>
      <c r="WKU42" s="51"/>
      <c r="WKV42" s="51"/>
      <c r="WKW42" s="51"/>
      <c r="WKX42" s="51"/>
      <c r="WKY42" s="51"/>
      <c r="WKZ42" s="51"/>
      <c r="WLA42" s="51"/>
      <c r="WLB42" s="51"/>
      <c r="WLC42" s="51"/>
      <c r="WLD42" s="51"/>
      <c r="WLE42" s="51"/>
      <c r="WLF42" s="51"/>
      <c r="WLG42" s="51"/>
      <c r="WLH42" s="51"/>
      <c r="WLI42" s="51"/>
      <c r="WLJ42" s="51"/>
      <c r="WLK42" s="51"/>
      <c r="WLL42" s="51"/>
      <c r="WLM42" s="51"/>
      <c r="WLN42" s="51"/>
      <c r="WLO42" s="51"/>
      <c r="WLP42" s="51"/>
      <c r="WLQ42" s="51"/>
      <c r="WLR42" s="51"/>
      <c r="WLS42" s="51"/>
      <c r="WLT42" s="51"/>
      <c r="WLU42" s="51"/>
      <c r="WLV42" s="51"/>
      <c r="WLW42" s="51"/>
      <c r="WLX42" s="51"/>
      <c r="WLY42" s="51"/>
      <c r="WLZ42" s="51"/>
      <c r="WMA42" s="51"/>
      <c r="WMB42" s="51"/>
      <c r="WMC42" s="51"/>
      <c r="WMD42" s="51"/>
      <c r="WME42" s="51"/>
      <c r="WMF42" s="51"/>
      <c r="WMG42" s="51"/>
      <c r="WMH42" s="51"/>
      <c r="WMI42" s="51"/>
      <c r="WMJ42" s="51"/>
      <c r="WMK42" s="51"/>
      <c r="WML42" s="51"/>
      <c r="WMM42" s="51"/>
      <c r="WMN42" s="51"/>
      <c r="WMO42" s="51"/>
      <c r="WMP42" s="51"/>
      <c r="WMQ42" s="51"/>
      <c r="WMR42" s="51"/>
      <c r="WMS42" s="51"/>
      <c r="WMT42" s="51"/>
      <c r="WMU42" s="51"/>
      <c r="WMV42" s="51"/>
      <c r="WMW42" s="51"/>
      <c r="WMX42" s="51"/>
      <c r="WMY42" s="51"/>
      <c r="WMZ42" s="51"/>
      <c r="WNA42" s="51"/>
      <c r="WNB42" s="51"/>
      <c r="WNC42" s="51"/>
      <c r="WND42" s="51"/>
      <c r="WNE42" s="51"/>
      <c r="WNF42" s="51"/>
      <c r="WNG42" s="51"/>
      <c r="WNH42" s="51"/>
      <c r="WNI42" s="51"/>
      <c r="WNJ42" s="51"/>
      <c r="WNK42" s="51"/>
      <c r="WNL42" s="51"/>
      <c r="WNM42" s="51"/>
      <c r="WNN42" s="51"/>
      <c r="WNO42" s="51"/>
      <c r="WNP42" s="51"/>
      <c r="WNQ42" s="51"/>
      <c r="WNR42" s="51"/>
      <c r="WNS42" s="51"/>
      <c r="WNT42" s="51"/>
      <c r="WNU42" s="51"/>
      <c r="WNV42" s="51"/>
      <c r="WNW42" s="51"/>
      <c r="WNX42" s="51"/>
      <c r="WNY42" s="51"/>
      <c r="WNZ42" s="51"/>
      <c r="WOA42" s="51"/>
      <c r="WOB42" s="51"/>
      <c r="WOC42" s="51"/>
      <c r="WOD42" s="51"/>
      <c r="WOE42" s="51"/>
      <c r="WOF42" s="51"/>
      <c r="WOG42" s="51"/>
      <c r="WOH42" s="51"/>
      <c r="WOI42" s="51"/>
      <c r="WOJ42" s="51"/>
      <c r="WOK42" s="51"/>
      <c r="WOL42" s="51"/>
      <c r="WOM42" s="51"/>
      <c r="WON42" s="51"/>
      <c r="WOO42" s="51"/>
      <c r="WOP42" s="51"/>
      <c r="WOQ42" s="51"/>
      <c r="WOR42" s="51"/>
      <c r="WOS42" s="51"/>
      <c r="WOT42" s="51"/>
      <c r="WOU42" s="51"/>
      <c r="WOV42" s="51"/>
      <c r="WOW42" s="51"/>
      <c r="WOX42" s="51"/>
      <c r="WOY42" s="51"/>
      <c r="WOZ42" s="51"/>
      <c r="WPA42" s="51"/>
      <c r="WPB42" s="51"/>
      <c r="WPC42" s="51"/>
      <c r="WPD42" s="51"/>
      <c r="WPE42" s="51"/>
      <c r="WPF42" s="51"/>
      <c r="WPG42" s="51"/>
      <c r="WPH42" s="51"/>
      <c r="WPI42" s="51"/>
      <c r="WPJ42" s="51"/>
      <c r="WPK42" s="51"/>
      <c r="WPL42" s="51"/>
      <c r="WPM42" s="51"/>
      <c r="WPN42" s="51"/>
      <c r="WPO42" s="51"/>
      <c r="WPP42" s="51"/>
      <c r="WPQ42" s="51"/>
      <c r="WPR42" s="51"/>
      <c r="WPS42" s="51"/>
      <c r="WPT42" s="51"/>
      <c r="WPU42" s="51"/>
      <c r="WPV42" s="51"/>
      <c r="WPW42" s="51"/>
      <c r="WPX42" s="51"/>
      <c r="WPY42" s="51"/>
      <c r="WPZ42" s="51"/>
      <c r="WQA42" s="51"/>
      <c r="WQB42" s="51"/>
      <c r="WQC42" s="51"/>
      <c r="WQD42" s="51"/>
      <c r="WQE42" s="51"/>
      <c r="WQF42" s="51"/>
      <c r="WQG42" s="51"/>
      <c r="WQH42" s="51"/>
      <c r="WQI42" s="51"/>
      <c r="WQJ42" s="51"/>
      <c r="WQK42" s="51"/>
      <c r="WQL42" s="51"/>
      <c r="WQM42" s="51"/>
      <c r="WQN42" s="51"/>
      <c r="WQO42" s="51"/>
      <c r="WQP42" s="51"/>
      <c r="WQQ42" s="51"/>
      <c r="WQR42" s="51"/>
      <c r="WQS42" s="51"/>
      <c r="WQT42" s="51"/>
      <c r="WQU42" s="51"/>
      <c r="WQV42" s="51"/>
      <c r="WQW42" s="51"/>
      <c r="WQX42" s="51"/>
      <c r="WQY42" s="51"/>
      <c r="WQZ42" s="51"/>
      <c r="WRA42" s="51"/>
      <c r="WRB42" s="51"/>
      <c r="WRC42" s="51"/>
      <c r="WRD42" s="51"/>
      <c r="WRE42" s="51"/>
      <c r="WRF42" s="51"/>
      <c r="WRG42" s="51"/>
      <c r="WRH42" s="51"/>
      <c r="WRI42" s="51"/>
      <c r="WRJ42" s="51"/>
      <c r="WRK42" s="51"/>
      <c r="WRL42" s="51"/>
      <c r="WRM42" s="51"/>
      <c r="WRN42" s="51"/>
      <c r="WRO42" s="51"/>
      <c r="WRP42" s="51"/>
      <c r="WRQ42" s="51"/>
      <c r="WRR42" s="51"/>
      <c r="WRS42" s="51"/>
      <c r="WRT42" s="51"/>
      <c r="WRU42" s="51"/>
      <c r="WRV42" s="51"/>
      <c r="WRW42" s="51"/>
      <c r="WRX42" s="51"/>
      <c r="WRY42" s="51"/>
      <c r="WRZ42" s="51"/>
      <c r="WSA42" s="51"/>
      <c r="WSB42" s="51"/>
      <c r="WSC42" s="51"/>
      <c r="WSD42" s="51"/>
      <c r="WSE42" s="51"/>
      <c r="WSF42" s="51"/>
      <c r="WSG42" s="51"/>
      <c r="WSH42" s="51"/>
      <c r="WSI42" s="51"/>
      <c r="WSJ42" s="51"/>
      <c r="WSK42" s="51"/>
      <c r="WSL42" s="51"/>
      <c r="WSM42" s="51"/>
      <c r="WSN42" s="51"/>
      <c r="WSO42" s="51"/>
      <c r="WSP42" s="51"/>
      <c r="WSQ42" s="51"/>
      <c r="WSR42" s="51"/>
      <c r="WSS42" s="51"/>
      <c r="WST42" s="51"/>
      <c r="WSU42" s="51"/>
      <c r="WSV42" s="51"/>
      <c r="WSW42" s="51"/>
      <c r="WSX42" s="51"/>
      <c r="WSY42" s="51"/>
      <c r="WSZ42" s="51"/>
      <c r="WTA42" s="51"/>
      <c r="WTB42" s="51"/>
      <c r="WTC42" s="51"/>
      <c r="WTD42" s="51"/>
      <c r="WTE42" s="51"/>
      <c r="WTF42" s="51"/>
      <c r="WTG42" s="51"/>
      <c r="WTH42" s="51"/>
      <c r="WTI42" s="51"/>
      <c r="WTJ42" s="51"/>
      <c r="WTK42" s="51"/>
      <c r="WTL42" s="51"/>
      <c r="WTM42" s="51"/>
      <c r="WTN42" s="51"/>
      <c r="WTO42" s="51"/>
      <c r="WTP42" s="51"/>
      <c r="WTQ42" s="51"/>
      <c r="WTR42" s="51"/>
      <c r="WTS42" s="51"/>
      <c r="WTT42" s="51"/>
      <c r="WTU42" s="51"/>
      <c r="WTV42" s="51"/>
      <c r="WTW42" s="51"/>
      <c r="WTX42" s="51"/>
      <c r="WTY42" s="51"/>
      <c r="WTZ42" s="51"/>
      <c r="WUA42" s="51"/>
      <c r="WUB42" s="51"/>
      <c r="WUC42" s="51"/>
      <c r="WUD42" s="51"/>
      <c r="WUE42" s="51"/>
      <c r="WUF42" s="51"/>
      <c r="WUG42" s="51"/>
      <c r="WUH42" s="51"/>
      <c r="WUI42" s="51"/>
      <c r="WUJ42" s="51"/>
      <c r="WUK42" s="51"/>
      <c r="WUL42" s="51"/>
      <c r="WUM42" s="51"/>
      <c r="WUN42" s="51"/>
      <c r="WUO42" s="51"/>
      <c r="WUP42" s="51"/>
      <c r="WUQ42" s="51"/>
      <c r="WUR42" s="51"/>
      <c r="WUS42" s="51"/>
      <c r="WUT42" s="51"/>
      <c r="WUU42" s="51"/>
      <c r="WUV42" s="51"/>
      <c r="WUW42" s="51"/>
      <c r="WUX42" s="51"/>
      <c r="WUY42" s="51"/>
      <c r="WUZ42" s="51"/>
      <c r="WVA42" s="51"/>
      <c r="WVB42" s="51"/>
      <c r="WVC42" s="51"/>
      <c r="WVD42" s="51"/>
      <c r="WVE42" s="51"/>
      <c r="WVF42" s="51"/>
      <c r="WVG42" s="51"/>
      <c r="WVH42" s="51"/>
      <c r="WVI42" s="51"/>
      <c r="WVJ42" s="51"/>
      <c r="WVK42" s="51"/>
      <c r="WVL42" s="51"/>
      <c r="WVM42" s="51"/>
      <c r="WVN42" s="51"/>
      <c r="WVO42" s="51"/>
      <c r="WVP42" s="51"/>
      <c r="WVQ42" s="51"/>
      <c r="WVR42" s="51"/>
      <c r="WVS42" s="51"/>
      <c r="WVT42" s="51"/>
      <c r="WVU42" s="51"/>
      <c r="WVV42" s="51"/>
      <c r="WVW42" s="51"/>
      <c r="WVX42" s="51"/>
      <c r="WVY42" s="51"/>
      <c r="WVZ42" s="51"/>
      <c r="WWA42" s="51"/>
      <c r="WWB42" s="51"/>
      <c r="WWC42" s="51"/>
      <c r="WWD42" s="51"/>
      <c r="WWE42" s="51"/>
      <c r="WWF42" s="51"/>
      <c r="WWG42" s="51"/>
      <c r="WWH42" s="51"/>
      <c r="WWI42" s="51"/>
      <c r="WWJ42" s="51"/>
      <c r="WWK42" s="51"/>
      <c r="WWL42" s="51"/>
      <c r="WWM42" s="51"/>
      <c r="WWN42" s="51"/>
      <c r="WWO42" s="51"/>
      <c r="WWP42" s="51"/>
      <c r="WWQ42" s="51"/>
      <c r="WWR42" s="51"/>
      <c r="WWS42" s="51"/>
      <c r="WWT42" s="51"/>
      <c r="WWU42" s="51"/>
      <c r="WWV42" s="51"/>
      <c r="WWW42" s="51"/>
      <c r="WWX42" s="51"/>
      <c r="WWY42" s="51"/>
      <c r="WWZ42" s="51"/>
      <c r="WXA42" s="51"/>
      <c r="WXB42" s="51"/>
      <c r="WXC42" s="51"/>
      <c r="WXD42" s="51"/>
      <c r="WXE42" s="51"/>
      <c r="WXF42" s="51"/>
      <c r="WXG42" s="51"/>
      <c r="WXH42" s="51"/>
      <c r="WXI42" s="51"/>
      <c r="WXJ42" s="51"/>
      <c r="WXK42" s="51"/>
      <c r="WXL42" s="51"/>
      <c r="WXM42" s="51"/>
      <c r="WXN42" s="51"/>
      <c r="WXO42" s="51"/>
      <c r="WXP42" s="51"/>
      <c r="WXQ42" s="51"/>
      <c r="WXR42" s="51"/>
      <c r="WXS42" s="51"/>
      <c r="WXT42" s="51"/>
      <c r="WXU42" s="51"/>
      <c r="WXV42" s="51"/>
      <c r="WXW42" s="51"/>
      <c r="WXX42" s="51"/>
      <c r="WXY42" s="51"/>
      <c r="WXZ42" s="51"/>
      <c r="WYA42" s="51"/>
      <c r="WYB42" s="51"/>
      <c r="WYC42" s="51"/>
      <c r="WYD42" s="51"/>
      <c r="WYE42" s="51"/>
      <c r="WYF42" s="51"/>
      <c r="WYG42" s="51"/>
      <c r="WYH42" s="51"/>
      <c r="WYI42" s="51"/>
      <c r="WYJ42" s="51"/>
      <c r="WYK42" s="51"/>
      <c r="WYL42" s="51"/>
      <c r="WYM42" s="51"/>
      <c r="WYN42" s="51"/>
      <c r="WYO42" s="51"/>
      <c r="WYP42" s="51"/>
      <c r="WYQ42" s="51"/>
      <c r="WYR42" s="51"/>
      <c r="WYS42" s="51"/>
      <c r="WYT42" s="51"/>
      <c r="WYU42" s="51"/>
      <c r="WYV42" s="51"/>
      <c r="WYW42" s="51"/>
      <c r="WYX42" s="51"/>
      <c r="WYY42" s="51"/>
      <c r="WYZ42" s="51"/>
      <c r="WZA42" s="51"/>
      <c r="WZB42" s="51"/>
      <c r="WZC42" s="51"/>
      <c r="WZD42" s="51"/>
      <c r="WZE42" s="51"/>
      <c r="WZF42" s="51"/>
      <c r="WZG42" s="51"/>
      <c r="WZH42" s="51"/>
      <c r="WZI42" s="51"/>
      <c r="WZJ42" s="51"/>
      <c r="WZK42" s="51"/>
      <c r="WZL42" s="51"/>
      <c r="WZM42" s="51"/>
      <c r="WZN42" s="51"/>
      <c r="WZO42" s="51"/>
      <c r="WZP42" s="51"/>
      <c r="WZQ42" s="51"/>
      <c r="WZR42" s="51"/>
      <c r="WZS42" s="51"/>
      <c r="WZT42" s="51"/>
      <c r="WZU42" s="51"/>
      <c r="WZV42" s="51"/>
      <c r="WZW42" s="51"/>
      <c r="WZX42" s="51"/>
      <c r="WZY42" s="51"/>
      <c r="WZZ42" s="51"/>
      <c r="XAA42" s="51"/>
      <c r="XAB42" s="51"/>
      <c r="XAC42" s="51"/>
      <c r="XAD42" s="51"/>
      <c r="XAE42" s="51"/>
      <c r="XAF42" s="51"/>
      <c r="XAG42" s="51"/>
      <c r="XAH42" s="51"/>
      <c r="XAI42" s="51"/>
      <c r="XAJ42" s="51"/>
      <c r="XAK42" s="51"/>
      <c r="XAL42" s="51"/>
      <c r="XAM42" s="51"/>
      <c r="XAN42" s="51"/>
      <c r="XAO42" s="51"/>
      <c r="XAP42" s="51"/>
      <c r="XAQ42" s="51"/>
      <c r="XAR42" s="51"/>
      <c r="XAS42" s="51"/>
      <c r="XAT42" s="51"/>
      <c r="XAU42" s="51"/>
      <c r="XAV42" s="51"/>
      <c r="XAW42" s="51"/>
      <c r="XAX42" s="51"/>
      <c r="XAY42" s="51"/>
      <c r="XAZ42" s="51"/>
      <c r="XBA42" s="51"/>
      <c r="XBB42" s="51"/>
      <c r="XBC42" s="51"/>
      <c r="XBD42" s="51"/>
      <c r="XBE42" s="51"/>
      <c r="XBF42" s="51"/>
      <c r="XBG42" s="51"/>
      <c r="XBH42" s="51"/>
      <c r="XBI42" s="51"/>
      <c r="XBJ42" s="51"/>
      <c r="XBK42" s="51"/>
      <c r="XBL42" s="51"/>
      <c r="XBM42" s="51"/>
      <c r="XBN42" s="51"/>
      <c r="XBO42" s="51"/>
      <c r="XBP42" s="51"/>
      <c r="XBQ42" s="51"/>
      <c r="XBR42" s="51"/>
      <c r="XBS42" s="51"/>
      <c r="XBT42" s="51"/>
      <c r="XBU42" s="51"/>
      <c r="XBV42" s="51"/>
      <c r="XBW42" s="51"/>
      <c r="XBX42" s="51"/>
      <c r="XBY42" s="51"/>
      <c r="XBZ42" s="51"/>
      <c r="XCA42" s="51"/>
      <c r="XCB42" s="51"/>
      <c r="XCC42" s="51"/>
      <c r="XCD42" s="51"/>
      <c r="XCE42" s="51"/>
      <c r="XCF42" s="51"/>
      <c r="XCG42" s="51"/>
      <c r="XCH42" s="51"/>
      <c r="XCI42" s="51"/>
      <c r="XCJ42" s="51"/>
      <c r="XCK42" s="51"/>
      <c r="XCL42" s="51"/>
      <c r="XCM42" s="51"/>
      <c r="XCN42" s="51"/>
      <c r="XCO42" s="51"/>
      <c r="XCP42" s="51"/>
      <c r="XCQ42" s="51"/>
      <c r="XCR42" s="51"/>
      <c r="XCS42" s="51"/>
      <c r="XCT42" s="51"/>
      <c r="XCU42" s="51"/>
      <c r="XCV42" s="51"/>
      <c r="XCW42" s="51"/>
      <c r="XCX42" s="51"/>
      <c r="XCY42" s="51"/>
      <c r="XCZ42" s="51"/>
      <c r="XDA42" s="51"/>
      <c r="XDB42" s="51"/>
      <c r="XDC42" s="51"/>
      <c r="XDD42" s="51"/>
      <c r="XDE42" s="51"/>
      <c r="XDF42" s="51"/>
      <c r="XDG42" s="51"/>
      <c r="XDH42" s="51"/>
      <c r="XDI42" s="51"/>
      <c r="XDJ42" s="51"/>
      <c r="XDK42" s="51"/>
      <c r="XDL42" s="51"/>
      <c r="XDM42" s="51"/>
      <c r="XDN42" s="51"/>
      <c r="XDO42" s="51"/>
      <c r="XDP42" s="51"/>
      <c r="XDQ42" s="51"/>
      <c r="XDR42" s="51"/>
      <c r="XDS42" s="51"/>
      <c r="XDT42" s="51"/>
      <c r="XDU42" s="51"/>
      <c r="XDV42" s="51"/>
      <c r="XDW42" s="51"/>
      <c r="XDX42" s="51"/>
      <c r="XDY42" s="51"/>
      <c r="XDZ42" s="51"/>
      <c r="XEA42" s="51"/>
      <c r="XEB42" s="51"/>
      <c r="XEC42" s="51"/>
      <c r="XED42" s="51"/>
      <c r="XEE42" s="51"/>
      <c r="XEF42" s="51"/>
      <c r="XEG42" s="51"/>
      <c r="XEH42" s="51"/>
      <c r="XEI42" s="51"/>
      <c r="XEJ42" s="51"/>
      <c r="XEK42" s="51"/>
      <c r="XEL42" s="51"/>
      <c r="XEM42" s="51"/>
      <c r="XEN42" s="51"/>
      <c r="XEO42" s="51"/>
      <c r="XEP42" s="51"/>
      <c r="XEQ42" s="51"/>
      <c r="XER42" s="51"/>
      <c r="XES42" s="51"/>
      <c r="XET42" s="51"/>
      <c r="XEU42" s="51"/>
      <c r="XEV42" s="51"/>
      <c r="XEW42" s="51"/>
      <c r="XEX42" s="51"/>
      <c r="XEY42" s="51"/>
      <c r="XEZ42" s="51"/>
      <c r="XFA42" s="51"/>
      <c r="XFB42" s="51"/>
      <c r="XFC42" s="51"/>
      <c r="XFD42" s="51"/>
    </row>
    <row r="43" spans="1:16384" s="258" customFormat="1">
      <c r="A43" s="51"/>
      <c r="B43" s="51" t="s">
        <v>1188</v>
      </c>
      <c r="C43" s="51"/>
      <c r="D43" s="51"/>
      <c r="E43" s="51"/>
      <c r="F43" s="51"/>
      <c r="G43" s="446">
        <f>(1+'X-factorberekening'!$F$79-(G10/G42)^(1/3))*100</f>
        <v>8.044122273155752</v>
      </c>
      <c r="H43" s="446">
        <f>(1+'X-factorberekening'!$F$79-(H10/H42)^(1/3))*100</f>
        <v>7.5896652056322234</v>
      </c>
      <c r="I43" s="446">
        <f>(1+'X-factorberekening'!$F$79-(I10/I42)^(1/3))*100</f>
        <v>7.4183777433881604</v>
      </c>
      <c r="J43" s="446">
        <f>(1+'X-factorberekening'!$F$79-(J10/J42)^(1/3))*100</f>
        <v>7.3555598665366322</v>
      </c>
      <c r="K43" s="446">
        <f>(1+'X-factorberekening'!$F$79-(K10/K42)^(1/3))*100</f>
        <v>6.7047028683423378</v>
      </c>
      <c r="L43" s="446">
        <f>(1+'X-factorberekening'!$F$79-(L10/L42)^(1/3))*100</f>
        <v>7.4615746452090015</v>
      </c>
      <c r="M43" s="446">
        <f>(1+'X-factorberekening'!$F$79-(M10/M42)^(1/3))*100</f>
        <v>7.0128041366254052</v>
      </c>
      <c r="N43" s="446">
        <f>(1+'X-factorberekening'!$F$79-(N10/N42)^(1/3))*100</f>
        <v>8.1586616458435017</v>
      </c>
      <c r="O43" s="446">
        <f>(1+'X-factorberekening'!$F$79-(O10/O42)^(1/3))*100</f>
        <v>18.076360089250187</v>
      </c>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c r="XE43" s="51"/>
      <c r="XF43" s="51"/>
      <c r="XG43" s="51"/>
      <c r="XH43" s="51"/>
      <c r="XI43" s="51"/>
      <c r="XJ43" s="51"/>
      <c r="XK43" s="51"/>
      <c r="XL43" s="51"/>
      <c r="XM43" s="51"/>
      <c r="XN43" s="51"/>
      <c r="XO43" s="51"/>
      <c r="XP43" s="51"/>
      <c r="XQ43" s="51"/>
      <c r="XR43" s="51"/>
      <c r="XS43" s="51"/>
      <c r="XT43" s="51"/>
      <c r="XU43" s="51"/>
      <c r="XV43" s="51"/>
      <c r="XW43" s="51"/>
      <c r="XX43" s="51"/>
      <c r="XY43" s="51"/>
      <c r="XZ43" s="51"/>
      <c r="YA43" s="51"/>
      <c r="YB43" s="51"/>
      <c r="YC43" s="51"/>
      <c r="YD43" s="51"/>
      <c r="YE43" s="51"/>
      <c r="YF43" s="51"/>
      <c r="YG43" s="51"/>
      <c r="YH43" s="51"/>
      <c r="YI43" s="51"/>
      <c r="YJ43" s="51"/>
      <c r="YK43" s="51"/>
      <c r="YL43" s="51"/>
      <c r="YM43" s="51"/>
      <c r="YN43" s="51"/>
      <c r="YO43" s="51"/>
      <c r="YP43" s="51"/>
      <c r="YQ43" s="51"/>
      <c r="YR43" s="51"/>
      <c r="YS43" s="51"/>
      <c r="YT43" s="51"/>
      <c r="YU43" s="51"/>
      <c r="YV43" s="51"/>
      <c r="YW43" s="51"/>
      <c r="YX43" s="51"/>
      <c r="YY43" s="51"/>
      <c r="YZ43" s="51"/>
      <c r="ZA43" s="51"/>
      <c r="ZB43" s="51"/>
      <c r="ZC43" s="51"/>
      <c r="ZD43" s="51"/>
      <c r="ZE43" s="51"/>
      <c r="ZF43" s="51"/>
      <c r="ZG43" s="51"/>
      <c r="ZH43" s="51"/>
      <c r="ZI43" s="51"/>
      <c r="ZJ43" s="51"/>
      <c r="ZK43" s="51"/>
      <c r="ZL43" s="51"/>
      <c r="ZM43" s="51"/>
      <c r="ZN43" s="51"/>
      <c r="ZO43" s="51"/>
      <c r="ZP43" s="51"/>
      <c r="ZQ43" s="51"/>
      <c r="ZR43" s="51"/>
      <c r="ZS43" s="51"/>
      <c r="ZT43" s="51"/>
      <c r="ZU43" s="51"/>
      <c r="ZV43" s="51"/>
      <c r="ZW43" s="51"/>
      <c r="ZX43" s="51"/>
      <c r="ZY43" s="51"/>
      <c r="ZZ43" s="51"/>
      <c r="AAA43" s="51"/>
      <c r="AAB43" s="51"/>
      <c r="AAC43" s="51"/>
      <c r="AAD43" s="51"/>
      <c r="AAE43" s="51"/>
      <c r="AAF43" s="51"/>
      <c r="AAG43" s="51"/>
      <c r="AAH43" s="51"/>
      <c r="AAI43" s="51"/>
      <c r="AAJ43" s="51"/>
      <c r="AAK43" s="51"/>
      <c r="AAL43" s="51"/>
      <c r="AAM43" s="51"/>
      <c r="AAN43" s="51"/>
      <c r="AAO43" s="51"/>
      <c r="AAP43" s="51"/>
      <c r="AAQ43" s="51"/>
      <c r="AAR43" s="51"/>
      <c r="AAS43" s="51"/>
      <c r="AAT43" s="51"/>
      <c r="AAU43" s="51"/>
      <c r="AAV43" s="51"/>
      <c r="AAW43" s="51"/>
      <c r="AAX43" s="51"/>
      <c r="AAY43" s="51"/>
      <c r="AAZ43" s="51"/>
      <c r="ABA43" s="51"/>
      <c r="ABB43" s="51"/>
      <c r="ABC43" s="51"/>
      <c r="ABD43" s="51"/>
      <c r="ABE43" s="51"/>
      <c r="ABF43" s="51"/>
      <c r="ABG43" s="51"/>
      <c r="ABH43" s="51"/>
      <c r="ABI43" s="51"/>
      <c r="ABJ43" s="51"/>
      <c r="ABK43" s="51"/>
      <c r="ABL43" s="51"/>
      <c r="ABM43" s="51"/>
      <c r="ABN43" s="51"/>
      <c r="ABO43" s="51"/>
      <c r="ABP43" s="51"/>
      <c r="ABQ43" s="51"/>
      <c r="ABR43" s="51"/>
      <c r="ABS43" s="51"/>
      <c r="ABT43" s="51"/>
      <c r="ABU43" s="51"/>
      <c r="ABV43" s="51"/>
      <c r="ABW43" s="51"/>
      <c r="ABX43" s="51"/>
      <c r="ABY43" s="51"/>
      <c r="ABZ43" s="51"/>
      <c r="ACA43" s="51"/>
      <c r="ACB43" s="51"/>
      <c r="ACC43" s="51"/>
      <c r="ACD43" s="51"/>
      <c r="ACE43" s="51"/>
      <c r="ACF43" s="51"/>
      <c r="ACG43" s="51"/>
      <c r="ACH43" s="51"/>
      <c r="ACI43" s="51"/>
      <c r="ACJ43" s="51"/>
      <c r="ACK43" s="51"/>
      <c r="ACL43" s="51"/>
      <c r="ACM43" s="51"/>
      <c r="ACN43" s="51"/>
      <c r="ACO43" s="51"/>
      <c r="ACP43" s="51"/>
      <c r="ACQ43" s="51"/>
      <c r="ACR43" s="51"/>
      <c r="ACS43" s="51"/>
      <c r="ACT43" s="51"/>
      <c r="ACU43" s="51"/>
      <c r="ACV43" s="51"/>
      <c r="ACW43" s="51"/>
      <c r="ACX43" s="51"/>
      <c r="ACY43" s="51"/>
      <c r="ACZ43" s="51"/>
      <c r="ADA43" s="51"/>
      <c r="ADB43" s="51"/>
      <c r="ADC43" s="51"/>
      <c r="ADD43" s="51"/>
      <c r="ADE43" s="51"/>
      <c r="ADF43" s="51"/>
      <c r="ADG43" s="51"/>
      <c r="ADH43" s="51"/>
      <c r="ADI43" s="51"/>
      <c r="ADJ43" s="51"/>
      <c r="ADK43" s="51"/>
      <c r="ADL43" s="51"/>
      <c r="ADM43" s="51"/>
      <c r="ADN43" s="51"/>
      <c r="ADO43" s="51"/>
      <c r="ADP43" s="51"/>
      <c r="ADQ43" s="51"/>
      <c r="ADR43" s="51"/>
      <c r="ADS43" s="51"/>
      <c r="ADT43" s="51"/>
      <c r="ADU43" s="51"/>
      <c r="ADV43" s="51"/>
      <c r="ADW43" s="51"/>
      <c r="ADX43" s="51"/>
      <c r="ADY43" s="51"/>
      <c r="ADZ43" s="51"/>
      <c r="AEA43" s="51"/>
      <c r="AEB43" s="51"/>
      <c r="AEC43" s="51"/>
      <c r="AED43" s="51"/>
      <c r="AEE43" s="51"/>
      <c r="AEF43" s="51"/>
      <c r="AEG43" s="51"/>
      <c r="AEH43" s="51"/>
      <c r="AEI43" s="51"/>
      <c r="AEJ43" s="51"/>
      <c r="AEK43" s="51"/>
      <c r="AEL43" s="51"/>
      <c r="AEM43" s="51"/>
      <c r="AEN43" s="51"/>
      <c r="AEO43" s="51"/>
      <c r="AEP43" s="51"/>
      <c r="AEQ43" s="51"/>
      <c r="AER43" s="51"/>
      <c r="AES43" s="51"/>
      <c r="AET43" s="51"/>
      <c r="AEU43" s="51"/>
      <c r="AEV43" s="51"/>
      <c r="AEW43" s="51"/>
      <c r="AEX43" s="51"/>
      <c r="AEY43" s="51"/>
      <c r="AEZ43" s="51"/>
      <c r="AFA43" s="51"/>
      <c r="AFB43" s="51"/>
      <c r="AFC43" s="51"/>
      <c r="AFD43" s="51"/>
      <c r="AFE43" s="51"/>
      <c r="AFF43" s="51"/>
      <c r="AFG43" s="51"/>
      <c r="AFH43" s="51"/>
      <c r="AFI43" s="51"/>
      <c r="AFJ43" s="51"/>
      <c r="AFK43" s="51"/>
      <c r="AFL43" s="51"/>
      <c r="AFM43" s="51"/>
      <c r="AFN43" s="51"/>
      <c r="AFO43" s="51"/>
      <c r="AFP43" s="51"/>
      <c r="AFQ43" s="51"/>
      <c r="AFR43" s="51"/>
      <c r="AFS43" s="51"/>
      <c r="AFT43" s="51"/>
      <c r="AFU43" s="51"/>
      <c r="AFV43" s="51"/>
      <c r="AFW43" s="51"/>
      <c r="AFX43" s="51"/>
      <c r="AFY43" s="51"/>
      <c r="AFZ43" s="51"/>
      <c r="AGA43" s="51"/>
      <c r="AGB43" s="51"/>
      <c r="AGC43" s="51"/>
      <c r="AGD43" s="51"/>
      <c r="AGE43" s="51"/>
      <c r="AGF43" s="51"/>
      <c r="AGG43" s="51"/>
      <c r="AGH43" s="51"/>
      <c r="AGI43" s="51"/>
      <c r="AGJ43" s="51"/>
      <c r="AGK43" s="51"/>
      <c r="AGL43" s="51"/>
      <c r="AGM43" s="51"/>
      <c r="AGN43" s="51"/>
      <c r="AGO43" s="51"/>
      <c r="AGP43" s="51"/>
      <c r="AGQ43" s="51"/>
      <c r="AGR43" s="51"/>
      <c r="AGS43" s="51"/>
      <c r="AGT43" s="51"/>
      <c r="AGU43" s="51"/>
      <c r="AGV43" s="51"/>
      <c r="AGW43" s="51"/>
      <c r="AGX43" s="51"/>
      <c r="AGY43" s="51"/>
      <c r="AGZ43" s="51"/>
      <c r="AHA43" s="51"/>
      <c r="AHB43" s="51"/>
      <c r="AHC43" s="51"/>
      <c r="AHD43" s="51"/>
      <c r="AHE43" s="51"/>
      <c r="AHF43" s="51"/>
      <c r="AHG43" s="51"/>
      <c r="AHH43" s="51"/>
      <c r="AHI43" s="51"/>
      <c r="AHJ43" s="51"/>
      <c r="AHK43" s="51"/>
      <c r="AHL43" s="51"/>
      <c r="AHM43" s="51"/>
      <c r="AHN43" s="51"/>
      <c r="AHO43" s="51"/>
      <c r="AHP43" s="51"/>
      <c r="AHQ43" s="51"/>
      <c r="AHR43" s="51"/>
      <c r="AHS43" s="51"/>
      <c r="AHT43" s="51"/>
      <c r="AHU43" s="51"/>
      <c r="AHV43" s="51"/>
      <c r="AHW43" s="51"/>
      <c r="AHX43" s="51"/>
      <c r="AHY43" s="51"/>
      <c r="AHZ43" s="51"/>
      <c r="AIA43" s="51"/>
      <c r="AIB43" s="51"/>
      <c r="AIC43" s="51"/>
      <c r="AID43" s="51"/>
      <c r="AIE43" s="51"/>
      <c r="AIF43" s="51"/>
      <c r="AIG43" s="51"/>
      <c r="AIH43" s="51"/>
      <c r="AII43" s="51"/>
      <c r="AIJ43" s="51"/>
      <c r="AIK43" s="51"/>
      <c r="AIL43" s="51"/>
      <c r="AIM43" s="51"/>
      <c r="AIN43" s="51"/>
      <c r="AIO43" s="51"/>
      <c r="AIP43" s="51"/>
      <c r="AIQ43" s="51"/>
      <c r="AIR43" s="51"/>
      <c r="AIS43" s="51"/>
      <c r="AIT43" s="51"/>
      <c r="AIU43" s="51"/>
      <c r="AIV43" s="51"/>
      <c r="AIW43" s="51"/>
      <c r="AIX43" s="51"/>
      <c r="AIY43" s="51"/>
      <c r="AIZ43" s="51"/>
      <c r="AJA43" s="51"/>
      <c r="AJB43" s="51"/>
      <c r="AJC43" s="51"/>
      <c r="AJD43" s="51"/>
      <c r="AJE43" s="51"/>
      <c r="AJF43" s="51"/>
      <c r="AJG43" s="51"/>
      <c r="AJH43" s="51"/>
      <c r="AJI43" s="51"/>
      <c r="AJJ43" s="51"/>
      <c r="AJK43" s="51"/>
      <c r="AJL43" s="51"/>
      <c r="AJM43" s="51"/>
      <c r="AJN43" s="51"/>
      <c r="AJO43" s="51"/>
      <c r="AJP43" s="51"/>
      <c r="AJQ43" s="51"/>
      <c r="AJR43" s="51"/>
      <c r="AJS43" s="51"/>
      <c r="AJT43" s="51"/>
      <c r="AJU43" s="51"/>
      <c r="AJV43" s="51"/>
      <c r="AJW43" s="51"/>
      <c r="AJX43" s="51"/>
      <c r="AJY43" s="51"/>
      <c r="AJZ43" s="51"/>
      <c r="AKA43" s="51"/>
      <c r="AKB43" s="51"/>
      <c r="AKC43" s="51"/>
      <c r="AKD43" s="51"/>
      <c r="AKE43" s="51"/>
      <c r="AKF43" s="51"/>
      <c r="AKG43" s="51"/>
      <c r="AKH43" s="51"/>
      <c r="AKI43" s="51"/>
      <c r="AKJ43" s="51"/>
      <c r="AKK43" s="51"/>
      <c r="AKL43" s="51"/>
      <c r="AKM43" s="51"/>
      <c r="AKN43" s="51"/>
      <c r="AKO43" s="51"/>
      <c r="AKP43" s="51"/>
      <c r="AKQ43" s="51"/>
      <c r="AKR43" s="51"/>
      <c r="AKS43" s="51"/>
      <c r="AKT43" s="51"/>
      <c r="AKU43" s="51"/>
      <c r="AKV43" s="51"/>
      <c r="AKW43" s="51"/>
      <c r="AKX43" s="51"/>
      <c r="AKY43" s="51"/>
      <c r="AKZ43" s="51"/>
      <c r="ALA43" s="51"/>
      <c r="ALB43" s="51"/>
      <c r="ALC43" s="51"/>
      <c r="ALD43" s="51"/>
      <c r="ALE43" s="51"/>
      <c r="ALF43" s="51"/>
      <c r="ALG43" s="51"/>
      <c r="ALH43" s="51"/>
      <c r="ALI43" s="51"/>
      <c r="ALJ43" s="51"/>
      <c r="ALK43" s="51"/>
      <c r="ALL43" s="51"/>
      <c r="ALM43" s="51"/>
      <c r="ALN43" s="51"/>
      <c r="ALO43" s="51"/>
      <c r="ALP43" s="51"/>
      <c r="ALQ43" s="51"/>
      <c r="ALR43" s="51"/>
      <c r="ALS43" s="51"/>
      <c r="ALT43" s="51"/>
      <c r="ALU43" s="51"/>
      <c r="ALV43" s="51"/>
      <c r="ALW43" s="51"/>
      <c r="ALX43" s="51"/>
      <c r="ALY43" s="51"/>
      <c r="ALZ43" s="51"/>
      <c r="AMA43" s="51"/>
      <c r="AMB43" s="51"/>
      <c r="AMC43" s="51"/>
      <c r="AMD43" s="51"/>
      <c r="AME43" s="51"/>
      <c r="AMF43" s="51"/>
      <c r="AMG43" s="51"/>
      <c r="AMH43" s="51"/>
      <c r="AMI43" s="51"/>
      <c r="AMJ43" s="51"/>
      <c r="AMK43" s="51"/>
      <c r="AML43" s="51"/>
      <c r="AMM43" s="51"/>
      <c r="AMN43" s="51"/>
      <c r="AMO43" s="51"/>
      <c r="AMP43" s="51"/>
      <c r="AMQ43" s="51"/>
      <c r="AMR43" s="51"/>
      <c r="AMS43" s="51"/>
      <c r="AMT43" s="51"/>
      <c r="AMU43" s="51"/>
      <c r="AMV43" s="51"/>
      <c r="AMW43" s="51"/>
      <c r="AMX43" s="51"/>
      <c r="AMY43" s="51"/>
      <c r="AMZ43" s="51"/>
      <c r="ANA43" s="51"/>
      <c r="ANB43" s="51"/>
      <c r="ANC43" s="51"/>
      <c r="AND43" s="51"/>
      <c r="ANE43" s="51"/>
      <c r="ANF43" s="51"/>
      <c r="ANG43" s="51"/>
      <c r="ANH43" s="51"/>
      <c r="ANI43" s="51"/>
      <c r="ANJ43" s="51"/>
      <c r="ANK43" s="51"/>
      <c r="ANL43" s="51"/>
      <c r="ANM43" s="51"/>
      <c r="ANN43" s="51"/>
      <c r="ANO43" s="51"/>
      <c r="ANP43" s="51"/>
      <c r="ANQ43" s="51"/>
      <c r="ANR43" s="51"/>
      <c r="ANS43" s="51"/>
      <c r="ANT43" s="51"/>
      <c r="ANU43" s="51"/>
      <c r="ANV43" s="51"/>
      <c r="ANW43" s="51"/>
      <c r="ANX43" s="51"/>
      <c r="ANY43" s="51"/>
      <c r="ANZ43" s="51"/>
      <c r="AOA43" s="51"/>
      <c r="AOB43" s="51"/>
      <c r="AOC43" s="51"/>
      <c r="AOD43" s="51"/>
      <c r="AOE43" s="51"/>
      <c r="AOF43" s="51"/>
      <c r="AOG43" s="51"/>
      <c r="AOH43" s="51"/>
      <c r="AOI43" s="51"/>
      <c r="AOJ43" s="51"/>
      <c r="AOK43" s="51"/>
      <c r="AOL43" s="51"/>
      <c r="AOM43" s="51"/>
      <c r="AON43" s="51"/>
      <c r="AOO43" s="51"/>
      <c r="AOP43" s="51"/>
      <c r="AOQ43" s="51"/>
      <c r="AOR43" s="51"/>
      <c r="AOS43" s="51"/>
      <c r="AOT43" s="51"/>
      <c r="AOU43" s="51"/>
      <c r="AOV43" s="51"/>
      <c r="AOW43" s="51"/>
      <c r="AOX43" s="51"/>
      <c r="AOY43" s="51"/>
      <c r="AOZ43" s="51"/>
      <c r="APA43" s="51"/>
      <c r="APB43" s="51"/>
      <c r="APC43" s="51"/>
      <c r="APD43" s="51"/>
      <c r="APE43" s="51"/>
      <c r="APF43" s="51"/>
      <c r="APG43" s="51"/>
      <c r="APH43" s="51"/>
      <c r="API43" s="51"/>
      <c r="APJ43" s="51"/>
      <c r="APK43" s="51"/>
      <c r="APL43" s="51"/>
      <c r="APM43" s="51"/>
      <c r="APN43" s="51"/>
      <c r="APO43" s="51"/>
      <c r="APP43" s="51"/>
      <c r="APQ43" s="51"/>
      <c r="APR43" s="51"/>
      <c r="APS43" s="51"/>
      <c r="APT43" s="51"/>
      <c r="APU43" s="51"/>
      <c r="APV43" s="51"/>
      <c r="APW43" s="51"/>
      <c r="APX43" s="51"/>
      <c r="APY43" s="51"/>
      <c r="APZ43" s="51"/>
      <c r="AQA43" s="51"/>
      <c r="AQB43" s="51"/>
      <c r="AQC43" s="51"/>
      <c r="AQD43" s="51"/>
      <c r="AQE43" s="51"/>
      <c r="AQF43" s="51"/>
      <c r="AQG43" s="51"/>
      <c r="AQH43" s="51"/>
      <c r="AQI43" s="51"/>
      <c r="AQJ43" s="51"/>
      <c r="AQK43" s="51"/>
      <c r="AQL43" s="51"/>
      <c r="AQM43" s="51"/>
      <c r="AQN43" s="51"/>
      <c r="AQO43" s="51"/>
      <c r="AQP43" s="51"/>
      <c r="AQQ43" s="51"/>
      <c r="AQR43" s="51"/>
      <c r="AQS43" s="51"/>
      <c r="AQT43" s="51"/>
      <c r="AQU43" s="51"/>
      <c r="AQV43" s="51"/>
      <c r="AQW43" s="51"/>
      <c r="AQX43" s="51"/>
      <c r="AQY43" s="51"/>
      <c r="AQZ43" s="51"/>
      <c r="ARA43" s="51"/>
      <c r="ARB43" s="51"/>
      <c r="ARC43" s="51"/>
      <c r="ARD43" s="51"/>
      <c r="ARE43" s="51"/>
      <c r="ARF43" s="51"/>
      <c r="ARG43" s="51"/>
      <c r="ARH43" s="51"/>
      <c r="ARI43" s="51"/>
      <c r="ARJ43" s="51"/>
      <c r="ARK43" s="51"/>
      <c r="ARL43" s="51"/>
      <c r="ARM43" s="51"/>
      <c r="ARN43" s="51"/>
      <c r="ARO43" s="51"/>
      <c r="ARP43" s="51"/>
      <c r="ARQ43" s="51"/>
      <c r="ARR43" s="51"/>
      <c r="ARS43" s="51"/>
      <c r="ART43" s="51"/>
      <c r="ARU43" s="51"/>
      <c r="ARV43" s="51"/>
      <c r="ARW43" s="51"/>
      <c r="ARX43" s="51"/>
      <c r="ARY43" s="51"/>
      <c r="ARZ43" s="51"/>
      <c r="ASA43" s="51"/>
      <c r="ASB43" s="51"/>
      <c r="ASC43" s="51"/>
      <c r="ASD43" s="51"/>
      <c r="ASE43" s="51"/>
      <c r="ASF43" s="51"/>
      <c r="ASG43" s="51"/>
      <c r="ASH43" s="51"/>
      <c r="ASI43" s="51"/>
      <c r="ASJ43" s="51"/>
      <c r="ASK43" s="51"/>
      <c r="ASL43" s="51"/>
      <c r="ASM43" s="51"/>
      <c r="ASN43" s="51"/>
      <c r="ASO43" s="51"/>
      <c r="ASP43" s="51"/>
      <c r="ASQ43" s="51"/>
      <c r="ASR43" s="51"/>
      <c r="ASS43" s="51"/>
      <c r="AST43" s="51"/>
      <c r="ASU43" s="51"/>
      <c r="ASV43" s="51"/>
      <c r="ASW43" s="51"/>
      <c r="ASX43" s="51"/>
      <c r="ASY43" s="51"/>
      <c r="ASZ43" s="51"/>
      <c r="ATA43" s="51"/>
      <c r="ATB43" s="51"/>
      <c r="ATC43" s="51"/>
      <c r="ATD43" s="51"/>
      <c r="ATE43" s="51"/>
      <c r="ATF43" s="51"/>
      <c r="ATG43" s="51"/>
      <c r="ATH43" s="51"/>
      <c r="ATI43" s="51"/>
      <c r="ATJ43" s="51"/>
      <c r="ATK43" s="51"/>
      <c r="ATL43" s="51"/>
      <c r="ATM43" s="51"/>
      <c r="ATN43" s="51"/>
      <c r="ATO43" s="51"/>
      <c r="ATP43" s="51"/>
      <c r="ATQ43" s="51"/>
      <c r="ATR43" s="51"/>
      <c r="ATS43" s="51"/>
      <c r="ATT43" s="51"/>
      <c r="ATU43" s="51"/>
      <c r="ATV43" s="51"/>
      <c r="ATW43" s="51"/>
      <c r="ATX43" s="51"/>
      <c r="ATY43" s="51"/>
      <c r="ATZ43" s="51"/>
      <c r="AUA43" s="51"/>
      <c r="AUB43" s="51"/>
      <c r="AUC43" s="51"/>
      <c r="AUD43" s="51"/>
      <c r="AUE43" s="51"/>
      <c r="AUF43" s="51"/>
      <c r="AUG43" s="51"/>
      <c r="AUH43" s="51"/>
      <c r="AUI43" s="51"/>
      <c r="AUJ43" s="51"/>
      <c r="AUK43" s="51"/>
      <c r="AUL43" s="51"/>
      <c r="AUM43" s="51"/>
      <c r="AUN43" s="51"/>
      <c r="AUO43" s="51"/>
      <c r="AUP43" s="51"/>
      <c r="AUQ43" s="51"/>
      <c r="AUR43" s="51"/>
      <c r="AUS43" s="51"/>
      <c r="AUT43" s="51"/>
      <c r="AUU43" s="51"/>
      <c r="AUV43" s="51"/>
      <c r="AUW43" s="51"/>
      <c r="AUX43" s="51"/>
      <c r="AUY43" s="51"/>
      <c r="AUZ43" s="51"/>
      <c r="AVA43" s="51"/>
      <c r="AVB43" s="51"/>
      <c r="AVC43" s="51"/>
      <c r="AVD43" s="51"/>
      <c r="AVE43" s="51"/>
      <c r="AVF43" s="51"/>
      <c r="AVG43" s="51"/>
      <c r="AVH43" s="51"/>
      <c r="AVI43" s="51"/>
      <c r="AVJ43" s="51"/>
      <c r="AVK43" s="51"/>
      <c r="AVL43" s="51"/>
      <c r="AVM43" s="51"/>
      <c r="AVN43" s="51"/>
      <c r="AVO43" s="51"/>
      <c r="AVP43" s="51"/>
      <c r="AVQ43" s="51"/>
      <c r="AVR43" s="51"/>
      <c r="AVS43" s="51"/>
      <c r="AVT43" s="51"/>
      <c r="AVU43" s="51"/>
      <c r="AVV43" s="51"/>
      <c r="AVW43" s="51"/>
      <c r="AVX43" s="51"/>
      <c r="AVY43" s="51"/>
      <c r="AVZ43" s="51"/>
      <c r="AWA43" s="51"/>
      <c r="AWB43" s="51"/>
      <c r="AWC43" s="51"/>
      <c r="AWD43" s="51"/>
      <c r="AWE43" s="51"/>
      <c r="AWF43" s="51"/>
      <c r="AWG43" s="51"/>
      <c r="AWH43" s="51"/>
      <c r="AWI43" s="51"/>
      <c r="AWJ43" s="51"/>
      <c r="AWK43" s="51"/>
      <c r="AWL43" s="51"/>
      <c r="AWM43" s="51"/>
      <c r="AWN43" s="51"/>
      <c r="AWO43" s="51"/>
      <c r="AWP43" s="51"/>
      <c r="AWQ43" s="51"/>
      <c r="AWR43" s="51"/>
      <c r="AWS43" s="51"/>
      <c r="AWT43" s="51"/>
      <c r="AWU43" s="51"/>
      <c r="AWV43" s="51"/>
      <c r="AWW43" s="51"/>
      <c r="AWX43" s="51"/>
      <c r="AWY43" s="51"/>
      <c r="AWZ43" s="51"/>
      <c r="AXA43" s="51"/>
      <c r="AXB43" s="51"/>
      <c r="AXC43" s="51"/>
      <c r="AXD43" s="51"/>
      <c r="AXE43" s="51"/>
      <c r="AXF43" s="51"/>
      <c r="AXG43" s="51"/>
      <c r="AXH43" s="51"/>
      <c r="AXI43" s="51"/>
      <c r="AXJ43" s="51"/>
      <c r="AXK43" s="51"/>
      <c r="AXL43" s="51"/>
      <c r="AXM43" s="51"/>
      <c r="AXN43" s="51"/>
      <c r="AXO43" s="51"/>
      <c r="AXP43" s="51"/>
      <c r="AXQ43" s="51"/>
      <c r="AXR43" s="51"/>
      <c r="AXS43" s="51"/>
      <c r="AXT43" s="51"/>
      <c r="AXU43" s="51"/>
      <c r="AXV43" s="51"/>
      <c r="AXW43" s="51"/>
      <c r="AXX43" s="51"/>
      <c r="AXY43" s="51"/>
      <c r="AXZ43" s="51"/>
      <c r="AYA43" s="51"/>
      <c r="AYB43" s="51"/>
      <c r="AYC43" s="51"/>
      <c r="AYD43" s="51"/>
      <c r="AYE43" s="51"/>
      <c r="AYF43" s="51"/>
      <c r="AYG43" s="51"/>
      <c r="AYH43" s="51"/>
      <c r="AYI43" s="51"/>
      <c r="AYJ43" s="51"/>
      <c r="AYK43" s="51"/>
      <c r="AYL43" s="51"/>
      <c r="AYM43" s="51"/>
      <c r="AYN43" s="51"/>
      <c r="AYO43" s="51"/>
      <c r="AYP43" s="51"/>
      <c r="AYQ43" s="51"/>
      <c r="AYR43" s="51"/>
      <c r="AYS43" s="51"/>
      <c r="AYT43" s="51"/>
      <c r="AYU43" s="51"/>
      <c r="AYV43" s="51"/>
      <c r="AYW43" s="51"/>
      <c r="AYX43" s="51"/>
      <c r="AYY43" s="51"/>
      <c r="AYZ43" s="51"/>
      <c r="AZA43" s="51"/>
      <c r="AZB43" s="51"/>
      <c r="AZC43" s="51"/>
      <c r="AZD43" s="51"/>
      <c r="AZE43" s="51"/>
      <c r="AZF43" s="51"/>
      <c r="AZG43" s="51"/>
      <c r="AZH43" s="51"/>
      <c r="AZI43" s="51"/>
      <c r="AZJ43" s="51"/>
      <c r="AZK43" s="51"/>
      <c r="AZL43" s="51"/>
      <c r="AZM43" s="51"/>
      <c r="AZN43" s="51"/>
      <c r="AZO43" s="51"/>
      <c r="AZP43" s="51"/>
      <c r="AZQ43" s="51"/>
      <c r="AZR43" s="51"/>
      <c r="AZS43" s="51"/>
      <c r="AZT43" s="51"/>
      <c r="AZU43" s="51"/>
      <c r="AZV43" s="51"/>
      <c r="AZW43" s="51"/>
      <c r="AZX43" s="51"/>
      <c r="AZY43" s="51"/>
      <c r="AZZ43" s="51"/>
      <c r="BAA43" s="51"/>
      <c r="BAB43" s="51"/>
      <c r="BAC43" s="51"/>
      <c r="BAD43" s="51"/>
      <c r="BAE43" s="51"/>
      <c r="BAF43" s="51"/>
      <c r="BAG43" s="51"/>
      <c r="BAH43" s="51"/>
      <c r="BAI43" s="51"/>
      <c r="BAJ43" s="51"/>
      <c r="BAK43" s="51"/>
      <c r="BAL43" s="51"/>
      <c r="BAM43" s="51"/>
      <c r="BAN43" s="51"/>
      <c r="BAO43" s="51"/>
      <c r="BAP43" s="51"/>
      <c r="BAQ43" s="51"/>
      <c r="BAR43" s="51"/>
      <c r="BAS43" s="51"/>
      <c r="BAT43" s="51"/>
      <c r="BAU43" s="51"/>
      <c r="BAV43" s="51"/>
      <c r="BAW43" s="51"/>
      <c r="BAX43" s="51"/>
      <c r="BAY43" s="51"/>
      <c r="BAZ43" s="51"/>
      <c r="BBA43" s="51"/>
      <c r="BBB43" s="51"/>
      <c r="BBC43" s="51"/>
      <c r="BBD43" s="51"/>
      <c r="BBE43" s="51"/>
      <c r="BBF43" s="51"/>
      <c r="BBG43" s="51"/>
      <c r="BBH43" s="51"/>
      <c r="BBI43" s="51"/>
      <c r="BBJ43" s="51"/>
      <c r="BBK43" s="51"/>
      <c r="BBL43" s="51"/>
      <c r="BBM43" s="51"/>
      <c r="BBN43" s="51"/>
      <c r="BBO43" s="51"/>
      <c r="BBP43" s="51"/>
      <c r="BBQ43" s="51"/>
      <c r="BBR43" s="51"/>
      <c r="BBS43" s="51"/>
      <c r="BBT43" s="51"/>
      <c r="BBU43" s="51"/>
      <c r="BBV43" s="51"/>
      <c r="BBW43" s="51"/>
      <c r="BBX43" s="51"/>
      <c r="BBY43" s="51"/>
      <c r="BBZ43" s="51"/>
      <c r="BCA43" s="51"/>
      <c r="BCB43" s="51"/>
      <c r="BCC43" s="51"/>
      <c r="BCD43" s="51"/>
      <c r="BCE43" s="51"/>
      <c r="BCF43" s="51"/>
      <c r="BCG43" s="51"/>
      <c r="BCH43" s="51"/>
      <c r="BCI43" s="51"/>
      <c r="BCJ43" s="51"/>
      <c r="BCK43" s="51"/>
      <c r="BCL43" s="51"/>
      <c r="BCM43" s="51"/>
      <c r="BCN43" s="51"/>
      <c r="BCO43" s="51"/>
      <c r="BCP43" s="51"/>
      <c r="BCQ43" s="51"/>
      <c r="BCR43" s="51"/>
      <c r="BCS43" s="51"/>
      <c r="BCT43" s="51"/>
      <c r="BCU43" s="51"/>
      <c r="BCV43" s="51"/>
      <c r="BCW43" s="51"/>
      <c r="BCX43" s="51"/>
      <c r="BCY43" s="51"/>
      <c r="BCZ43" s="51"/>
      <c r="BDA43" s="51"/>
      <c r="BDB43" s="51"/>
      <c r="BDC43" s="51"/>
      <c r="BDD43" s="51"/>
      <c r="BDE43" s="51"/>
      <c r="BDF43" s="51"/>
      <c r="BDG43" s="51"/>
      <c r="BDH43" s="51"/>
      <c r="BDI43" s="51"/>
      <c r="BDJ43" s="51"/>
      <c r="BDK43" s="51"/>
      <c r="BDL43" s="51"/>
      <c r="BDM43" s="51"/>
      <c r="BDN43" s="51"/>
      <c r="BDO43" s="51"/>
      <c r="BDP43" s="51"/>
      <c r="BDQ43" s="51"/>
      <c r="BDR43" s="51"/>
      <c r="BDS43" s="51"/>
      <c r="BDT43" s="51"/>
      <c r="BDU43" s="51"/>
      <c r="BDV43" s="51"/>
      <c r="BDW43" s="51"/>
      <c r="BDX43" s="51"/>
      <c r="BDY43" s="51"/>
      <c r="BDZ43" s="51"/>
      <c r="BEA43" s="51"/>
      <c r="BEB43" s="51"/>
      <c r="BEC43" s="51"/>
      <c r="BED43" s="51"/>
      <c r="BEE43" s="51"/>
      <c r="BEF43" s="51"/>
      <c r="BEG43" s="51"/>
      <c r="BEH43" s="51"/>
      <c r="BEI43" s="51"/>
      <c r="BEJ43" s="51"/>
      <c r="BEK43" s="51"/>
      <c r="BEL43" s="51"/>
      <c r="BEM43" s="51"/>
      <c r="BEN43" s="51"/>
      <c r="BEO43" s="51"/>
      <c r="BEP43" s="51"/>
      <c r="BEQ43" s="51"/>
      <c r="BER43" s="51"/>
      <c r="BES43" s="51"/>
      <c r="BET43" s="51"/>
      <c r="BEU43" s="51"/>
      <c r="BEV43" s="51"/>
      <c r="BEW43" s="51"/>
      <c r="BEX43" s="51"/>
      <c r="BEY43" s="51"/>
      <c r="BEZ43" s="51"/>
      <c r="BFA43" s="51"/>
      <c r="BFB43" s="51"/>
      <c r="BFC43" s="51"/>
      <c r="BFD43" s="51"/>
      <c r="BFE43" s="51"/>
      <c r="BFF43" s="51"/>
      <c r="BFG43" s="51"/>
      <c r="BFH43" s="51"/>
      <c r="BFI43" s="51"/>
      <c r="BFJ43" s="51"/>
      <c r="BFK43" s="51"/>
      <c r="BFL43" s="51"/>
      <c r="BFM43" s="51"/>
      <c r="BFN43" s="51"/>
      <c r="BFO43" s="51"/>
      <c r="BFP43" s="51"/>
      <c r="BFQ43" s="51"/>
      <c r="BFR43" s="51"/>
      <c r="BFS43" s="51"/>
      <c r="BFT43" s="51"/>
      <c r="BFU43" s="51"/>
      <c r="BFV43" s="51"/>
      <c r="BFW43" s="51"/>
      <c r="BFX43" s="51"/>
      <c r="BFY43" s="51"/>
      <c r="BFZ43" s="51"/>
      <c r="BGA43" s="51"/>
      <c r="BGB43" s="51"/>
      <c r="BGC43" s="51"/>
      <c r="BGD43" s="51"/>
      <c r="BGE43" s="51"/>
      <c r="BGF43" s="51"/>
      <c r="BGG43" s="51"/>
      <c r="BGH43" s="51"/>
      <c r="BGI43" s="51"/>
      <c r="BGJ43" s="51"/>
      <c r="BGK43" s="51"/>
      <c r="BGL43" s="51"/>
      <c r="BGM43" s="51"/>
      <c r="BGN43" s="51"/>
      <c r="BGO43" s="51"/>
      <c r="BGP43" s="51"/>
      <c r="BGQ43" s="51"/>
      <c r="BGR43" s="51"/>
      <c r="BGS43" s="51"/>
      <c r="BGT43" s="51"/>
      <c r="BGU43" s="51"/>
      <c r="BGV43" s="51"/>
      <c r="BGW43" s="51"/>
      <c r="BGX43" s="51"/>
      <c r="BGY43" s="51"/>
      <c r="BGZ43" s="51"/>
      <c r="BHA43" s="51"/>
      <c r="BHB43" s="51"/>
      <c r="BHC43" s="51"/>
      <c r="BHD43" s="51"/>
      <c r="BHE43" s="51"/>
      <c r="BHF43" s="51"/>
      <c r="BHG43" s="51"/>
      <c r="BHH43" s="51"/>
      <c r="BHI43" s="51"/>
      <c r="BHJ43" s="51"/>
      <c r="BHK43" s="51"/>
      <c r="BHL43" s="51"/>
      <c r="BHM43" s="51"/>
      <c r="BHN43" s="51"/>
      <c r="BHO43" s="51"/>
      <c r="BHP43" s="51"/>
      <c r="BHQ43" s="51"/>
      <c r="BHR43" s="51"/>
      <c r="BHS43" s="51"/>
      <c r="BHT43" s="51"/>
      <c r="BHU43" s="51"/>
      <c r="BHV43" s="51"/>
      <c r="BHW43" s="51"/>
      <c r="BHX43" s="51"/>
      <c r="BHY43" s="51"/>
      <c r="BHZ43" s="51"/>
      <c r="BIA43" s="51"/>
      <c r="BIB43" s="51"/>
      <c r="BIC43" s="51"/>
      <c r="BID43" s="51"/>
      <c r="BIE43" s="51"/>
      <c r="BIF43" s="51"/>
      <c r="BIG43" s="51"/>
      <c r="BIH43" s="51"/>
      <c r="BII43" s="51"/>
      <c r="BIJ43" s="51"/>
      <c r="BIK43" s="51"/>
      <c r="BIL43" s="51"/>
      <c r="BIM43" s="51"/>
      <c r="BIN43" s="51"/>
      <c r="BIO43" s="51"/>
      <c r="BIP43" s="51"/>
      <c r="BIQ43" s="51"/>
      <c r="BIR43" s="51"/>
      <c r="BIS43" s="51"/>
      <c r="BIT43" s="51"/>
      <c r="BIU43" s="51"/>
      <c r="BIV43" s="51"/>
      <c r="BIW43" s="51"/>
      <c r="BIX43" s="51"/>
      <c r="BIY43" s="51"/>
      <c r="BIZ43" s="51"/>
      <c r="BJA43" s="51"/>
      <c r="BJB43" s="51"/>
      <c r="BJC43" s="51"/>
      <c r="BJD43" s="51"/>
      <c r="BJE43" s="51"/>
      <c r="BJF43" s="51"/>
      <c r="BJG43" s="51"/>
      <c r="BJH43" s="51"/>
      <c r="BJI43" s="51"/>
      <c r="BJJ43" s="51"/>
      <c r="BJK43" s="51"/>
      <c r="BJL43" s="51"/>
      <c r="BJM43" s="51"/>
      <c r="BJN43" s="51"/>
      <c r="BJO43" s="51"/>
      <c r="BJP43" s="51"/>
      <c r="BJQ43" s="51"/>
      <c r="BJR43" s="51"/>
      <c r="BJS43" s="51"/>
      <c r="BJT43" s="51"/>
      <c r="BJU43" s="51"/>
      <c r="BJV43" s="51"/>
      <c r="BJW43" s="51"/>
      <c r="BJX43" s="51"/>
      <c r="BJY43" s="51"/>
      <c r="BJZ43" s="51"/>
      <c r="BKA43" s="51"/>
      <c r="BKB43" s="51"/>
      <c r="BKC43" s="51"/>
      <c r="BKD43" s="51"/>
      <c r="BKE43" s="51"/>
      <c r="BKF43" s="51"/>
      <c r="BKG43" s="51"/>
      <c r="BKH43" s="51"/>
      <c r="BKI43" s="51"/>
      <c r="BKJ43" s="51"/>
      <c r="BKK43" s="51"/>
      <c r="BKL43" s="51"/>
      <c r="BKM43" s="51"/>
      <c r="BKN43" s="51"/>
      <c r="BKO43" s="51"/>
      <c r="BKP43" s="51"/>
      <c r="BKQ43" s="51"/>
      <c r="BKR43" s="51"/>
      <c r="BKS43" s="51"/>
      <c r="BKT43" s="51"/>
      <c r="BKU43" s="51"/>
      <c r="BKV43" s="51"/>
      <c r="BKW43" s="51"/>
      <c r="BKX43" s="51"/>
      <c r="BKY43" s="51"/>
      <c r="BKZ43" s="51"/>
      <c r="BLA43" s="51"/>
      <c r="BLB43" s="51"/>
      <c r="BLC43" s="51"/>
      <c r="BLD43" s="51"/>
      <c r="BLE43" s="51"/>
      <c r="BLF43" s="51"/>
      <c r="BLG43" s="51"/>
      <c r="BLH43" s="51"/>
      <c r="BLI43" s="51"/>
      <c r="BLJ43" s="51"/>
      <c r="BLK43" s="51"/>
      <c r="BLL43" s="51"/>
      <c r="BLM43" s="51"/>
      <c r="BLN43" s="51"/>
      <c r="BLO43" s="51"/>
      <c r="BLP43" s="51"/>
      <c r="BLQ43" s="51"/>
      <c r="BLR43" s="51"/>
      <c r="BLS43" s="51"/>
      <c r="BLT43" s="51"/>
      <c r="BLU43" s="51"/>
      <c r="BLV43" s="51"/>
      <c r="BLW43" s="51"/>
      <c r="BLX43" s="51"/>
      <c r="BLY43" s="51"/>
      <c r="BLZ43" s="51"/>
      <c r="BMA43" s="51"/>
      <c r="BMB43" s="51"/>
      <c r="BMC43" s="51"/>
      <c r="BMD43" s="51"/>
      <c r="BME43" s="51"/>
      <c r="BMF43" s="51"/>
      <c r="BMG43" s="51"/>
      <c r="BMH43" s="51"/>
      <c r="BMI43" s="51"/>
      <c r="BMJ43" s="51"/>
      <c r="BMK43" s="51"/>
      <c r="BML43" s="51"/>
      <c r="BMM43" s="51"/>
      <c r="BMN43" s="51"/>
      <c r="BMO43" s="51"/>
      <c r="BMP43" s="51"/>
      <c r="BMQ43" s="51"/>
      <c r="BMR43" s="51"/>
      <c r="BMS43" s="51"/>
      <c r="BMT43" s="51"/>
      <c r="BMU43" s="51"/>
      <c r="BMV43" s="51"/>
      <c r="BMW43" s="51"/>
      <c r="BMX43" s="51"/>
      <c r="BMY43" s="51"/>
      <c r="BMZ43" s="51"/>
      <c r="BNA43" s="51"/>
      <c r="BNB43" s="51"/>
      <c r="BNC43" s="51"/>
      <c r="BND43" s="51"/>
      <c r="BNE43" s="51"/>
      <c r="BNF43" s="51"/>
      <c r="BNG43" s="51"/>
      <c r="BNH43" s="51"/>
      <c r="BNI43" s="51"/>
      <c r="BNJ43" s="51"/>
      <c r="BNK43" s="51"/>
      <c r="BNL43" s="51"/>
      <c r="BNM43" s="51"/>
      <c r="BNN43" s="51"/>
      <c r="BNO43" s="51"/>
      <c r="BNP43" s="51"/>
      <c r="BNQ43" s="51"/>
      <c r="BNR43" s="51"/>
      <c r="BNS43" s="51"/>
      <c r="BNT43" s="51"/>
      <c r="BNU43" s="51"/>
      <c r="BNV43" s="51"/>
      <c r="BNW43" s="51"/>
      <c r="BNX43" s="51"/>
      <c r="BNY43" s="51"/>
      <c r="BNZ43" s="51"/>
      <c r="BOA43" s="51"/>
      <c r="BOB43" s="51"/>
      <c r="BOC43" s="51"/>
      <c r="BOD43" s="51"/>
      <c r="BOE43" s="51"/>
      <c r="BOF43" s="51"/>
      <c r="BOG43" s="51"/>
      <c r="BOH43" s="51"/>
      <c r="BOI43" s="51"/>
      <c r="BOJ43" s="51"/>
      <c r="BOK43" s="51"/>
      <c r="BOL43" s="51"/>
      <c r="BOM43" s="51"/>
      <c r="BON43" s="51"/>
      <c r="BOO43" s="51"/>
      <c r="BOP43" s="51"/>
      <c r="BOQ43" s="51"/>
      <c r="BOR43" s="51"/>
      <c r="BOS43" s="51"/>
      <c r="BOT43" s="51"/>
      <c r="BOU43" s="51"/>
      <c r="BOV43" s="51"/>
      <c r="BOW43" s="51"/>
      <c r="BOX43" s="51"/>
      <c r="BOY43" s="51"/>
      <c r="BOZ43" s="51"/>
      <c r="BPA43" s="51"/>
      <c r="BPB43" s="51"/>
      <c r="BPC43" s="51"/>
      <c r="BPD43" s="51"/>
      <c r="BPE43" s="51"/>
      <c r="BPF43" s="51"/>
      <c r="BPG43" s="51"/>
      <c r="BPH43" s="51"/>
      <c r="BPI43" s="51"/>
      <c r="BPJ43" s="51"/>
      <c r="BPK43" s="51"/>
      <c r="BPL43" s="51"/>
      <c r="BPM43" s="51"/>
      <c r="BPN43" s="51"/>
      <c r="BPO43" s="51"/>
      <c r="BPP43" s="51"/>
      <c r="BPQ43" s="51"/>
      <c r="BPR43" s="51"/>
      <c r="BPS43" s="51"/>
      <c r="BPT43" s="51"/>
      <c r="BPU43" s="51"/>
      <c r="BPV43" s="51"/>
      <c r="BPW43" s="51"/>
      <c r="BPX43" s="51"/>
      <c r="BPY43" s="51"/>
      <c r="BPZ43" s="51"/>
      <c r="BQA43" s="51"/>
      <c r="BQB43" s="51"/>
      <c r="BQC43" s="51"/>
      <c r="BQD43" s="51"/>
      <c r="BQE43" s="51"/>
      <c r="BQF43" s="51"/>
      <c r="BQG43" s="51"/>
      <c r="BQH43" s="51"/>
      <c r="BQI43" s="51"/>
      <c r="BQJ43" s="51"/>
      <c r="BQK43" s="51"/>
      <c r="BQL43" s="51"/>
      <c r="BQM43" s="51"/>
      <c r="BQN43" s="51"/>
      <c r="BQO43" s="51"/>
      <c r="BQP43" s="51"/>
      <c r="BQQ43" s="51"/>
      <c r="BQR43" s="51"/>
      <c r="BQS43" s="51"/>
      <c r="BQT43" s="51"/>
      <c r="BQU43" s="51"/>
      <c r="BQV43" s="51"/>
      <c r="BQW43" s="51"/>
      <c r="BQX43" s="51"/>
      <c r="BQY43" s="51"/>
      <c r="BQZ43" s="51"/>
      <c r="BRA43" s="51"/>
      <c r="BRB43" s="51"/>
      <c r="BRC43" s="51"/>
      <c r="BRD43" s="51"/>
      <c r="BRE43" s="51"/>
      <c r="BRF43" s="51"/>
      <c r="BRG43" s="51"/>
      <c r="BRH43" s="51"/>
      <c r="BRI43" s="51"/>
      <c r="BRJ43" s="51"/>
      <c r="BRK43" s="51"/>
      <c r="BRL43" s="51"/>
      <c r="BRM43" s="51"/>
      <c r="BRN43" s="51"/>
      <c r="BRO43" s="51"/>
      <c r="BRP43" s="51"/>
      <c r="BRQ43" s="51"/>
      <c r="BRR43" s="51"/>
      <c r="BRS43" s="51"/>
      <c r="BRT43" s="51"/>
      <c r="BRU43" s="51"/>
      <c r="BRV43" s="51"/>
      <c r="BRW43" s="51"/>
      <c r="BRX43" s="51"/>
      <c r="BRY43" s="51"/>
      <c r="BRZ43" s="51"/>
      <c r="BSA43" s="51"/>
      <c r="BSB43" s="51"/>
      <c r="BSC43" s="51"/>
      <c r="BSD43" s="51"/>
      <c r="BSE43" s="51"/>
      <c r="BSF43" s="51"/>
      <c r="BSG43" s="51"/>
      <c r="BSH43" s="51"/>
      <c r="BSI43" s="51"/>
      <c r="BSJ43" s="51"/>
      <c r="BSK43" s="51"/>
      <c r="BSL43" s="51"/>
      <c r="BSM43" s="51"/>
      <c r="BSN43" s="51"/>
      <c r="BSO43" s="51"/>
      <c r="BSP43" s="51"/>
      <c r="BSQ43" s="51"/>
      <c r="BSR43" s="51"/>
      <c r="BSS43" s="51"/>
      <c r="BST43" s="51"/>
      <c r="BSU43" s="51"/>
      <c r="BSV43" s="51"/>
      <c r="BSW43" s="51"/>
      <c r="BSX43" s="51"/>
      <c r="BSY43" s="51"/>
      <c r="BSZ43" s="51"/>
      <c r="BTA43" s="51"/>
      <c r="BTB43" s="51"/>
      <c r="BTC43" s="51"/>
      <c r="BTD43" s="51"/>
      <c r="BTE43" s="51"/>
      <c r="BTF43" s="51"/>
      <c r="BTG43" s="51"/>
      <c r="BTH43" s="51"/>
      <c r="BTI43" s="51"/>
      <c r="BTJ43" s="51"/>
      <c r="BTK43" s="51"/>
      <c r="BTL43" s="51"/>
      <c r="BTM43" s="51"/>
      <c r="BTN43" s="51"/>
      <c r="BTO43" s="51"/>
      <c r="BTP43" s="51"/>
      <c r="BTQ43" s="51"/>
      <c r="BTR43" s="51"/>
      <c r="BTS43" s="51"/>
      <c r="BTT43" s="51"/>
      <c r="BTU43" s="51"/>
      <c r="BTV43" s="51"/>
      <c r="BTW43" s="51"/>
      <c r="BTX43" s="51"/>
      <c r="BTY43" s="51"/>
      <c r="BTZ43" s="51"/>
      <c r="BUA43" s="51"/>
      <c r="BUB43" s="51"/>
      <c r="BUC43" s="51"/>
      <c r="BUD43" s="51"/>
      <c r="BUE43" s="51"/>
      <c r="BUF43" s="51"/>
      <c r="BUG43" s="51"/>
      <c r="BUH43" s="51"/>
      <c r="BUI43" s="51"/>
      <c r="BUJ43" s="51"/>
      <c r="BUK43" s="51"/>
      <c r="BUL43" s="51"/>
      <c r="BUM43" s="51"/>
      <c r="BUN43" s="51"/>
      <c r="BUO43" s="51"/>
      <c r="BUP43" s="51"/>
      <c r="BUQ43" s="51"/>
      <c r="BUR43" s="51"/>
      <c r="BUS43" s="51"/>
      <c r="BUT43" s="51"/>
      <c r="BUU43" s="51"/>
      <c r="BUV43" s="51"/>
      <c r="BUW43" s="51"/>
      <c r="BUX43" s="51"/>
      <c r="BUY43" s="51"/>
      <c r="BUZ43" s="51"/>
      <c r="BVA43" s="51"/>
      <c r="BVB43" s="51"/>
      <c r="BVC43" s="51"/>
      <c r="BVD43" s="51"/>
      <c r="BVE43" s="51"/>
      <c r="BVF43" s="51"/>
      <c r="BVG43" s="51"/>
      <c r="BVH43" s="51"/>
      <c r="BVI43" s="51"/>
      <c r="BVJ43" s="51"/>
      <c r="BVK43" s="51"/>
      <c r="BVL43" s="51"/>
      <c r="BVM43" s="51"/>
      <c r="BVN43" s="51"/>
      <c r="BVO43" s="51"/>
      <c r="BVP43" s="51"/>
      <c r="BVQ43" s="51"/>
      <c r="BVR43" s="51"/>
      <c r="BVS43" s="51"/>
      <c r="BVT43" s="51"/>
      <c r="BVU43" s="51"/>
      <c r="BVV43" s="51"/>
      <c r="BVW43" s="51"/>
      <c r="BVX43" s="51"/>
      <c r="BVY43" s="51"/>
      <c r="BVZ43" s="51"/>
      <c r="BWA43" s="51"/>
      <c r="BWB43" s="51"/>
      <c r="BWC43" s="51"/>
      <c r="BWD43" s="51"/>
      <c r="BWE43" s="51"/>
      <c r="BWF43" s="51"/>
      <c r="BWG43" s="51"/>
      <c r="BWH43" s="51"/>
      <c r="BWI43" s="51"/>
      <c r="BWJ43" s="51"/>
      <c r="BWK43" s="51"/>
      <c r="BWL43" s="51"/>
      <c r="BWM43" s="51"/>
      <c r="BWN43" s="51"/>
      <c r="BWO43" s="51"/>
      <c r="BWP43" s="51"/>
      <c r="BWQ43" s="51"/>
      <c r="BWR43" s="51"/>
      <c r="BWS43" s="51"/>
      <c r="BWT43" s="51"/>
      <c r="BWU43" s="51"/>
      <c r="BWV43" s="51"/>
      <c r="BWW43" s="51"/>
      <c r="BWX43" s="51"/>
      <c r="BWY43" s="51"/>
      <c r="BWZ43" s="51"/>
      <c r="BXA43" s="51"/>
      <c r="BXB43" s="51"/>
      <c r="BXC43" s="51"/>
      <c r="BXD43" s="51"/>
      <c r="BXE43" s="51"/>
      <c r="BXF43" s="51"/>
      <c r="BXG43" s="51"/>
      <c r="BXH43" s="51"/>
      <c r="BXI43" s="51"/>
      <c r="BXJ43" s="51"/>
      <c r="BXK43" s="51"/>
      <c r="BXL43" s="51"/>
      <c r="BXM43" s="51"/>
      <c r="BXN43" s="51"/>
      <c r="BXO43" s="51"/>
      <c r="BXP43" s="51"/>
      <c r="BXQ43" s="51"/>
      <c r="BXR43" s="51"/>
      <c r="BXS43" s="51"/>
      <c r="BXT43" s="51"/>
      <c r="BXU43" s="51"/>
      <c r="BXV43" s="51"/>
      <c r="BXW43" s="51"/>
      <c r="BXX43" s="51"/>
      <c r="BXY43" s="51"/>
      <c r="BXZ43" s="51"/>
      <c r="BYA43" s="51"/>
      <c r="BYB43" s="51"/>
      <c r="BYC43" s="51"/>
      <c r="BYD43" s="51"/>
      <c r="BYE43" s="51"/>
      <c r="BYF43" s="51"/>
      <c r="BYG43" s="51"/>
      <c r="BYH43" s="51"/>
      <c r="BYI43" s="51"/>
      <c r="BYJ43" s="51"/>
      <c r="BYK43" s="51"/>
      <c r="BYL43" s="51"/>
      <c r="BYM43" s="51"/>
      <c r="BYN43" s="51"/>
      <c r="BYO43" s="51"/>
      <c r="BYP43" s="51"/>
      <c r="BYQ43" s="51"/>
      <c r="BYR43" s="51"/>
      <c r="BYS43" s="51"/>
      <c r="BYT43" s="51"/>
      <c r="BYU43" s="51"/>
      <c r="BYV43" s="51"/>
      <c r="BYW43" s="51"/>
      <c r="BYX43" s="51"/>
      <c r="BYY43" s="51"/>
      <c r="BYZ43" s="51"/>
      <c r="BZA43" s="51"/>
      <c r="BZB43" s="51"/>
      <c r="BZC43" s="51"/>
      <c r="BZD43" s="51"/>
      <c r="BZE43" s="51"/>
      <c r="BZF43" s="51"/>
      <c r="BZG43" s="51"/>
      <c r="BZH43" s="51"/>
      <c r="BZI43" s="51"/>
      <c r="BZJ43" s="51"/>
      <c r="BZK43" s="51"/>
      <c r="BZL43" s="51"/>
      <c r="BZM43" s="51"/>
      <c r="BZN43" s="51"/>
      <c r="BZO43" s="51"/>
      <c r="BZP43" s="51"/>
      <c r="BZQ43" s="51"/>
      <c r="BZR43" s="51"/>
      <c r="BZS43" s="51"/>
      <c r="BZT43" s="51"/>
      <c r="BZU43" s="51"/>
      <c r="BZV43" s="51"/>
      <c r="BZW43" s="51"/>
      <c r="BZX43" s="51"/>
      <c r="BZY43" s="51"/>
      <c r="BZZ43" s="51"/>
      <c r="CAA43" s="51"/>
      <c r="CAB43" s="51"/>
      <c r="CAC43" s="51"/>
      <c r="CAD43" s="51"/>
      <c r="CAE43" s="51"/>
      <c r="CAF43" s="51"/>
      <c r="CAG43" s="51"/>
      <c r="CAH43" s="51"/>
      <c r="CAI43" s="51"/>
      <c r="CAJ43" s="51"/>
      <c r="CAK43" s="51"/>
      <c r="CAL43" s="51"/>
      <c r="CAM43" s="51"/>
      <c r="CAN43" s="51"/>
      <c r="CAO43" s="51"/>
      <c r="CAP43" s="51"/>
      <c r="CAQ43" s="51"/>
      <c r="CAR43" s="51"/>
      <c r="CAS43" s="51"/>
      <c r="CAT43" s="51"/>
      <c r="CAU43" s="51"/>
      <c r="CAV43" s="51"/>
      <c r="CAW43" s="51"/>
      <c r="CAX43" s="51"/>
      <c r="CAY43" s="51"/>
      <c r="CAZ43" s="51"/>
      <c r="CBA43" s="51"/>
      <c r="CBB43" s="51"/>
      <c r="CBC43" s="51"/>
      <c r="CBD43" s="51"/>
      <c r="CBE43" s="51"/>
      <c r="CBF43" s="51"/>
      <c r="CBG43" s="51"/>
      <c r="CBH43" s="51"/>
      <c r="CBI43" s="51"/>
      <c r="CBJ43" s="51"/>
      <c r="CBK43" s="51"/>
      <c r="CBL43" s="51"/>
      <c r="CBM43" s="51"/>
      <c r="CBN43" s="51"/>
      <c r="CBO43" s="51"/>
      <c r="CBP43" s="51"/>
      <c r="CBQ43" s="51"/>
      <c r="CBR43" s="51"/>
      <c r="CBS43" s="51"/>
      <c r="CBT43" s="51"/>
      <c r="CBU43" s="51"/>
      <c r="CBV43" s="51"/>
      <c r="CBW43" s="51"/>
      <c r="CBX43" s="51"/>
      <c r="CBY43" s="51"/>
      <c r="CBZ43" s="51"/>
      <c r="CCA43" s="51"/>
      <c r="CCB43" s="51"/>
      <c r="CCC43" s="51"/>
      <c r="CCD43" s="51"/>
      <c r="CCE43" s="51"/>
      <c r="CCF43" s="51"/>
      <c r="CCG43" s="51"/>
      <c r="CCH43" s="51"/>
      <c r="CCI43" s="51"/>
      <c r="CCJ43" s="51"/>
      <c r="CCK43" s="51"/>
      <c r="CCL43" s="51"/>
      <c r="CCM43" s="51"/>
      <c r="CCN43" s="51"/>
      <c r="CCO43" s="51"/>
      <c r="CCP43" s="51"/>
      <c r="CCQ43" s="51"/>
      <c r="CCR43" s="51"/>
      <c r="CCS43" s="51"/>
      <c r="CCT43" s="51"/>
      <c r="CCU43" s="51"/>
      <c r="CCV43" s="51"/>
      <c r="CCW43" s="51"/>
      <c r="CCX43" s="51"/>
      <c r="CCY43" s="51"/>
      <c r="CCZ43" s="51"/>
      <c r="CDA43" s="51"/>
      <c r="CDB43" s="51"/>
      <c r="CDC43" s="51"/>
      <c r="CDD43" s="51"/>
      <c r="CDE43" s="51"/>
      <c r="CDF43" s="51"/>
      <c r="CDG43" s="51"/>
      <c r="CDH43" s="51"/>
      <c r="CDI43" s="51"/>
      <c r="CDJ43" s="51"/>
      <c r="CDK43" s="51"/>
      <c r="CDL43" s="51"/>
      <c r="CDM43" s="51"/>
      <c r="CDN43" s="51"/>
      <c r="CDO43" s="51"/>
      <c r="CDP43" s="51"/>
      <c r="CDQ43" s="51"/>
      <c r="CDR43" s="51"/>
      <c r="CDS43" s="51"/>
      <c r="CDT43" s="51"/>
      <c r="CDU43" s="51"/>
      <c r="CDV43" s="51"/>
      <c r="CDW43" s="51"/>
      <c r="CDX43" s="51"/>
      <c r="CDY43" s="51"/>
      <c r="CDZ43" s="51"/>
      <c r="CEA43" s="51"/>
      <c r="CEB43" s="51"/>
      <c r="CEC43" s="51"/>
      <c r="CED43" s="51"/>
      <c r="CEE43" s="51"/>
      <c r="CEF43" s="51"/>
      <c r="CEG43" s="51"/>
      <c r="CEH43" s="51"/>
      <c r="CEI43" s="51"/>
      <c r="CEJ43" s="51"/>
      <c r="CEK43" s="51"/>
      <c r="CEL43" s="51"/>
      <c r="CEM43" s="51"/>
      <c r="CEN43" s="51"/>
      <c r="CEO43" s="51"/>
      <c r="CEP43" s="51"/>
      <c r="CEQ43" s="51"/>
      <c r="CER43" s="51"/>
      <c r="CES43" s="51"/>
      <c r="CET43" s="51"/>
      <c r="CEU43" s="51"/>
      <c r="CEV43" s="51"/>
      <c r="CEW43" s="51"/>
      <c r="CEX43" s="51"/>
      <c r="CEY43" s="51"/>
      <c r="CEZ43" s="51"/>
      <c r="CFA43" s="51"/>
      <c r="CFB43" s="51"/>
      <c r="CFC43" s="51"/>
      <c r="CFD43" s="51"/>
      <c r="CFE43" s="51"/>
      <c r="CFF43" s="51"/>
      <c r="CFG43" s="51"/>
      <c r="CFH43" s="51"/>
      <c r="CFI43" s="51"/>
      <c r="CFJ43" s="51"/>
      <c r="CFK43" s="51"/>
      <c r="CFL43" s="51"/>
      <c r="CFM43" s="51"/>
      <c r="CFN43" s="51"/>
      <c r="CFO43" s="51"/>
      <c r="CFP43" s="51"/>
      <c r="CFQ43" s="51"/>
      <c r="CFR43" s="51"/>
      <c r="CFS43" s="51"/>
      <c r="CFT43" s="51"/>
      <c r="CFU43" s="51"/>
      <c r="CFV43" s="51"/>
      <c r="CFW43" s="51"/>
      <c r="CFX43" s="51"/>
      <c r="CFY43" s="51"/>
      <c r="CFZ43" s="51"/>
      <c r="CGA43" s="51"/>
      <c r="CGB43" s="51"/>
      <c r="CGC43" s="51"/>
      <c r="CGD43" s="51"/>
      <c r="CGE43" s="51"/>
      <c r="CGF43" s="51"/>
      <c r="CGG43" s="51"/>
      <c r="CGH43" s="51"/>
      <c r="CGI43" s="51"/>
      <c r="CGJ43" s="51"/>
      <c r="CGK43" s="51"/>
      <c r="CGL43" s="51"/>
      <c r="CGM43" s="51"/>
      <c r="CGN43" s="51"/>
      <c r="CGO43" s="51"/>
      <c r="CGP43" s="51"/>
      <c r="CGQ43" s="51"/>
      <c r="CGR43" s="51"/>
      <c r="CGS43" s="51"/>
      <c r="CGT43" s="51"/>
      <c r="CGU43" s="51"/>
      <c r="CGV43" s="51"/>
      <c r="CGW43" s="51"/>
      <c r="CGX43" s="51"/>
      <c r="CGY43" s="51"/>
      <c r="CGZ43" s="51"/>
      <c r="CHA43" s="51"/>
      <c r="CHB43" s="51"/>
      <c r="CHC43" s="51"/>
      <c r="CHD43" s="51"/>
      <c r="CHE43" s="51"/>
      <c r="CHF43" s="51"/>
      <c r="CHG43" s="51"/>
      <c r="CHH43" s="51"/>
      <c r="CHI43" s="51"/>
      <c r="CHJ43" s="51"/>
      <c r="CHK43" s="51"/>
      <c r="CHL43" s="51"/>
      <c r="CHM43" s="51"/>
      <c r="CHN43" s="51"/>
      <c r="CHO43" s="51"/>
      <c r="CHP43" s="51"/>
      <c r="CHQ43" s="51"/>
      <c r="CHR43" s="51"/>
      <c r="CHS43" s="51"/>
      <c r="CHT43" s="51"/>
      <c r="CHU43" s="51"/>
      <c r="CHV43" s="51"/>
      <c r="CHW43" s="51"/>
      <c r="CHX43" s="51"/>
      <c r="CHY43" s="51"/>
      <c r="CHZ43" s="51"/>
      <c r="CIA43" s="51"/>
      <c r="CIB43" s="51"/>
      <c r="CIC43" s="51"/>
      <c r="CID43" s="51"/>
      <c r="CIE43" s="51"/>
      <c r="CIF43" s="51"/>
      <c r="CIG43" s="51"/>
      <c r="CIH43" s="51"/>
      <c r="CII43" s="51"/>
      <c r="CIJ43" s="51"/>
      <c r="CIK43" s="51"/>
      <c r="CIL43" s="51"/>
      <c r="CIM43" s="51"/>
      <c r="CIN43" s="51"/>
      <c r="CIO43" s="51"/>
      <c r="CIP43" s="51"/>
      <c r="CIQ43" s="51"/>
      <c r="CIR43" s="51"/>
      <c r="CIS43" s="51"/>
      <c r="CIT43" s="51"/>
      <c r="CIU43" s="51"/>
      <c r="CIV43" s="51"/>
      <c r="CIW43" s="51"/>
      <c r="CIX43" s="51"/>
      <c r="CIY43" s="51"/>
      <c r="CIZ43" s="51"/>
      <c r="CJA43" s="51"/>
      <c r="CJB43" s="51"/>
      <c r="CJC43" s="51"/>
      <c r="CJD43" s="51"/>
      <c r="CJE43" s="51"/>
      <c r="CJF43" s="51"/>
      <c r="CJG43" s="51"/>
      <c r="CJH43" s="51"/>
      <c r="CJI43" s="51"/>
      <c r="CJJ43" s="51"/>
      <c r="CJK43" s="51"/>
      <c r="CJL43" s="51"/>
      <c r="CJM43" s="51"/>
      <c r="CJN43" s="51"/>
      <c r="CJO43" s="51"/>
      <c r="CJP43" s="51"/>
      <c r="CJQ43" s="51"/>
      <c r="CJR43" s="51"/>
      <c r="CJS43" s="51"/>
      <c r="CJT43" s="51"/>
      <c r="CJU43" s="51"/>
      <c r="CJV43" s="51"/>
      <c r="CJW43" s="51"/>
      <c r="CJX43" s="51"/>
      <c r="CJY43" s="51"/>
      <c r="CJZ43" s="51"/>
      <c r="CKA43" s="51"/>
      <c r="CKB43" s="51"/>
      <c r="CKC43" s="51"/>
      <c r="CKD43" s="51"/>
      <c r="CKE43" s="51"/>
      <c r="CKF43" s="51"/>
      <c r="CKG43" s="51"/>
      <c r="CKH43" s="51"/>
      <c r="CKI43" s="51"/>
      <c r="CKJ43" s="51"/>
      <c r="CKK43" s="51"/>
      <c r="CKL43" s="51"/>
      <c r="CKM43" s="51"/>
      <c r="CKN43" s="51"/>
      <c r="CKO43" s="51"/>
      <c r="CKP43" s="51"/>
      <c r="CKQ43" s="51"/>
      <c r="CKR43" s="51"/>
      <c r="CKS43" s="51"/>
      <c r="CKT43" s="51"/>
      <c r="CKU43" s="51"/>
      <c r="CKV43" s="51"/>
      <c r="CKW43" s="51"/>
      <c r="CKX43" s="51"/>
      <c r="CKY43" s="51"/>
      <c r="CKZ43" s="51"/>
      <c r="CLA43" s="51"/>
      <c r="CLB43" s="51"/>
      <c r="CLC43" s="51"/>
      <c r="CLD43" s="51"/>
      <c r="CLE43" s="51"/>
      <c r="CLF43" s="51"/>
      <c r="CLG43" s="51"/>
      <c r="CLH43" s="51"/>
      <c r="CLI43" s="51"/>
      <c r="CLJ43" s="51"/>
      <c r="CLK43" s="51"/>
      <c r="CLL43" s="51"/>
      <c r="CLM43" s="51"/>
      <c r="CLN43" s="51"/>
      <c r="CLO43" s="51"/>
      <c r="CLP43" s="51"/>
      <c r="CLQ43" s="51"/>
      <c r="CLR43" s="51"/>
      <c r="CLS43" s="51"/>
      <c r="CLT43" s="51"/>
      <c r="CLU43" s="51"/>
      <c r="CLV43" s="51"/>
      <c r="CLW43" s="51"/>
      <c r="CLX43" s="51"/>
      <c r="CLY43" s="51"/>
      <c r="CLZ43" s="51"/>
      <c r="CMA43" s="51"/>
      <c r="CMB43" s="51"/>
      <c r="CMC43" s="51"/>
      <c r="CMD43" s="51"/>
      <c r="CME43" s="51"/>
      <c r="CMF43" s="51"/>
      <c r="CMG43" s="51"/>
      <c r="CMH43" s="51"/>
      <c r="CMI43" s="51"/>
      <c r="CMJ43" s="51"/>
      <c r="CMK43" s="51"/>
      <c r="CML43" s="51"/>
      <c r="CMM43" s="51"/>
      <c r="CMN43" s="51"/>
      <c r="CMO43" s="51"/>
      <c r="CMP43" s="51"/>
      <c r="CMQ43" s="51"/>
      <c r="CMR43" s="51"/>
      <c r="CMS43" s="51"/>
      <c r="CMT43" s="51"/>
      <c r="CMU43" s="51"/>
      <c r="CMV43" s="51"/>
      <c r="CMW43" s="51"/>
      <c r="CMX43" s="51"/>
      <c r="CMY43" s="51"/>
      <c r="CMZ43" s="51"/>
      <c r="CNA43" s="51"/>
      <c r="CNB43" s="51"/>
      <c r="CNC43" s="51"/>
      <c r="CND43" s="51"/>
      <c r="CNE43" s="51"/>
      <c r="CNF43" s="51"/>
      <c r="CNG43" s="51"/>
      <c r="CNH43" s="51"/>
      <c r="CNI43" s="51"/>
      <c r="CNJ43" s="51"/>
      <c r="CNK43" s="51"/>
      <c r="CNL43" s="51"/>
      <c r="CNM43" s="51"/>
      <c r="CNN43" s="51"/>
      <c r="CNO43" s="51"/>
      <c r="CNP43" s="51"/>
      <c r="CNQ43" s="51"/>
      <c r="CNR43" s="51"/>
      <c r="CNS43" s="51"/>
      <c r="CNT43" s="51"/>
      <c r="CNU43" s="51"/>
      <c r="CNV43" s="51"/>
      <c r="CNW43" s="51"/>
      <c r="CNX43" s="51"/>
      <c r="CNY43" s="51"/>
      <c r="CNZ43" s="51"/>
      <c r="COA43" s="51"/>
      <c r="COB43" s="51"/>
      <c r="COC43" s="51"/>
      <c r="COD43" s="51"/>
      <c r="COE43" s="51"/>
      <c r="COF43" s="51"/>
      <c r="COG43" s="51"/>
      <c r="COH43" s="51"/>
      <c r="COI43" s="51"/>
      <c r="COJ43" s="51"/>
      <c r="COK43" s="51"/>
      <c r="COL43" s="51"/>
      <c r="COM43" s="51"/>
      <c r="CON43" s="51"/>
      <c r="COO43" s="51"/>
      <c r="COP43" s="51"/>
      <c r="COQ43" s="51"/>
      <c r="COR43" s="51"/>
      <c r="COS43" s="51"/>
      <c r="COT43" s="51"/>
      <c r="COU43" s="51"/>
      <c r="COV43" s="51"/>
      <c r="COW43" s="51"/>
      <c r="COX43" s="51"/>
      <c r="COY43" s="51"/>
      <c r="COZ43" s="51"/>
      <c r="CPA43" s="51"/>
      <c r="CPB43" s="51"/>
      <c r="CPC43" s="51"/>
      <c r="CPD43" s="51"/>
      <c r="CPE43" s="51"/>
      <c r="CPF43" s="51"/>
      <c r="CPG43" s="51"/>
      <c r="CPH43" s="51"/>
      <c r="CPI43" s="51"/>
      <c r="CPJ43" s="51"/>
      <c r="CPK43" s="51"/>
      <c r="CPL43" s="51"/>
      <c r="CPM43" s="51"/>
      <c r="CPN43" s="51"/>
      <c r="CPO43" s="51"/>
      <c r="CPP43" s="51"/>
      <c r="CPQ43" s="51"/>
      <c r="CPR43" s="51"/>
      <c r="CPS43" s="51"/>
      <c r="CPT43" s="51"/>
      <c r="CPU43" s="51"/>
      <c r="CPV43" s="51"/>
      <c r="CPW43" s="51"/>
      <c r="CPX43" s="51"/>
      <c r="CPY43" s="51"/>
      <c r="CPZ43" s="51"/>
      <c r="CQA43" s="51"/>
      <c r="CQB43" s="51"/>
      <c r="CQC43" s="51"/>
      <c r="CQD43" s="51"/>
      <c r="CQE43" s="51"/>
      <c r="CQF43" s="51"/>
      <c r="CQG43" s="51"/>
      <c r="CQH43" s="51"/>
      <c r="CQI43" s="51"/>
      <c r="CQJ43" s="51"/>
      <c r="CQK43" s="51"/>
      <c r="CQL43" s="51"/>
      <c r="CQM43" s="51"/>
      <c r="CQN43" s="51"/>
      <c r="CQO43" s="51"/>
      <c r="CQP43" s="51"/>
      <c r="CQQ43" s="51"/>
      <c r="CQR43" s="51"/>
      <c r="CQS43" s="51"/>
      <c r="CQT43" s="51"/>
      <c r="CQU43" s="51"/>
      <c r="CQV43" s="51"/>
      <c r="CQW43" s="51"/>
      <c r="CQX43" s="51"/>
      <c r="CQY43" s="51"/>
      <c r="CQZ43" s="51"/>
      <c r="CRA43" s="51"/>
      <c r="CRB43" s="51"/>
      <c r="CRC43" s="51"/>
      <c r="CRD43" s="51"/>
      <c r="CRE43" s="51"/>
      <c r="CRF43" s="51"/>
      <c r="CRG43" s="51"/>
      <c r="CRH43" s="51"/>
      <c r="CRI43" s="51"/>
      <c r="CRJ43" s="51"/>
      <c r="CRK43" s="51"/>
      <c r="CRL43" s="51"/>
      <c r="CRM43" s="51"/>
      <c r="CRN43" s="51"/>
      <c r="CRO43" s="51"/>
      <c r="CRP43" s="51"/>
      <c r="CRQ43" s="51"/>
      <c r="CRR43" s="51"/>
      <c r="CRS43" s="51"/>
      <c r="CRT43" s="51"/>
      <c r="CRU43" s="51"/>
      <c r="CRV43" s="51"/>
      <c r="CRW43" s="51"/>
      <c r="CRX43" s="51"/>
      <c r="CRY43" s="51"/>
      <c r="CRZ43" s="51"/>
      <c r="CSA43" s="51"/>
      <c r="CSB43" s="51"/>
      <c r="CSC43" s="51"/>
      <c r="CSD43" s="51"/>
      <c r="CSE43" s="51"/>
      <c r="CSF43" s="51"/>
      <c r="CSG43" s="51"/>
      <c r="CSH43" s="51"/>
      <c r="CSI43" s="51"/>
      <c r="CSJ43" s="51"/>
      <c r="CSK43" s="51"/>
      <c r="CSL43" s="51"/>
      <c r="CSM43" s="51"/>
      <c r="CSN43" s="51"/>
      <c r="CSO43" s="51"/>
      <c r="CSP43" s="51"/>
      <c r="CSQ43" s="51"/>
      <c r="CSR43" s="51"/>
      <c r="CSS43" s="51"/>
      <c r="CST43" s="51"/>
      <c r="CSU43" s="51"/>
      <c r="CSV43" s="51"/>
      <c r="CSW43" s="51"/>
      <c r="CSX43" s="51"/>
      <c r="CSY43" s="51"/>
      <c r="CSZ43" s="51"/>
      <c r="CTA43" s="51"/>
      <c r="CTB43" s="51"/>
      <c r="CTC43" s="51"/>
      <c r="CTD43" s="51"/>
      <c r="CTE43" s="51"/>
      <c r="CTF43" s="51"/>
      <c r="CTG43" s="51"/>
      <c r="CTH43" s="51"/>
      <c r="CTI43" s="51"/>
      <c r="CTJ43" s="51"/>
      <c r="CTK43" s="51"/>
      <c r="CTL43" s="51"/>
      <c r="CTM43" s="51"/>
      <c r="CTN43" s="51"/>
      <c r="CTO43" s="51"/>
      <c r="CTP43" s="51"/>
      <c r="CTQ43" s="51"/>
      <c r="CTR43" s="51"/>
      <c r="CTS43" s="51"/>
      <c r="CTT43" s="51"/>
      <c r="CTU43" s="51"/>
      <c r="CTV43" s="51"/>
      <c r="CTW43" s="51"/>
      <c r="CTX43" s="51"/>
      <c r="CTY43" s="51"/>
      <c r="CTZ43" s="51"/>
      <c r="CUA43" s="51"/>
      <c r="CUB43" s="51"/>
      <c r="CUC43" s="51"/>
      <c r="CUD43" s="51"/>
      <c r="CUE43" s="51"/>
      <c r="CUF43" s="51"/>
      <c r="CUG43" s="51"/>
      <c r="CUH43" s="51"/>
      <c r="CUI43" s="51"/>
      <c r="CUJ43" s="51"/>
      <c r="CUK43" s="51"/>
      <c r="CUL43" s="51"/>
      <c r="CUM43" s="51"/>
      <c r="CUN43" s="51"/>
      <c r="CUO43" s="51"/>
      <c r="CUP43" s="51"/>
      <c r="CUQ43" s="51"/>
      <c r="CUR43" s="51"/>
      <c r="CUS43" s="51"/>
      <c r="CUT43" s="51"/>
      <c r="CUU43" s="51"/>
      <c r="CUV43" s="51"/>
      <c r="CUW43" s="51"/>
      <c r="CUX43" s="51"/>
      <c r="CUY43" s="51"/>
      <c r="CUZ43" s="51"/>
      <c r="CVA43" s="51"/>
      <c r="CVB43" s="51"/>
      <c r="CVC43" s="51"/>
      <c r="CVD43" s="51"/>
      <c r="CVE43" s="51"/>
      <c r="CVF43" s="51"/>
      <c r="CVG43" s="51"/>
      <c r="CVH43" s="51"/>
      <c r="CVI43" s="51"/>
      <c r="CVJ43" s="51"/>
      <c r="CVK43" s="51"/>
      <c r="CVL43" s="51"/>
      <c r="CVM43" s="51"/>
      <c r="CVN43" s="51"/>
      <c r="CVO43" s="51"/>
      <c r="CVP43" s="51"/>
      <c r="CVQ43" s="51"/>
      <c r="CVR43" s="51"/>
      <c r="CVS43" s="51"/>
      <c r="CVT43" s="51"/>
      <c r="CVU43" s="51"/>
      <c r="CVV43" s="51"/>
      <c r="CVW43" s="51"/>
      <c r="CVX43" s="51"/>
      <c r="CVY43" s="51"/>
      <c r="CVZ43" s="51"/>
      <c r="CWA43" s="51"/>
      <c r="CWB43" s="51"/>
      <c r="CWC43" s="51"/>
      <c r="CWD43" s="51"/>
      <c r="CWE43" s="51"/>
      <c r="CWF43" s="51"/>
      <c r="CWG43" s="51"/>
      <c r="CWH43" s="51"/>
      <c r="CWI43" s="51"/>
      <c r="CWJ43" s="51"/>
      <c r="CWK43" s="51"/>
      <c r="CWL43" s="51"/>
      <c r="CWM43" s="51"/>
      <c r="CWN43" s="51"/>
      <c r="CWO43" s="51"/>
      <c r="CWP43" s="51"/>
      <c r="CWQ43" s="51"/>
      <c r="CWR43" s="51"/>
      <c r="CWS43" s="51"/>
      <c r="CWT43" s="51"/>
      <c r="CWU43" s="51"/>
      <c r="CWV43" s="51"/>
      <c r="CWW43" s="51"/>
      <c r="CWX43" s="51"/>
      <c r="CWY43" s="51"/>
      <c r="CWZ43" s="51"/>
      <c r="CXA43" s="51"/>
      <c r="CXB43" s="51"/>
      <c r="CXC43" s="51"/>
      <c r="CXD43" s="51"/>
      <c r="CXE43" s="51"/>
      <c r="CXF43" s="51"/>
      <c r="CXG43" s="51"/>
      <c r="CXH43" s="51"/>
      <c r="CXI43" s="51"/>
      <c r="CXJ43" s="51"/>
      <c r="CXK43" s="51"/>
      <c r="CXL43" s="51"/>
      <c r="CXM43" s="51"/>
      <c r="CXN43" s="51"/>
      <c r="CXO43" s="51"/>
      <c r="CXP43" s="51"/>
      <c r="CXQ43" s="51"/>
      <c r="CXR43" s="51"/>
      <c r="CXS43" s="51"/>
      <c r="CXT43" s="51"/>
      <c r="CXU43" s="51"/>
      <c r="CXV43" s="51"/>
      <c r="CXW43" s="51"/>
      <c r="CXX43" s="51"/>
      <c r="CXY43" s="51"/>
      <c r="CXZ43" s="51"/>
      <c r="CYA43" s="51"/>
      <c r="CYB43" s="51"/>
      <c r="CYC43" s="51"/>
      <c r="CYD43" s="51"/>
      <c r="CYE43" s="51"/>
      <c r="CYF43" s="51"/>
      <c r="CYG43" s="51"/>
      <c r="CYH43" s="51"/>
      <c r="CYI43" s="51"/>
      <c r="CYJ43" s="51"/>
      <c r="CYK43" s="51"/>
      <c r="CYL43" s="51"/>
      <c r="CYM43" s="51"/>
      <c r="CYN43" s="51"/>
      <c r="CYO43" s="51"/>
      <c r="CYP43" s="51"/>
      <c r="CYQ43" s="51"/>
      <c r="CYR43" s="51"/>
      <c r="CYS43" s="51"/>
      <c r="CYT43" s="51"/>
      <c r="CYU43" s="51"/>
      <c r="CYV43" s="51"/>
      <c r="CYW43" s="51"/>
      <c r="CYX43" s="51"/>
      <c r="CYY43" s="51"/>
      <c r="CYZ43" s="51"/>
      <c r="CZA43" s="51"/>
      <c r="CZB43" s="51"/>
      <c r="CZC43" s="51"/>
      <c r="CZD43" s="51"/>
      <c r="CZE43" s="51"/>
      <c r="CZF43" s="51"/>
      <c r="CZG43" s="51"/>
      <c r="CZH43" s="51"/>
      <c r="CZI43" s="51"/>
      <c r="CZJ43" s="51"/>
      <c r="CZK43" s="51"/>
      <c r="CZL43" s="51"/>
      <c r="CZM43" s="51"/>
      <c r="CZN43" s="51"/>
      <c r="CZO43" s="51"/>
      <c r="CZP43" s="51"/>
      <c r="CZQ43" s="51"/>
      <c r="CZR43" s="51"/>
      <c r="CZS43" s="51"/>
      <c r="CZT43" s="51"/>
      <c r="CZU43" s="51"/>
      <c r="CZV43" s="51"/>
      <c r="CZW43" s="51"/>
      <c r="CZX43" s="51"/>
      <c r="CZY43" s="51"/>
      <c r="CZZ43" s="51"/>
      <c r="DAA43" s="51"/>
      <c r="DAB43" s="51"/>
      <c r="DAC43" s="51"/>
      <c r="DAD43" s="51"/>
      <c r="DAE43" s="51"/>
      <c r="DAF43" s="51"/>
      <c r="DAG43" s="51"/>
      <c r="DAH43" s="51"/>
      <c r="DAI43" s="51"/>
      <c r="DAJ43" s="51"/>
      <c r="DAK43" s="51"/>
      <c r="DAL43" s="51"/>
      <c r="DAM43" s="51"/>
      <c r="DAN43" s="51"/>
      <c r="DAO43" s="51"/>
      <c r="DAP43" s="51"/>
      <c r="DAQ43" s="51"/>
      <c r="DAR43" s="51"/>
      <c r="DAS43" s="51"/>
      <c r="DAT43" s="51"/>
      <c r="DAU43" s="51"/>
      <c r="DAV43" s="51"/>
      <c r="DAW43" s="51"/>
      <c r="DAX43" s="51"/>
      <c r="DAY43" s="51"/>
      <c r="DAZ43" s="51"/>
      <c r="DBA43" s="51"/>
      <c r="DBB43" s="51"/>
      <c r="DBC43" s="51"/>
      <c r="DBD43" s="51"/>
      <c r="DBE43" s="51"/>
      <c r="DBF43" s="51"/>
      <c r="DBG43" s="51"/>
      <c r="DBH43" s="51"/>
      <c r="DBI43" s="51"/>
      <c r="DBJ43" s="51"/>
      <c r="DBK43" s="51"/>
      <c r="DBL43" s="51"/>
      <c r="DBM43" s="51"/>
      <c r="DBN43" s="51"/>
      <c r="DBO43" s="51"/>
      <c r="DBP43" s="51"/>
      <c r="DBQ43" s="51"/>
      <c r="DBR43" s="51"/>
      <c r="DBS43" s="51"/>
      <c r="DBT43" s="51"/>
      <c r="DBU43" s="51"/>
      <c r="DBV43" s="51"/>
      <c r="DBW43" s="51"/>
      <c r="DBX43" s="51"/>
      <c r="DBY43" s="51"/>
      <c r="DBZ43" s="51"/>
      <c r="DCA43" s="51"/>
      <c r="DCB43" s="51"/>
      <c r="DCC43" s="51"/>
      <c r="DCD43" s="51"/>
      <c r="DCE43" s="51"/>
      <c r="DCF43" s="51"/>
      <c r="DCG43" s="51"/>
      <c r="DCH43" s="51"/>
      <c r="DCI43" s="51"/>
      <c r="DCJ43" s="51"/>
      <c r="DCK43" s="51"/>
      <c r="DCL43" s="51"/>
      <c r="DCM43" s="51"/>
      <c r="DCN43" s="51"/>
      <c r="DCO43" s="51"/>
      <c r="DCP43" s="51"/>
      <c r="DCQ43" s="51"/>
      <c r="DCR43" s="51"/>
      <c r="DCS43" s="51"/>
      <c r="DCT43" s="51"/>
      <c r="DCU43" s="51"/>
      <c r="DCV43" s="51"/>
      <c r="DCW43" s="51"/>
      <c r="DCX43" s="51"/>
      <c r="DCY43" s="51"/>
      <c r="DCZ43" s="51"/>
      <c r="DDA43" s="51"/>
      <c r="DDB43" s="51"/>
      <c r="DDC43" s="51"/>
      <c r="DDD43" s="51"/>
      <c r="DDE43" s="51"/>
      <c r="DDF43" s="51"/>
      <c r="DDG43" s="51"/>
      <c r="DDH43" s="51"/>
      <c r="DDI43" s="51"/>
      <c r="DDJ43" s="51"/>
      <c r="DDK43" s="51"/>
      <c r="DDL43" s="51"/>
      <c r="DDM43" s="51"/>
      <c r="DDN43" s="51"/>
      <c r="DDO43" s="51"/>
      <c r="DDP43" s="51"/>
      <c r="DDQ43" s="51"/>
      <c r="DDR43" s="51"/>
      <c r="DDS43" s="51"/>
      <c r="DDT43" s="51"/>
      <c r="DDU43" s="51"/>
      <c r="DDV43" s="51"/>
      <c r="DDW43" s="51"/>
      <c r="DDX43" s="51"/>
      <c r="DDY43" s="51"/>
      <c r="DDZ43" s="51"/>
      <c r="DEA43" s="51"/>
      <c r="DEB43" s="51"/>
      <c r="DEC43" s="51"/>
      <c r="DED43" s="51"/>
      <c r="DEE43" s="51"/>
      <c r="DEF43" s="51"/>
      <c r="DEG43" s="51"/>
      <c r="DEH43" s="51"/>
      <c r="DEI43" s="51"/>
      <c r="DEJ43" s="51"/>
      <c r="DEK43" s="51"/>
      <c r="DEL43" s="51"/>
      <c r="DEM43" s="51"/>
      <c r="DEN43" s="51"/>
      <c r="DEO43" s="51"/>
      <c r="DEP43" s="51"/>
      <c r="DEQ43" s="51"/>
      <c r="DER43" s="51"/>
      <c r="DES43" s="51"/>
      <c r="DET43" s="51"/>
      <c r="DEU43" s="51"/>
      <c r="DEV43" s="51"/>
      <c r="DEW43" s="51"/>
      <c r="DEX43" s="51"/>
      <c r="DEY43" s="51"/>
      <c r="DEZ43" s="51"/>
      <c r="DFA43" s="51"/>
      <c r="DFB43" s="51"/>
      <c r="DFC43" s="51"/>
      <c r="DFD43" s="51"/>
      <c r="DFE43" s="51"/>
      <c r="DFF43" s="51"/>
      <c r="DFG43" s="51"/>
      <c r="DFH43" s="51"/>
      <c r="DFI43" s="51"/>
      <c r="DFJ43" s="51"/>
      <c r="DFK43" s="51"/>
      <c r="DFL43" s="51"/>
      <c r="DFM43" s="51"/>
      <c r="DFN43" s="51"/>
      <c r="DFO43" s="51"/>
      <c r="DFP43" s="51"/>
      <c r="DFQ43" s="51"/>
      <c r="DFR43" s="51"/>
      <c r="DFS43" s="51"/>
      <c r="DFT43" s="51"/>
      <c r="DFU43" s="51"/>
      <c r="DFV43" s="51"/>
      <c r="DFW43" s="51"/>
      <c r="DFX43" s="51"/>
      <c r="DFY43" s="51"/>
      <c r="DFZ43" s="51"/>
      <c r="DGA43" s="51"/>
      <c r="DGB43" s="51"/>
      <c r="DGC43" s="51"/>
      <c r="DGD43" s="51"/>
      <c r="DGE43" s="51"/>
      <c r="DGF43" s="51"/>
      <c r="DGG43" s="51"/>
      <c r="DGH43" s="51"/>
      <c r="DGI43" s="51"/>
      <c r="DGJ43" s="51"/>
      <c r="DGK43" s="51"/>
      <c r="DGL43" s="51"/>
      <c r="DGM43" s="51"/>
      <c r="DGN43" s="51"/>
      <c r="DGO43" s="51"/>
      <c r="DGP43" s="51"/>
      <c r="DGQ43" s="51"/>
      <c r="DGR43" s="51"/>
      <c r="DGS43" s="51"/>
      <c r="DGT43" s="51"/>
      <c r="DGU43" s="51"/>
      <c r="DGV43" s="51"/>
      <c r="DGW43" s="51"/>
      <c r="DGX43" s="51"/>
      <c r="DGY43" s="51"/>
      <c r="DGZ43" s="51"/>
      <c r="DHA43" s="51"/>
      <c r="DHB43" s="51"/>
      <c r="DHC43" s="51"/>
      <c r="DHD43" s="51"/>
      <c r="DHE43" s="51"/>
      <c r="DHF43" s="51"/>
      <c r="DHG43" s="51"/>
      <c r="DHH43" s="51"/>
      <c r="DHI43" s="51"/>
      <c r="DHJ43" s="51"/>
      <c r="DHK43" s="51"/>
      <c r="DHL43" s="51"/>
      <c r="DHM43" s="51"/>
      <c r="DHN43" s="51"/>
      <c r="DHO43" s="51"/>
      <c r="DHP43" s="51"/>
      <c r="DHQ43" s="51"/>
      <c r="DHR43" s="51"/>
      <c r="DHS43" s="51"/>
      <c r="DHT43" s="51"/>
      <c r="DHU43" s="51"/>
      <c r="DHV43" s="51"/>
      <c r="DHW43" s="51"/>
      <c r="DHX43" s="51"/>
      <c r="DHY43" s="51"/>
      <c r="DHZ43" s="51"/>
      <c r="DIA43" s="51"/>
      <c r="DIB43" s="51"/>
      <c r="DIC43" s="51"/>
      <c r="DID43" s="51"/>
      <c r="DIE43" s="51"/>
      <c r="DIF43" s="51"/>
      <c r="DIG43" s="51"/>
      <c r="DIH43" s="51"/>
      <c r="DII43" s="51"/>
      <c r="DIJ43" s="51"/>
      <c r="DIK43" s="51"/>
      <c r="DIL43" s="51"/>
      <c r="DIM43" s="51"/>
      <c r="DIN43" s="51"/>
      <c r="DIO43" s="51"/>
      <c r="DIP43" s="51"/>
      <c r="DIQ43" s="51"/>
      <c r="DIR43" s="51"/>
      <c r="DIS43" s="51"/>
      <c r="DIT43" s="51"/>
      <c r="DIU43" s="51"/>
      <c r="DIV43" s="51"/>
      <c r="DIW43" s="51"/>
      <c r="DIX43" s="51"/>
      <c r="DIY43" s="51"/>
      <c r="DIZ43" s="51"/>
      <c r="DJA43" s="51"/>
      <c r="DJB43" s="51"/>
      <c r="DJC43" s="51"/>
      <c r="DJD43" s="51"/>
      <c r="DJE43" s="51"/>
      <c r="DJF43" s="51"/>
      <c r="DJG43" s="51"/>
      <c r="DJH43" s="51"/>
      <c r="DJI43" s="51"/>
      <c r="DJJ43" s="51"/>
      <c r="DJK43" s="51"/>
      <c r="DJL43" s="51"/>
      <c r="DJM43" s="51"/>
      <c r="DJN43" s="51"/>
      <c r="DJO43" s="51"/>
      <c r="DJP43" s="51"/>
      <c r="DJQ43" s="51"/>
      <c r="DJR43" s="51"/>
      <c r="DJS43" s="51"/>
      <c r="DJT43" s="51"/>
      <c r="DJU43" s="51"/>
      <c r="DJV43" s="51"/>
      <c r="DJW43" s="51"/>
      <c r="DJX43" s="51"/>
      <c r="DJY43" s="51"/>
      <c r="DJZ43" s="51"/>
      <c r="DKA43" s="51"/>
      <c r="DKB43" s="51"/>
      <c r="DKC43" s="51"/>
      <c r="DKD43" s="51"/>
      <c r="DKE43" s="51"/>
      <c r="DKF43" s="51"/>
      <c r="DKG43" s="51"/>
      <c r="DKH43" s="51"/>
      <c r="DKI43" s="51"/>
      <c r="DKJ43" s="51"/>
      <c r="DKK43" s="51"/>
      <c r="DKL43" s="51"/>
      <c r="DKM43" s="51"/>
      <c r="DKN43" s="51"/>
      <c r="DKO43" s="51"/>
      <c r="DKP43" s="51"/>
      <c r="DKQ43" s="51"/>
      <c r="DKR43" s="51"/>
      <c r="DKS43" s="51"/>
      <c r="DKT43" s="51"/>
      <c r="DKU43" s="51"/>
      <c r="DKV43" s="51"/>
      <c r="DKW43" s="51"/>
      <c r="DKX43" s="51"/>
      <c r="DKY43" s="51"/>
      <c r="DKZ43" s="51"/>
      <c r="DLA43" s="51"/>
      <c r="DLB43" s="51"/>
      <c r="DLC43" s="51"/>
      <c r="DLD43" s="51"/>
      <c r="DLE43" s="51"/>
      <c r="DLF43" s="51"/>
      <c r="DLG43" s="51"/>
      <c r="DLH43" s="51"/>
      <c r="DLI43" s="51"/>
      <c r="DLJ43" s="51"/>
      <c r="DLK43" s="51"/>
      <c r="DLL43" s="51"/>
      <c r="DLM43" s="51"/>
      <c r="DLN43" s="51"/>
      <c r="DLO43" s="51"/>
      <c r="DLP43" s="51"/>
      <c r="DLQ43" s="51"/>
      <c r="DLR43" s="51"/>
      <c r="DLS43" s="51"/>
      <c r="DLT43" s="51"/>
      <c r="DLU43" s="51"/>
      <c r="DLV43" s="51"/>
      <c r="DLW43" s="51"/>
      <c r="DLX43" s="51"/>
      <c r="DLY43" s="51"/>
      <c r="DLZ43" s="51"/>
      <c r="DMA43" s="51"/>
      <c r="DMB43" s="51"/>
      <c r="DMC43" s="51"/>
      <c r="DMD43" s="51"/>
      <c r="DME43" s="51"/>
      <c r="DMF43" s="51"/>
      <c r="DMG43" s="51"/>
      <c r="DMH43" s="51"/>
      <c r="DMI43" s="51"/>
      <c r="DMJ43" s="51"/>
      <c r="DMK43" s="51"/>
      <c r="DML43" s="51"/>
      <c r="DMM43" s="51"/>
      <c r="DMN43" s="51"/>
      <c r="DMO43" s="51"/>
      <c r="DMP43" s="51"/>
      <c r="DMQ43" s="51"/>
      <c r="DMR43" s="51"/>
      <c r="DMS43" s="51"/>
      <c r="DMT43" s="51"/>
      <c r="DMU43" s="51"/>
      <c r="DMV43" s="51"/>
      <c r="DMW43" s="51"/>
      <c r="DMX43" s="51"/>
      <c r="DMY43" s="51"/>
      <c r="DMZ43" s="51"/>
      <c r="DNA43" s="51"/>
      <c r="DNB43" s="51"/>
      <c r="DNC43" s="51"/>
      <c r="DND43" s="51"/>
      <c r="DNE43" s="51"/>
      <c r="DNF43" s="51"/>
      <c r="DNG43" s="51"/>
      <c r="DNH43" s="51"/>
      <c r="DNI43" s="51"/>
      <c r="DNJ43" s="51"/>
      <c r="DNK43" s="51"/>
      <c r="DNL43" s="51"/>
      <c r="DNM43" s="51"/>
      <c r="DNN43" s="51"/>
      <c r="DNO43" s="51"/>
      <c r="DNP43" s="51"/>
      <c r="DNQ43" s="51"/>
      <c r="DNR43" s="51"/>
      <c r="DNS43" s="51"/>
      <c r="DNT43" s="51"/>
      <c r="DNU43" s="51"/>
      <c r="DNV43" s="51"/>
      <c r="DNW43" s="51"/>
      <c r="DNX43" s="51"/>
      <c r="DNY43" s="51"/>
      <c r="DNZ43" s="51"/>
      <c r="DOA43" s="51"/>
      <c r="DOB43" s="51"/>
      <c r="DOC43" s="51"/>
      <c r="DOD43" s="51"/>
      <c r="DOE43" s="51"/>
      <c r="DOF43" s="51"/>
      <c r="DOG43" s="51"/>
      <c r="DOH43" s="51"/>
      <c r="DOI43" s="51"/>
      <c r="DOJ43" s="51"/>
      <c r="DOK43" s="51"/>
      <c r="DOL43" s="51"/>
      <c r="DOM43" s="51"/>
      <c r="DON43" s="51"/>
      <c r="DOO43" s="51"/>
      <c r="DOP43" s="51"/>
      <c r="DOQ43" s="51"/>
      <c r="DOR43" s="51"/>
      <c r="DOS43" s="51"/>
      <c r="DOT43" s="51"/>
      <c r="DOU43" s="51"/>
      <c r="DOV43" s="51"/>
      <c r="DOW43" s="51"/>
      <c r="DOX43" s="51"/>
      <c r="DOY43" s="51"/>
      <c r="DOZ43" s="51"/>
      <c r="DPA43" s="51"/>
      <c r="DPB43" s="51"/>
      <c r="DPC43" s="51"/>
      <c r="DPD43" s="51"/>
      <c r="DPE43" s="51"/>
      <c r="DPF43" s="51"/>
      <c r="DPG43" s="51"/>
      <c r="DPH43" s="51"/>
      <c r="DPI43" s="51"/>
      <c r="DPJ43" s="51"/>
      <c r="DPK43" s="51"/>
      <c r="DPL43" s="51"/>
      <c r="DPM43" s="51"/>
      <c r="DPN43" s="51"/>
      <c r="DPO43" s="51"/>
      <c r="DPP43" s="51"/>
      <c r="DPQ43" s="51"/>
      <c r="DPR43" s="51"/>
      <c r="DPS43" s="51"/>
      <c r="DPT43" s="51"/>
      <c r="DPU43" s="51"/>
      <c r="DPV43" s="51"/>
      <c r="DPW43" s="51"/>
      <c r="DPX43" s="51"/>
      <c r="DPY43" s="51"/>
      <c r="DPZ43" s="51"/>
      <c r="DQA43" s="51"/>
      <c r="DQB43" s="51"/>
      <c r="DQC43" s="51"/>
      <c r="DQD43" s="51"/>
      <c r="DQE43" s="51"/>
      <c r="DQF43" s="51"/>
      <c r="DQG43" s="51"/>
      <c r="DQH43" s="51"/>
      <c r="DQI43" s="51"/>
      <c r="DQJ43" s="51"/>
      <c r="DQK43" s="51"/>
      <c r="DQL43" s="51"/>
      <c r="DQM43" s="51"/>
      <c r="DQN43" s="51"/>
      <c r="DQO43" s="51"/>
      <c r="DQP43" s="51"/>
      <c r="DQQ43" s="51"/>
      <c r="DQR43" s="51"/>
      <c r="DQS43" s="51"/>
      <c r="DQT43" s="51"/>
      <c r="DQU43" s="51"/>
      <c r="DQV43" s="51"/>
      <c r="DQW43" s="51"/>
      <c r="DQX43" s="51"/>
      <c r="DQY43" s="51"/>
      <c r="DQZ43" s="51"/>
      <c r="DRA43" s="51"/>
      <c r="DRB43" s="51"/>
      <c r="DRC43" s="51"/>
      <c r="DRD43" s="51"/>
      <c r="DRE43" s="51"/>
      <c r="DRF43" s="51"/>
      <c r="DRG43" s="51"/>
      <c r="DRH43" s="51"/>
      <c r="DRI43" s="51"/>
      <c r="DRJ43" s="51"/>
      <c r="DRK43" s="51"/>
      <c r="DRL43" s="51"/>
      <c r="DRM43" s="51"/>
      <c r="DRN43" s="51"/>
      <c r="DRO43" s="51"/>
      <c r="DRP43" s="51"/>
      <c r="DRQ43" s="51"/>
      <c r="DRR43" s="51"/>
      <c r="DRS43" s="51"/>
      <c r="DRT43" s="51"/>
      <c r="DRU43" s="51"/>
      <c r="DRV43" s="51"/>
      <c r="DRW43" s="51"/>
      <c r="DRX43" s="51"/>
      <c r="DRY43" s="51"/>
      <c r="DRZ43" s="51"/>
      <c r="DSA43" s="51"/>
      <c r="DSB43" s="51"/>
      <c r="DSC43" s="51"/>
      <c r="DSD43" s="51"/>
      <c r="DSE43" s="51"/>
      <c r="DSF43" s="51"/>
      <c r="DSG43" s="51"/>
      <c r="DSH43" s="51"/>
      <c r="DSI43" s="51"/>
      <c r="DSJ43" s="51"/>
      <c r="DSK43" s="51"/>
      <c r="DSL43" s="51"/>
      <c r="DSM43" s="51"/>
      <c r="DSN43" s="51"/>
      <c r="DSO43" s="51"/>
      <c r="DSP43" s="51"/>
      <c r="DSQ43" s="51"/>
      <c r="DSR43" s="51"/>
      <c r="DSS43" s="51"/>
      <c r="DST43" s="51"/>
      <c r="DSU43" s="51"/>
      <c r="DSV43" s="51"/>
      <c r="DSW43" s="51"/>
      <c r="DSX43" s="51"/>
      <c r="DSY43" s="51"/>
      <c r="DSZ43" s="51"/>
      <c r="DTA43" s="51"/>
      <c r="DTB43" s="51"/>
      <c r="DTC43" s="51"/>
      <c r="DTD43" s="51"/>
      <c r="DTE43" s="51"/>
      <c r="DTF43" s="51"/>
      <c r="DTG43" s="51"/>
      <c r="DTH43" s="51"/>
      <c r="DTI43" s="51"/>
      <c r="DTJ43" s="51"/>
      <c r="DTK43" s="51"/>
      <c r="DTL43" s="51"/>
      <c r="DTM43" s="51"/>
      <c r="DTN43" s="51"/>
      <c r="DTO43" s="51"/>
      <c r="DTP43" s="51"/>
      <c r="DTQ43" s="51"/>
      <c r="DTR43" s="51"/>
      <c r="DTS43" s="51"/>
      <c r="DTT43" s="51"/>
      <c r="DTU43" s="51"/>
      <c r="DTV43" s="51"/>
      <c r="DTW43" s="51"/>
      <c r="DTX43" s="51"/>
      <c r="DTY43" s="51"/>
      <c r="DTZ43" s="51"/>
      <c r="DUA43" s="51"/>
      <c r="DUB43" s="51"/>
      <c r="DUC43" s="51"/>
      <c r="DUD43" s="51"/>
      <c r="DUE43" s="51"/>
      <c r="DUF43" s="51"/>
      <c r="DUG43" s="51"/>
      <c r="DUH43" s="51"/>
      <c r="DUI43" s="51"/>
      <c r="DUJ43" s="51"/>
      <c r="DUK43" s="51"/>
      <c r="DUL43" s="51"/>
      <c r="DUM43" s="51"/>
      <c r="DUN43" s="51"/>
      <c r="DUO43" s="51"/>
      <c r="DUP43" s="51"/>
      <c r="DUQ43" s="51"/>
      <c r="DUR43" s="51"/>
      <c r="DUS43" s="51"/>
      <c r="DUT43" s="51"/>
      <c r="DUU43" s="51"/>
      <c r="DUV43" s="51"/>
      <c r="DUW43" s="51"/>
      <c r="DUX43" s="51"/>
      <c r="DUY43" s="51"/>
      <c r="DUZ43" s="51"/>
      <c r="DVA43" s="51"/>
      <c r="DVB43" s="51"/>
      <c r="DVC43" s="51"/>
      <c r="DVD43" s="51"/>
      <c r="DVE43" s="51"/>
      <c r="DVF43" s="51"/>
      <c r="DVG43" s="51"/>
      <c r="DVH43" s="51"/>
      <c r="DVI43" s="51"/>
      <c r="DVJ43" s="51"/>
      <c r="DVK43" s="51"/>
      <c r="DVL43" s="51"/>
      <c r="DVM43" s="51"/>
      <c r="DVN43" s="51"/>
      <c r="DVO43" s="51"/>
      <c r="DVP43" s="51"/>
      <c r="DVQ43" s="51"/>
      <c r="DVR43" s="51"/>
      <c r="DVS43" s="51"/>
      <c r="DVT43" s="51"/>
      <c r="DVU43" s="51"/>
      <c r="DVV43" s="51"/>
      <c r="DVW43" s="51"/>
      <c r="DVX43" s="51"/>
      <c r="DVY43" s="51"/>
      <c r="DVZ43" s="51"/>
      <c r="DWA43" s="51"/>
      <c r="DWB43" s="51"/>
      <c r="DWC43" s="51"/>
      <c r="DWD43" s="51"/>
      <c r="DWE43" s="51"/>
      <c r="DWF43" s="51"/>
      <c r="DWG43" s="51"/>
      <c r="DWH43" s="51"/>
      <c r="DWI43" s="51"/>
      <c r="DWJ43" s="51"/>
      <c r="DWK43" s="51"/>
      <c r="DWL43" s="51"/>
      <c r="DWM43" s="51"/>
      <c r="DWN43" s="51"/>
      <c r="DWO43" s="51"/>
      <c r="DWP43" s="51"/>
      <c r="DWQ43" s="51"/>
      <c r="DWR43" s="51"/>
      <c r="DWS43" s="51"/>
      <c r="DWT43" s="51"/>
      <c r="DWU43" s="51"/>
      <c r="DWV43" s="51"/>
      <c r="DWW43" s="51"/>
      <c r="DWX43" s="51"/>
      <c r="DWY43" s="51"/>
      <c r="DWZ43" s="51"/>
      <c r="DXA43" s="51"/>
      <c r="DXB43" s="51"/>
      <c r="DXC43" s="51"/>
      <c r="DXD43" s="51"/>
      <c r="DXE43" s="51"/>
      <c r="DXF43" s="51"/>
      <c r="DXG43" s="51"/>
      <c r="DXH43" s="51"/>
      <c r="DXI43" s="51"/>
      <c r="DXJ43" s="51"/>
      <c r="DXK43" s="51"/>
      <c r="DXL43" s="51"/>
      <c r="DXM43" s="51"/>
      <c r="DXN43" s="51"/>
      <c r="DXO43" s="51"/>
      <c r="DXP43" s="51"/>
      <c r="DXQ43" s="51"/>
      <c r="DXR43" s="51"/>
      <c r="DXS43" s="51"/>
      <c r="DXT43" s="51"/>
      <c r="DXU43" s="51"/>
      <c r="DXV43" s="51"/>
      <c r="DXW43" s="51"/>
      <c r="DXX43" s="51"/>
      <c r="DXY43" s="51"/>
      <c r="DXZ43" s="51"/>
      <c r="DYA43" s="51"/>
      <c r="DYB43" s="51"/>
      <c r="DYC43" s="51"/>
      <c r="DYD43" s="51"/>
      <c r="DYE43" s="51"/>
      <c r="DYF43" s="51"/>
      <c r="DYG43" s="51"/>
      <c r="DYH43" s="51"/>
      <c r="DYI43" s="51"/>
      <c r="DYJ43" s="51"/>
      <c r="DYK43" s="51"/>
      <c r="DYL43" s="51"/>
      <c r="DYM43" s="51"/>
      <c r="DYN43" s="51"/>
      <c r="DYO43" s="51"/>
      <c r="DYP43" s="51"/>
      <c r="DYQ43" s="51"/>
      <c r="DYR43" s="51"/>
      <c r="DYS43" s="51"/>
      <c r="DYT43" s="51"/>
      <c r="DYU43" s="51"/>
      <c r="DYV43" s="51"/>
      <c r="DYW43" s="51"/>
      <c r="DYX43" s="51"/>
      <c r="DYY43" s="51"/>
      <c r="DYZ43" s="51"/>
      <c r="DZA43" s="51"/>
      <c r="DZB43" s="51"/>
      <c r="DZC43" s="51"/>
      <c r="DZD43" s="51"/>
      <c r="DZE43" s="51"/>
      <c r="DZF43" s="51"/>
      <c r="DZG43" s="51"/>
      <c r="DZH43" s="51"/>
      <c r="DZI43" s="51"/>
      <c r="DZJ43" s="51"/>
      <c r="DZK43" s="51"/>
      <c r="DZL43" s="51"/>
      <c r="DZM43" s="51"/>
      <c r="DZN43" s="51"/>
      <c r="DZO43" s="51"/>
      <c r="DZP43" s="51"/>
      <c r="DZQ43" s="51"/>
      <c r="DZR43" s="51"/>
      <c r="DZS43" s="51"/>
      <c r="DZT43" s="51"/>
      <c r="DZU43" s="51"/>
      <c r="DZV43" s="51"/>
      <c r="DZW43" s="51"/>
      <c r="DZX43" s="51"/>
      <c r="DZY43" s="51"/>
      <c r="DZZ43" s="51"/>
      <c r="EAA43" s="51"/>
      <c r="EAB43" s="51"/>
      <c r="EAC43" s="51"/>
      <c r="EAD43" s="51"/>
      <c r="EAE43" s="51"/>
      <c r="EAF43" s="51"/>
      <c r="EAG43" s="51"/>
      <c r="EAH43" s="51"/>
      <c r="EAI43" s="51"/>
      <c r="EAJ43" s="51"/>
      <c r="EAK43" s="51"/>
      <c r="EAL43" s="51"/>
      <c r="EAM43" s="51"/>
      <c r="EAN43" s="51"/>
      <c r="EAO43" s="51"/>
      <c r="EAP43" s="51"/>
      <c r="EAQ43" s="51"/>
      <c r="EAR43" s="51"/>
      <c r="EAS43" s="51"/>
      <c r="EAT43" s="51"/>
      <c r="EAU43" s="51"/>
      <c r="EAV43" s="51"/>
      <c r="EAW43" s="51"/>
      <c r="EAX43" s="51"/>
      <c r="EAY43" s="51"/>
      <c r="EAZ43" s="51"/>
      <c r="EBA43" s="51"/>
      <c r="EBB43" s="51"/>
      <c r="EBC43" s="51"/>
      <c r="EBD43" s="51"/>
      <c r="EBE43" s="51"/>
      <c r="EBF43" s="51"/>
      <c r="EBG43" s="51"/>
      <c r="EBH43" s="51"/>
      <c r="EBI43" s="51"/>
      <c r="EBJ43" s="51"/>
      <c r="EBK43" s="51"/>
      <c r="EBL43" s="51"/>
      <c r="EBM43" s="51"/>
      <c r="EBN43" s="51"/>
      <c r="EBO43" s="51"/>
      <c r="EBP43" s="51"/>
      <c r="EBQ43" s="51"/>
      <c r="EBR43" s="51"/>
      <c r="EBS43" s="51"/>
      <c r="EBT43" s="51"/>
      <c r="EBU43" s="51"/>
      <c r="EBV43" s="51"/>
      <c r="EBW43" s="51"/>
      <c r="EBX43" s="51"/>
      <c r="EBY43" s="51"/>
      <c r="EBZ43" s="51"/>
      <c r="ECA43" s="51"/>
      <c r="ECB43" s="51"/>
      <c r="ECC43" s="51"/>
      <c r="ECD43" s="51"/>
      <c r="ECE43" s="51"/>
      <c r="ECF43" s="51"/>
      <c r="ECG43" s="51"/>
      <c r="ECH43" s="51"/>
      <c r="ECI43" s="51"/>
      <c r="ECJ43" s="51"/>
      <c r="ECK43" s="51"/>
      <c r="ECL43" s="51"/>
      <c r="ECM43" s="51"/>
      <c r="ECN43" s="51"/>
      <c r="ECO43" s="51"/>
      <c r="ECP43" s="51"/>
      <c r="ECQ43" s="51"/>
      <c r="ECR43" s="51"/>
      <c r="ECS43" s="51"/>
      <c r="ECT43" s="51"/>
      <c r="ECU43" s="51"/>
      <c r="ECV43" s="51"/>
      <c r="ECW43" s="51"/>
      <c r="ECX43" s="51"/>
      <c r="ECY43" s="51"/>
      <c r="ECZ43" s="51"/>
      <c r="EDA43" s="51"/>
      <c r="EDB43" s="51"/>
      <c r="EDC43" s="51"/>
      <c r="EDD43" s="51"/>
      <c r="EDE43" s="51"/>
      <c r="EDF43" s="51"/>
      <c r="EDG43" s="51"/>
      <c r="EDH43" s="51"/>
      <c r="EDI43" s="51"/>
      <c r="EDJ43" s="51"/>
      <c r="EDK43" s="51"/>
      <c r="EDL43" s="51"/>
      <c r="EDM43" s="51"/>
      <c r="EDN43" s="51"/>
      <c r="EDO43" s="51"/>
      <c r="EDP43" s="51"/>
      <c r="EDQ43" s="51"/>
      <c r="EDR43" s="51"/>
      <c r="EDS43" s="51"/>
      <c r="EDT43" s="51"/>
      <c r="EDU43" s="51"/>
      <c r="EDV43" s="51"/>
      <c r="EDW43" s="51"/>
      <c r="EDX43" s="51"/>
      <c r="EDY43" s="51"/>
      <c r="EDZ43" s="51"/>
      <c r="EEA43" s="51"/>
      <c r="EEB43" s="51"/>
      <c r="EEC43" s="51"/>
      <c r="EED43" s="51"/>
      <c r="EEE43" s="51"/>
      <c r="EEF43" s="51"/>
      <c r="EEG43" s="51"/>
      <c r="EEH43" s="51"/>
      <c r="EEI43" s="51"/>
      <c r="EEJ43" s="51"/>
      <c r="EEK43" s="51"/>
      <c r="EEL43" s="51"/>
      <c r="EEM43" s="51"/>
      <c r="EEN43" s="51"/>
      <c r="EEO43" s="51"/>
      <c r="EEP43" s="51"/>
      <c r="EEQ43" s="51"/>
      <c r="EER43" s="51"/>
      <c r="EES43" s="51"/>
      <c r="EET43" s="51"/>
      <c r="EEU43" s="51"/>
      <c r="EEV43" s="51"/>
      <c r="EEW43" s="51"/>
      <c r="EEX43" s="51"/>
      <c r="EEY43" s="51"/>
      <c r="EEZ43" s="51"/>
      <c r="EFA43" s="51"/>
      <c r="EFB43" s="51"/>
      <c r="EFC43" s="51"/>
      <c r="EFD43" s="51"/>
      <c r="EFE43" s="51"/>
      <c r="EFF43" s="51"/>
      <c r="EFG43" s="51"/>
      <c r="EFH43" s="51"/>
      <c r="EFI43" s="51"/>
      <c r="EFJ43" s="51"/>
      <c r="EFK43" s="51"/>
      <c r="EFL43" s="51"/>
      <c r="EFM43" s="51"/>
      <c r="EFN43" s="51"/>
      <c r="EFO43" s="51"/>
      <c r="EFP43" s="51"/>
      <c r="EFQ43" s="51"/>
      <c r="EFR43" s="51"/>
      <c r="EFS43" s="51"/>
      <c r="EFT43" s="51"/>
      <c r="EFU43" s="51"/>
      <c r="EFV43" s="51"/>
      <c r="EFW43" s="51"/>
      <c r="EFX43" s="51"/>
      <c r="EFY43" s="51"/>
      <c r="EFZ43" s="51"/>
      <c r="EGA43" s="51"/>
      <c r="EGB43" s="51"/>
      <c r="EGC43" s="51"/>
      <c r="EGD43" s="51"/>
      <c r="EGE43" s="51"/>
      <c r="EGF43" s="51"/>
      <c r="EGG43" s="51"/>
      <c r="EGH43" s="51"/>
      <c r="EGI43" s="51"/>
      <c r="EGJ43" s="51"/>
      <c r="EGK43" s="51"/>
      <c r="EGL43" s="51"/>
      <c r="EGM43" s="51"/>
      <c r="EGN43" s="51"/>
      <c r="EGO43" s="51"/>
      <c r="EGP43" s="51"/>
      <c r="EGQ43" s="51"/>
      <c r="EGR43" s="51"/>
      <c r="EGS43" s="51"/>
      <c r="EGT43" s="51"/>
      <c r="EGU43" s="51"/>
      <c r="EGV43" s="51"/>
      <c r="EGW43" s="51"/>
      <c r="EGX43" s="51"/>
      <c r="EGY43" s="51"/>
      <c r="EGZ43" s="51"/>
      <c r="EHA43" s="51"/>
      <c r="EHB43" s="51"/>
      <c r="EHC43" s="51"/>
      <c r="EHD43" s="51"/>
      <c r="EHE43" s="51"/>
      <c r="EHF43" s="51"/>
      <c r="EHG43" s="51"/>
      <c r="EHH43" s="51"/>
      <c r="EHI43" s="51"/>
      <c r="EHJ43" s="51"/>
      <c r="EHK43" s="51"/>
      <c r="EHL43" s="51"/>
      <c r="EHM43" s="51"/>
      <c r="EHN43" s="51"/>
      <c r="EHO43" s="51"/>
      <c r="EHP43" s="51"/>
      <c r="EHQ43" s="51"/>
      <c r="EHR43" s="51"/>
      <c r="EHS43" s="51"/>
      <c r="EHT43" s="51"/>
      <c r="EHU43" s="51"/>
      <c r="EHV43" s="51"/>
      <c r="EHW43" s="51"/>
      <c r="EHX43" s="51"/>
      <c r="EHY43" s="51"/>
      <c r="EHZ43" s="51"/>
      <c r="EIA43" s="51"/>
      <c r="EIB43" s="51"/>
      <c r="EIC43" s="51"/>
      <c r="EID43" s="51"/>
      <c r="EIE43" s="51"/>
      <c r="EIF43" s="51"/>
      <c r="EIG43" s="51"/>
      <c r="EIH43" s="51"/>
      <c r="EII43" s="51"/>
      <c r="EIJ43" s="51"/>
      <c r="EIK43" s="51"/>
      <c r="EIL43" s="51"/>
      <c r="EIM43" s="51"/>
      <c r="EIN43" s="51"/>
      <c r="EIO43" s="51"/>
      <c r="EIP43" s="51"/>
      <c r="EIQ43" s="51"/>
      <c r="EIR43" s="51"/>
      <c r="EIS43" s="51"/>
      <c r="EIT43" s="51"/>
      <c r="EIU43" s="51"/>
      <c r="EIV43" s="51"/>
      <c r="EIW43" s="51"/>
      <c r="EIX43" s="51"/>
      <c r="EIY43" s="51"/>
      <c r="EIZ43" s="51"/>
      <c r="EJA43" s="51"/>
      <c r="EJB43" s="51"/>
      <c r="EJC43" s="51"/>
      <c r="EJD43" s="51"/>
      <c r="EJE43" s="51"/>
      <c r="EJF43" s="51"/>
      <c r="EJG43" s="51"/>
      <c r="EJH43" s="51"/>
      <c r="EJI43" s="51"/>
      <c r="EJJ43" s="51"/>
      <c r="EJK43" s="51"/>
      <c r="EJL43" s="51"/>
      <c r="EJM43" s="51"/>
      <c r="EJN43" s="51"/>
      <c r="EJO43" s="51"/>
      <c r="EJP43" s="51"/>
      <c r="EJQ43" s="51"/>
      <c r="EJR43" s="51"/>
      <c r="EJS43" s="51"/>
      <c r="EJT43" s="51"/>
      <c r="EJU43" s="51"/>
      <c r="EJV43" s="51"/>
      <c r="EJW43" s="51"/>
      <c r="EJX43" s="51"/>
      <c r="EJY43" s="51"/>
      <c r="EJZ43" s="51"/>
      <c r="EKA43" s="51"/>
      <c r="EKB43" s="51"/>
      <c r="EKC43" s="51"/>
      <c r="EKD43" s="51"/>
      <c r="EKE43" s="51"/>
      <c r="EKF43" s="51"/>
      <c r="EKG43" s="51"/>
      <c r="EKH43" s="51"/>
      <c r="EKI43" s="51"/>
      <c r="EKJ43" s="51"/>
      <c r="EKK43" s="51"/>
      <c r="EKL43" s="51"/>
      <c r="EKM43" s="51"/>
      <c r="EKN43" s="51"/>
      <c r="EKO43" s="51"/>
      <c r="EKP43" s="51"/>
      <c r="EKQ43" s="51"/>
      <c r="EKR43" s="51"/>
      <c r="EKS43" s="51"/>
      <c r="EKT43" s="51"/>
      <c r="EKU43" s="51"/>
      <c r="EKV43" s="51"/>
      <c r="EKW43" s="51"/>
      <c r="EKX43" s="51"/>
      <c r="EKY43" s="51"/>
      <c r="EKZ43" s="51"/>
      <c r="ELA43" s="51"/>
      <c r="ELB43" s="51"/>
      <c r="ELC43" s="51"/>
      <c r="ELD43" s="51"/>
      <c r="ELE43" s="51"/>
      <c r="ELF43" s="51"/>
      <c r="ELG43" s="51"/>
      <c r="ELH43" s="51"/>
      <c r="ELI43" s="51"/>
      <c r="ELJ43" s="51"/>
      <c r="ELK43" s="51"/>
      <c r="ELL43" s="51"/>
      <c r="ELM43" s="51"/>
      <c r="ELN43" s="51"/>
      <c r="ELO43" s="51"/>
      <c r="ELP43" s="51"/>
      <c r="ELQ43" s="51"/>
      <c r="ELR43" s="51"/>
      <c r="ELS43" s="51"/>
      <c r="ELT43" s="51"/>
      <c r="ELU43" s="51"/>
      <c r="ELV43" s="51"/>
      <c r="ELW43" s="51"/>
      <c r="ELX43" s="51"/>
      <c r="ELY43" s="51"/>
      <c r="ELZ43" s="51"/>
      <c r="EMA43" s="51"/>
      <c r="EMB43" s="51"/>
      <c r="EMC43" s="51"/>
      <c r="EMD43" s="51"/>
      <c r="EME43" s="51"/>
      <c r="EMF43" s="51"/>
      <c r="EMG43" s="51"/>
      <c r="EMH43" s="51"/>
      <c r="EMI43" s="51"/>
      <c r="EMJ43" s="51"/>
      <c r="EMK43" s="51"/>
      <c r="EML43" s="51"/>
      <c r="EMM43" s="51"/>
      <c r="EMN43" s="51"/>
      <c r="EMO43" s="51"/>
      <c r="EMP43" s="51"/>
      <c r="EMQ43" s="51"/>
      <c r="EMR43" s="51"/>
      <c r="EMS43" s="51"/>
      <c r="EMT43" s="51"/>
      <c r="EMU43" s="51"/>
      <c r="EMV43" s="51"/>
      <c r="EMW43" s="51"/>
      <c r="EMX43" s="51"/>
      <c r="EMY43" s="51"/>
      <c r="EMZ43" s="51"/>
      <c r="ENA43" s="51"/>
      <c r="ENB43" s="51"/>
      <c r="ENC43" s="51"/>
      <c r="END43" s="51"/>
      <c r="ENE43" s="51"/>
      <c r="ENF43" s="51"/>
      <c r="ENG43" s="51"/>
      <c r="ENH43" s="51"/>
      <c r="ENI43" s="51"/>
      <c r="ENJ43" s="51"/>
      <c r="ENK43" s="51"/>
      <c r="ENL43" s="51"/>
      <c r="ENM43" s="51"/>
      <c r="ENN43" s="51"/>
      <c r="ENO43" s="51"/>
      <c r="ENP43" s="51"/>
      <c r="ENQ43" s="51"/>
      <c r="ENR43" s="51"/>
      <c r="ENS43" s="51"/>
      <c r="ENT43" s="51"/>
      <c r="ENU43" s="51"/>
      <c r="ENV43" s="51"/>
      <c r="ENW43" s="51"/>
      <c r="ENX43" s="51"/>
      <c r="ENY43" s="51"/>
      <c r="ENZ43" s="51"/>
      <c r="EOA43" s="51"/>
      <c r="EOB43" s="51"/>
      <c r="EOC43" s="51"/>
      <c r="EOD43" s="51"/>
      <c r="EOE43" s="51"/>
      <c r="EOF43" s="51"/>
      <c r="EOG43" s="51"/>
      <c r="EOH43" s="51"/>
      <c r="EOI43" s="51"/>
      <c r="EOJ43" s="51"/>
      <c r="EOK43" s="51"/>
      <c r="EOL43" s="51"/>
      <c r="EOM43" s="51"/>
      <c r="EON43" s="51"/>
      <c r="EOO43" s="51"/>
      <c r="EOP43" s="51"/>
      <c r="EOQ43" s="51"/>
      <c r="EOR43" s="51"/>
      <c r="EOS43" s="51"/>
      <c r="EOT43" s="51"/>
      <c r="EOU43" s="51"/>
      <c r="EOV43" s="51"/>
      <c r="EOW43" s="51"/>
      <c r="EOX43" s="51"/>
      <c r="EOY43" s="51"/>
      <c r="EOZ43" s="51"/>
      <c r="EPA43" s="51"/>
      <c r="EPB43" s="51"/>
      <c r="EPC43" s="51"/>
      <c r="EPD43" s="51"/>
      <c r="EPE43" s="51"/>
      <c r="EPF43" s="51"/>
      <c r="EPG43" s="51"/>
      <c r="EPH43" s="51"/>
      <c r="EPI43" s="51"/>
      <c r="EPJ43" s="51"/>
      <c r="EPK43" s="51"/>
      <c r="EPL43" s="51"/>
      <c r="EPM43" s="51"/>
      <c r="EPN43" s="51"/>
      <c r="EPO43" s="51"/>
      <c r="EPP43" s="51"/>
      <c r="EPQ43" s="51"/>
      <c r="EPR43" s="51"/>
      <c r="EPS43" s="51"/>
      <c r="EPT43" s="51"/>
      <c r="EPU43" s="51"/>
      <c r="EPV43" s="51"/>
      <c r="EPW43" s="51"/>
      <c r="EPX43" s="51"/>
      <c r="EPY43" s="51"/>
      <c r="EPZ43" s="51"/>
      <c r="EQA43" s="51"/>
      <c r="EQB43" s="51"/>
      <c r="EQC43" s="51"/>
      <c r="EQD43" s="51"/>
      <c r="EQE43" s="51"/>
      <c r="EQF43" s="51"/>
      <c r="EQG43" s="51"/>
      <c r="EQH43" s="51"/>
      <c r="EQI43" s="51"/>
      <c r="EQJ43" s="51"/>
      <c r="EQK43" s="51"/>
      <c r="EQL43" s="51"/>
      <c r="EQM43" s="51"/>
      <c r="EQN43" s="51"/>
      <c r="EQO43" s="51"/>
      <c r="EQP43" s="51"/>
      <c r="EQQ43" s="51"/>
      <c r="EQR43" s="51"/>
      <c r="EQS43" s="51"/>
      <c r="EQT43" s="51"/>
      <c r="EQU43" s="51"/>
      <c r="EQV43" s="51"/>
      <c r="EQW43" s="51"/>
      <c r="EQX43" s="51"/>
      <c r="EQY43" s="51"/>
      <c r="EQZ43" s="51"/>
      <c r="ERA43" s="51"/>
      <c r="ERB43" s="51"/>
      <c r="ERC43" s="51"/>
      <c r="ERD43" s="51"/>
      <c r="ERE43" s="51"/>
      <c r="ERF43" s="51"/>
      <c r="ERG43" s="51"/>
      <c r="ERH43" s="51"/>
      <c r="ERI43" s="51"/>
      <c r="ERJ43" s="51"/>
      <c r="ERK43" s="51"/>
      <c r="ERL43" s="51"/>
      <c r="ERM43" s="51"/>
      <c r="ERN43" s="51"/>
      <c r="ERO43" s="51"/>
      <c r="ERP43" s="51"/>
      <c r="ERQ43" s="51"/>
      <c r="ERR43" s="51"/>
      <c r="ERS43" s="51"/>
      <c r="ERT43" s="51"/>
      <c r="ERU43" s="51"/>
      <c r="ERV43" s="51"/>
      <c r="ERW43" s="51"/>
      <c r="ERX43" s="51"/>
      <c r="ERY43" s="51"/>
      <c r="ERZ43" s="51"/>
      <c r="ESA43" s="51"/>
      <c r="ESB43" s="51"/>
      <c r="ESC43" s="51"/>
      <c r="ESD43" s="51"/>
      <c r="ESE43" s="51"/>
      <c r="ESF43" s="51"/>
      <c r="ESG43" s="51"/>
      <c r="ESH43" s="51"/>
      <c r="ESI43" s="51"/>
      <c r="ESJ43" s="51"/>
      <c r="ESK43" s="51"/>
      <c r="ESL43" s="51"/>
      <c r="ESM43" s="51"/>
      <c r="ESN43" s="51"/>
      <c r="ESO43" s="51"/>
      <c r="ESP43" s="51"/>
      <c r="ESQ43" s="51"/>
      <c r="ESR43" s="51"/>
      <c r="ESS43" s="51"/>
      <c r="EST43" s="51"/>
      <c r="ESU43" s="51"/>
      <c r="ESV43" s="51"/>
      <c r="ESW43" s="51"/>
      <c r="ESX43" s="51"/>
      <c r="ESY43" s="51"/>
      <c r="ESZ43" s="51"/>
      <c r="ETA43" s="51"/>
      <c r="ETB43" s="51"/>
      <c r="ETC43" s="51"/>
      <c r="ETD43" s="51"/>
      <c r="ETE43" s="51"/>
      <c r="ETF43" s="51"/>
      <c r="ETG43" s="51"/>
      <c r="ETH43" s="51"/>
      <c r="ETI43" s="51"/>
      <c r="ETJ43" s="51"/>
      <c r="ETK43" s="51"/>
      <c r="ETL43" s="51"/>
      <c r="ETM43" s="51"/>
      <c r="ETN43" s="51"/>
      <c r="ETO43" s="51"/>
      <c r="ETP43" s="51"/>
      <c r="ETQ43" s="51"/>
      <c r="ETR43" s="51"/>
      <c r="ETS43" s="51"/>
      <c r="ETT43" s="51"/>
      <c r="ETU43" s="51"/>
      <c r="ETV43" s="51"/>
      <c r="ETW43" s="51"/>
      <c r="ETX43" s="51"/>
      <c r="ETY43" s="51"/>
      <c r="ETZ43" s="51"/>
      <c r="EUA43" s="51"/>
      <c r="EUB43" s="51"/>
      <c r="EUC43" s="51"/>
      <c r="EUD43" s="51"/>
      <c r="EUE43" s="51"/>
      <c r="EUF43" s="51"/>
      <c r="EUG43" s="51"/>
      <c r="EUH43" s="51"/>
      <c r="EUI43" s="51"/>
      <c r="EUJ43" s="51"/>
      <c r="EUK43" s="51"/>
      <c r="EUL43" s="51"/>
      <c r="EUM43" s="51"/>
      <c r="EUN43" s="51"/>
      <c r="EUO43" s="51"/>
      <c r="EUP43" s="51"/>
      <c r="EUQ43" s="51"/>
      <c r="EUR43" s="51"/>
      <c r="EUS43" s="51"/>
      <c r="EUT43" s="51"/>
      <c r="EUU43" s="51"/>
      <c r="EUV43" s="51"/>
      <c r="EUW43" s="51"/>
      <c r="EUX43" s="51"/>
      <c r="EUY43" s="51"/>
      <c r="EUZ43" s="51"/>
      <c r="EVA43" s="51"/>
      <c r="EVB43" s="51"/>
      <c r="EVC43" s="51"/>
      <c r="EVD43" s="51"/>
      <c r="EVE43" s="51"/>
      <c r="EVF43" s="51"/>
      <c r="EVG43" s="51"/>
      <c r="EVH43" s="51"/>
      <c r="EVI43" s="51"/>
      <c r="EVJ43" s="51"/>
      <c r="EVK43" s="51"/>
      <c r="EVL43" s="51"/>
      <c r="EVM43" s="51"/>
      <c r="EVN43" s="51"/>
      <c r="EVO43" s="51"/>
      <c r="EVP43" s="51"/>
      <c r="EVQ43" s="51"/>
      <c r="EVR43" s="51"/>
      <c r="EVS43" s="51"/>
      <c r="EVT43" s="51"/>
      <c r="EVU43" s="51"/>
      <c r="EVV43" s="51"/>
      <c r="EVW43" s="51"/>
      <c r="EVX43" s="51"/>
      <c r="EVY43" s="51"/>
      <c r="EVZ43" s="51"/>
      <c r="EWA43" s="51"/>
      <c r="EWB43" s="51"/>
      <c r="EWC43" s="51"/>
      <c r="EWD43" s="51"/>
      <c r="EWE43" s="51"/>
      <c r="EWF43" s="51"/>
      <c r="EWG43" s="51"/>
      <c r="EWH43" s="51"/>
      <c r="EWI43" s="51"/>
      <c r="EWJ43" s="51"/>
      <c r="EWK43" s="51"/>
      <c r="EWL43" s="51"/>
      <c r="EWM43" s="51"/>
      <c r="EWN43" s="51"/>
      <c r="EWO43" s="51"/>
      <c r="EWP43" s="51"/>
      <c r="EWQ43" s="51"/>
      <c r="EWR43" s="51"/>
      <c r="EWS43" s="51"/>
      <c r="EWT43" s="51"/>
      <c r="EWU43" s="51"/>
      <c r="EWV43" s="51"/>
      <c r="EWW43" s="51"/>
      <c r="EWX43" s="51"/>
      <c r="EWY43" s="51"/>
      <c r="EWZ43" s="51"/>
      <c r="EXA43" s="51"/>
      <c r="EXB43" s="51"/>
      <c r="EXC43" s="51"/>
      <c r="EXD43" s="51"/>
      <c r="EXE43" s="51"/>
      <c r="EXF43" s="51"/>
      <c r="EXG43" s="51"/>
      <c r="EXH43" s="51"/>
      <c r="EXI43" s="51"/>
      <c r="EXJ43" s="51"/>
      <c r="EXK43" s="51"/>
      <c r="EXL43" s="51"/>
      <c r="EXM43" s="51"/>
      <c r="EXN43" s="51"/>
      <c r="EXO43" s="51"/>
      <c r="EXP43" s="51"/>
      <c r="EXQ43" s="51"/>
      <c r="EXR43" s="51"/>
      <c r="EXS43" s="51"/>
      <c r="EXT43" s="51"/>
      <c r="EXU43" s="51"/>
      <c r="EXV43" s="51"/>
      <c r="EXW43" s="51"/>
      <c r="EXX43" s="51"/>
      <c r="EXY43" s="51"/>
      <c r="EXZ43" s="51"/>
      <c r="EYA43" s="51"/>
      <c r="EYB43" s="51"/>
      <c r="EYC43" s="51"/>
      <c r="EYD43" s="51"/>
      <c r="EYE43" s="51"/>
      <c r="EYF43" s="51"/>
      <c r="EYG43" s="51"/>
      <c r="EYH43" s="51"/>
      <c r="EYI43" s="51"/>
      <c r="EYJ43" s="51"/>
      <c r="EYK43" s="51"/>
      <c r="EYL43" s="51"/>
      <c r="EYM43" s="51"/>
      <c r="EYN43" s="51"/>
      <c r="EYO43" s="51"/>
      <c r="EYP43" s="51"/>
      <c r="EYQ43" s="51"/>
      <c r="EYR43" s="51"/>
      <c r="EYS43" s="51"/>
      <c r="EYT43" s="51"/>
      <c r="EYU43" s="51"/>
      <c r="EYV43" s="51"/>
      <c r="EYW43" s="51"/>
      <c r="EYX43" s="51"/>
      <c r="EYY43" s="51"/>
      <c r="EYZ43" s="51"/>
      <c r="EZA43" s="51"/>
      <c r="EZB43" s="51"/>
      <c r="EZC43" s="51"/>
      <c r="EZD43" s="51"/>
      <c r="EZE43" s="51"/>
      <c r="EZF43" s="51"/>
      <c r="EZG43" s="51"/>
      <c r="EZH43" s="51"/>
      <c r="EZI43" s="51"/>
      <c r="EZJ43" s="51"/>
      <c r="EZK43" s="51"/>
      <c r="EZL43" s="51"/>
      <c r="EZM43" s="51"/>
      <c r="EZN43" s="51"/>
      <c r="EZO43" s="51"/>
      <c r="EZP43" s="51"/>
      <c r="EZQ43" s="51"/>
      <c r="EZR43" s="51"/>
      <c r="EZS43" s="51"/>
      <c r="EZT43" s="51"/>
      <c r="EZU43" s="51"/>
      <c r="EZV43" s="51"/>
      <c r="EZW43" s="51"/>
      <c r="EZX43" s="51"/>
      <c r="EZY43" s="51"/>
      <c r="EZZ43" s="51"/>
      <c r="FAA43" s="51"/>
      <c r="FAB43" s="51"/>
      <c r="FAC43" s="51"/>
      <c r="FAD43" s="51"/>
      <c r="FAE43" s="51"/>
      <c r="FAF43" s="51"/>
      <c r="FAG43" s="51"/>
      <c r="FAH43" s="51"/>
      <c r="FAI43" s="51"/>
      <c r="FAJ43" s="51"/>
      <c r="FAK43" s="51"/>
      <c r="FAL43" s="51"/>
      <c r="FAM43" s="51"/>
      <c r="FAN43" s="51"/>
      <c r="FAO43" s="51"/>
      <c r="FAP43" s="51"/>
      <c r="FAQ43" s="51"/>
      <c r="FAR43" s="51"/>
      <c r="FAS43" s="51"/>
      <c r="FAT43" s="51"/>
      <c r="FAU43" s="51"/>
      <c r="FAV43" s="51"/>
      <c r="FAW43" s="51"/>
      <c r="FAX43" s="51"/>
      <c r="FAY43" s="51"/>
      <c r="FAZ43" s="51"/>
      <c r="FBA43" s="51"/>
      <c r="FBB43" s="51"/>
      <c r="FBC43" s="51"/>
      <c r="FBD43" s="51"/>
      <c r="FBE43" s="51"/>
      <c r="FBF43" s="51"/>
      <c r="FBG43" s="51"/>
      <c r="FBH43" s="51"/>
      <c r="FBI43" s="51"/>
      <c r="FBJ43" s="51"/>
      <c r="FBK43" s="51"/>
      <c r="FBL43" s="51"/>
      <c r="FBM43" s="51"/>
      <c r="FBN43" s="51"/>
      <c r="FBO43" s="51"/>
      <c r="FBP43" s="51"/>
      <c r="FBQ43" s="51"/>
      <c r="FBR43" s="51"/>
      <c r="FBS43" s="51"/>
      <c r="FBT43" s="51"/>
      <c r="FBU43" s="51"/>
      <c r="FBV43" s="51"/>
      <c r="FBW43" s="51"/>
      <c r="FBX43" s="51"/>
      <c r="FBY43" s="51"/>
      <c r="FBZ43" s="51"/>
      <c r="FCA43" s="51"/>
      <c r="FCB43" s="51"/>
      <c r="FCC43" s="51"/>
      <c r="FCD43" s="51"/>
      <c r="FCE43" s="51"/>
      <c r="FCF43" s="51"/>
      <c r="FCG43" s="51"/>
      <c r="FCH43" s="51"/>
      <c r="FCI43" s="51"/>
      <c r="FCJ43" s="51"/>
      <c r="FCK43" s="51"/>
      <c r="FCL43" s="51"/>
      <c r="FCM43" s="51"/>
      <c r="FCN43" s="51"/>
      <c r="FCO43" s="51"/>
      <c r="FCP43" s="51"/>
      <c r="FCQ43" s="51"/>
      <c r="FCR43" s="51"/>
      <c r="FCS43" s="51"/>
      <c r="FCT43" s="51"/>
      <c r="FCU43" s="51"/>
      <c r="FCV43" s="51"/>
      <c r="FCW43" s="51"/>
      <c r="FCX43" s="51"/>
      <c r="FCY43" s="51"/>
      <c r="FCZ43" s="51"/>
      <c r="FDA43" s="51"/>
      <c r="FDB43" s="51"/>
      <c r="FDC43" s="51"/>
      <c r="FDD43" s="51"/>
      <c r="FDE43" s="51"/>
      <c r="FDF43" s="51"/>
      <c r="FDG43" s="51"/>
      <c r="FDH43" s="51"/>
      <c r="FDI43" s="51"/>
      <c r="FDJ43" s="51"/>
      <c r="FDK43" s="51"/>
      <c r="FDL43" s="51"/>
      <c r="FDM43" s="51"/>
      <c r="FDN43" s="51"/>
      <c r="FDO43" s="51"/>
      <c r="FDP43" s="51"/>
      <c r="FDQ43" s="51"/>
      <c r="FDR43" s="51"/>
      <c r="FDS43" s="51"/>
      <c r="FDT43" s="51"/>
      <c r="FDU43" s="51"/>
      <c r="FDV43" s="51"/>
      <c r="FDW43" s="51"/>
      <c r="FDX43" s="51"/>
      <c r="FDY43" s="51"/>
      <c r="FDZ43" s="51"/>
      <c r="FEA43" s="51"/>
      <c r="FEB43" s="51"/>
      <c r="FEC43" s="51"/>
      <c r="FED43" s="51"/>
      <c r="FEE43" s="51"/>
      <c r="FEF43" s="51"/>
      <c r="FEG43" s="51"/>
      <c r="FEH43" s="51"/>
      <c r="FEI43" s="51"/>
      <c r="FEJ43" s="51"/>
      <c r="FEK43" s="51"/>
      <c r="FEL43" s="51"/>
      <c r="FEM43" s="51"/>
      <c r="FEN43" s="51"/>
      <c r="FEO43" s="51"/>
      <c r="FEP43" s="51"/>
      <c r="FEQ43" s="51"/>
      <c r="FER43" s="51"/>
      <c r="FES43" s="51"/>
      <c r="FET43" s="51"/>
      <c r="FEU43" s="51"/>
      <c r="FEV43" s="51"/>
      <c r="FEW43" s="51"/>
      <c r="FEX43" s="51"/>
      <c r="FEY43" s="51"/>
      <c r="FEZ43" s="51"/>
      <c r="FFA43" s="51"/>
      <c r="FFB43" s="51"/>
      <c r="FFC43" s="51"/>
      <c r="FFD43" s="51"/>
      <c r="FFE43" s="51"/>
      <c r="FFF43" s="51"/>
      <c r="FFG43" s="51"/>
      <c r="FFH43" s="51"/>
      <c r="FFI43" s="51"/>
      <c r="FFJ43" s="51"/>
      <c r="FFK43" s="51"/>
      <c r="FFL43" s="51"/>
      <c r="FFM43" s="51"/>
      <c r="FFN43" s="51"/>
      <c r="FFO43" s="51"/>
      <c r="FFP43" s="51"/>
      <c r="FFQ43" s="51"/>
      <c r="FFR43" s="51"/>
      <c r="FFS43" s="51"/>
      <c r="FFT43" s="51"/>
      <c r="FFU43" s="51"/>
      <c r="FFV43" s="51"/>
      <c r="FFW43" s="51"/>
      <c r="FFX43" s="51"/>
      <c r="FFY43" s="51"/>
      <c r="FFZ43" s="51"/>
      <c r="FGA43" s="51"/>
      <c r="FGB43" s="51"/>
      <c r="FGC43" s="51"/>
      <c r="FGD43" s="51"/>
      <c r="FGE43" s="51"/>
      <c r="FGF43" s="51"/>
      <c r="FGG43" s="51"/>
      <c r="FGH43" s="51"/>
      <c r="FGI43" s="51"/>
      <c r="FGJ43" s="51"/>
      <c r="FGK43" s="51"/>
      <c r="FGL43" s="51"/>
      <c r="FGM43" s="51"/>
      <c r="FGN43" s="51"/>
      <c r="FGO43" s="51"/>
      <c r="FGP43" s="51"/>
      <c r="FGQ43" s="51"/>
      <c r="FGR43" s="51"/>
      <c r="FGS43" s="51"/>
      <c r="FGT43" s="51"/>
      <c r="FGU43" s="51"/>
      <c r="FGV43" s="51"/>
      <c r="FGW43" s="51"/>
      <c r="FGX43" s="51"/>
      <c r="FGY43" s="51"/>
      <c r="FGZ43" s="51"/>
      <c r="FHA43" s="51"/>
      <c r="FHB43" s="51"/>
      <c r="FHC43" s="51"/>
      <c r="FHD43" s="51"/>
      <c r="FHE43" s="51"/>
      <c r="FHF43" s="51"/>
      <c r="FHG43" s="51"/>
      <c r="FHH43" s="51"/>
      <c r="FHI43" s="51"/>
      <c r="FHJ43" s="51"/>
      <c r="FHK43" s="51"/>
      <c r="FHL43" s="51"/>
      <c r="FHM43" s="51"/>
      <c r="FHN43" s="51"/>
      <c r="FHO43" s="51"/>
      <c r="FHP43" s="51"/>
      <c r="FHQ43" s="51"/>
      <c r="FHR43" s="51"/>
      <c r="FHS43" s="51"/>
      <c r="FHT43" s="51"/>
      <c r="FHU43" s="51"/>
      <c r="FHV43" s="51"/>
      <c r="FHW43" s="51"/>
      <c r="FHX43" s="51"/>
      <c r="FHY43" s="51"/>
      <c r="FHZ43" s="51"/>
      <c r="FIA43" s="51"/>
      <c r="FIB43" s="51"/>
      <c r="FIC43" s="51"/>
      <c r="FID43" s="51"/>
      <c r="FIE43" s="51"/>
      <c r="FIF43" s="51"/>
      <c r="FIG43" s="51"/>
      <c r="FIH43" s="51"/>
      <c r="FII43" s="51"/>
      <c r="FIJ43" s="51"/>
      <c r="FIK43" s="51"/>
      <c r="FIL43" s="51"/>
      <c r="FIM43" s="51"/>
      <c r="FIN43" s="51"/>
      <c r="FIO43" s="51"/>
      <c r="FIP43" s="51"/>
      <c r="FIQ43" s="51"/>
      <c r="FIR43" s="51"/>
      <c r="FIS43" s="51"/>
      <c r="FIT43" s="51"/>
      <c r="FIU43" s="51"/>
      <c r="FIV43" s="51"/>
      <c r="FIW43" s="51"/>
      <c r="FIX43" s="51"/>
      <c r="FIY43" s="51"/>
      <c r="FIZ43" s="51"/>
      <c r="FJA43" s="51"/>
      <c r="FJB43" s="51"/>
      <c r="FJC43" s="51"/>
      <c r="FJD43" s="51"/>
      <c r="FJE43" s="51"/>
      <c r="FJF43" s="51"/>
      <c r="FJG43" s="51"/>
      <c r="FJH43" s="51"/>
      <c r="FJI43" s="51"/>
      <c r="FJJ43" s="51"/>
      <c r="FJK43" s="51"/>
      <c r="FJL43" s="51"/>
      <c r="FJM43" s="51"/>
      <c r="FJN43" s="51"/>
      <c r="FJO43" s="51"/>
      <c r="FJP43" s="51"/>
      <c r="FJQ43" s="51"/>
      <c r="FJR43" s="51"/>
      <c r="FJS43" s="51"/>
      <c r="FJT43" s="51"/>
      <c r="FJU43" s="51"/>
      <c r="FJV43" s="51"/>
      <c r="FJW43" s="51"/>
      <c r="FJX43" s="51"/>
      <c r="FJY43" s="51"/>
      <c r="FJZ43" s="51"/>
      <c r="FKA43" s="51"/>
      <c r="FKB43" s="51"/>
      <c r="FKC43" s="51"/>
      <c r="FKD43" s="51"/>
      <c r="FKE43" s="51"/>
      <c r="FKF43" s="51"/>
      <c r="FKG43" s="51"/>
      <c r="FKH43" s="51"/>
      <c r="FKI43" s="51"/>
      <c r="FKJ43" s="51"/>
      <c r="FKK43" s="51"/>
      <c r="FKL43" s="51"/>
      <c r="FKM43" s="51"/>
      <c r="FKN43" s="51"/>
      <c r="FKO43" s="51"/>
      <c r="FKP43" s="51"/>
      <c r="FKQ43" s="51"/>
      <c r="FKR43" s="51"/>
      <c r="FKS43" s="51"/>
      <c r="FKT43" s="51"/>
      <c r="FKU43" s="51"/>
      <c r="FKV43" s="51"/>
      <c r="FKW43" s="51"/>
      <c r="FKX43" s="51"/>
      <c r="FKY43" s="51"/>
      <c r="FKZ43" s="51"/>
      <c r="FLA43" s="51"/>
      <c r="FLB43" s="51"/>
      <c r="FLC43" s="51"/>
      <c r="FLD43" s="51"/>
      <c r="FLE43" s="51"/>
      <c r="FLF43" s="51"/>
      <c r="FLG43" s="51"/>
      <c r="FLH43" s="51"/>
      <c r="FLI43" s="51"/>
      <c r="FLJ43" s="51"/>
      <c r="FLK43" s="51"/>
      <c r="FLL43" s="51"/>
      <c r="FLM43" s="51"/>
      <c r="FLN43" s="51"/>
      <c r="FLO43" s="51"/>
      <c r="FLP43" s="51"/>
      <c r="FLQ43" s="51"/>
      <c r="FLR43" s="51"/>
      <c r="FLS43" s="51"/>
      <c r="FLT43" s="51"/>
      <c r="FLU43" s="51"/>
      <c r="FLV43" s="51"/>
      <c r="FLW43" s="51"/>
      <c r="FLX43" s="51"/>
      <c r="FLY43" s="51"/>
      <c r="FLZ43" s="51"/>
      <c r="FMA43" s="51"/>
      <c r="FMB43" s="51"/>
      <c r="FMC43" s="51"/>
      <c r="FMD43" s="51"/>
      <c r="FME43" s="51"/>
      <c r="FMF43" s="51"/>
      <c r="FMG43" s="51"/>
      <c r="FMH43" s="51"/>
      <c r="FMI43" s="51"/>
      <c r="FMJ43" s="51"/>
      <c r="FMK43" s="51"/>
      <c r="FML43" s="51"/>
      <c r="FMM43" s="51"/>
      <c r="FMN43" s="51"/>
      <c r="FMO43" s="51"/>
      <c r="FMP43" s="51"/>
      <c r="FMQ43" s="51"/>
      <c r="FMR43" s="51"/>
      <c r="FMS43" s="51"/>
      <c r="FMT43" s="51"/>
      <c r="FMU43" s="51"/>
      <c r="FMV43" s="51"/>
      <c r="FMW43" s="51"/>
      <c r="FMX43" s="51"/>
      <c r="FMY43" s="51"/>
      <c r="FMZ43" s="51"/>
      <c r="FNA43" s="51"/>
      <c r="FNB43" s="51"/>
      <c r="FNC43" s="51"/>
      <c r="FND43" s="51"/>
      <c r="FNE43" s="51"/>
      <c r="FNF43" s="51"/>
      <c r="FNG43" s="51"/>
      <c r="FNH43" s="51"/>
      <c r="FNI43" s="51"/>
      <c r="FNJ43" s="51"/>
      <c r="FNK43" s="51"/>
      <c r="FNL43" s="51"/>
      <c r="FNM43" s="51"/>
      <c r="FNN43" s="51"/>
      <c r="FNO43" s="51"/>
      <c r="FNP43" s="51"/>
      <c r="FNQ43" s="51"/>
      <c r="FNR43" s="51"/>
      <c r="FNS43" s="51"/>
      <c r="FNT43" s="51"/>
      <c r="FNU43" s="51"/>
      <c r="FNV43" s="51"/>
      <c r="FNW43" s="51"/>
      <c r="FNX43" s="51"/>
      <c r="FNY43" s="51"/>
      <c r="FNZ43" s="51"/>
      <c r="FOA43" s="51"/>
      <c r="FOB43" s="51"/>
      <c r="FOC43" s="51"/>
      <c r="FOD43" s="51"/>
      <c r="FOE43" s="51"/>
      <c r="FOF43" s="51"/>
      <c r="FOG43" s="51"/>
      <c r="FOH43" s="51"/>
      <c r="FOI43" s="51"/>
      <c r="FOJ43" s="51"/>
      <c r="FOK43" s="51"/>
      <c r="FOL43" s="51"/>
      <c r="FOM43" s="51"/>
      <c r="FON43" s="51"/>
      <c r="FOO43" s="51"/>
      <c r="FOP43" s="51"/>
      <c r="FOQ43" s="51"/>
      <c r="FOR43" s="51"/>
      <c r="FOS43" s="51"/>
      <c r="FOT43" s="51"/>
      <c r="FOU43" s="51"/>
      <c r="FOV43" s="51"/>
      <c r="FOW43" s="51"/>
      <c r="FOX43" s="51"/>
      <c r="FOY43" s="51"/>
      <c r="FOZ43" s="51"/>
      <c r="FPA43" s="51"/>
      <c r="FPB43" s="51"/>
      <c r="FPC43" s="51"/>
      <c r="FPD43" s="51"/>
      <c r="FPE43" s="51"/>
      <c r="FPF43" s="51"/>
      <c r="FPG43" s="51"/>
      <c r="FPH43" s="51"/>
      <c r="FPI43" s="51"/>
      <c r="FPJ43" s="51"/>
      <c r="FPK43" s="51"/>
      <c r="FPL43" s="51"/>
      <c r="FPM43" s="51"/>
      <c r="FPN43" s="51"/>
      <c r="FPO43" s="51"/>
      <c r="FPP43" s="51"/>
      <c r="FPQ43" s="51"/>
      <c r="FPR43" s="51"/>
      <c r="FPS43" s="51"/>
      <c r="FPT43" s="51"/>
      <c r="FPU43" s="51"/>
      <c r="FPV43" s="51"/>
      <c r="FPW43" s="51"/>
      <c r="FPX43" s="51"/>
      <c r="FPY43" s="51"/>
      <c r="FPZ43" s="51"/>
      <c r="FQA43" s="51"/>
      <c r="FQB43" s="51"/>
      <c r="FQC43" s="51"/>
      <c r="FQD43" s="51"/>
      <c r="FQE43" s="51"/>
      <c r="FQF43" s="51"/>
      <c r="FQG43" s="51"/>
      <c r="FQH43" s="51"/>
      <c r="FQI43" s="51"/>
      <c r="FQJ43" s="51"/>
      <c r="FQK43" s="51"/>
      <c r="FQL43" s="51"/>
      <c r="FQM43" s="51"/>
      <c r="FQN43" s="51"/>
      <c r="FQO43" s="51"/>
      <c r="FQP43" s="51"/>
      <c r="FQQ43" s="51"/>
      <c r="FQR43" s="51"/>
      <c r="FQS43" s="51"/>
      <c r="FQT43" s="51"/>
      <c r="FQU43" s="51"/>
      <c r="FQV43" s="51"/>
      <c r="FQW43" s="51"/>
      <c r="FQX43" s="51"/>
      <c r="FQY43" s="51"/>
      <c r="FQZ43" s="51"/>
      <c r="FRA43" s="51"/>
      <c r="FRB43" s="51"/>
      <c r="FRC43" s="51"/>
      <c r="FRD43" s="51"/>
      <c r="FRE43" s="51"/>
      <c r="FRF43" s="51"/>
      <c r="FRG43" s="51"/>
      <c r="FRH43" s="51"/>
      <c r="FRI43" s="51"/>
      <c r="FRJ43" s="51"/>
      <c r="FRK43" s="51"/>
      <c r="FRL43" s="51"/>
      <c r="FRM43" s="51"/>
      <c r="FRN43" s="51"/>
      <c r="FRO43" s="51"/>
      <c r="FRP43" s="51"/>
      <c r="FRQ43" s="51"/>
      <c r="FRR43" s="51"/>
      <c r="FRS43" s="51"/>
      <c r="FRT43" s="51"/>
      <c r="FRU43" s="51"/>
      <c r="FRV43" s="51"/>
      <c r="FRW43" s="51"/>
      <c r="FRX43" s="51"/>
      <c r="FRY43" s="51"/>
      <c r="FRZ43" s="51"/>
      <c r="FSA43" s="51"/>
      <c r="FSB43" s="51"/>
      <c r="FSC43" s="51"/>
      <c r="FSD43" s="51"/>
      <c r="FSE43" s="51"/>
      <c r="FSF43" s="51"/>
      <c r="FSG43" s="51"/>
      <c r="FSH43" s="51"/>
      <c r="FSI43" s="51"/>
      <c r="FSJ43" s="51"/>
      <c r="FSK43" s="51"/>
      <c r="FSL43" s="51"/>
      <c r="FSM43" s="51"/>
      <c r="FSN43" s="51"/>
      <c r="FSO43" s="51"/>
      <c r="FSP43" s="51"/>
      <c r="FSQ43" s="51"/>
      <c r="FSR43" s="51"/>
      <c r="FSS43" s="51"/>
      <c r="FST43" s="51"/>
      <c r="FSU43" s="51"/>
      <c r="FSV43" s="51"/>
      <c r="FSW43" s="51"/>
      <c r="FSX43" s="51"/>
      <c r="FSY43" s="51"/>
      <c r="FSZ43" s="51"/>
      <c r="FTA43" s="51"/>
      <c r="FTB43" s="51"/>
      <c r="FTC43" s="51"/>
      <c r="FTD43" s="51"/>
      <c r="FTE43" s="51"/>
      <c r="FTF43" s="51"/>
      <c r="FTG43" s="51"/>
      <c r="FTH43" s="51"/>
      <c r="FTI43" s="51"/>
      <c r="FTJ43" s="51"/>
      <c r="FTK43" s="51"/>
      <c r="FTL43" s="51"/>
      <c r="FTM43" s="51"/>
      <c r="FTN43" s="51"/>
      <c r="FTO43" s="51"/>
      <c r="FTP43" s="51"/>
      <c r="FTQ43" s="51"/>
      <c r="FTR43" s="51"/>
      <c r="FTS43" s="51"/>
      <c r="FTT43" s="51"/>
      <c r="FTU43" s="51"/>
      <c r="FTV43" s="51"/>
      <c r="FTW43" s="51"/>
      <c r="FTX43" s="51"/>
      <c r="FTY43" s="51"/>
      <c r="FTZ43" s="51"/>
      <c r="FUA43" s="51"/>
      <c r="FUB43" s="51"/>
      <c r="FUC43" s="51"/>
      <c r="FUD43" s="51"/>
      <c r="FUE43" s="51"/>
      <c r="FUF43" s="51"/>
      <c r="FUG43" s="51"/>
      <c r="FUH43" s="51"/>
      <c r="FUI43" s="51"/>
      <c r="FUJ43" s="51"/>
      <c r="FUK43" s="51"/>
      <c r="FUL43" s="51"/>
      <c r="FUM43" s="51"/>
      <c r="FUN43" s="51"/>
      <c r="FUO43" s="51"/>
      <c r="FUP43" s="51"/>
      <c r="FUQ43" s="51"/>
      <c r="FUR43" s="51"/>
      <c r="FUS43" s="51"/>
      <c r="FUT43" s="51"/>
      <c r="FUU43" s="51"/>
      <c r="FUV43" s="51"/>
      <c r="FUW43" s="51"/>
      <c r="FUX43" s="51"/>
      <c r="FUY43" s="51"/>
      <c r="FUZ43" s="51"/>
      <c r="FVA43" s="51"/>
      <c r="FVB43" s="51"/>
      <c r="FVC43" s="51"/>
      <c r="FVD43" s="51"/>
      <c r="FVE43" s="51"/>
      <c r="FVF43" s="51"/>
      <c r="FVG43" s="51"/>
      <c r="FVH43" s="51"/>
      <c r="FVI43" s="51"/>
      <c r="FVJ43" s="51"/>
      <c r="FVK43" s="51"/>
      <c r="FVL43" s="51"/>
      <c r="FVM43" s="51"/>
      <c r="FVN43" s="51"/>
      <c r="FVO43" s="51"/>
      <c r="FVP43" s="51"/>
      <c r="FVQ43" s="51"/>
      <c r="FVR43" s="51"/>
      <c r="FVS43" s="51"/>
      <c r="FVT43" s="51"/>
      <c r="FVU43" s="51"/>
      <c r="FVV43" s="51"/>
      <c r="FVW43" s="51"/>
      <c r="FVX43" s="51"/>
      <c r="FVY43" s="51"/>
      <c r="FVZ43" s="51"/>
      <c r="FWA43" s="51"/>
      <c r="FWB43" s="51"/>
      <c r="FWC43" s="51"/>
      <c r="FWD43" s="51"/>
      <c r="FWE43" s="51"/>
      <c r="FWF43" s="51"/>
      <c r="FWG43" s="51"/>
      <c r="FWH43" s="51"/>
      <c r="FWI43" s="51"/>
      <c r="FWJ43" s="51"/>
      <c r="FWK43" s="51"/>
      <c r="FWL43" s="51"/>
      <c r="FWM43" s="51"/>
      <c r="FWN43" s="51"/>
      <c r="FWO43" s="51"/>
      <c r="FWP43" s="51"/>
      <c r="FWQ43" s="51"/>
      <c r="FWR43" s="51"/>
      <c r="FWS43" s="51"/>
      <c r="FWT43" s="51"/>
      <c r="FWU43" s="51"/>
      <c r="FWV43" s="51"/>
      <c r="FWW43" s="51"/>
      <c r="FWX43" s="51"/>
      <c r="FWY43" s="51"/>
      <c r="FWZ43" s="51"/>
      <c r="FXA43" s="51"/>
      <c r="FXB43" s="51"/>
      <c r="FXC43" s="51"/>
      <c r="FXD43" s="51"/>
      <c r="FXE43" s="51"/>
      <c r="FXF43" s="51"/>
      <c r="FXG43" s="51"/>
      <c r="FXH43" s="51"/>
      <c r="FXI43" s="51"/>
      <c r="FXJ43" s="51"/>
      <c r="FXK43" s="51"/>
      <c r="FXL43" s="51"/>
      <c r="FXM43" s="51"/>
      <c r="FXN43" s="51"/>
      <c r="FXO43" s="51"/>
      <c r="FXP43" s="51"/>
      <c r="FXQ43" s="51"/>
      <c r="FXR43" s="51"/>
      <c r="FXS43" s="51"/>
      <c r="FXT43" s="51"/>
      <c r="FXU43" s="51"/>
      <c r="FXV43" s="51"/>
      <c r="FXW43" s="51"/>
      <c r="FXX43" s="51"/>
      <c r="FXY43" s="51"/>
      <c r="FXZ43" s="51"/>
      <c r="FYA43" s="51"/>
      <c r="FYB43" s="51"/>
      <c r="FYC43" s="51"/>
      <c r="FYD43" s="51"/>
      <c r="FYE43" s="51"/>
      <c r="FYF43" s="51"/>
      <c r="FYG43" s="51"/>
      <c r="FYH43" s="51"/>
      <c r="FYI43" s="51"/>
      <c r="FYJ43" s="51"/>
      <c r="FYK43" s="51"/>
      <c r="FYL43" s="51"/>
      <c r="FYM43" s="51"/>
      <c r="FYN43" s="51"/>
      <c r="FYO43" s="51"/>
      <c r="FYP43" s="51"/>
      <c r="FYQ43" s="51"/>
      <c r="FYR43" s="51"/>
      <c r="FYS43" s="51"/>
      <c r="FYT43" s="51"/>
      <c r="FYU43" s="51"/>
      <c r="FYV43" s="51"/>
      <c r="FYW43" s="51"/>
      <c r="FYX43" s="51"/>
      <c r="FYY43" s="51"/>
      <c r="FYZ43" s="51"/>
      <c r="FZA43" s="51"/>
      <c r="FZB43" s="51"/>
      <c r="FZC43" s="51"/>
      <c r="FZD43" s="51"/>
      <c r="FZE43" s="51"/>
      <c r="FZF43" s="51"/>
      <c r="FZG43" s="51"/>
      <c r="FZH43" s="51"/>
      <c r="FZI43" s="51"/>
      <c r="FZJ43" s="51"/>
      <c r="FZK43" s="51"/>
      <c r="FZL43" s="51"/>
      <c r="FZM43" s="51"/>
      <c r="FZN43" s="51"/>
      <c r="FZO43" s="51"/>
      <c r="FZP43" s="51"/>
      <c r="FZQ43" s="51"/>
      <c r="FZR43" s="51"/>
      <c r="FZS43" s="51"/>
      <c r="FZT43" s="51"/>
      <c r="FZU43" s="51"/>
      <c r="FZV43" s="51"/>
      <c r="FZW43" s="51"/>
      <c r="FZX43" s="51"/>
      <c r="FZY43" s="51"/>
      <c r="FZZ43" s="51"/>
      <c r="GAA43" s="51"/>
      <c r="GAB43" s="51"/>
      <c r="GAC43" s="51"/>
      <c r="GAD43" s="51"/>
      <c r="GAE43" s="51"/>
      <c r="GAF43" s="51"/>
      <c r="GAG43" s="51"/>
      <c r="GAH43" s="51"/>
      <c r="GAI43" s="51"/>
      <c r="GAJ43" s="51"/>
      <c r="GAK43" s="51"/>
      <c r="GAL43" s="51"/>
      <c r="GAM43" s="51"/>
      <c r="GAN43" s="51"/>
      <c r="GAO43" s="51"/>
      <c r="GAP43" s="51"/>
      <c r="GAQ43" s="51"/>
      <c r="GAR43" s="51"/>
      <c r="GAS43" s="51"/>
      <c r="GAT43" s="51"/>
      <c r="GAU43" s="51"/>
      <c r="GAV43" s="51"/>
      <c r="GAW43" s="51"/>
      <c r="GAX43" s="51"/>
      <c r="GAY43" s="51"/>
      <c r="GAZ43" s="51"/>
      <c r="GBA43" s="51"/>
      <c r="GBB43" s="51"/>
      <c r="GBC43" s="51"/>
      <c r="GBD43" s="51"/>
      <c r="GBE43" s="51"/>
      <c r="GBF43" s="51"/>
      <c r="GBG43" s="51"/>
      <c r="GBH43" s="51"/>
      <c r="GBI43" s="51"/>
      <c r="GBJ43" s="51"/>
      <c r="GBK43" s="51"/>
      <c r="GBL43" s="51"/>
      <c r="GBM43" s="51"/>
      <c r="GBN43" s="51"/>
      <c r="GBO43" s="51"/>
      <c r="GBP43" s="51"/>
      <c r="GBQ43" s="51"/>
      <c r="GBR43" s="51"/>
      <c r="GBS43" s="51"/>
      <c r="GBT43" s="51"/>
      <c r="GBU43" s="51"/>
      <c r="GBV43" s="51"/>
      <c r="GBW43" s="51"/>
      <c r="GBX43" s="51"/>
      <c r="GBY43" s="51"/>
      <c r="GBZ43" s="51"/>
      <c r="GCA43" s="51"/>
      <c r="GCB43" s="51"/>
      <c r="GCC43" s="51"/>
      <c r="GCD43" s="51"/>
      <c r="GCE43" s="51"/>
      <c r="GCF43" s="51"/>
      <c r="GCG43" s="51"/>
      <c r="GCH43" s="51"/>
      <c r="GCI43" s="51"/>
      <c r="GCJ43" s="51"/>
      <c r="GCK43" s="51"/>
      <c r="GCL43" s="51"/>
      <c r="GCM43" s="51"/>
      <c r="GCN43" s="51"/>
      <c r="GCO43" s="51"/>
      <c r="GCP43" s="51"/>
      <c r="GCQ43" s="51"/>
      <c r="GCR43" s="51"/>
      <c r="GCS43" s="51"/>
      <c r="GCT43" s="51"/>
      <c r="GCU43" s="51"/>
      <c r="GCV43" s="51"/>
      <c r="GCW43" s="51"/>
      <c r="GCX43" s="51"/>
      <c r="GCY43" s="51"/>
      <c r="GCZ43" s="51"/>
      <c r="GDA43" s="51"/>
      <c r="GDB43" s="51"/>
      <c r="GDC43" s="51"/>
      <c r="GDD43" s="51"/>
      <c r="GDE43" s="51"/>
      <c r="GDF43" s="51"/>
      <c r="GDG43" s="51"/>
      <c r="GDH43" s="51"/>
      <c r="GDI43" s="51"/>
      <c r="GDJ43" s="51"/>
      <c r="GDK43" s="51"/>
      <c r="GDL43" s="51"/>
      <c r="GDM43" s="51"/>
      <c r="GDN43" s="51"/>
      <c r="GDO43" s="51"/>
      <c r="GDP43" s="51"/>
      <c r="GDQ43" s="51"/>
      <c r="GDR43" s="51"/>
      <c r="GDS43" s="51"/>
      <c r="GDT43" s="51"/>
      <c r="GDU43" s="51"/>
      <c r="GDV43" s="51"/>
      <c r="GDW43" s="51"/>
      <c r="GDX43" s="51"/>
      <c r="GDY43" s="51"/>
      <c r="GDZ43" s="51"/>
      <c r="GEA43" s="51"/>
      <c r="GEB43" s="51"/>
      <c r="GEC43" s="51"/>
      <c r="GED43" s="51"/>
      <c r="GEE43" s="51"/>
      <c r="GEF43" s="51"/>
      <c r="GEG43" s="51"/>
      <c r="GEH43" s="51"/>
      <c r="GEI43" s="51"/>
      <c r="GEJ43" s="51"/>
      <c r="GEK43" s="51"/>
      <c r="GEL43" s="51"/>
      <c r="GEM43" s="51"/>
      <c r="GEN43" s="51"/>
      <c r="GEO43" s="51"/>
      <c r="GEP43" s="51"/>
      <c r="GEQ43" s="51"/>
      <c r="GER43" s="51"/>
      <c r="GES43" s="51"/>
      <c r="GET43" s="51"/>
      <c r="GEU43" s="51"/>
      <c r="GEV43" s="51"/>
      <c r="GEW43" s="51"/>
      <c r="GEX43" s="51"/>
      <c r="GEY43" s="51"/>
      <c r="GEZ43" s="51"/>
      <c r="GFA43" s="51"/>
      <c r="GFB43" s="51"/>
      <c r="GFC43" s="51"/>
      <c r="GFD43" s="51"/>
      <c r="GFE43" s="51"/>
      <c r="GFF43" s="51"/>
      <c r="GFG43" s="51"/>
      <c r="GFH43" s="51"/>
      <c r="GFI43" s="51"/>
      <c r="GFJ43" s="51"/>
      <c r="GFK43" s="51"/>
      <c r="GFL43" s="51"/>
      <c r="GFM43" s="51"/>
      <c r="GFN43" s="51"/>
      <c r="GFO43" s="51"/>
      <c r="GFP43" s="51"/>
      <c r="GFQ43" s="51"/>
      <c r="GFR43" s="51"/>
      <c r="GFS43" s="51"/>
      <c r="GFT43" s="51"/>
      <c r="GFU43" s="51"/>
      <c r="GFV43" s="51"/>
      <c r="GFW43" s="51"/>
      <c r="GFX43" s="51"/>
      <c r="GFY43" s="51"/>
      <c r="GFZ43" s="51"/>
      <c r="GGA43" s="51"/>
      <c r="GGB43" s="51"/>
      <c r="GGC43" s="51"/>
      <c r="GGD43" s="51"/>
      <c r="GGE43" s="51"/>
      <c r="GGF43" s="51"/>
      <c r="GGG43" s="51"/>
      <c r="GGH43" s="51"/>
      <c r="GGI43" s="51"/>
      <c r="GGJ43" s="51"/>
      <c r="GGK43" s="51"/>
      <c r="GGL43" s="51"/>
      <c r="GGM43" s="51"/>
      <c r="GGN43" s="51"/>
      <c r="GGO43" s="51"/>
      <c r="GGP43" s="51"/>
      <c r="GGQ43" s="51"/>
      <c r="GGR43" s="51"/>
      <c r="GGS43" s="51"/>
      <c r="GGT43" s="51"/>
      <c r="GGU43" s="51"/>
      <c r="GGV43" s="51"/>
      <c r="GGW43" s="51"/>
      <c r="GGX43" s="51"/>
      <c r="GGY43" s="51"/>
      <c r="GGZ43" s="51"/>
      <c r="GHA43" s="51"/>
      <c r="GHB43" s="51"/>
      <c r="GHC43" s="51"/>
      <c r="GHD43" s="51"/>
      <c r="GHE43" s="51"/>
      <c r="GHF43" s="51"/>
      <c r="GHG43" s="51"/>
      <c r="GHH43" s="51"/>
      <c r="GHI43" s="51"/>
      <c r="GHJ43" s="51"/>
      <c r="GHK43" s="51"/>
      <c r="GHL43" s="51"/>
      <c r="GHM43" s="51"/>
      <c r="GHN43" s="51"/>
      <c r="GHO43" s="51"/>
      <c r="GHP43" s="51"/>
      <c r="GHQ43" s="51"/>
      <c r="GHR43" s="51"/>
      <c r="GHS43" s="51"/>
      <c r="GHT43" s="51"/>
      <c r="GHU43" s="51"/>
      <c r="GHV43" s="51"/>
      <c r="GHW43" s="51"/>
      <c r="GHX43" s="51"/>
      <c r="GHY43" s="51"/>
      <c r="GHZ43" s="51"/>
      <c r="GIA43" s="51"/>
      <c r="GIB43" s="51"/>
      <c r="GIC43" s="51"/>
      <c r="GID43" s="51"/>
      <c r="GIE43" s="51"/>
      <c r="GIF43" s="51"/>
      <c r="GIG43" s="51"/>
      <c r="GIH43" s="51"/>
      <c r="GII43" s="51"/>
      <c r="GIJ43" s="51"/>
      <c r="GIK43" s="51"/>
      <c r="GIL43" s="51"/>
      <c r="GIM43" s="51"/>
      <c r="GIN43" s="51"/>
      <c r="GIO43" s="51"/>
      <c r="GIP43" s="51"/>
      <c r="GIQ43" s="51"/>
      <c r="GIR43" s="51"/>
      <c r="GIS43" s="51"/>
      <c r="GIT43" s="51"/>
      <c r="GIU43" s="51"/>
      <c r="GIV43" s="51"/>
      <c r="GIW43" s="51"/>
      <c r="GIX43" s="51"/>
      <c r="GIY43" s="51"/>
      <c r="GIZ43" s="51"/>
      <c r="GJA43" s="51"/>
      <c r="GJB43" s="51"/>
      <c r="GJC43" s="51"/>
      <c r="GJD43" s="51"/>
      <c r="GJE43" s="51"/>
      <c r="GJF43" s="51"/>
      <c r="GJG43" s="51"/>
      <c r="GJH43" s="51"/>
      <c r="GJI43" s="51"/>
      <c r="GJJ43" s="51"/>
      <c r="GJK43" s="51"/>
      <c r="GJL43" s="51"/>
      <c r="GJM43" s="51"/>
      <c r="GJN43" s="51"/>
      <c r="GJO43" s="51"/>
      <c r="GJP43" s="51"/>
      <c r="GJQ43" s="51"/>
      <c r="GJR43" s="51"/>
      <c r="GJS43" s="51"/>
      <c r="GJT43" s="51"/>
      <c r="GJU43" s="51"/>
      <c r="GJV43" s="51"/>
      <c r="GJW43" s="51"/>
      <c r="GJX43" s="51"/>
      <c r="GJY43" s="51"/>
      <c r="GJZ43" s="51"/>
      <c r="GKA43" s="51"/>
      <c r="GKB43" s="51"/>
      <c r="GKC43" s="51"/>
      <c r="GKD43" s="51"/>
      <c r="GKE43" s="51"/>
      <c r="GKF43" s="51"/>
      <c r="GKG43" s="51"/>
      <c r="GKH43" s="51"/>
      <c r="GKI43" s="51"/>
      <c r="GKJ43" s="51"/>
      <c r="GKK43" s="51"/>
      <c r="GKL43" s="51"/>
      <c r="GKM43" s="51"/>
      <c r="GKN43" s="51"/>
      <c r="GKO43" s="51"/>
      <c r="GKP43" s="51"/>
      <c r="GKQ43" s="51"/>
      <c r="GKR43" s="51"/>
      <c r="GKS43" s="51"/>
      <c r="GKT43" s="51"/>
      <c r="GKU43" s="51"/>
      <c r="GKV43" s="51"/>
      <c r="GKW43" s="51"/>
      <c r="GKX43" s="51"/>
      <c r="GKY43" s="51"/>
      <c r="GKZ43" s="51"/>
      <c r="GLA43" s="51"/>
      <c r="GLB43" s="51"/>
      <c r="GLC43" s="51"/>
      <c r="GLD43" s="51"/>
      <c r="GLE43" s="51"/>
      <c r="GLF43" s="51"/>
      <c r="GLG43" s="51"/>
      <c r="GLH43" s="51"/>
      <c r="GLI43" s="51"/>
      <c r="GLJ43" s="51"/>
      <c r="GLK43" s="51"/>
      <c r="GLL43" s="51"/>
      <c r="GLM43" s="51"/>
      <c r="GLN43" s="51"/>
      <c r="GLO43" s="51"/>
      <c r="GLP43" s="51"/>
      <c r="GLQ43" s="51"/>
      <c r="GLR43" s="51"/>
      <c r="GLS43" s="51"/>
      <c r="GLT43" s="51"/>
      <c r="GLU43" s="51"/>
      <c r="GLV43" s="51"/>
      <c r="GLW43" s="51"/>
      <c r="GLX43" s="51"/>
      <c r="GLY43" s="51"/>
      <c r="GLZ43" s="51"/>
      <c r="GMA43" s="51"/>
      <c r="GMB43" s="51"/>
      <c r="GMC43" s="51"/>
      <c r="GMD43" s="51"/>
      <c r="GME43" s="51"/>
      <c r="GMF43" s="51"/>
      <c r="GMG43" s="51"/>
      <c r="GMH43" s="51"/>
      <c r="GMI43" s="51"/>
      <c r="GMJ43" s="51"/>
      <c r="GMK43" s="51"/>
      <c r="GML43" s="51"/>
      <c r="GMM43" s="51"/>
      <c r="GMN43" s="51"/>
      <c r="GMO43" s="51"/>
      <c r="GMP43" s="51"/>
      <c r="GMQ43" s="51"/>
      <c r="GMR43" s="51"/>
      <c r="GMS43" s="51"/>
      <c r="GMT43" s="51"/>
      <c r="GMU43" s="51"/>
      <c r="GMV43" s="51"/>
      <c r="GMW43" s="51"/>
      <c r="GMX43" s="51"/>
      <c r="GMY43" s="51"/>
      <c r="GMZ43" s="51"/>
      <c r="GNA43" s="51"/>
      <c r="GNB43" s="51"/>
      <c r="GNC43" s="51"/>
      <c r="GND43" s="51"/>
      <c r="GNE43" s="51"/>
      <c r="GNF43" s="51"/>
      <c r="GNG43" s="51"/>
      <c r="GNH43" s="51"/>
      <c r="GNI43" s="51"/>
      <c r="GNJ43" s="51"/>
      <c r="GNK43" s="51"/>
      <c r="GNL43" s="51"/>
      <c r="GNM43" s="51"/>
      <c r="GNN43" s="51"/>
      <c r="GNO43" s="51"/>
      <c r="GNP43" s="51"/>
      <c r="GNQ43" s="51"/>
      <c r="GNR43" s="51"/>
      <c r="GNS43" s="51"/>
      <c r="GNT43" s="51"/>
      <c r="GNU43" s="51"/>
      <c r="GNV43" s="51"/>
      <c r="GNW43" s="51"/>
      <c r="GNX43" s="51"/>
      <c r="GNY43" s="51"/>
      <c r="GNZ43" s="51"/>
      <c r="GOA43" s="51"/>
      <c r="GOB43" s="51"/>
      <c r="GOC43" s="51"/>
      <c r="GOD43" s="51"/>
      <c r="GOE43" s="51"/>
      <c r="GOF43" s="51"/>
      <c r="GOG43" s="51"/>
      <c r="GOH43" s="51"/>
      <c r="GOI43" s="51"/>
      <c r="GOJ43" s="51"/>
      <c r="GOK43" s="51"/>
      <c r="GOL43" s="51"/>
      <c r="GOM43" s="51"/>
      <c r="GON43" s="51"/>
      <c r="GOO43" s="51"/>
      <c r="GOP43" s="51"/>
      <c r="GOQ43" s="51"/>
      <c r="GOR43" s="51"/>
      <c r="GOS43" s="51"/>
      <c r="GOT43" s="51"/>
      <c r="GOU43" s="51"/>
      <c r="GOV43" s="51"/>
      <c r="GOW43" s="51"/>
      <c r="GOX43" s="51"/>
      <c r="GOY43" s="51"/>
      <c r="GOZ43" s="51"/>
      <c r="GPA43" s="51"/>
      <c r="GPB43" s="51"/>
      <c r="GPC43" s="51"/>
      <c r="GPD43" s="51"/>
      <c r="GPE43" s="51"/>
      <c r="GPF43" s="51"/>
      <c r="GPG43" s="51"/>
      <c r="GPH43" s="51"/>
      <c r="GPI43" s="51"/>
      <c r="GPJ43" s="51"/>
      <c r="GPK43" s="51"/>
      <c r="GPL43" s="51"/>
      <c r="GPM43" s="51"/>
      <c r="GPN43" s="51"/>
      <c r="GPO43" s="51"/>
      <c r="GPP43" s="51"/>
      <c r="GPQ43" s="51"/>
      <c r="GPR43" s="51"/>
      <c r="GPS43" s="51"/>
      <c r="GPT43" s="51"/>
      <c r="GPU43" s="51"/>
      <c r="GPV43" s="51"/>
      <c r="GPW43" s="51"/>
      <c r="GPX43" s="51"/>
      <c r="GPY43" s="51"/>
      <c r="GPZ43" s="51"/>
      <c r="GQA43" s="51"/>
      <c r="GQB43" s="51"/>
      <c r="GQC43" s="51"/>
      <c r="GQD43" s="51"/>
      <c r="GQE43" s="51"/>
      <c r="GQF43" s="51"/>
      <c r="GQG43" s="51"/>
      <c r="GQH43" s="51"/>
      <c r="GQI43" s="51"/>
      <c r="GQJ43" s="51"/>
      <c r="GQK43" s="51"/>
      <c r="GQL43" s="51"/>
      <c r="GQM43" s="51"/>
      <c r="GQN43" s="51"/>
      <c r="GQO43" s="51"/>
      <c r="GQP43" s="51"/>
      <c r="GQQ43" s="51"/>
      <c r="GQR43" s="51"/>
      <c r="GQS43" s="51"/>
      <c r="GQT43" s="51"/>
      <c r="GQU43" s="51"/>
      <c r="GQV43" s="51"/>
      <c r="GQW43" s="51"/>
      <c r="GQX43" s="51"/>
      <c r="GQY43" s="51"/>
      <c r="GQZ43" s="51"/>
      <c r="GRA43" s="51"/>
      <c r="GRB43" s="51"/>
      <c r="GRC43" s="51"/>
      <c r="GRD43" s="51"/>
      <c r="GRE43" s="51"/>
      <c r="GRF43" s="51"/>
      <c r="GRG43" s="51"/>
      <c r="GRH43" s="51"/>
      <c r="GRI43" s="51"/>
      <c r="GRJ43" s="51"/>
      <c r="GRK43" s="51"/>
      <c r="GRL43" s="51"/>
      <c r="GRM43" s="51"/>
      <c r="GRN43" s="51"/>
      <c r="GRO43" s="51"/>
      <c r="GRP43" s="51"/>
      <c r="GRQ43" s="51"/>
      <c r="GRR43" s="51"/>
      <c r="GRS43" s="51"/>
      <c r="GRT43" s="51"/>
      <c r="GRU43" s="51"/>
      <c r="GRV43" s="51"/>
      <c r="GRW43" s="51"/>
      <c r="GRX43" s="51"/>
      <c r="GRY43" s="51"/>
      <c r="GRZ43" s="51"/>
      <c r="GSA43" s="51"/>
      <c r="GSB43" s="51"/>
      <c r="GSC43" s="51"/>
      <c r="GSD43" s="51"/>
      <c r="GSE43" s="51"/>
      <c r="GSF43" s="51"/>
      <c r="GSG43" s="51"/>
      <c r="GSH43" s="51"/>
      <c r="GSI43" s="51"/>
      <c r="GSJ43" s="51"/>
      <c r="GSK43" s="51"/>
      <c r="GSL43" s="51"/>
      <c r="GSM43" s="51"/>
      <c r="GSN43" s="51"/>
      <c r="GSO43" s="51"/>
      <c r="GSP43" s="51"/>
      <c r="GSQ43" s="51"/>
      <c r="GSR43" s="51"/>
      <c r="GSS43" s="51"/>
      <c r="GST43" s="51"/>
      <c r="GSU43" s="51"/>
      <c r="GSV43" s="51"/>
      <c r="GSW43" s="51"/>
      <c r="GSX43" s="51"/>
      <c r="GSY43" s="51"/>
      <c r="GSZ43" s="51"/>
      <c r="GTA43" s="51"/>
      <c r="GTB43" s="51"/>
      <c r="GTC43" s="51"/>
      <c r="GTD43" s="51"/>
      <c r="GTE43" s="51"/>
      <c r="GTF43" s="51"/>
      <c r="GTG43" s="51"/>
      <c r="GTH43" s="51"/>
      <c r="GTI43" s="51"/>
      <c r="GTJ43" s="51"/>
      <c r="GTK43" s="51"/>
      <c r="GTL43" s="51"/>
      <c r="GTM43" s="51"/>
      <c r="GTN43" s="51"/>
      <c r="GTO43" s="51"/>
      <c r="GTP43" s="51"/>
      <c r="GTQ43" s="51"/>
      <c r="GTR43" s="51"/>
      <c r="GTS43" s="51"/>
      <c r="GTT43" s="51"/>
      <c r="GTU43" s="51"/>
      <c r="GTV43" s="51"/>
      <c r="GTW43" s="51"/>
      <c r="GTX43" s="51"/>
      <c r="GTY43" s="51"/>
      <c r="GTZ43" s="51"/>
      <c r="GUA43" s="51"/>
      <c r="GUB43" s="51"/>
      <c r="GUC43" s="51"/>
      <c r="GUD43" s="51"/>
      <c r="GUE43" s="51"/>
      <c r="GUF43" s="51"/>
      <c r="GUG43" s="51"/>
      <c r="GUH43" s="51"/>
      <c r="GUI43" s="51"/>
      <c r="GUJ43" s="51"/>
      <c r="GUK43" s="51"/>
      <c r="GUL43" s="51"/>
      <c r="GUM43" s="51"/>
      <c r="GUN43" s="51"/>
      <c r="GUO43" s="51"/>
      <c r="GUP43" s="51"/>
      <c r="GUQ43" s="51"/>
      <c r="GUR43" s="51"/>
      <c r="GUS43" s="51"/>
      <c r="GUT43" s="51"/>
      <c r="GUU43" s="51"/>
      <c r="GUV43" s="51"/>
      <c r="GUW43" s="51"/>
      <c r="GUX43" s="51"/>
      <c r="GUY43" s="51"/>
      <c r="GUZ43" s="51"/>
      <c r="GVA43" s="51"/>
      <c r="GVB43" s="51"/>
      <c r="GVC43" s="51"/>
      <c r="GVD43" s="51"/>
      <c r="GVE43" s="51"/>
      <c r="GVF43" s="51"/>
      <c r="GVG43" s="51"/>
      <c r="GVH43" s="51"/>
      <c r="GVI43" s="51"/>
      <c r="GVJ43" s="51"/>
      <c r="GVK43" s="51"/>
      <c r="GVL43" s="51"/>
      <c r="GVM43" s="51"/>
      <c r="GVN43" s="51"/>
      <c r="GVO43" s="51"/>
      <c r="GVP43" s="51"/>
      <c r="GVQ43" s="51"/>
      <c r="GVR43" s="51"/>
      <c r="GVS43" s="51"/>
      <c r="GVT43" s="51"/>
      <c r="GVU43" s="51"/>
      <c r="GVV43" s="51"/>
      <c r="GVW43" s="51"/>
      <c r="GVX43" s="51"/>
      <c r="GVY43" s="51"/>
      <c r="GVZ43" s="51"/>
      <c r="GWA43" s="51"/>
      <c r="GWB43" s="51"/>
      <c r="GWC43" s="51"/>
      <c r="GWD43" s="51"/>
      <c r="GWE43" s="51"/>
      <c r="GWF43" s="51"/>
      <c r="GWG43" s="51"/>
      <c r="GWH43" s="51"/>
      <c r="GWI43" s="51"/>
      <c r="GWJ43" s="51"/>
      <c r="GWK43" s="51"/>
      <c r="GWL43" s="51"/>
      <c r="GWM43" s="51"/>
      <c r="GWN43" s="51"/>
      <c r="GWO43" s="51"/>
      <c r="GWP43" s="51"/>
      <c r="GWQ43" s="51"/>
      <c r="GWR43" s="51"/>
      <c r="GWS43" s="51"/>
      <c r="GWT43" s="51"/>
      <c r="GWU43" s="51"/>
      <c r="GWV43" s="51"/>
      <c r="GWW43" s="51"/>
      <c r="GWX43" s="51"/>
      <c r="GWY43" s="51"/>
      <c r="GWZ43" s="51"/>
      <c r="GXA43" s="51"/>
      <c r="GXB43" s="51"/>
      <c r="GXC43" s="51"/>
      <c r="GXD43" s="51"/>
      <c r="GXE43" s="51"/>
      <c r="GXF43" s="51"/>
      <c r="GXG43" s="51"/>
      <c r="GXH43" s="51"/>
      <c r="GXI43" s="51"/>
      <c r="GXJ43" s="51"/>
      <c r="GXK43" s="51"/>
      <c r="GXL43" s="51"/>
      <c r="GXM43" s="51"/>
      <c r="GXN43" s="51"/>
      <c r="GXO43" s="51"/>
      <c r="GXP43" s="51"/>
      <c r="GXQ43" s="51"/>
      <c r="GXR43" s="51"/>
      <c r="GXS43" s="51"/>
      <c r="GXT43" s="51"/>
      <c r="GXU43" s="51"/>
      <c r="GXV43" s="51"/>
      <c r="GXW43" s="51"/>
      <c r="GXX43" s="51"/>
      <c r="GXY43" s="51"/>
      <c r="GXZ43" s="51"/>
      <c r="GYA43" s="51"/>
      <c r="GYB43" s="51"/>
      <c r="GYC43" s="51"/>
      <c r="GYD43" s="51"/>
      <c r="GYE43" s="51"/>
      <c r="GYF43" s="51"/>
      <c r="GYG43" s="51"/>
      <c r="GYH43" s="51"/>
      <c r="GYI43" s="51"/>
      <c r="GYJ43" s="51"/>
      <c r="GYK43" s="51"/>
      <c r="GYL43" s="51"/>
      <c r="GYM43" s="51"/>
      <c r="GYN43" s="51"/>
      <c r="GYO43" s="51"/>
      <c r="GYP43" s="51"/>
      <c r="GYQ43" s="51"/>
      <c r="GYR43" s="51"/>
      <c r="GYS43" s="51"/>
      <c r="GYT43" s="51"/>
      <c r="GYU43" s="51"/>
      <c r="GYV43" s="51"/>
      <c r="GYW43" s="51"/>
      <c r="GYX43" s="51"/>
      <c r="GYY43" s="51"/>
      <c r="GYZ43" s="51"/>
      <c r="GZA43" s="51"/>
      <c r="GZB43" s="51"/>
      <c r="GZC43" s="51"/>
      <c r="GZD43" s="51"/>
      <c r="GZE43" s="51"/>
      <c r="GZF43" s="51"/>
      <c r="GZG43" s="51"/>
      <c r="GZH43" s="51"/>
      <c r="GZI43" s="51"/>
      <c r="GZJ43" s="51"/>
      <c r="GZK43" s="51"/>
      <c r="GZL43" s="51"/>
      <c r="GZM43" s="51"/>
      <c r="GZN43" s="51"/>
      <c r="GZO43" s="51"/>
      <c r="GZP43" s="51"/>
      <c r="GZQ43" s="51"/>
      <c r="GZR43" s="51"/>
      <c r="GZS43" s="51"/>
      <c r="GZT43" s="51"/>
      <c r="GZU43" s="51"/>
      <c r="GZV43" s="51"/>
      <c r="GZW43" s="51"/>
      <c r="GZX43" s="51"/>
      <c r="GZY43" s="51"/>
      <c r="GZZ43" s="51"/>
      <c r="HAA43" s="51"/>
      <c r="HAB43" s="51"/>
      <c r="HAC43" s="51"/>
      <c r="HAD43" s="51"/>
      <c r="HAE43" s="51"/>
      <c r="HAF43" s="51"/>
      <c r="HAG43" s="51"/>
      <c r="HAH43" s="51"/>
      <c r="HAI43" s="51"/>
      <c r="HAJ43" s="51"/>
      <c r="HAK43" s="51"/>
      <c r="HAL43" s="51"/>
      <c r="HAM43" s="51"/>
      <c r="HAN43" s="51"/>
      <c r="HAO43" s="51"/>
      <c r="HAP43" s="51"/>
      <c r="HAQ43" s="51"/>
      <c r="HAR43" s="51"/>
      <c r="HAS43" s="51"/>
      <c r="HAT43" s="51"/>
      <c r="HAU43" s="51"/>
      <c r="HAV43" s="51"/>
      <c r="HAW43" s="51"/>
      <c r="HAX43" s="51"/>
      <c r="HAY43" s="51"/>
      <c r="HAZ43" s="51"/>
      <c r="HBA43" s="51"/>
      <c r="HBB43" s="51"/>
      <c r="HBC43" s="51"/>
      <c r="HBD43" s="51"/>
      <c r="HBE43" s="51"/>
      <c r="HBF43" s="51"/>
      <c r="HBG43" s="51"/>
      <c r="HBH43" s="51"/>
      <c r="HBI43" s="51"/>
      <c r="HBJ43" s="51"/>
      <c r="HBK43" s="51"/>
      <c r="HBL43" s="51"/>
      <c r="HBM43" s="51"/>
      <c r="HBN43" s="51"/>
      <c r="HBO43" s="51"/>
      <c r="HBP43" s="51"/>
      <c r="HBQ43" s="51"/>
      <c r="HBR43" s="51"/>
      <c r="HBS43" s="51"/>
      <c r="HBT43" s="51"/>
      <c r="HBU43" s="51"/>
      <c r="HBV43" s="51"/>
      <c r="HBW43" s="51"/>
      <c r="HBX43" s="51"/>
      <c r="HBY43" s="51"/>
      <c r="HBZ43" s="51"/>
      <c r="HCA43" s="51"/>
      <c r="HCB43" s="51"/>
      <c r="HCC43" s="51"/>
      <c r="HCD43" s="51"/>
      <c r="HCE43" s="51"/>
      <c r="HCF43" s="51"/>
      <c r="HCG43" s="51"/>
      <c r="HCH43" s="51"/>
      <c r="HCI43" s="51"/>
      <c r="HCJ43" s="51"/>
      <c r="HCK43" s="51"/>
      <c r="HCL43" s="51"/>
      <c r="HCM43" s="51"/>
      <c r="HCN43" s="51"/>
      <c r="HCO43" s="51"/>
      <c r="HCP43" s="51"/>
      <c r="HCQ43" s="51"/>
      <c r="HCR43" s="51"/>
      <c r="HCS43" s="51"/>
      <c r="HCT43" s="51"/>
      <c r="HCU43" s="51"/>
      <c r="HCV43" s="51"/>
      <c r="HCW43" s="51"/>
      <c r="HCX43" s="51"/>
      <c r="HCY43" s="51"/>
      <c r="HCZ43" s="51"/>
      <c r="HDA43" s="51"/>
      <c r="HDB43" s="51"/>
      <c r="HDC43" s="51"/>
      <c r="HDD43" s="51"/>
      <c r="HDE43" s="51"/>
      <c r="HDF43" s="51"/>
      <c r="HDG43" s="51"/>
      <c r="HDH43" s="51"/>
      <c r="HDI43" s="51"/>
      <c r="HDJ43" s="51"/>
      <c r="HDK43" s="51"/>
      <c r="HDL43" s="51"/>
      <c r="HDM43" s="51"/>
      <c r="HDN43" s="51"/>
      <c r="HDO43" s="51"/>
      <c r="HDP43" s="51"/>
      <c r="HDQ43" s="51"/>
      <c r="HDR43" s="51"/>
      <c r="HDS43" s="51"/>
      <c r="HDT43" s="51"/>
      <c r="HDU43" s="51"/>
      <c r="HDV43" s="51"/>
      <c r="HDW43" s="51"/>
      <c r="HDX43" s="51"/>
      <c r="HDY43" s="51"/>
      <c r="HDZ43" s="51"/>
      <c r="HEA43" s="51"/>
      <c r="HEB43" s="51"/>
      <c r="HEC43" s="51"/>
      <c r="HED43" s="51"/>
      <c r="HEE43" s="51"/>
      <c r="HEF43" s="51"/>
      <c r="HEG43" s="51"/>
      <c r="HEH43" s="51"/>
      <c r="HEI43" s="51"/>
      <c r="HEJ43" s="51"/>
      <c r="HEK43" s="51"/>
      <c r="HEL43" s="51"/>
      <c r="HEM43" s="51"/>
      <c r="HEN43" s="51"/>
      <c r="HEO43" s="51"/>
      <c r="HEP43" s="51"/>
      <c r="HEQ43" s="51"/>
      <c r="HER43" s="51"/>
      <c r="HES43" s="51"/>
      <c r="HET43" s="51"/>
      <c r="HEU43" s="51"/>
      <c r="HEV43" s="51"/>
      <c r="HEW43" s="51"/>
      <c r="HEX43" s="51"/>
      <c r="HEY43" s="51"/>
      <c r="HEZ43" s="51"/>
      <c r="HFA43" s="51"/>
      <c r="HFB43" s="51"/>
      <c r="HFC43" s="51"/>
      <c r="HFD43" s="51"/>
      <c r="HFE43" s="51"/>
      <c r="HFF43" s="51"/>
      <c r="HFG43" s="51"/>
      <c r="HFH43" s="51"/>
      <c r="HFI43" s="51"/>
      <c r="HFJ43" s="51"/>
      <c r="HFK43" s="51"/>
      <c r="HFL43" s="51"/>
      <c r="HFM43" s="51"/>
      <c r="HFN43" s="51"/>
      <c r="HFO43" s="51"/>
      <c r="HFP43" s="51"/>
      <c r="HFQ43" s="51"/>
      <c r="HFR43" s="51"/>
      <c r="HFS43" s="51"/>
      <c r="HFT43" s="51"/>
      <c r="HFU43" s="51"/>
      <c r="HFV43" s="51"/>
      <c r="HFW43" s="51"/>
      <c r="HFX43" s="51"/>
      <c r="HFY43" s="51"/>
      <c r="HFZ43" s="51"/>
      <c r="HGA43" s="51"/>
      <c r="HGB43" s="51"/>
      <c r="HGC43" s="51"/>
      <c r="HGD43" s="51"/>
      <c r="HGE43" s="51"/>
      <c r="HGF43" s="51"/>
      <c r="HGG43" s="51"/>
      <c r="HGH43" s="51"/>
      <c r="HGI43" s="51"/>
      <c r="HGJ43" s="51"/>
      <c r="HGK43" s="51"/>
      <c r="HGL43" s="51"/>
      <c r="HGM43" s="51"/>
      <c r="HGN43" s="51"/>
      <c r="HGO43" s="51"/>
      <c r="HGP43" s="51"/>
      <c r="HGQ43" s="51"/>
      <c r="HGR43" s="51"/>
      <c r="HGS43" s="51"/>
      <c r="HGT43" s="51"/>
      <c r="HGU43" s="51"/>
      <c r="HGV43" s="51"/>
      <c r="HGW43" s="51"/>
      <c r="HGX43" s="51"/>
      <c r="HGY43" s="51"/>
      <c r="HGZ43" s="51"/>
      <c r="HHA43" s="51"/>
      <c r="HHB43" s="51"/>
      <c r="HHC43" s="51"/>
      <c r="HHD43" s="51"/>
      <c r="HHE43" s="51"/>
      <c r="HHF43" s="51"/>
      <c r="HHG43" s="51"/>
      <c r="HHH43" s="51"/>
      <c r="HHI43" s="51"/>
      <c r="HHJ43" s="51"/>
      <c r="HHK43" s="51"/>
      <c r="HHL43" s="51"/>
      <c r="HHM43" s="51"/>
      <c r="HHN43" s="51"/>
      <c r="HHO43" s="51"/>
      <c r="HHP43" s="51"/>
      <c r="HHQ43" s="51"/>
      <c r="HHR43" s="51"/>
      <c r="HHS43" s="51"/>
      <c r="HHT43" s="51"/>
      <c r="HHU43" s="51"/>
      <c r="HHV43" s="51"/>
      <c r="HHW43" s="51"/>
      <c r="HHX43" s="51"/>
      <c r="HHY43" s="51"/>
      <c r="HHZ43" s="51"/>
      <c r="HIA43" s="51"/>
      <c r="HIB43" s="51"/>
      <c r="HIC43" s="51"/>
      <c r="HID43" s="51"/>
      <c r="HIE43" s="51"/>
      <c r="HIF43" s="51"/>
      <c r="HIG43" s="51"/>
      <c r="HIH43" s="51"/>
      <c r="HII43" s="51"/>
      <c r="HIJ43" s="51"/>
      <c r="HIK43" s="51"/>
      <c r="HIL43" s="51"/>
      <c r="HIM43" s="51"/>
      <c r="HIN43" s="51"/>
      <c r="HIO43" s="51"/>
      <c r="HIP43" s="51"/>
      <c r="HIQ43" s="51"/>
      <c r="HIR43" s="51"/>
      <c r="HIS43" s="51"/>
      <c r="HIT43" s="51"/>
      <c r="HIU43" s="51"/>
      <c r="HIV43" s="51"/>
      <c r="HIW43" s="51"/>
      <c r="HIX43" s="51"/>
      <c r="HIY43" s="51"/>
      <c r="HIZ43" s="51"/>
      <c r="HJA43" s="51"/>
      <c r="HJB43" s="51"/>
      <c r="HJC43" s="51"/>
      <c r="HJD43" s="51"/>
      <c r="HJE43" s="51"/>
      <c r="HJF43" s="51"/>
      <c r="HJG43" s="51"/>
      <c r="HJH43" s="51"/>
      <c r="HJI43" s="51"/>
      <c r="HJJ43" s="51"/>
      <c r="HJK43" s="51"/>
      <c r="HJL43" s="51"/>
      <c r="HJM43" s="51"/>
      <c r="HJN43" s="51"/>
      <c r="HJO43" s="51"/>
      <c r="HJP43" s="51"/>
      <c r="HJQ43" s="51"/>
      <c r="HJR43" s="51"/>
      <c r="HJS43" s="51"/>
      <c r="HJT43" s="51"/>
      <c r="HJU43" s="51"/>
      <c r="HJV43" s="51"/>
      <c r="HJW43" s="51"/>
      <c r="HJX43" s="51"/>
      <c r="HJY43" s="51"/>
      <c r="HJZ43" s="51"/>
      <c r="HKA43" s="51"/>
      <c r="HKB43" s="51"/>
      <c r="HKC43" s="51"/>
      <c r="HKD43" s="51"/>
      <c r="HKE43" s="51"/>
      <c r="HKF43" s="51"/>
      <c r="HKG43" s="51"/>
      <c r="HKH43" s="51"/>
      <c r="HKI43" s="51"/>
      <c r="HKJ43" s="51"/>
      <c r="HKK43" s="51"/>
      <c r="HKL43" s="51"/>
      <c r="HKM43" s="51"/>
      <c r="HKN43" s="51"/>
      <c r="HKO43" s="51"/>
      <c r="HKP43" s="51"/>
      <c r="HKQ43" s="51"/>
      <c r="HKR43" s="51"/>
      <c r="HKS43" s="51"/>
      <c r="HKT43" s="51"/>
      <c r="HKU43" s="51"/>
      <c r="HKV43" s="51"/>
      <c r="HKW43" s="51"/>
      <c r="HKX43" s="51"/>
      <c r="HKY43" s="51"/>
      <c r="HKZ43" s="51"/>
      <c r="HLA43" s="51"/>
      <c r="HLB43" s="51"/>
      <c r="HLC43" s="51"/>
      <c r="HLD43" s="51"/>
      <c r="HLE43" s="51"/>
      <c r="HLF43" s="51"/>
      <c r="HLG43" s="51"/>
      <c r="HLH43" s="51"/>
      <c r="HLI43" s="51"/>
      <c r="HLJ43" s="51"/>
      <c r="HLK43" s="51"/>
      <c r="HLL43" s="51"/>
      <c r="HLM43" s="51"/>
      <c r="HLN43" s="51"/>
      <c r="HLO43" s="51"/>
      <c r="HLP43" s="51"/>
      <c r="HLQ43" s="51"/>
      <c r="HLR43" s="51"/>
      <c r="HLS43" s="51"/>
      <c r="HLT43" s="51"/>
      <c r="HLU43" s="51"/>
      <c r="HLV43" s="51"/>
      <c r="HLW43" s="51"/>
      <c r="HLX43" s="51"/>
      <c r="HLY43" s="51"/>
      <c r="HLZ43" s="51"/>
      <c r="HMA43" s="51"/>
      <c r="HMB43" s="51"/>
      <c r="HMC43" s="51"/>
      <c r="HMD43" s="51"/>
      <c r="HME43" s="51"/>
      <c r="HMF43" s="51"/>
      <c r="HMG43" s="51"/>
      <c r="HMH43" s="51"/>
      <c r="HMI43" s="51"/>
      <c r="HMJ43" s="51"/>
      <c r="HMK43" s="51"/>
      <c r="HML43" s="51"/>
      <c r="HMM43" s="51"/>
      <c r="HMN43" s="51"/>
      <c r="HMO43" s="51"/>
      <c r="HMP43" s="51"/>
      <c r="HMQ43" s="51"/>
      <c r="HMR43" s="51"/>
      <c r="HMS43" s="51"/>
      <c r="HMT43" s="51"/>
      <c r="HMU43" s="51"/>
      <c r="HMV43" s="51"/>
      <c r="HMW43" s="51"/>
      <c r="HMX43" s="51"/>
      <c r="HMY43" s="51"/>
      <c r="HMZ43" s="51"/>
      <c r="HNA43" s="51"/>
      <c r="HNB43" s="51"/>
      <c r="HNC43" s="51"/>
      <c r="HND43" s="51"/>
      <c r="HNE43" s="51"/>
      <c r="HNF43" s="51"/>
      <c r="HNG43" s="51"/>
      <c r="HNH43" s="51"/>
      <c r="HNI43" s="51"/>
      <c r="HNJ43" s="51"/>
      <c r="HNK43" s="51"/>
      <c r="HNL43" s="51"/>
      <c r="HNM43" s="51"/>
      <c r="HNN43" s="51"/>
      <c r="HNO43" s="51"/>
      <c r="HNP43" s="51"/>
      <c r="HNQ43" s="51"/>
      <c r="HNR43" s="51"/>
      <c r="HNS43" s="51"/>
      <c r="HNT43" s="51"/>
      <c r="HNU43" s="51"/>
      <c r="HNV43" s="51"/>
      <c r="HNW43" s="51"/>
      <c r="HNX43" s="51"/>
      <c r="HNY43" s="51"/>
      <c r="HNZ43" s="51"/>
      <c r="HOA43" s="51"/>
      <c r="HOB43" s="51"/>
      <c r="HOC43" s="51"/>
      <c r="HOD43" s="51"/>
      <c r="HOE43" s="51"/>
      <c r="HOF43" s="51"/>
      <c r="HOG43" s="51"/>
      <c r="HOH43" s="51"/>
      <c r="HOI43" s="51"/>
      <c r="HOJ43" s="51"/>
      <c r="HOK43" s="51"/>
      <c r="HOL43" s="51"/>
      <c r="HOM43" s="51"/>
      <c r="HON43" s="51"/>
      <c r="HOO43" s="51"/>
      <c r="HOP43" s="51"/>
      <c r="HOQ43" s="51"/>
      <c r="HOR43" s="51"/>
      <c r="HOS43" s="51"/>
      <c r="HOT43" s="51"/>
      <c r="HOU43" s="51"/>
      <c r="HOV43" s="51"/>
      <c r="HOW43" s="51"/>
      <c r="HOX43" s="51"/>
      <c r="HOY43" s="51"/>
      <c r="HOZ43" s="51"/>
      <c r="HPA43" s="51"/>
      <c r="HPB43" s="51"/>
      <c r="HPC43" s="51"/>
      <c r="HPD43" s="51"/>
      <c r="HPE43" s="51"/>
      <c r="HPF43" s="51"/>
      <c r="HPG43" s="51"/>
      <c r="HPH43" s="51"/>
      <c r="HPI43" s="51"/>
      <c r="HPJ43" s="51"/>
      <c r="HPK43" s="51"/>
      <c r="HPL43" s="51"/>
      <c r="HPM43" s="51"/>
      <c r="HPN43" s="51"/>
      <c r="HPO43" s="51"/>
      <c r="HPP43" s="51"/>
      <c r="HPQ43" s="51"/>
      <c r="HPR43" s="51"/>
      <c r="HPS43" s="51"/>
      <c r="HPT43" s="51"/>
      <c r="HPU43" s="51"/>
      <c r="HPV43" s="51"/>
      <c r="HPW43" s="51"/>
      <c r="HPX43" s="51"/>
      <c r="HPY43" s="51"/>
      <c r="HPZ43" s="51"/>
      <c r="HQA43" s="51"/>
      <c r="HQB43" s="51"/>
      <c r="HQC43" s="51"/>
      <c r="HQD43" s="51"/>
      <c r="HQE43" s="51"/>
      <c r="HQF43" s="51"/>
      <c r="HQG43" s="51"/>
      <c r="HQH43" s="51"/>
      <c r="HQI43" s="51"/>
      <c r="HQJ43" s="51"/>
      <c r="HQK43" s="51"/>
      <c r="HQL43" s="51"/>
      <c r="HQM43" s="51"/>
      <c r="HQN43" s="51"/>
      <c r="HQO43" s="51"/>
      <c r="HQP43" s="51"/>
      <c r="HQQ43" s="51"/>
      <c r="HQR43" s="51"/>
      <c r="HQS43" s="51"/>
      <c r="HQT43" s="51"/>
      <c r="HQU43" s="51"/>
      <c r="HQV43" s="51"/>
      <c r="HQW43" s="51"/>
      <c r="HQX43" s="51"/>
      <c r="HQY43" s="51"/>
      <c r="HQZ43" s="51"/>
      <c r="HRA43" s="51"/>
      <c r="HRB43" s="51"/>
      <c r="HRC43" s="51"/>
      <c r="HRD43" s="51"/>
      <c r="HRE43" s="51"/>
      <c r="HRF43" s="51"/>
      <c r="HRG43" s="51"/>
      <c r="HRH43" s="51"/>
      <c r="HRI43" s="51"/>
      <c r="HRJ43" s="51"/>
      <c r="HRK43" s="51"/>
      <c r="HRL43" s="51"/>
      <c r="HRM43" s="51"/>
      <c r="HRN43" s="51"/>
      <c r="HRO43" s="51"/>
      <c r="HRP43" s="51"/>
      <c r="HRQ43" s="51"/>
      <c r="HRR43" s="51"/>
      <c r="HRS43" s="51"/>
      <c r="HRT43" s="51"/>
      <c r="HRU43" s="51"/>
      <c r="HRV43" s="51"/>
      <c r="HRW43" s="51"/>
      <c r="HRX43" s="51"/>
      <c r="HRY43" s="51"/>
      <c r="HRZ43" s="51"/>
      <c r="HSA43" s="51"/>
      <c r="HSB43" s="51"/>
      <c r="HSC43" s="51"/>
      <c r="HSD43" s="51"/>
      <c r="HSE43" s="51"/>
      <c r="HSF43" s="51"/>
      <c r="HSG43" s="51"/>
      <c r="HSH43" s="51"/>
      <c r="HSI43" s="51"/>
      <c r="HSJ43" s="51"/>
      <c r="HSK43" s="51"/>
      <c r="HSL43" s="51"/>
      <c r="HSM43" s="51"/>
      <c r="HSN43" s="51"/>
      <c r="HSO43" s="51"/>
      <c r="HSP43" s="51"/>
      <c r="HSQ43" s="51"/>
      <c r="HSR43" s="51"/>
      <c r="HSS43" s="51"/>
      <c r="HST43" s="51"/>
      <c r="HSU43" s="51"/>
      <c r="HSV43" s="51"/>
      <c r="HSW43" s="51"/>
      <c r="HSX43" s="51"/>
      <c r="HSY43" s="51"/>
      <c r="HSZ43" s="51"/>
      <c r="HTA43" s="51"/>
      <c r="HTB43" s="51"/>
      <c r="HTC43" s="51"/>
      <c r="HTD43" s="51"/>
      <c r="HTE43" s="51"/>
      <c r="HTF43" s="51"/>
      <c r="HTG43" s="51"/>
      <c r="HTH43" s="51"/>
      <c r="HTI43" s="51"/>
      <c r="HTJ43" s="51"/>
      <c r="HTK43" s="51"/>
      <c r="HTL43" s="51"/>
      <c r="HTM43" s="51"/>
      <c r="HTN43" s="51"/>
      <c r="HTO43" s="51"/>
      <c r="HTP43" s="51"/>
      <c r="HTQ43" s="51"/>
      <c r="HTR43" s="51"/>
      <c r="HTS43" s="51"/>
      <c r="HTT43" s="51"/>
      <c r="HTU43" s="51"/>
      <c r="HTV43" s="51"/>
      <c r="HTW43" s="51"/>
      <c r="HTX43" s="51"/>
      <c r="HTY43" s="51"/>
      <c r="HTZ43" s="51"/>
      <c r="HUA43" s="51"/>
      <c r="HUB43" s="51"/>
      <c r="HUC43" s="51"/>
      <c r="HUD43" s="51"/>
      <c r="HUE43" s="51"/>
      <c r="HUF43" s="51"/>
      <c r="HUG43" s="51"/>
      <c r="HUH43" s="51"/>
      <c r="HUI43" s="51"/>
      <c r="HUJ43" s="51"/>
      <c r="HUK43" s="51"/>
      <c r="HUL43" s="51"/>
      <c r="HUM43" s="51"/>
      <c r="HUN43" s="51"/>
      <c r="HUO43" s="51"/>
      <c r="HUP43" s="51"/>
      <c r="HUQ43" s="51"/>
      <c r="HUR43" s="51"/>
      <c r="HUS43" s="51"/>
      <c r="HUT43" s="51"/>
      <c r="HUU43" s="51"/>
      <c r="HUV43" s="51"/>
      <c r="HUW43" s="51"/>
      <c r="HUX43" s="51"/>
      <c r="HUY43" s="51"/>
      <c r="HUZ43" s="51"/>
      <c r="HVA43" s="51"/>
      <c r="HVB43" s="51"/>
      <c r="HVC43" s="51"/>
      <c r="HVD43" s="51"/>
      <c r="HVE43" s="51"/>
      <c r="HVF43" s="51"/>
      <c r="HVG43" s="51"/>
      <c r="HVH43" s="51"/>
      <c r="HVI43" s="51"/>
      <c r="HVJ43" s="51"/>
      <c r="HVK43" s="51"/>
      <c r="HVL43" s="51"/>
      <c r="HVM43" s="51"/>
      <c r="HVN43" s="51"/>
      <c r="HVO43" s="51"/>
      <c r="HVP43" s="51"/>
      <c r="HVQ43" s="51"/>
      <c r="HVR43" s="51"/>
      <c r="HVS43" s="51"/>
      <c r="HVT43" s="51"/>
      <c r="HVU43" s="51"/>
      <c r="HVV43" s="51"/>
      <c r="HVW43" s="51"/>
      <c r="HVX43" s="51"/>
      <c r="HVY43" s="51"/>
      <c r="HVZ43" s="51"/>
      <c r="HWA43" s="51"/>
      <c r="HWB43" s="51"/>
      <c r="HWC43" s="51"/>
      <c r="HWD43" s="51"/>
      <c r="HWE43" s="51"/>
      <c r="HWF43" s="51"/>
      <c r="HWG43" s="51"/>
      <c r="HWH43" s="51"/>
      <c r="HWI43" s="51"/>
      <c r="HWJ43" s="51"/>
      <c r="HWK43" s="51"/>
      <c r="HWL43" s="51"/>
      <c r="HWM43" s="51"/>
      <c r="HWN43" s="51"/>
      <c r="HWO43" s="51"/>
      <c r="HWP43" s="51"/>
      <c r="HWQ43" s="51"/>
      <c r="HWR43" s="51"/>
      <c r="HWS43" s="51"/>
      <c r="HWT43" s="51"/>
      <c r="HWU43" s="51"/>
      <c r="HWV43" s="51"/>
      <c r="HWW43" s="51"/>
      <c r="HWX43" s="51"/>
      <c r="HWY43" s="51"/>
      <c r="HWZ43" s="51"/>
      <c r="HXA43" s="51"/>
      <c r="HXB43" s="51"/>
      <c r="HXC43" s="51"/>
      <c r="HXD43" s="51"/>
      <c r="HXE43" s="51"/>
      <c r="HXF43" s="51"/>
      <c r="HXG43" s="51"/>
      <c r="HXH43" s="51"/>
      <c r="HXI43" s="51"/>
      <c r="HXJ43" s="51"/>
      <c r="HXK43" s="51"/>
      <c r="HXL43" s="51"/>
      <c r="HXM43" s="51"/>
      <c r="HXN43" s="51"/>
      <c r="HXO43" s="51"/>
      <c r="HXP43" s="51"/>
      <c r="HXQ43" s="51"/>
      <c r="HXR43" s="51"/>
      <c r="HXS43" s="51"/>
      <c r="HXT43" s="51"/>
      <c r="HXU43" s="51"/>
      <c r="HXV43" s="51"/>
      <c r="HXW43" s="51"/>
      <c r="HXX43" s="51"/>
      <c r="HXY43" s="51"/>
      <c r="HXZ43" s="51"/>
      <c r="HYA43" s="51"/>
      <c r="HYB43" s="51"/>
      <c r="HYC43" s="51"/>
      <c r="HYD43" s="51"/>
      <c r="HYE43" s="51"/>
      <c r="HYF43" s="51"/>
      <c r="HYG43" s="51"/>
      <c r="HYH43" s="51"/>
      <c r="HYI43" s="51"/>
      <c r="HYJ43" s="51"/>
      <c r="HYK43" s="51"/>
      <c r="HYL43" s="51"/>
      <c r="HYM43" s="51"/>
      <c r="HYN43" s="51"/>
      <c r="HYO43" s="51"/>
      <c r="HYP43" s="51"/>
      <c r="HYQ43" s="51"/>
      <c r="HYR43" s="51"/>
      <c r="HYS43" s="51"/>
      <c r="HYT43" s="51"/>
      <c r="HYU43" s="51"/>
      <c r="HYV43" s="51"/>
      <c r="HYW43" s="51"/>
      <c r="HYX43" s="51"/>
      <c r="HYY43" s="51"/>
      <c r="HYZ43" s="51"/>
      <c r="HZA43" s="51"/>
      <c r="HZB43" s="51"/>
      <c r="HZC43" s="51"/>
      <c r="HZD43" s="51"/>
      <c r="HZE43" s="51"/>
      <c r="HZF43" s="51"/>
      <c r="HZG43" s="51"/>
      <c r="HZH43" s="51"/>
      <c r="HZI43" s="51"/>
      <c r="HZJ43" s="51"/>
      <c r="HZK43" s="51"/>
      <c r="HZL43" s="51"/>
      <c r="HZM43" s="51"/>
      <c r="HZN43" s="51"/>
      <c r="HZO43" s="51"/>
      <c r="HZP43" s="51"/>
      <c r="HZQ43" s="51"/>
      <c r="HZR43" s="51"/>
      <c r="HZS43" s="51"/>
      <c r="HZT43" s="51"/>
      <c r="HZU43" s="51"/>
      <c r="HZV43" s="51"/>
      <c r="HZW43" s="51"/>
      <c r="HZX43" s="51"/>
      <c r="HZY43" s="51"/>
      <c r="HZZ43" s="51"/>
      <c r="IAA43" s="51"/>
      <c r="IAB43" s="51"/>
      <c r="IAC43" s="51"/>
      <c r="IAD43" s="51"/>
      <c r="IAE43" s="51"/>
      <c r="IAF43" s="51"/>
      <c r="IAG43" s="51"/>
      <c r="IAH43" s="51"/>
      <c r="IAI43" s="51"/>
      <c r="IAJ43" s="51"/>
      <c r="IAK43" s="51"/>
      <c r="IAL43" s="51"/>
      <c r="IAM43" s="51"/>
      <c r="IAN43" s="51"/>
      <c r="IAO43" s="51"/>
      <c r="IAP43" s="51"/>
      <c r="IAQ43" s="51"/>
      <c r="IAR43" s="51"/>
      <c r="IAS43" s="51"/>
      <c r="IAT43" s="51"/>
      <c r="IAU43" s="51"/>
      <c r="IAV43" s="51"/>
      <c r="IAW43" s="51"/>
      <c r="IAX43" s="51"/>
      <c r="IAY43" s="51"/>
      <c r="IAZ43" s="51"/>
      <c r="IBA43" s="51"/>
      <c r="IBB43" s="51"/>
      <c r="IBC43" s="51"/>
      <c r="IBD43" s="51"/>
      <c r="IBE43" s="51"/>
      <c r="IBF43" s="51"/>
      <c r="IBG43" s="51"/>
      <c r="IBH43" s="51"/>
      <c r="IBI43" s="51"/>
      <c r="IBJ43" s="51"/>
      <c r="IBK43" s="51"/>
      <c r="IBL43" s="51"/>
      <c r="IBM43" s="51"/>
      <c r="IBN43" s="51"/>
      <c r="IBO43" s="51"/>
      <c r="IBP43" s="51"/>
      <c r="IBQ43" s="51"/>
      <c r="IBR43" s="51"/>
      <c r="IBS43" s="51"/>
      <c r="IBT43" s="51"/>
      <c r="IBU43" s="51"/>
      <c r="IBV43" s="51"/>
      <c r="IBW43" s="51"/>
      <c r="IBX43" s="51"/>
      <c r="IBY43" s="51"/>
      <c r="IBZ43" s="51"/>
      <c r="ICA43" s="51"/>
      <c r="ICB43" s="51"/>
      <c r="ICC43" s="51"/>
      <c r="ICD43" s="51"/>
      <c r="ICE43" s="51"/>
      <c r="ICF43" s="51"/>
      <c r="ICG43" s="51"/>
      <c r="ICH43" s="51"/>
      <c r="ICI43" s="51"/>
      <c r="ICJ43" s="51"/>
      <c r="ICK43" s="51"/>
      <c r="ICL43" s="51"/>
      <c r="ICM43" s="51"/>
      <c r="ICN43" s="51"/>
      <c r="ICO43" s="51"/>
      <c r="ICP43" s="51"/>
      <c r="ICQ43" s="51"/>
      <c r="ICR43" s="51"/>
      <c r="ICS43" s="51"/>
      <c r="ICT43" s="51"/>
      <c r="ICU43" s="51"/>
      <c r="ICV43" s="51"/>
      <c r="ICW43" s="51"/>
      <c r="ICX43" s="51"/>
      <c r="ICY43" s="51"/>
      <c r="ICZ43" s="51"/>
      <c r="IDA43" s="51"/>
      <c r="IDB43" s="51"/>
      <c r="IDC43" s="51"/>
      <c r="IDD43" s="51"/>
      <c r="IDE43" s="51"/>
      <c r="IDF43" s="51"/>
      <c r="IDG43" s="51"/>
      <c r="IDH43" s="51"/>
      <c r="IDI43" s="51"/>
      <c r="IDJ43" s="51"/>
      <c r="IDK43" s="51"/>
      <c r="IDL43" s="51"/>
      <c r="IDM43" s="51"/>
      <c r="IDN43" s="51"/>
      <c r="IDO43" s="51"/>
      <c r="IDP43" s="51"/>
      <c r="IDQ43" s="51"/>
      <c r="IDR43" s="51"/>
      <c r="IDS43" s="51"/>
      <c r="IDT43" s="51"/>
      <c r="IDU43" s="51"/>
      <c r="IDV43" s="51"/>
      <c r="IDW43" s="51"/>
      <c r="IDX43" s="51"/>
      <c r="IDY43" s="51"/>
      <c r="IDZ43" s="51"/>
      <c r="IEA43" s="51"/>
      <c r="IEB43" s="51"/>
      <c r="IEC43" s="51"/>
      <c r="IED43" s="51"/>
      <c r="IEE43" s="51"/>
      <c r="IEF43" s="51"/>
      <c r="IEG43" s="51"/>
      <c r="IEH43" s="51"/>
      <c r="IEI43" s="51"/>
      <c r="IEJ43" s="51"/>
      <c r="IEK43" s="51"/>
      <c r="IEL43" s="51"/>
      <c r="IEM43" s="51"/>
      <c r="IEN43" s="51"/>
      <c r="IEO43" s="51"/>
      <c r="IEP43" s="51"/>
      <c r="IEQ43" s="51"/>
      <c r="IER43" s="51"/>
      <c r="IES43" s="51"/>
      <c r="IET43" s="51"/>
      <c r="IEU43" s="51"/>
      <c r="IEV43" s="51"/>
      <c r="IEW43" s="51"/>
      <c r="IEX43" s="51"/>
      <c r="IEY43" s="51"/>
      <c r="IEZ43" s="51"/>
      <c r="IFA43" s="51"/>
      <c r="IFB43" s="51"/>
      <c r="IFC43" s="51"/>
      <c r="IFD43" s="51"/>
      <c r="IFE43" s="51"/>
      <c r="IFF43" s="51"/>
      <c r="IFG43" s="51"/>
      <c r="IFH43" s="51"/>
      <c r="IFI43" s="51"/>
      <c r="IFJ43" s="51"/>
      <c r="IFK43" s="51"/>
      <c r="IFL43" s="51"/>
      <c r="IFM43" s="51"/>
      <c r="IFN43" s="51"/>
      <c r="IFO43" s="51"/>
      <c r="IFP43" s="51"/>
      <c r="IFQ43" s="51"/>
      <c r="IFR43" s="51"/>
      <c r="IFS43" s="51"/>
      <c r="IFT43" s="51"/>
      <c r="IFU43" s="51"/>
      <c r="IFV43" s="51"/>
      <c r="IFW43" s="51"/>
      <c r="IFX43" s="51"/>
      <c r="IFY43" s="51"/>
      <c r="IFZ43" s="51"/>
      <c r="IGA43" s="51"/>
      <c r="IGB43" s="51"/>
      <c r="IGC43" s="51"/>
      <c r="IGD43" s="51"/>
      <c r="IGE43" s="51"/>
      <c r="IGF43" s="51"/>
      <c r="IGG43" s="51"/>
      <c r="IGH43" s="51"/>
      <c r="IGI43" s="51"/>
      <c r="IGJ43" s="51"/>
      <c r="IGK43" s="51"/>
      <c r="IGL43" s="51"/>
      <c r="IGM43" s="51"/>
      <c r="IGN43" s="51"/>
      <c r="IGO43" s="51"/>
      <c r="IGP43" s="51"/>
      <c r="IGQ43" s="51"/>
      <c r="IGR43" s="51"/>
      <c r="IGS43" s="51"/>
      <c r="IGT43" s="51"/>
      <c r="IGU43" s="51"/>
      <c r="IGV43" s="51"/>
      <c r="IGW43" s="51"/>
      <c r="IGX43" s="51"/>
      <c r="IGY43" s="51"/>
      <c r="IGZ43" s="51"/>
      <c r="IHA43" s="51"/>
      <c r="IHB43" s="51"/>
      <c r="IHC43" s="51"/>
      <c r="IHD43" s="51"/>
      <c r="IHE43" s="51"/>
      <c r="IHF43" s="51"/>
      <c r="IHG43" s="51"/>
      <c r="IHH43" s="51"/>
      <c r="IHI43" s="51"/>
      <c r="IHJ43" s="51"/>
      <c r="IHK43" s="51"/>
      <c r="IHL43" s="51"/>
      <c r="IHM43" s="51"/>
      <c r="IHN43" s="51"/>
      <c r="IHO43" s="51"/>
      <c r="IHP43" s="51"/>
      <c r="IHQ43" s="51"/>
      <c r="IHR43" s="51"/>
      <c r="IHS43" s="51"/>
      <c r="IHT43" s="51"/>
      <c r="IHU43" s="51"/>
      <c r="IHV43" s="51"/>
      <c r="IHW43" s="51"/>
      <c r="IHX43" s="51"/>
      <c r="IHY43" s="51"/>
      <c r="IHZ43" s="51"/>
      <c r="IIA43" s="51"/>
      <c r="IIB43" s="51"/>
      <c r="IIC43" s="51"/>
      <c r="IID43" s="51"/>
      <c r="IIE43" s="51"/>
      <c r="IIF43" s="51"/>
      <c r="IIG43" s="51"/>
      <c r="IIH43" s="51"/>
      <c r="III43" s="51"/>
      <c r="IIJ43" s="51"/>
      <c r="IIK43" s="51"/>
      <c r="IIL43" s="51"/>
      <c r="IIM43" s="51"/>
      <c r="IIN43" s="51"/>
      <c r="IIO43" s="51"/>
      <c r="IIP43" s="51"/>
      <c r="IIQ43" s="51"/>
      <c r="IIR43" s="51"/>
      <c r="IIS43" s="51"/>
      <c r="IIT43" s="51"/>
      <c r="IIU43" s="51"/>
      <c r="IIV43" s="51"/>
      <c r="IIW43" s="51"/>
      <c r="IIX43" s="51"/>
      <c r="IIY43" s="51"/>
      <c r="IIZ43" s="51"/>
      <c r="IJA43" s="51"/>
      <c r="IJB43" s="51"/>
      <c r="IJC43" s="51"/>
      <c r="IJD43" s="51"/>
      <c r="IJE43" s="51"/>
      <c r="IJF43" s="51"/>
      <c r="IJG43" s="51"/>
      <c r="IJH43" s="51"/>
      <c r="IJI43" s="51"/>
      <c r="IJJ43" s="51"/>
      <c r="IJK43" s="51"/>
      <c r="IJL43" s="51"/>
      <c r="IJM43" s="51"/>
      <c r="IJN43" s="51"/>
      <c r="IJO43" s="51"/>
      <c r="IJP43" s="51"/>
      <c r="IJQ43" s="51"/>
      <c r="IJR43" s="51"/>
      <c r="IJS43" s="51"/>
      <c r="IJT43" s="51"/>
      <c r="IJU43" s="51"/>
      <c r="IJV43" s="51"/>
      <c r="IJW43" s="51"/>
      <c r="IJX43" s="51"/>
      <c r="IJY43" s="51"/>
      <c r="IJZ43" s="51"/>
      <c r="IKA43" s="51"/>
      <c r="IKB43" s="51"/>
      <c r="IKC43" s="51"/>
      <c r="IKD43" s="51"/>
      <c r="IKE43" s="51"/>
      <c r="IKF43" s="51"/>
      <c r="IKG43" s="51"/>
      <c r="IKH43" s="51"/>
      <c r="IKI43" s="51"/>
      <c r="IKJ43" s="51"/>
      <c r="IKK43" s="51"/>
      <c r="IKL43" s="51"/>
      <c r="IKM43" s="51"/>
      <c r="IKN43" s="51"/>
      <c r="IKO43" s="51"/>
      <c r="IKP43" s="51"/>
      <c r="IKQ43" s="51"/>
      <c r="IKR43" s="51"/>
      <c r="IKS43" s="51"/>
      <c r="IKT43" s="51"/>
      <c r="IKU43" s="51"/>
      <c r="IKV43" s="51"/>
      <c r="IKW43" s="51"/>
      <c r="IKX43" s="51"/>
      <c r="IKY43" s="51"/>
      <c r="IKZ43" s="51"/>
      <c r="ILA43" s="51"/>
      <c r="ILB43" s="51"/>
      <c r="ILC43" s="51"/>
      <c r="ILD43" s="51"/>
      <c r="ILE43" s="51"/>
      <c r="ILF43" s="51"/>
      <c r="ILG43" s="51"/>
      <c r="ILH43" s="51"/>
      <c r="ILI43" s="51"/>
      <c r="ILJ43" s="51"/>
      <c r="ILK43" s="51"/>
      <c r="ILL43" s="51"/>
      <c r="ILM43" s="51"/>
      <c r="ILN43" s="51"/>
      <c r="ILO43" s="51"/>
      <c r="ILP43" s="51"/>
      <c r="ILQ43" s="51"/>
      <c r="ILR43" s="51"/>
      <c r="ILS43" s="51"/>
      <c r="ILT43" s="51"/>
      <c r="ILU43" s="51"/>
      <c r="ILV43" s="51"/>
      <c r="ILW43" s="51"/>
      <c r="ILX43" s="51"/>
      <c r="ILY43" s="51"/>
      <c r="ILZ43" s="51"/>
      <c r="IMA43" s="51"/>
      <c r="IMB43" s="51"/>
      <c r="IMC43" s="51"/>
      <c r="IMD43" s="51"/>
      <c r="IME43" s="51"/>
      <c r="IMF43" s="51"/>
      <c r="IMG43" s="51"/>
      <c r="IMH43" s="51"/>
      <c r="IMI43" s="51"/>
      <c r="IMJ43" s="51"/>
      <c r="IMK43" s="51"/>
      <c r="IML43" s="51"/>
      <c r="IMM43" s="51"/>
      <c r="IMN43" s="51"/>
      <c r="IMO43" s="51"/>
      <c r="IMP43" s="51"/>
      <c r="IMQ43" s="51"/>
      <c r="IMR43" s="51"/>
      <c r="IMS43" s="51"/>
      <c r="IMT43" s="51"/>
      <c r="IMU43" s="51"/>
      <c r="IMV43" s="51"/>
      <c r="IMW43" s="51"/>
      <c r="IMX43" s="51"/>
      <c r="IMY43" s="51"/>
      <c r="IMZ43" s="51"/>
      <c r="INA43" s="51"/>
      <c r="INB43" s="51"/>
      <c r="INC43" s="51"/>
      <c r="IND43" s="51"/>
      <c r="INE43" s="51"/>
      <c r="INF43" s="51"/>
      <c r="ING43" s="51"/>
      <c r="INH43" s="51"/>
      <c r="INI43" s="51"/>
      <c r="INJ43" s="51"/>
      <c r="INK43" s="51"/>
      <c r="INL43" s="51"/>
      <c r="INM43" s="51"/>
      <c r="INN43" s="51"/>
      <c r="INO43" s="51"/>
      <c r="INP43" s="51"/>
      <c r="INQ43" s="51"/>
      <c r="INR43" s="51"/>
      <c r="INS43" s="51"/>
      <c r="INT43" s="51"/>
      <c r="INU43" s="51"/>
      <c r="INV43" s="51"/>
      <c r="INW43" s="51"/>
      <c r="INX43" s="51"/>
      <c r="INY43" s="51"/>
      <c r="INZ43" s="51"/>
      <c r="IOA43" s="51"/>
      <c r="IOB43" s="51"/>
      <c r="IOC43" s="51"/>
      <c r="IOD43" s="51"/>
      <c r="IOE43" s="51"/>
      <c r="IOF43" s="51"/>
      <c r="IOG43" s="51"/>
      <c r="IOH43" s="51"/>
      <c r="IOI43" s="51"/>
      <c r="IOJ43" s="51"/>
      <c r="IOK43" s="51"/>
      <c r="IOL43" s="51"/>
      <c r="IOM43" s="51"/>
      <c r="ION43" s="51"/>
      <c r="IOO43" s="51"/>
      <c r="IOP43" s="51"/>
      <c r="IOQ43" s="51"/>
      <c r="IOR43" s="51"/>
      <c r="IOS43" s="51"/>
      <c r="IOT43" s="51"/>
      <c r="IOU43" s="51"/>
      <c r="IOV43" s="51"/>
      <c r="IOW43" s="51"/>
      <c r="IOX43" s="51"/>
      <c r="IOY43" s="51"/>
      <c r="IOZ43" s="51"/>
      <c r="IPA43" s="51"/>
      <c r="IPB43" s="51"/>
      <c r="IPC43" s="51"/>
      <c r="IPD43" s="51"/>
      <c r="IPE43" s="51"/>
      <c r="IPF43" s="51"/>
      <c r="IPG43" s="51"/>
      <c r="IPH43" s="51"/>
      <c r="IPI43" s="51"/>
      <c r="IPJ43" s="51"/>
      <c r="IPK43" s="51"/>
      <c r="IPL43" s="51"/>
      <c r="IPM43" s="51"/>
      <c r="IPN43" s="51"/>
      <c r="IPO43" s="51"/>
      <c r="IPP43" s="51"/>
      <c r="IPQ43" s="51"/>
      <c r="IPR43" s="51"/>
      <c r="IPS43" s="51"/>
      <c r="IPT43" s="51"/>
      <c r="IPU43" s="51"/>
      <c r="IPV43" s="51"/>
      <c r="IPW43" s="51"/>
      <c r="IPX43" s="51"/>
      <c r="IPY43" s="51"/>
      <c r="IPZ43" s="51"/>
      <c r="IQA43" s="51"/>
      <c r="IQB43" s="51"/>
      <c r="IQC43" s="51"/>
      <c r="IQD43" s="51"/>
      <c r="IQE43" s="51"/>
      <c r="IQF43" s="51"/>
      <c r="IQG43" s="51"/>
      <c r="IQH43" s="51"/>
      <c r="IQI43" s="51"/>
      <c r="IQJ43" s="51"/>
      <c r="IQK43" s="51"/>
      <c r="IQL43" s="51"/>
      <c r="IQM43" s="51"/>
      <c r="IQN43" s="51"/>
      <c r="IQO43" s="51"/>
      <c r="IQP43" s="51"/>
      <c r="IQQ43" s="51"/>
      <c r="IQR43" s="51"/>
      <c r="IQS43" s="51"/>
      <c r="IQT43" s="51"/>
      <c r="IQU43" s="51"/>
      <c r="IQV43" s="51"/>
      <c r="IQW43" s="51"/>
      <c r="IQX43" s="51"/>
      <c r="IQY43" s="51"/>
      <c r="IQZ43" s="51"/>
      <c r="IRA43" s="51"/>
      <c r="IRB43" s="51"/>
      <c r="IRC43" s="51"/>
      <c r="IRD43" s="51"/>
      <c r="IRE43" s="51"/>
      <c r="IRF43" s="51"/>
      <c r="IRG43" s="51"/>
      <c r="IRH43" s="51"/>
      <c r="IRI43" s="51"/>
      <c r="IRJ43" s="51"/>
      <c r="IRK43" s="51"/>
      <c r="IRL43" s="51"/>
      <c r="IRM43" s="51"/>
      <c r="IRN43" s="51"/>
      <c r="IRO43" s="51"/>
      <c r="IRP43" s="51"/>
      <c r="IRQ43" s="51"/>
      <c r="IRR43" s="51"/>
      <c r="IRS43" s="51"/>
      <c r="IRT43" s="51"/>
      <c r="IRU43" s="51"/>
      <c r="IRV43" s="51"/>
      <c r="IRW43" s="51"/>
      <c r="IRX43" s="51"/>
      <c r="IRY43" s="51"/>
      <c r="IRZ43" s="51"/>
      <c r="ISA43" s="51"/>
      <c r="ISB43" s="51"/>
      <c r="ISC43" s="51"/>
      <c r="ISD43" s="51"/>
      <c r="ISE43" s="51"/>
      <c r="ISF43" s="51"/>
      <c r="ISG43" s="51"/>
      <c r="ISH43" s="51"/>
      <c r="ISI43" s="51"/>
      <c r="ISJ43" s="51"/>
      <c r="ISK43" s="51"/>
      <c r="ISL43" s="51"/>
      <c r="ISM43" s="51"/>
      <c r="ISN43" s="51"/>
      <c r="ISO43" s="51"/>
      <c r="ISP43" s="51"/>
      <c r="ISQ43" s="51"/>
      <c r="ISR43" s="51"/>
      <c r="ISS43" s="51"/>
      <c r="IST43" s="51"/>
      <c r="ISU43" s="51"/>
      <c r="ISV43" s="51"/>
      <c r="ISW43" s="51"/>
      <c r="ISX43" s="51"/>
      <c r="ISY43" s="51"/>
      <c r="ISZ43" s="51"/>
      <c r="ITA43" s="51"/>
      <c r="ITB43" s="51"/>
      <c r="ITC43" s="51"/>
      <c r="ITD43" s="51"/>
      <c r="ITE43" s="51"/>
      <c r="ITF43" s="51"/>
      <c r="ITG43" s="51"/>
      <c r="ITH43" s="51"/>
      <c r="ITI43" s="51"/>
      <c r="ITJ43" s="51"/>
      <c r="ITK43" s="51"/>
      <c r="ITL43" s="51"/>
      <c r="ITM43" s="51"/>
      <c r="ITN43" s="51"/>
      <c r="ITO43" s="51"/>
      <c r="ITP43" s="51"/>
      <c r="ITQ43" s="51"/>
      <c r="ITR43" s="51"/>
      <c r="ITS43" s="51"/>
      <c r="ITT43" s="51"/>
      <c r="ITU43" s="51"/>
      <c r="ITV43" s="51"/>
      <c r="ITW43" s="51"/>
      <c r="ITX43" s="51"/>
      <c r="ITY43" s="51"/>
      <c r="ITZ43" s="51"/>
      <c r="IUA43" s="51"/>
      <c r="IUB43" s="51"/>
      <c r="IUC43" s="51"/>
      <c r="IUD43" s="51"/>
      <c r="IUE43" s="51"/>
      <c r="IUF43" s="51"/>
      <c r="IUG43" s="51"/>
      <c r="IUH43" s="51"/>
      <c r="IUI43" s="51"/>
      <c r="IUJ43" s="51"/>
      <c r="IUK43" s="51"/>
      <c r="IUL43" s="51"/>
      <c r="IUM43" s="51"/>
      <c r="IUN43" s="51"/>
      <c r="IUO43" s="51"/>
      <c r="IUP43" s="51"/>
      <c r="IUQ43" s="51"/>
      <c r="IUR43" s="51"/>
      <c r="IUS43" s="51"/>
      <c r="IUT43" s="51"/>
      <c r="IUU43" s="51"/>
      <c r="IUV43" s="51"/>
      <c r="IUW43" s="51"/>
      <c r="IUX43" s="51"/>
      <c r="IUY43" s="51"/>
      <c r="IUZ43" s="51"/>
      <c r="IVA43" s="51"/>
      <c r="IVB43" s="51"/>
      <c r="IVC43" s="51"/>
      <c r="IVD43" s="51"/>
      <c r="IVE43" s="51"/>
      <c r="IVF43" s="51"/>
      <c r="IVG43" s="51"/>
      <c r="IVH43" s="51"/>
      <c r="IVI43" s="51"/>
      <c r="IVJ43" s="51"/>
      <c r="IVK43" s="51"/>
      <c r="IVL43" s="51"/>
      <c r="IVM43" s="51"/>
      <c r="IVN43" s="51"/>
      <c r="IVO43" s="51"/>
      <c r="IVP43" s="51"/>
      <c r="IVQ43" s="51"/>
      <c r="IVR43" s="51"/>
      <c r="IVS43" s="51"/>
      <c r="IVT43" s="51"/>
      <c r="IVU43" s="51"/>
      <c r="IVV43" s="51"/>
      <c r="IVW43" s="51"/>
      <c r="IVX43" s="51"/>
      <c r="IVY43" s="51"/>
      <c r="IVZ43" s="51"/>
      <c r="IWA43" s="51"/>
      <c r="IWB43" s="51"/>
      <c r="IWC43" s="51"/>
      <c r="IWD43" s="51"/>
      <c r="IWE43" s="51"/>
      <c r="IWF43" s="51"/>
      <c r="IWG43" s="51"/>
      <c r="IWH43" s="51"/>
      <c r="IWI43" s="51"/>
      <c r="IWJ43" s="51"/>
      <c r="IWK43" s="51"/>
      <c r="IWL43" s="51"/>
      <c r="IWM43" s="51"/>
      <c r="IWN43" s="51"/>
      <c r="IWO43" s="51"/>
      <c r="IWP43" s="51"/>
      <c r="IWQ43" s="51"/>
      <c r="IWR43" s="51"/>
      <c r="IWS43" s="51"/>
      <c r="IWT43" s="51"/>
      <c r="IWU43" s="51"/>
      <c r="IWV43" s="51"/>
      <c r="IWW43" s="51"/>
      <c r="IWX43" s="51"/>
      <c r="IWY43" s="51"/>
      <c r="IWZ43" s="51"/>
      <c r="IXA43" s="51"/>
      <c r="IXB43" s="51"/>
      <c r="IXC43" s="51"/>
      <c r="IXD43" s="51"/>
      <c r="IXE43" s="51"/>
      <c r="IXF43" s="51"/>
      <c r="IXG43" s="51"/>
      <c r="IXH43" s="51"/>
      <c r="IXI43" s="51"/>
      <c r="IXJ43" s="51"/>
      <c r="IXK43" s="51"/>
      <c r="IXL43" s="51"/>
      <c r="IXM43" s="51"/>
      <c r="IXN43" s="51"/>
      <c r="IXO43" s="51"/>
      <c r="IXP43" s="51"/>
      <c r="IXQ43" s="51"/>
      <c r="IXR43" s="51"/>
      <c r="IXS43" s="51"/>
      <c r="IXT43" s="51"/>
      <c r="IXU43" s="51"/>
      <c r="IXV43" s="51"/>
      <c r="IXW43" s="51"/>
      <c r="IXX43" s="51"/>
      <c r="IXY43" s="51"/>
      <c r="IXZ43" s="51"/>
      <c r="IYA43" s="51"/>
      <c r="IYB43" s="51"/>
      <c r="IYC43" s="51"/>
      <c r="IYD43" s="51"/>
      <c r="IYE43" s="51"/>
      <c r="IYF43" s="51"/>
      <c r="IYG43" s="51"/>
      <c r="IYH43" s="51"/>
      <c r="IYI43" s="51"/>
      <c r="IYJ43" s="51"/>
      <c r="IYK43" s="51"/>
      <c r="IYL43" s="51"/>
      <c r="IYM43" s="51"/>
      <c r="IYN43" s="51"/>
      <c r="IYO43" s="51"/>
      <c r="IYP43" s="51"/>
      <c r="IYQ43" s="51"/>
      <c r="IYR43" s="51"/>
      <c r="IYS43" s="51"/>
      <c r="IYT43" s="51"/>
      <c r="IYU43" s="51"/>
      <c r="IYV43" s="51"/>
      <c r="IYW43" s="51"/>
      <c r="IYX43" s="51"/>
      <c r="IYY43" s="51"/>
      <c r="IYZ43" s="51"/>
      <c r="IZA43" s="51"/>
      <c r="IZB43" s="51"/>
      <c r="IZC43" s="51"/>
      <c r="IZD43" s="51"/>
      <c r="IZE43" s="51"/>
      <c r="IZF43" s="51"/>
      <c r="IZG43" s="51"/>
      <c r="IZH43" s="51"/>
      <c r="IZI43" s="51"/>
      <c r="IZJ43" s="51"/>
      <c r="IZK43" s="51"/>
      <c r="IZL43" s="51"/>
      <c r="IZM43" s="51"/>
      <c r="IZN43" s="51"/>
      <c r="IZO43" s="51"/>
      <c r="IZP43" s="51"/>
      <c r="IZQ43" s="51"/>
      <c r="IZR43" s="51"/>
      <c r="IZS43" s="51"/>
      <c r="IZT43" s="51"/>
      <c r="IZU43" s="51"/>
      <c r="IZV43" s="51"/>
      <c r="IZW43" s="51"/>
      <c r="IZX43" s="51"/>
      <c r="IZY43" s="51"/>
      <c r="IZZ43" s="51"/>
      <c r="JAA43" s="51"/>
      <c r="JAB43" s="51"/>
      <c r="JAC43" s="51"/>
      <c r="JAD43" s="51"/>
      <c r="JAE43" s="51"/>
      <c r="JAF43" s="51"/>
      <c r="JAG43" s="51"/>
      <c r="JAH43" s="51"/>
      <c r="JAI43" s="51"/>
      <c r="JAJ43" s="51"/>
      <c r="JAK43" s="51"/>
      <c r="JAL43" s="51"/>
      <c r="JAM43" s="51"/>
      <c r="JAN43" s="51"/>
      <c r="JAO43" s="51"/>
      <c r="JAP43" s="51"/>
      <c r="JAQ43" s="51"/>
      <c r="JAR43" s="51"/>
      <c r="JAS43" s="51"/>
      <c r="JAT43" s="51"/>
      <c r="JAU43" s="51"/>
      <c r="JAV43" s="51"/>
      <c r="JAW43" s="51"/>
      <c r="JAX43" s="51"/>
      <c r="JAY43" s="51"/>
      <c r="JAZ43" s="51"/>
      <c r="JBA43" s="51"/>
      <c r="JBB43" s="51"/>
      <c r="JBC43" s="51"/>
      <c r="JBD43" s="51"/>
      <c r="JBE43" s="51"/>
      <c r="JBF43" s="51"/>
      <c r="JBG43" s="51"/>
      <c r="JBH43" s="51"/>
      <c r="JBI43" s="51"/>
      <c r="JBJ43" s="51"/>
      <c r="JBK43" s="51"/>
      <c r="JBL43" s="51"/>
      <c r="JBM43" s="51"/>
      <c r="JBN43" s="51"/>
      <c r="JBO43" s="51"/>
      <c r="JBP43" s="51"/>
      <c r="JBQ43" s="51"/>
      <c r="JBR43" s="51"/>
      <c r="JBS43" s="51"/>
      <c r="JBT43" s="51"/>
      <c r="JBU43" s="51"/>
      <c r="JBV43" s="51"/>
      <c r="JBW43" s="51"/>
      <c r="JBX43" s="51"/>
      <c r="JBY43" s="51"/>
      <c r="JBZ43" s="51"/>
      <c r="JCA43" s="51"/>
      <c r="JCB43" s="51"/>
      <c r="JCC43" s="51"/>
      <c r="JCD43" s="51"/>
      <c r="JCE43" s="51"/>
      <c r="JCF43" s="51"/>
      <c r="JCG43" s="51"/>
      <c r="JCH43" s="51"/>
      <c r="JCI43" s="51"/>
      <c r="JCJ43" s="51"/>
      <c r="JCK43" s="51"/>
      <c r="JCL43" s="51"/>
      <c r="JCM43" s="51"/>
      <c r="JCN43" s="51"/>
      <c r="JCO43" s="51"/>
      <c r="JCP43" s="51"/>
      <c r="JCQ43" s="51"/>
      <c r="JCR43" s="51"/>
      <c r="JCS43" s="51"/>
      <c r="JCT43" s="51"/>
      <c r="JCU43" s="51"/>
      <c r="JCV43" s="51"/>
      <c r="JCW43" s="51"/>
      <c r="JCX43" s="51"/>
      <c r="JCY43" s="51"/>
      <c r="JCZ43" s="51"/>
      <c r="JDA43" s="51"/>
      <c r="JDB43" s="51"/>
      <c r="JDC43" s="51"/>
      <c r="JDD43" s="51"/>
      <c r="JDE43" s="51"/>
      <c r="JDF43" s="51"/>
      <c r="JDG43" s="51"/>
      <c r="JDH43" s="51"/>
      <c r="JDI43" s="51"/>
      <c r="JDJ43" s="51"/>
      <c r="JDK43" s="51"/>
      <c r="JDL43" s="51"/>
      <c r="JDM43" s="51"/>
      <c r="JDN43" s="51"/>
      <c r="JDO43" s="51"/>
      <c r="JDP43" s="51"/>
      <c r="JDQ43" s="51"/>
      <c r="JDR43" s="51"/>
      <c r="JDS43" s="51"/>
      <c r="JDT43" s="51"/>
      <c r="JDU43" s="51"/>
      <c r="JDV43" s="51"/>
      <c r="JDW43" s="51"/>
      <c r="JDX43" s="51"/>
      <c r="JDY43" s="51"/>
      <c r="JDZ43" s="51"/>
      <c r="JEA43" s="51"/>
      <c r="JEB43" s="51"/>
      <c r="JEC43" s="51"/>
      <c r="JED43" s="51"/>
      <c r="JEE43" s="51"/>
      <c r="JEF43" s="51"/>
      <c r="JEG43" s="51"/>
      <c r="JEH43" s="51"/>
      <c r="JEI43" s="51"/>
      <c r="JEJ43" s="51"/>
      <c r="JEK43" s="51"/>
      <c r="JEL43" s="51"/>
      <c r="JEM43" s="51"/>
      <c r="JEN43" s="51"/>
      <c r="JEO43" s="51"/>
      <c r="JEP43" s="51"/>
      <c r="JEQ43" s="51"/>
      <c r="JER43" s="51"/>
      <c r="JES43" s="51"/>
      <c r="JET43" s="51"/>
      <c r="JEU43" s="51"/>
      <c r="JEV43" s="51"/>
      <c r="JEW43" s="51"/>
      <c r="JEX43" s="51"/>
      <c r="JEY43" s="51"/>
      <c r="JEZ43" s="51"/>
      <c r="JFA43" s="51"/>
      <c r="JFB43" s="51"/>
      <c r="JFC43" s="51"/>
      <c r="JFD43" s="51"/>
      <c r="JFE43" s="51"/>
      <c r="JFF43" s="51"/>
      <c r="JFG43" s="51"/>
      <c r="JFH43" s="51"/>
      <c r="JFI43" s="51"/>
      <c r="JFJ43" s="51"/>
      <c r="JFK43" s="51"/>
      <c r="JFL43" s="51"/>
      <c r="JFM43" s="51"/>
      <c r="JFN43" s="51"/>
      <c r="JFO43" s="51"/>
      <c r="JFP43" s="51"/>
      <c r="JFQ43" s="51"/>
      <c r="JFR43" s="51"/>
      <c r="JFS43" s="51"/>
      <c r="JFT43" s="51"/>
      <c r="JFU43" s="51"/>
      <c r="JFV43" s="51"/>
      <c r="JFW43" s="51"/>
      <c r="JFX43" s="51"/>
      <c r="JFY43" s="51"/>
      <c r="JFZ43" s="51"/>
      <c r="JGA43" s="51"/>
      <c r="JGB43" s="51"/>
      <c r="JGC43" s="51"/>
      <c r="JGD43" s="51"/>
      <c r="JGE43" s="51"/>
      <c r="JGF43" s="51"/>
      <c r="JGG43" s="51"/>
      <c r="JGH43" s="51"/>
      <c r="JGI43" s="51"/>
      <c r="JGJ43" s="51"/>
      <c r="JGK43" s="51"/>
      <c r="JGL43" s="51"/>
      <c r="JGM43" s="51"/>
      <c r="JGN43" s="51"/>
      <c r="JGO43" s="51"/>
      <c r="JGP43" s="51"/>
      <c r="JGQ43" s="51"/>
      <c r="JGR43" s="51"/>
      <c r="JGS43" s="51"/>
      <c r="JGT43" s="51"/>
      <c r="JGU43" s="51"/>
      <c r="JGV43" s="51"/>
      <c r="JGW43" s="51"/>
      <c r="JGX43" s="51"/>
      <c r="JGY43" s="51"/>
      <c r="JGZ43" s="51"/>
      <c r="JHA43" s="51"/>
      <c r="JHB43" s="51"/>
      <c r="JHC43" s="51"/>
      <c r="JHD43" s="51"/>
      <c r="JHE43" s="51"/>
      <c r="JHF43" s="51"/>
      <c r="JHG43" s="51"/>
      <c r="JHH43" s="51"/>
      <c r="JHI43" s="51"/>
      <c r="JHJ43" s="51"/>
      <c r="JHK43" s="51"/>
      <c r="JHL43" s="51"/>
      <c r="JHM43" s="51"/>
      <c r="JHN43" s="51"/>
      <c r="JHO43" s="51"/>
      <c r="JHP43" s="51"/>
      <c r="JHQ43" s="51"/>
      <c r="JHR43" s="51"/>
      <c r="JHS43" s="51"/>
      <c r="JHT43" s="51"/>
      <c r="JHU43" s="51"/>
      <c r="JHV43" s="51"/>
      <c r="JHW43" s="51"/>
      <c r="JHX43" s="51"/>
      <c r="JHY43" s="51"/>
      <c r="JHZ43" s="51"/>
      <c r="JIA43" s="51"/>
      <c r="JIB43" s="51"/>
      <c r="JIC43" s="51"/>
      <c r="JID43" s="51"/>
      <c r="JIE43" s="51"/>
      <c r="JIF43" s="51"/>
      <c r="JIG43" s="51"/>
      <c r="JIH43" s="51"/>
      <c r="JII43" s="51"/>
      <c r="JIJ43" s="51"/>
      <c r="JIK43" s="51"/>
      <c r="JIL43" s="51"/>
      <c r="JIM43" s="51"/>
      <c r="JIN43" s="51"/>
      <c r="JIO43" s="51"/>
      <c r="JIP43" s="51"/>
      <c r="JIQ43" s="51"/>
      <c r="JIR43" s="51"/>
      <c r="JIS43" s="51"/>
      <c r="JIT43" s="51"/>
      <c r="JIU43" s="51"/>
      <c r="JIV43" s="51"/>
      <c r="JIW43" s="51"/>
      <c r="JIX43" s="51"/>
      <c r="JIY43" s="51"/>
      <c r="JIZ43" s="51"/>
      <c r="JJA43" s="51"/>
      <c r="JJB43" s="51"/>
      <c r="JJC43" s="51"/>
      <c r="JJD43" s="51"/>
      <c r="JJE43" s="51"/>
      <c r="JJF43" s="51"/>
      <c r="JJG43" s="51"/>
      <c r="JJH43" s="51"/>
      <c r="JJI43" s="51"/>
      <c r="JJJ43" s="51"/>
      <c r="JJK43" s="51"/>
      <c r="JJL43" s="51"/>
      <c r="JJM43" s="51"/>
      <c r="JJN43" s="51"/>
      <c r="JJO43" s="51"/>
      <c r="JJP43" s="51"/>
      <c r="JJQ43" s="51"/>
      <c r="JJR43" s="51"/>
      <c r="JJS43" s="51"/>
      <c r="JJT43" s="51"/>
      <c r="JJU43" s="51"/>
      <c r="JJV43" s="51"/>
      <c r="JJW43" s="51"/>
      <c r="JJX43" s="51"/>
      <c r="JJY43" s="51"/>
      <c r="JJZ43" s="51"/>
      <c r="JKA43" s="51"/>
      <c r="JKB43" s="51"/>
      <c r="JKC43" s="51"/>
      <c r="JKD43" s="51"/>
      <c r="JKE43" s="51"/>
      <c r="JKF43" s="51"/>
      <c r="JKG43" s="51"/>
      <c r="JKH43" s="51"/>
      <c r="JKI43" s="51"/>
      <c r="JKJ43" s="51"/>
      <c r="JKK43" s="51"/>
      <c r="JKL43" s="51"/>
      <c r="JKM43" s="51"/>
      <c r="JKN43" s="51"/>
      <c r="JKO43" s="51"/>
      <c r="JKP43" s="51"/>
      <c r="JKQ43" s="51"/>
      <c r="JKR43" s="51"/>
      <c r="JKS43" s="51"/>
      <c r="JKT43" s="51"/>
      <c r="JKU43" s="51"/>
      <c r="JKV43" s="51"/>
      <c r="JKW43" s="51"/>
      <c r="JKX43" s="51"/>
      <c r="JKY43" s="51"/>
      <c r="JKZ43" s="51"/>
      <c r="JLA43" s="51"/>
      <c r="JLB43" s="51"/>
      <c r="JLC43" s="51"/>
      <c r="JLD43" s="51"/>
      <c r="JLE43" s="51"/>
      <c r="JLF43" s="51"/>
      <c r="JLG43" s="51"/>
      <c r="JLH43" s="51"/>
      <c r="JLI43" s="51"/>
      <c r="JLJ43" s="51"/>
      <c r="JLK43" s="51"/>
      <c r="JLL43" s="51"/>
      <c r="JLM43" s="51"/>
      <c r="JLN43" s="51"/>
      <c r="JLO43" s="51"/>
      <c r="JLP43" s="51"/>
      <c r="JLQ43" s="51"/>
      <c r="JLR43" s="51"/>
      <c r="JLS43" s="51"/>
      <c r="JLT43" s="51"/>
      <c r="JLU43" s="51"/>
      <c r="JLV43" s="51"/>
      <c r="JLW43" s="51"/>
      <c r="JLX43" s="51"/>
      <c r="JLY43" s="51"/>
      <c r="JLZ43" s="51"/>
      <c r="JMA43" s="51"/>
      <c r="JMB43" s="51"/>
      <c r="JMC43" s="51"/>
      <c r="JMD43" s="51"/>
      <c r="JME43" s="51"/>
      <c r="JMF43" s="51"/>
      <c r="JMG43" s="51"/>
      <c r="JMH43" s="51"/>
      <c r="JMI43" s="51"/>
      <c r="JMJ43" s="51"/>
      <c r="JMK43" s="51"/>
      <c r="JML43" s="51"/>
      <c r="JMM43" s="51"/>
      <c r="JMN43" s="51"/>
      <c r="JMO43" s="51"/>
      <c r="JMP43" s="51"/>
      <c r="JMQ43" s="51"/>
      <c r="JMR43" s="51"/>
      <c r="JMS43" s="51"/>
      <c r="JMT43" s="51"/>
      <c r="JMU43" s="51"/>
      <c r="JMV43" s="51"/>
      <c r="JMW43" s="51"/>
      <c r="JMX43" s="51"/>
      <c r="JMY43" s="51"/>
      <c r="JMZ43" s="51"/>
      <c r="JNA43" s="51"/>
      <c r="JNB43" s="51"/>
      <c r="JNC43" s="51"/>
      <c r="JND43" s="51"/>
      <c r="JNE43" s="51"/>
      <c r="JNF43" s="51"/>
      <c r="JNG43" s="51"/>
      <c r="JNH43" s="51"/>
      <c r="JNI43" s="51"/>
      <c r="JNJ43" s="51"/>
      <c r="JNK43" s="51"/>
      <c r="JNL43" s="51"/>
      <c r="JNM43" s="51"/>
      <c r="JNN43" s="51"/>
      <c r="JNO43" s="51"/>
      <c r="JNP43" s="51"/>
      <c r="JNQ43" s="51"/>
      <c r="JNR43" s="51"/>
      <c r="JNS43" s="51"/>
      <c r="JNT43" s="51"/>
      <c r="JNU43" s="51"/>
      <c r="JNV43" s="51"/>
      <c r="JNW43" s="51"/>
      <c r="JNX43" s="51"/>
      <c r="JNY43" s="51"/>
      <c r="JNZ43" s="51"/>
      <c r="JOA43" s="51"/>
      <c r="JOB43" s="51"/>
      <c r="JOC43" s="51"/>
      <c r="JOD43" s="51"/>
      <c r="JOE43" s="51"/>
      <c r="JOF43" s="51"/>
      <c r="JOG43" s="51"/>
      <c r="JOH43" s="51"/>
      <c r="JOI43" s="51"/>
      <c r="JOJ43" s="51"/>
      <c r="JOK43" s="51"/>
      <c r="JOL43" s="51"/>
      <c r="JOM43" s="51"/>
      <c r="JON43" s="51"/>
      <c r="JOO43" s="51"/>
      <c r="JOP43" s="51"/>
      <c r="JOQ43" s="51"/>
      <c r="JOR43" s="51"/>
      <c r="JOS43" s="51"/>
      <c r="JOT43" s="51"/>
      <c r="JOU43" s="51"/>
      <c r="JOV43" s="51"/>
      <c r="JOW43" s="51"/>
      <c r="JOX43" s="51"/>
      <c r="JOY43" s="51"/>
      <c r="JOZ43" s="51"/>
      <c r="JPA43" s="51"/>
      <c r="JPB43" s="51"/>
      <c r="JPC43" s="51"/>
      <c r="JPD43" s="51"/>
      <c r="JPE43" s="51"/>
      <c r="JPF43" s="51"/>
      <c r="JPG43" s="51"/>
      <c r="JPH43" s="51"/>
      <c r="JPI43" s="51"/>
      <c r="JPJ43" s="51"/>
      <c r="JPK43" s="51"/>
      <c r="JPL43" s="51"/>
      <c r="JPM43" s="51"/>
      <c r="JPN43" s="51"/>
      <c r="JPO43" s="51"/>
      <c r="JPP43" s="51"/>
      <c r="JPQ43" s="51"/>
      <c r="JPR43" s="51"/>
      <c r="JPS43" s="51"/>
      <c r="JPT43" s="51"/>
      <c r="JPU43" s="51"/>
      <c r="JPV43" s="51"/>
      <c r="JPW43" s="51"/>
      <c r="JPX43" s="51"/>
      <c r="JPY43" s="51"/>
      <c r="JPZ43" s="51"/>
      <c r="JQA43" s="51"/>
      <c r="JQB43" s="51"/>
      <c r="JQC43" s="51"/>
      <c r="JQD43" s="51"/>
      <c r="JQE43" s="51"/>
      <c r="JQF43" s="51"/>
      <c r="JQG43" s="51"/>
      <c r="JQH43" s="51"/>
      <c r="JQI43" s="51"/>
      <c r="JQJ43" s="51"/>
      <c r="JQK43" s="51"/>
      <c r="JQL43" s="51"/>
      <c r="JQM43" s="51"/>
      <c r="JQN43" s="51"/>
      <c r="JQO43" s="51"/>
      <c r="JQP43" s="51"/>
      <c r="JQQ43" s="51"/>
      <c r="JQR43" s="51"/>
      <c r="JQS43" s="51"/>
      <c r="JQT43" s="51"/>
      <c r="JQU43" s="51"/>
      <c r="JQV43" s="51"/>
      <c r="JQW43" s="51"/>
      <c r="JQX43" s="51"/>
      <c r="JQY43" s="51"/>
      <c r="JQZ43" s="51"/>
      <c r="JRA43" s="51"/>
      <c r="JRB43" s="51"/>
      <c r="JRC43" s="51"/>
      <c r="JRD43" s="51"/>
      <c r="JRE43" s="51"/>
      <c r="JRF43" s="51"/>
      <c r="JRG43" s="51"/>
      <c r="JRH43" s="51"/>
      <c r="JRI43" s="51"/>
      <c r="JRJ43" s="51"/>
      <c r="JRK43" s="51"/>
      <c r="JRL43" s="51"/>
      <c r="JRM43" s="51"/>
      <c r="JRN43" s="51"/>
      <c r="JRO43" s="51"/>
      <c r="JRP43" s="51"/>
      <c r="JRQ43" s="51"/>
      <c r="JRR43" s="51"/>
      <c r="JRS43" s="51"/>
      <c r="JRT43" s="51"/>
      <c r="JRU43" s="51"/>
      <c r="JRV43" s="51"/>
      <c r="JRW43" s="51"/>
      <c r="JRX43" s="51"/>
      <c r="JRY43" s="51"/>
      <c r="JRZ43" s="51"/>
      <c r="JSA43" s="51"/>
      <c r="JSB43" s="51"/>
      <c r="JSC43" s="51"/>
      <c r="JSD43" s="51"/>
      <c r="JSE43" s="51"/>
      <c r="JSF43" s="51"/>
      <c r="JSG43" s="51"/>
      <c r="JSH43" s="51"/>
      <c r="JSI43" s="51"/>
      <c r="JSJ43" s="51"/>
      <c r="JSK43" s="51"/>
      <c r="JSL43" s="51"/>
      <c r="JSM43" s="51"/>
      <c r="JSN43" s="51"/>
      <c r="JSO43" s="51"/>
      <c r="JSP43" s="51"/>
      <c r="JSQ43" s="51"/>
      <c r="JSR43" s="51"/>
      <c r="JSS43" s="51"/>
      <c r="JST43" s="51"/>
      <c r="JSU43" s="51"/>
      <c r="JSV43" s="51"/>
      <c r="JSW43" s="51"/>
      <c r="JSX43" s="51"/>
      <c r="JSY43" s="51"/>
      <c r="JSZ43" s="51"/>
      <c r="JTA43" s="51"/>
      <c r="JTB43" s="51"/>
      <c r="JTC43" s="51"/>
      <c r="JTD43" s="51"/>
      <c r="JTE43" s="51"/>
      <c r="JTF43" s="51"/>
      <c r="JTG43" s="51"/>
      <c r="JTH43" s="51"/>
      <c r="JTI43" s="51"/>
      <c r="JTJ43" s="51"/>
      <c r="JTK43" s="51"/>
      <c r="JTL43" s="51"/>
      <c r="JTM43" s="51"/>
      <c r="JTN43" s="51"/>
      <c r="JTO43" s="51"/>
      <c r="JTP43" s="51"/>
      <c r="JTQ43" s="51"/>
      <c r="JTR43" s="51"/>
      <c r="JTS43" s="51"/>
      <c r="JTT43" s="51"/>
      <c r="JTU43" s="51"/>
      <c r="JTV43" s="51"/>
      <c r="JTW43" s="51"/>
      <c r="JTX43" s="51"/>
      <c r="JTY43" s="51"/>
      <c r="JTZ43" s="51"/>
      <c r="JUA43" s="51"/>
      <c r="JUB43" s="51"/>
      <c r="JUC43" s="51"/>
      <c r="JUD43" s="51"/>
      <c r="JUE43" s="51"/>
      <c r="JUF43" s="51"/>
      <c r="JUG43" s="51"/>
      <c r="JUH43" s="51"/>
      <c r="JUI43" s="51"/>
      <c r="JUJ43" s="51"/>
      <c r="JUK43" s="51"/>
      <c r="JUL43" s="51"/>
      <c r="JUM43" s="51"/>
      <c r="JUN43" s="51"/>
      <c r="JUO43" s="51"/>
      <c r="JUP43" s="51"/>
      <c r="JUQ43" s="51"/>
      <c r="JUR43" s="51"/>
      <c r="JUS43" s="51"/>
      <c r="JUT43" s="51"/>
      <c r="JUU43" s="51"/>
      <c r="JUV43" s="51"/>
      <c r="JUW43" s="51"/>
      <c r="JUX43" s="51"/>
      <c r="JUY43" s="51"/>
      <c r="JUZ43" s="51"/>
      <c r="JVA43" s="51"/>
      <c r="JVB43" s="51"/>
      <c r="JVC43" s="51"/>
      <c r="JVD43" s="51"/>
      <c r="JVE43" s="51"/>
      <c r="JVF43" s="51"/>
      <c r="JVG43" s="51"/>
      <c r="JVH43" s="51"/>
      <c r="JVI43" s="51"/>
      <c r="JVJ43" s="51"/>
      <c r="JVK43" s="51"/>
      <c r="JVL43" s="51"/>
      <c r="JVM43" s="51"/>
      <c r="JVN43" s="51"/>
      <c r="JVO43" s="51"/>
      <c r="JVP43" s="51"/>
      <c r="JVQ43" s="51"/>
      <c r="JVR43" s="51"/>
      <c r="JVS43" s="51"/>
      <c r="JVT43" s="51"/>
      <c r="JVU43" s="51"/>
      <c r="JVV43" s="51"/>
      <c r="JVW43" s="51"/>
      <c r="JVX43" s="51"/>
      <c r="JVY43" s="51"/>
      <c r="JVZ43" s="51"/>
      <c r="JWA43" s="51"/>
      <c r="JWB43" s="51"/>
      <c r="JWC43" s="51"/>
      <c r="JWD43" s="51"/>
      <c r="JWE43" s="51"/>
      <c r="JWF43" s="51"/>
      <c r="JWG43" s="51"/>
      <c r="JWH43" s="51"/>
      <c r="JWI43" s="51"/>
      <c r="JWJ43" s="51"/>
      <c r="JWK43" s="51"/>
      <c r="JWL43" s="51"/>
      <c r="JWM43" s="51"/>
      <c r="JWN43" s="51"/>
      <c r="JWO43" s="51"/>
      <c r="JWP43" s="51"/>
      <c r="JWQ43" s="51"/>
      <c r="JWR43" s="51"/>
      <c r="JWS43" s="51"/>
      <c r="JWT43" s="51"/>
      <c r="JWU43" s="51"/>
      <c r="JWV43" s="51"/>
      <c r="JWW43" s="51"/>
      <c r="JWX43" s="51"/>
      <c r="JWY43" s="51"/>
      <c r="JWZ43" s="51"/>
      <c r="JXA43" s="51"/>
      <c r="JXB43" s="51"/>
      <c r="JXC43" s="51"/>
      <c r="JXD43" s="51"/>
      <c r="JXE43" s="51"/>
      <c r="JXF43" s="51"/>
      <c r="JXG43" s="51"/>
      <c r="JXH43" s="51"/>
      <c r="JXI43" s="51"/>
      <c r="JXJ43" s="51"/>
      <c r="JXK43" s="51"/>
      <c r="JXL43" s="51"/>
      <c r="JXM43" s="51"/>
      <c r="JXN43" s="51"/>
      <c r="JXO43" s="51"/>
      <c r="JXP43" s="51"/>
      <c r="JXQ43" s="51"/>
      <c r="JXR43" s="51"/>
      <c r="JXS43" s="51"/>
      <c r="JXT43" s="51"/>
      <c r="JXU43" s="51"/>
      <c r="JXV43" s="51"/>
      <c r="JXW43" s="51"/>
      <c r="JXX43" s="51"/>
      <c r="JXY43" s="51"/>
      <c r="JXZ43" s="51"/>
      <c r="JYA43" s="51"/>
      <c r="JYB43" s="51"/>
      <c r="JYC43" s="51"/>
      <c r="JYD43" s="51"/>
      <c r="JYE43" s="51"/>
      <c r="JYF43" s="51"/>
      <c r="JYG43" s="51"/>
      <c r="JYH43" s="51"/>
      <c r="JYI43" s="51"/>
      <c r="JYJ43" s="51"/>
      <c r="JYK43" s="51"/>
      <c r="JYL43" s="51"/>
      <c r="JYM43" s="51"/>
      <c r="JYN43" s="51"/>
      <c r="JYO43" s="51"/>
      <c r="JYP43" s="51"/>
      <c r="JYQ43" s="51"/>
      <c r="JYR43" s="51"/>
      <c r="JYS43" s="51"/>
      <c r="JYT43" s="51"/>
      <c r="JYU43" s="51"/>
      <c r="JYV43" s="51"/>
      <c r="JYW43" s="51"/>
      <c r="JYX43" s="51"/>
      <c r="JYY43" s="51"/>
      <c r="JYZ43" s="51"/>
      <c r="JZA43" s="51"/>
      <c r="JZB43" s="51"/>
      <c r="JZC43" s="51"/>
      <c r="JZD43" s="51"/>
      <c r="JZE43" s="51"/>
      <c r="JZF43" s="51"/>
      <c r="JZG43" s="51"/>
      <c r="JZH43" s="51"/>
      <c r="JZI43" s="51"/>
      <c r="JZJ43" s="51"/>
      <c r="JZK43" s="51"/>
      <c r="JZL43" s="51"/>
      <c r="JZM43" s="51"/>
      <c r="JZN43" s="51"/>
      <c r="JZO43" s="51"/>
      <c r="JZP43" s="51"/>
      <c r="JZQ43" s="51"/>
      <c r="JZR43" s="51"/>
      <c r="JZS43" s="51"/>
      <c r="JZT43" s="51"/>
      <c r="JZU43" s="51"/>
      <c r="JZV43" s="51"/>
      <c r="JZW43" s="51"/>
      <c r="JZX43" s="51"/>
      <c r="JZY43" s="51"/>
      <c r="JZZ43" s="51"/>
      <c r="KAA43" s="51"/>
      <c r="KAB43" s="51"/>
      <c r="KAC43" s="51"/>
      <c r="KAD43" s="51"/>
      <c r="KAE43" s="51"/>
      <c r="KAF43" s="51"/>
      <c r="KAG43" s="51"/>
      <c r="KAH43" s="51"/>
      <c r="KAI43" s="51"/>
      <c r="KAJ43" s="51"/>
      <c r="KAK43" s="51"/>
      <c r="KAL43" s="51"/>
      <c r="KAM43" s="51"/>
      <c r="KAN43" s="51"/>
      <c r="KAO43" s="51"/>
      <c r="KAP43" s="51"/>
      <c r="KAQ43" s="51"/>
      <c r="KAR43" s="51"/>
      <c r="KAS43" s="51"/>
      <c r="KAT43" s="51"/>
      <c r="KAU43" s="51"/>
      <c r="KAV43" s="51"/>
      <c r="KAW43" s="51"/>
      <c r="KAX43" s="51"/>
      <c r="KAY43" s="51"/>
      <c r="KAZ43" s="51"/>
      <c r="KBA43" s="51"/>
      <c r="KBB43" s="51"/>
      <c r="KBC43" s="51"/>
      <c r="KBD43" s="51"/>
      <c r="KBE43" s="51"/>
      <c r="KBF43" s="51"/>
      <c r="KBG43" s="51"/>
      <c r="KBH43" s="51"/>
      <c r="KBI43" s="51"/>
      <c r="KBJ43" s="51"/>
      <c r="KBK43" s="51"/>
      <c r="KBL43" s="51"/>
      <c r="KBM43" s="51"/>
      <c r="KBN43" s="51"/>
      <c r="KBO43" s="51"/>
      <c r="KBP43" s="51"/>
      <c r="KBQ43" s="51"/>
      <c r="KBR43" s="51"/>
      <c r="KBS43" s="51"/>
      <c r="KBT43" s="51"/>
      <c r="KBU43" s="51"/>
      <c r="KBV43" s="51"/>
      <c r="KBW43" s="51"/>
      <c r="KBX43" s="51"/>
      <c r="KBY43" s="51"/>
      <c r="KBZ43" s="51"/>
      <c r="KCA43" s="51"/>
      <c r="KCB43" s="51"/>
      <c r="KCC43" s="51"/>
      <c r="KCD43" s="51"/>
      <c r="KCE43" s="51"/>
      <c r="KCF43" s="51"/>
      <c r="KCG43" s="51"/>
      <c r="KCH43" s="51"/>
      <c r="KCI43" s="51"/>
      <c r="KCJ43" s="51"/>
      <c r="KCK43" s="51"/>
      <c r="KCL43" s="51"/>
      <c r="KCM43" s="51"/>
      <c r="KCN43" s="51"/>
      <c r="KCO43" s="51"/>
      <c r="KCP43" s="51"/>
      <c r="KCQ43" s="51"/>
      <c r="KCR43" s="51"/>
      <c r="KCS43" s="51"/>
      <c r="KCT43" s="51"/>
      <c r="KCU43" s="51"/>
      <c r="KCV43" s="51"/>
      <c r="KCW43" s="51"/>
      <c r="KCX43" s="51"/>
      <c r="KCY43" s="51"/>
      <c r="KCZ43" s="51"/>
      <c r="KDA43" s="51"/>
      <c r="KDB43" s="51"/>
      <c r="KDC43" s="51"/>
      <c r="KDD43" s="51"/>
      <c r="KDE43" s="51"/>
      <c r="KDF43" s="51"/>
      <c r="KDG43" s="51"/>
      <c r="KDH43" s="51"/>
      <c r="KDI43" s="51"/>
      <c r="KDJ43" s="51"/>
      <c r="KDK43" s="51"/>
      <c r="KDL43" s="51"/>
      <c r="KDM43" s="51"/>
      <c r="KDN43" s="51"/>
      <c r="KDO43" s="51"/>
      <c r="KDP43" s="51"/>
      <c r="KDQ43" s="51"/>
      <c r="KDR43" s="51"/>
      <c r="KDS43" s="51"/>
      <c r="KDT43" s="51"/>
      <c r="KDU43" s="51"/>
      <c r="KDV43" s="51"/>
      <c r="KDW43" s="51"/>
      <c r="KDX43" s="51"/>
      <c r="KDY43" s="51"/>
      <c r="KDZ43" s="51"/>
      <c r="KEA43" s="51"/>
      <c r="KEB43" s="51"/>
      <c r="KEC43" s="51"/>
      <c r="KED43" s="51"/>
      <c r="KEE43" s="51"/>
      <c r="KEF43" s="51"/>
      <c r="KEG43" s="51"/>
      <c r="KEH43" s="51"/>
      <c r="KEI43" s="51"/>
      <c r="KEJ43" s="51"/>
      <c r="KEK43" s="51"/>
      <c r="KEL43" s="51"/>
      <c r="KEM43" s="51"/>
      <c r="KEN43" s="51"/>
      <c r="KEO43" s="51"/>
      <c r="KEP43" s="51"/>
      <c r="KEQ43" s="51"/>
      <c r="KER43" s="51"/>
      <c r="KES43" s="51"/>
      <c r="KET43" s="51"/>
      <c r="KEU43" s="51"/>
      <c r="KEV43" s="51"/>
      <c r="KEW43" s="51"/>
      <c r="KEX43" s="51"/>
      <c r="KEY43" s="51"/>
      <c r="KEZ43" s="51"/>
      <c r="KFA43" s="51"/>
      <c r="KFB43" s="51"/>
      <c r="KFC43" s="51"/>
      <c r="KFD43" s="51"/>
      <c r="KFE43" s="51"/>
      <c r="KFF43" s="51"/>
      <c r="KFG43" s="51"/>
      <c r="KFH43" s="51"/>
      <c r="KFI43" s="51"/>
      <c r="KFJ43" s="51"/>
      <c r="KFK43" s="51"/>
      <c r="KFL43" s="51"/>
      <c r="KFM43" s="51"/>
      <c r="KFN43" s="51"/>
      <c r="KFO43" s="51"/>
      <c r="KFP43" s="51"/>
      <c r="KFQ43" s="51"/>
      <c r="KFR43" s="51"/>
      <c r="KFS43" s="51"/>
      <c r="KFT43" s="51"/>
      <c r="KFU43" s="51"/>
      <c r="KFV43" s="51"/>
      <c r="KFW43" s="51"/>
      <c r="KFX43" s="51"/>
      <c r="KFY43" s="51"/>
      <c r="KFZ43" s="51"/>
      <c r="KGA43" s="51"/>
      <c r="KGB43" s="51"/>
      <c r="KGC43" s="51"/>
      <c r="KGD43" s="51"/>
      <c r="KGE43" s="51"/>
      <c r="KGF43" s="51"/>
      <c r="KGG43" s="51"/>
      <c r="KGH43" s="51"/>
      <c r="KGI43" s="51"/>
      <c r="KGJ43" s="51"/>
      <c r="KGK43" s="51"/>
      <c r="KGL43" s="51"/>
      <c r="KGM43" s="51"/>
      <c r="KGN43" s="51"/>
      <c r="KGO43" s="51"/>
      <c r="KGP43" s="51"/>
      <c r="KGQ43" s="51"/>
      <c r="KGR43" s="51"/>
      <c r="KGS43" s="51"/>
      <c r="KGT43" s="51"/>
      <c r="KGU43" s="51"/>
      <c r="KGV43" s="51"/>
      <c r="KGW43" s="51"/>
      <c r="KGX43" s="51"/>
      <c r="KGY43" s="51"/>
      <c r="KGZ43" s="51"/>
      <c r="KHA43" s="51"/>
      <c r="KHB43" s="51"/>
      <c r="KHC43" s="51"/>
      <c r="KHD43" s="51"/>
      <c r="KHE43" s="51"/>
      <c r="KHF43" s="51"/>
      <c r="KHG43" s="51"/>
      <c r="KHH43" s="51"/>
      <c r="KHI43" s="51"/>
      <c r="KHJ43" s="51"/>
      <c r="KHK43" s="51"/>
      <c r="KHL43" s="51"/>
      <c r="KHM43" s="51"/>
      <c r="KHN43" s="51"/>
      <c r="KHO43" s="51"/>
      <c r="KHP43" s="51"/>
      <c r="KHQ43" s="51"/>
      <c r="KHR43" s="51"/>
      <c r="KHS43" s="51"/>
      <c r="KHT43" s="51"/>
      <c r="KHU43" s="51"/>
      <c r="KHV43" s="51"/>
      <c r="KHW43" s="51"/>
      <c r="KHX43" s="51"/>
      <c r="KHY43" s="51"/>
      <c r="KHZ43" s="51"/>
      <c r="KIA43" s="51"/>
      <c r="KIB43" s="51"/>
      <c r="KIC43" s="51"/>
      <c r="KID43" s="51"/>
      <c r="KIE43" s="51"/>
      <c r="KIF43" s="51"/>
      <c r="KIG43" s="51"/>
      <c r="KIH43" s="51"/>
      <c r="KII43" s="51"/>
      <c r="KIJ43" s="51"/>
      <c r="KIK43" s="51"/>
      <c r="KIL43" s="51"/>
      <c r="KIM43" s="51"/>
      <c r="KIN43" s="51"/>
      <c r="KIO43" s="51"/>
      <c r="KIP43" s="51"/>
      <c r="KIQ43" s="51"/>
      <c r="KIR43" s="51"/>
      <c r="KIS43" s="51"/>
      <c r="KIT43" s="51"/>
      <c r="KIU43" s="51"/>
      <c r="KIV43" s="51"/>
      <c r="KIW43" s="51"/>
      <c r="KIX43" s="51"/>
      <c r="KIY43" s="51"/>
      <c r="KIZ43" s="51"/>
      <c r="KJA43" s="51"/>
      <c r="KJB43" s="51"/>
      <c r="KJC43" s="51"/>
      <c r="KJD43" s="51"/>
      <c r="KJE43" s="51"/>
      <c r="KJF43" s="51"/>
      <c r="KJG43" s="51"/>
      <c r="KJH43" s="51"/>
      <c r="KJI43" s="51"/>
      <c r="KJJ43" s="51"/>
      <c r="KJK43" s="51"/>
      <c r="KJL43" s="51"/>
      <c r="KJM43" s="51"/>
      <c r="KJN43" s="51"/>
      <c r="KJO43" s="51"/>
      <c r="KJP43" s="51"/>
      <c r="KJQ43" s="51"/>
      <c r="KJR43" s="51"/>
      <c r="KJS43" s="51"/>
      <c r="KJT43" s="51"/>
      <c r="KJU43" s="51"/>
      <c r="KJV43" s="51"/>
      <c r="KJW43" s="51"/>
      <c r="KJX43" s="51"/>
      <c r="KJY43" s="51"/>
      <c r="KJZ43" s="51"/>
      <c r="KKA43" s="51"/>
      <c r="KKB43" s="51"/>
      <c r="KKC43" s="51"/>
      <c r="KKD43" s="51"/>
      <c r="KKE43" s="51"/>
      <c r="KKF43" s="51"/>
      <c r="KKG43" s="51"/>
      <c r="KKH43" s="51"/>
      <c r="KKI43" s="51"/>
      <c r="KKJ43" s="51"/>
      <c r="KKK43" s="51"/>
      <c r="KKL43" s="51"/>
      <c r="KKM43" s="51"/>
      <c r="KKN43" s="51"/>
      <c r="KKO43" s="51"/>
      <c r="KKP43" s="51"/>
      <c r="KKQ43" s="51"/>
      <c r="KKR43" s="51"/>
      <c r="KKS43" s="51"/>
      <c r="KKT43" s="51"/>
      <c r="KKU43" s="51"/>
      <c r="KKV43" s="51"/>
      <c r="KKW43" s="51"/>
      <c r="KKX43" s="51"/>
      <c r="KKY43" s="51"/>
      <c r="KKZ43" s="51"/>
      <c r="KLA43" s="51"/>
      <c r="KLB43" s="51"/>
      <c r="KLC43" s="51"/>
      <c r="KLD43" s="51"/>
      <c r="KLE43" s="51"/>
      <c r="KLF43" s="51"/>
      <c r="KLG43" s="51"/>
      <c r="KLH43" s="51"/>
      <c r="KLI43" s="51"/>
      <c r="KLJ43" s="51"/>
      <c r="KLK43" s="51"/>
      <c r="KLL43" s="51"/>
      <c r="KLM43" s="51"/>
      <c r="KLN43" s="51"/>
      <c r="KLO43" s="51"/>
      <c r="KLP43" s="51"/>
      <c r="KLQ43" s="51"/>
      <c r="KLR43" s="51"/>
      <c r="KLS43" s="51"/>
      <c r="KLT43" s="51"/>
      <c r="KLU43" s="51"/>
      <c r="KLV43" s="51"/>
      <c r="KLW43" s="51"/>
      <c r="KLX43" s="51"/>
      <c r="KLY43" s="51"/>
      <c r="KLZ43" s="51"/>
      <c r="KMA43" s="51"/>
      <c r="KMB43" s="51"/>
      <c r="KMC43" s="51"/>
      <c r="KMD43" s="51"/>
      <c r="KME43" s="51"/>
      <c r="KMF43" s="51"/>
      <c r="KMG43" s="51"/>
      <c r="KMH43" s="51"/>
      <c r="KMI43" s="51"/>
      <c r="KMJ43" s="51"/>
      <c r="KMK43" s="51"/>
      <c r="KML43" s="51"/>
      <c r="KMM43" s="51"/>
      <c r="KMN43" s="51"/>
      <c r="KMO43" s="51"/>
      <c r="KMP43" s="51"/>
      <c r="KMQ43" s="51"/>
      <c r="KMR43" s="51"/>
      <c r="KMS43" s="51"/>
      <c r="KMT43" s="51"/>
      <c r="KMU43" s="51"/>
      <c r="KMV43" s="51"/>
      <c r="KMW43" s="51"/>
      <c r="KMX43" s="51"/>
      <c r="KMY43" s="51"/>
      <c r="KMZ43" s="51"/>
      <c r="KNA43" s="51"/>
      <c r="KNB43" s="51"/>
      <c r="KNC43" s="51"/>
      <c r="KND43" s="51"/>
      <c r="KNE43" s="51"/>
      <c r="KNF43" s="51"/>
      <c r="KNG43" s="51"/>
      <c r="KNH43" s="51"/>
      <c r="KNI43" s="51"/>
      <c r="KNJ43" s="51"/>
      <c r="KNK43" s="51"/>
      <c r="KNL43" s="51"/>
      <c r="KNM43" s="51"/>
      <c r="KNN43" s="51"/>
      <c r="KNO43" s="51"/>
      <c r="KNP43" s="51"/>
      <c r="KNQ43" s="51"/>
      <c r="KNR43" s="51"/>
      <c r="KNS43" s="51"/>
      <c r="KNT43" s="51"/>
      <c r="KNU43" s="51"/>
      <c r="KNV43" s="51"/>
      <c r="KNW43" s="51"/>
      <c r="KNX43" s="51"/>
      <c r="KNY43" s="51"/>
      <c r="KNZ43" s="51"/>
      <c r="KOA43" s="51"/>
      <c r="KOB43" s="51"/>
      <c r="KOC43" s="51"/>
      <c r="KOD43" s="51"/>
      <c r="KOE43" s="51"/>
      <c r="KOF43" s="51"/>
      <c r="KOG43" s="51"/>
      <c r="KOH43" s="51"/>
      <c r="KOI43" s="51"/>
      <c r="KOJ43" s="51"/>
      <c r="KOK43" s="51"/>
      <c r="KOL43" s="51"/>
      <c r="KOM43" s="51"/>
      <c r="KON43" s="51"/>
      <c r="KOO43" s="51"/>
      <c r="KOP43" s="51"/>
      <c r="KOQ43" s="51"/>
      <c r="KOR43" s="51"/>
      <c r="KOS43" s="51"/>
      <c r="KOT43" s="51"/>
      <c r="KOU43" s="51"/>
      <c r="KOV43" s="51"/>
      <c r="KOW43" s="51"/>
      <c r="KOX43" s="51"/>
      <c r="KOY43" s="51"/>
      <c r="KOZ43" s="51"/>
      <c r="KPA43" s="51"/>
      <c r="KPB43" s="51"/>
      <c r="KPC43" s="51"/>
      <c r="KPD43" s="51"/>
      <c r="KPE43" s="51"/>
      <c r="KPF43" s="51"/>
      <c r="KPG43" s="51"/>
      <c r="KPH43" s="51"/>
      <c r="KPI43" s="51"/>
      <c r="KPJ43" s="51"/>
      <c r="KPK43" s="51"/>
      <c r="KPL43" s="51"/>
      <c r="KPM43" s="51"/>
      <c r="KPN43" s="51"/>
      <c r="KPO43" s="51"/>
      <c r="KPP43" s="51"/>
      <c r="KPQ43" s="51"/>
      <c r="KPR43" s="51"/>
      <c r="KPS43" s="51"/>
      <c r="KPT43" s="51"/>
      <c r="KPU43" s="51"/>
      <c r="KPV43" s="51"/>
      <c r="KPW43" s="51"/>
      <c r="KPX43" s="51"/>
      <c r="KPY43" s="51"/>
      <c r="KPZ43" s="51"/>
      <c r="KQA43" s="51"/>
      <c r="KQB43" s="51"/>
      <c r="KQC43" s="51"/>
      <c r="KQD43" s="51"/>
      <c r="KQE43" s="51"/>
      <c r="KQF43" s="51"/>
      <c r="KQG43" s="51"/>
      <c r="KQH43" s="51"/>
      <c r="KQI43" s="51"/>
      <c r="KQJ43" s="51"/>
      <c r="KQK43" s="51"/>
      <c r="KQL43" s="51"/>
      <c r="KQM43" s="51"/>
      <c r="KQN43" s="51"/>
      <c r="KQO43" s="51"/>
      <c r="KQP43" s="51"/>
      <c r="KQQ43" s="51"/>
      <c r="KQR43" s="51"/>
      <c r="KQS43" s="51"/>
      <c r="KQT43" s="51"/>
      <c r="KQU43" s="51"/>
      <c r="KQV43" s="51"/>
      <c r="KQW43" s="51"/>
      <c r="KQX43" s="51"/>
      <c r="KQY43" s="51"/>
      <c r="KQZ43" s="51"/>
      <c r="KRA43" s="51"/>
      <c r="KRB43" s="51"/>
      <c r="KRC43" s="51"/>
      <c r="KRD43" s="51"/>
      <c r="KRE43" s="51"/>
      <c r="KRF43" s="51"/>
      <c r="KRG43" s="51"/>
      <c r="KRH43" s="51"/>
      <c r="KRI43" s="51"/>
      <c r="KRJ43" s="51"/>
      <c r="KRK43" s="51"/>
      <c r="KRL43" s="51"/>
      <c r="KRM43" s="51"/>
      <c r="KRN43" s="51"/>
      <c r="KRO43" s="51"/>
      <c r="KRP43" s="51"/>
      <c r="KRQ43" s="51"/>
      <c r="KRR43" s="51"/>
      <c r="KRS43" s="51"/>
      <c r="KRT43" s="51"/>
      <c r="KRU43" s="51"/>
      <c r="KRV43" s="51"/>
      <c r="KRW43" s="51"/>
      <c r="KRX43" s="51"/>
      <c r="KRY43" s="51"/>
      <c r="KRZ43" s="51"/>
      <c r="KSA43" s="51"/>
      <c r="KSB43" s="51"/>
      <c r="KSC43" s="51"/>
      <c r="KSD43" s="51"/>
      <c r="KSE43" s="51"/>
      <c r="KSF43" s="51"/>
      <c r="KSG43" s="51"/>
      <c r="KSH43" s="51"/>
      <c r="KSI43" s="51"/>
      <c r="KSJ43" s="51"/>
      <c r="KSK43" s="51"/>
      <c r="KSL43" s="51"/>
      <c r="KSM43" s="51"/>
      <c r="KSN43" s="51"/>
      <c r="KSO43" s="51"/>
      <c r="KSP43" s="51"/>
      <c r="KSQ43" s="51"/>
      <c r="KSR43" s="51"/>
      <c r="KSS43" s="51"/>
      <c r="KST43" s="51"/>
      <c r="KSU43" s="51"/>
      <c r="KSV43" s="51"/>
      <c r="KSW43" s="51"/>
      <c r="KSX43" s="51"/>
      <c r="KSY43" s="51"/>
      <c r="KSZ43" s="51"/>
      <c r="KTA43" s="51"/>
      <c r="KTB43" s="51"/>
      <c r="KTC43" s="51"/>
      <c r="KTD43" s="51"/>
      <c r="KTE43" s="51"/>
      <c r="KTF43" s="51"/>
      <c r="KTG43" s="51"/>
      <c r="KTH43" s="51"/>
      <c r="KTI43" s="51"/>
      <c r="KTJ43" s="51"/>
      <c r="KTK43" s="51"/>
      <c r="KTL43" s="51"/>
      <c r="KTM43" s="51"/>
      <c r="KTN43" s="51"/>
      <c r="KTO43" s="51"/>
      <c r="KTP43" s="51"/>
      <c r="KTQ43" s="51"/>
      <c r="KTR43" s="51"/>
      <c r="KTS43" s="51"/>
      <c r="KTT43" s="51"/>
      <c r="KTU43" s="51"/>
      <c r="KTV43" s="51"/>
      <c r="KTW43" s="51"/>
      <c r="KTX43" s="51"/>
      <c r="KTY43" s="51"/>
      <c r="KTZ43" s="51"/>
      <c r="KUA43" s="51"/>
      <c r="KUB43" s="51"/>
      <c r="KUC43" s="51"/>
      <c r="KUD43" s="51"/>
      <c r="KUE43" s="51"/>
      <c r="KUF43" s="51"/>
      <c r="KUG43" s="51"/>
      <c r="KUH43" s="51"/>
      <c r="KUI43" s="51"/>
      <c r="KUJ43" s="51"/>
      <c r="KUK43" s="51"/>
      <c r="KUL43" s="51"/>
      <c r="KUM43" s="51"/>
      <c r="KUN43" s="51"/>
      <c r="KUO43" s="51"/>
      <c r="KUP43" s="51"/>
      <c r="KUQ43" s="51"/>
      <c r="KUR43" s="51"/>
      <c r="KUS43" s="51"/>
      <c r="KUT43" s="51"/>
      <c r="KUU43" s="51"/>
      <c r="KUV43" s="51"/>
      <c r="KUW43" s="51"/>
      <c r="KUX43" s="51"/>
      <c r="KUY43" s="51"/>
      <c r="KUZ43" s="51"/>
      <c r="KVA43" s="51"/>
      <c r="KVB43" s="51"/>
      <c r="KVC43" s="51"/>
      <c r="KVD43" s="51"/>
      <c r="KVE43" s="51"/>
      <c r="KVF43" s="51"/>
      <c r="KVG43" s="51"/>
      <c r="KVH43" s="51"/>
      <c r="KVI43" s="51"/>
      <c r="KVJ43" s="51"/>
      <c r="KVK43" s="51"/>
      <c r="KVL43" s="51"/>
      <c r="KVM43" s="51"/>
      <c r="KVN43" s="51"/>
      <c r="KVO43" s="51"/>
      <c r="KVP43" s="51"/>
      <c r="KVQ43" s="51"/>
      <c r="KVR43" s="51"/>
      <c r="KVS43" s="51"/>
      <c r="KVT43" s="51"/>
      <c r="KVU43" s="51"/>
      <c r="KVV43" s="51"/>
      <c r="KVW43" s="51"/>
      <c r="KVX43" s="51"/>
      <c r="KVY43" s="51"/>
      <c r="KVZ43" s="51"/>
      <c r="KWA43" s="51"/>
      <c r="KWB43" s="51"/>
      <c r="KWC43" s="51"/>
      <c r="KWD43" s="51"/>
      <c r="KWE43" s="51"/>
      <c r="KWF43" s="51"/>
      <c r="KWG43" s="51"/>
      <c r="KWH43" s="51"/>
      <c r="KWI43" s="51"/>
      <c r="KWJ43" s="51"/>
      <c r="KWK43" s="51"/>
      <c r="KWL43" s="51"/>
      <c r="KWM43" s="51"/>
      <c r="KWN43" s="51"/>
      <c r="KWO43" s="51"/>
      <c r="KWP43" s="51"/>
      <c r="KWQ43" s="51"/>
      <c r="KWR43" s="51"/>
      <c r="KWS43" s="51"/>
      <c r="KWT43" s="51"/>
      <c r="KWU43" s="51"/>
      <c r="KWV43" s="51"/>
      <c r="KWW43" s="51"/>
      <c r="KWX43" s="51"/>
      <c r="KWY43" s="51"/>
      <c r="KWZ43" s="51"/>
      <c r="KXA43" s="51"/>
      <c r="KXB43" s="51"/>
      <c r="KXC43" s="51"/>
      <c r="KXD43" s="51"/>
      <c r="KXE43" s="51"/>
      <c r="KXF43" s="51"/>
      <c r="KXG43" s="51"/>
      <c r="KXH43" s="51"/>
      <c r="KXI43" s="51"/>
      <c r="KXJ43" s="51"/>
      <c r="KXK43" s="51"/>
      <c r="KXL43" s="51"/>
      <c r="KXM43" s="51"/>
      <c r="KXN43" s="51"/>
      <c r="KXO43" s="51"/>
      <c r="KXP43" s="51"/>
      <c r="KXQ43" s="51"/>
      <c r="KXR43" s="51"/>
      <c r="KXS43" s="51"/>
      <c r="KXT43" s="51"/>
      <c r="KXU43" s="51"/>
      <c r="KXV43" s="51"/>
      <c r="KXW43" s="51"/>
      <c r="KXX43" s="51"/>
      <c r="KXY43" s="51"/>
      <c r="KXZ43" s="51"/>
      <c r="KYA43" s="51"/>
      <c r="KYB43" s="51"/>
      <c r="KYC43" s="51"/>
      <c r="KYD43" s="51"/>
      <c r="KYE43" s="51"/>
      <c r="KYF43" s="51"/>
      <c r="KYG43" s="51"/>
      <c r="KYH43" s="51"/>
      <c r="KYI43" s="51"/>
      <c r="KYJ43" s="51"/>
      <c r="KYK43" s="51"/>
      <c r="KYL43" s="51"/>
      <c r="KYM43" s="51"/>
      <c r="KYN43" s="51"/>
      <c r="KYO43" s="51"/>
      <c r="KYP43" s="51"/>
      <c r="KYQ43" s="51"/>
      <c r="KYR43" s="51"/>
      <c r="KYS43" s="51"/>
      <c r="KYT43" s="51"/>
      <c r="KYU43" s="51"/>
      <c r="KYV43" s="51"/>
      <c r="KYW43" s="51"/>
      <c r="KYX43" s="51"/>
      <c r="KYY43" s="51"/>
      <c r="KYZ43" s="51"/>
      <c r="KZA43" s="51"/>
      <c r="KZB43" s="51"/>
      <c r="KZC43" s="51"/>
      <c r="KZD43" s="51"/>
      <c r="KZE43" s="51"/>
      <c r="KZF43" s="51"/>
      <c r="KZG43" s="51"/>
      <c r="KZH43" s="51"/>
      <c r="KZI43" s="51"/>
      <c r="KZJ43" s="51"/>
      <c r="KZK43" s="51"/>
      <c r="KZL43" s="51"/>
      <c r="KZM43" s="51"/>
      <c r="KZN43" s="51"/>
      <c r="KZO43" s="51"/>
      <c r="KZP43" s="51"/>
      <c r="KZQ43" s="51"/>
      <c r="KZR43" s="51"/>
      <c r="KZS43" s="51"/>
      <c r="KZT43" s="51"/>
      <c r="KZU43" s="51"/>
      <c r="KZV43" s="51"/>
      <c r="KZW43" s="51"/>
      <c r="KZX43" s="51"/>
      <c r="KZY43" s="51"/>
      <c r="KZZ43" s="51"/>
      <c r="LAA43" s="51"/>
      <c r="LAB43" s="51"/>
      <c r="LAC43" s="51"/>
      <c r="LAD43" s="51"/>
      <c r="LAE43" s="51"/>
      <c r="LAF43" s="51"/>
      <c r="LAG43" s="51"/>
      <c r="LAH43" s="51"/>
      <c r="LAI43" s="51"/>
      <c r="LAJ43" s="51"/>
      <c r="LAK43" s="51"/>
      <c r="LAL43" s="51"/>
      <c r="LAM43" s="51"/>
      <c r="LAN43" s="51"/>
      <c r="LAO43" s="51"/>
      <c r="LAP43" s="51"/>
      <c r="LAQ43" s="51"/>
      <c r="LAR43" s="51"/>
      <c r="LAS43" s="51"/>
      <c r="LAT43" s="51"/>
      <c r="LAU43" s="51"/>
      <c r="LAV43" s="51"/>
      <c r="LAW43" s="51"/>
      <c r="LAX43" s="51"/>
      <c r="LAY43" s="51"/>
      <c r="LAZ43" s="51"/>
      <c r="LBA43" s="51"/>
      <c r="LBB43" s="51"/>
      <c r="LBC43" s="51"/>
      <c r="LBD43" s="51"/>
      <c r="LBE43" s="51"/>
      <c r="LBF43" s="51"/>
      <c r="LBG43" s="51"/>
      <c r="LBH43" s="51"/>
      <c r="LBI43" s="51"/>
      <c r="LBJ43" s="51"/>
      <c r="LBK43" s="51"/>
      <c r="LBL43" s="51"/>
      <c r="LBM43" s="51"/>
      <c r="LBN43" s="51"/>
      <c r="LBO43" s="51"/>
      <c r="LBP43" s="51"/>
      <c r="LBQ43" s="51"/>
      <c r="LBR43" s="51"/>
      <c r="LBS43" s="51"/>
      <c r="LBT43" s="51"/>
      <c r="LBU43" s="51"/>
      <c r="LBV43" s="51"/>
      <c r="LBW43" s="51"/>
      <c r="LBX43" s="51"/>
      <c r="LBY43" s="51"/>
      <c r="LBZ43" s="51"/>
      <c r="LCA43" s="51"/>
      <c r="LCB43" s="51"/>
      <c r="LCC43" s="51"/>
      <c r="LCD43" s="51"/>
      <c r="LCE43" s="51"/>
      <c r="LCF43" s="51"/>
      <c r="LCG43" s="51"/>
      <c r="LCH43" s="51"/>
      <c r="LCI43" s="51"/>
      <c r="LCJ43" s="51"/>
      <c r="LCK43" s="51"/>
      <c r="LCL43" s="51"/>
      <c r="LCM43" s="51"/>
      <c r="LCN43" s="51"/>
      <c r="LCO43" s="51"/>
      <c r="LCP43" s="51"/>
      <c r="LCQ43" s="51"/>
      <c r="LCR43" s="51"/>
      <c r="LCS43" s="51"/>
      <c r="LCT43" s="51"/>
      <c r="LCU43" s="51"/>
      <c r="LCV43" s="51"/>
      <c r="LCW43" s="51"/>
      <c r="LCX43" s="51"/>
      <c r="LCY43" s="51"/>
      <c r="LCZ43" s="51"/>
      <c r="LDA43" s="51"/>
      <c r="LDB43" s="51"/>
      <c r="LDC43" s="51"/>
      <c r="LDD43" s="51"/>
      <c r="LDE43" s="51"/>
      <c r="LDF43" s="51"/>
      <c r="LDG43" s="51"/>
      <c r="LDH43" s="51"/>
      <c r="LDI43" s="51"/>
      <c r="LDJ43" s="51"/>
      <c r="LDK43" s="51"/>
      <c r="LDL43" s="51"/>
      <c r="LDM43" s="51"/>
      <c r="LDN43" s="51"/>
      <c r="LDO43" s="51"/>
      <c r="LDP43" s="51"/>
      <c r="LDQ43" s="51"/>
      <c r="LDR43" s="51"/>
      <c r="LDS43" s="51"/>
      <c r="LDT43" s="51"/>
      <c r="LDU43" s="51"/>
      <c r="LDV43" s="51"/>
      <c r="LDW43" s="51"/>
      <c r="LDX43" s="51"/>
      <c r="LDY43" s="51"/>
      <c r="LDZ43" s="51"/>
      <c r="LEA43" s="51"/>
      <c r="LEB43" s="51"/>
      <c r="LEC43" s="51"/>
      <c r="LED43" s="51"/>
      <c r="LEE43" s="51"/>
      <c r="LEF43" s="51"/>
      <c r="LEG43" s="51"/>
      <c r="LEH43" s="51"/>
      <c r="LEI43" s="51"/>
      <c r="LEJ43" s="51"/>
      <c r="LEK43" s="51"/>
      <c r="LEL43" s="51"/>
      <c r="LEM43" s="51"/>
      <c r="LEN43" s="51"/>
      <c r="LEO43" s="51"/>
      <c r="LEP43" s="51"/>
      <c r="LEQ43" s="51"/>
      <c r="LER43" s="51"/>
      <c r="LES43" s="51"/>
      <c r="LET43" s="51"/>
      <c r="LEU43" s="51"/>
      <c r="LEV43" s="51"/>
      <c r="LEW43" s="51"/>
      <c r="LEX43" s="51"/>
      <c r="LEY43" s="51"/>
      <c r="LEZ43" s="51"/>
      <c r="LFA43" s="51"/>
      <c r="LFB43" s="51"/>
      <c r="LFC43" s="51"/>
      <c r="LFD43" s="51"/>
      <c r="LFE43" s="51"/>
      <c r="LFF43" s="51"/>
      <c r="LFG43" s="51"/>
      <c r="LFH43" s="51"/>
      <c r="LFI43" s="51"/>
      <c r="LFJ43" s="51"/>
      <c r="LFK43" s="51"/>
      <c r="LFL43" s="51"/>
      <c r="LFM43" s="51"/>
      <c r="LFN43" s="51"/>
      <c r="LFO43" s="51"/>
      <c r="LFP43" s="51"/>
      <c r="LFQ43" s="51"/>
      <c r="LFR43" s="51"/>
      <c r="LFS43" s="51"/>
      <c r="LFT43" s="51"/>
      <c r="LFU43" s="51"/>
      <c r="LFV43" s="51"/>
      <c r="LFW43" s="51"/>
      <c r="LFX43" s="51"/>
      <c r="LFY43" s="51"/>
      <c r="LFZ43" s="51"/>
      <c r="LGA43" s="51"/>
      <c r="LGB43" s="51"/>
      <c r="LGC43" s="51"/>
      <c r="LGD43" s="51"/>
      <c r="LGE43" s="51"/>
      <c r="LGF43" s="51"/>
      <c r="LGG43" s="51"/>
      <c r="LGH43" s="51"/>
      <c r="LGI43" s="51"/>
      <c r="LGJ43" s="51"/>
      <c r="LGK43" s="51"/>
      <c r="LGL43" s="51"/>
      <c r="LGM43" s="51"/>
      <c r="LGN43" s="51"/>
      <c r="LGO43" s="51"/>
      <c r="LGP43" s="51"/>
      <c r="LGQ43" s="51"/>
      <c r="LGR43" s="51"/>
      <c r="LGS43" s="51"/>
      <c r="LGT43" s="51"/>
      <c r="LGU43" s="51"/>
      <c r="LGV43" s="51"/>
      <c r="LGW43" s="51"/>
      <c r="LGX43" s="51"/>
      <c r="LGY43" s="51"/>
      <c r="LGZ43" s="51"/>
      <c r="LHA43" s="51"/>
      <c r="LHB43" s="51"/>
      <c r="LHC43" s="51"/>
      <c r="LHD43" s="51"/>
      <c r="LHE43" s="51"/>
      <c r="LHF43" s="51"/>
      <c r="LHG43" s="51"/>
      <c r="LHH43" s="51"/>
      <c r="LHI43" s="51"/>
      <c r="LHJ43" s="51"/>
      <c r="LHK43" s="51"/>
      <c r="LHL43" s="51"/>
      <c r="LHM43" s="51"/>
      <c r="LHN43" s="51"/>
      <c r="LHO43" s="51"/>
      <c r="LHP43" s="51"/>
      <c r="LHQ43" s="51"/>
      <c r="LHR43" s="51"/>
      <c r="LHS43" s="51"/>
      <c r="LHT43" s="51"/>
      <c r="LHU43" s="51"/>
      <c r="LHV43" s="51"/>
      <c r="LHW43" s="51"/>
      <c r="LHX43" s="51"/>
      <c r="LHY43" s="51"/>
      <c r="LHZ43" s="51"/>
      <c r="LIA43" s="51"/>
      <c r="LIB43" s="51"/>
      <c r="LIC43" s="51"/>
      <c r="LID43" s="51"/>
      <c r="LIE43" s="51"/>
      <c r="LIF43" s="51"/>
      <c r="LIG43" s="51"/>
      <c r="LIH43" s="51"/>
      <c r="LII43" s="51"/>
      <c r="LIJ43" s="51"/>
      <c r="LIK43" s="51"/>
      <c r="LIL43" s="51"/>
      <c r="LIM43" s="51"/>
      <c r="LIN43" s="51"/>
      <c r="LIO43" s="51"/>
      <c r="LIP43" s="51"/>
      <c r="LIQ43" s="51"/>
      <c r="LIR43" s="51"/>
      <c r="LIS43" s="51"/>
      <c r="LIT43" s="51"/>
      <c r="LIU43" s="51"/>
      <c r="LIV43" s="51"/>
      <c r="LIW43" s="51"/>
      <c r="LIX43" s="51"/>
      <c r="LIY43" s="51"/>
      <c r="LIZ43" s="51"/>
      <c r="LJA43" s="51"/>
      <c r="LJB43" s="51"/>
      <c r="LJC43" s="51"/>
      <c r="LJD43" s="51"/>
      <c r="LJE43" s="51"/>
      <c r="LJF43" s="51"/>
      <c r="LJG43" s="51"/>
      <c r="LJH43" s="51"/>
      <c r="LJI43" s="51"/>
      <c r="LJJ43" s="51"/>
      <c r="LJK43" s="51"/>
      <c r="LJL43" s="51"/>
      <c r="LJM43" s="51"/>
      <c r="LJN43" s="51"/>
      <c r="LJO43" s="51"/>
      <c r="LJP43" s="51"/>
      <c r="LJQ43" s="51"/>
      <c r="LJR43" s="51"/>
      <c r="LJS43" s="51"/>
      <c r="LJT43" s="51"/>
      <c r="LJU43" s="51"/>
      <c r="LJV43" s="51"/>
      <c r="LJW43" s="51"/>
      <c r="LJX43" s="51"/>
      <c r="LJY43" s="51"/>
      <c r="LJZ43" s="51"/>
      <c r="LKA43" s="51"/>
      <c r="LKB43" s="51"/>
      <c r="LKC43" s="51"/>
      <c r="LKD43" s="51"/>
      <c r="LKE43" s="51"/>
      <c r="LKF43" s="51"/>
      <c r="LKG43" s="51"/>
      <c r="LKH43" s="51"/>
      <c r="LKI43" s="51"/>
      <c r="LKJ43" s="51"/>
      <c r="LKK43" s="51"/>
      <c r="LKL43" s="51"/>
      <c r="LKM43" s="51"/>
      <c r="LKN43" s="51"/>
      <c r="LKO43" s="51"/>
      <c r="LKP43" s="51"/>
      <c r="LKQ43" s="51"/>
      <c r="LKR43" s="51"/>
      <c r="LKS43" s="51"/>
      <c r="LKT43" s="51"/>
      <c r="LKU43" s="51"/>
      <c r="LKV43" s="51"/>
      <c r="LKW43" s="51"/>
      <c r="LKX43" s="51"/>
      <c r="LKY43" s="51"/>
      <c r="LKZ43" s="51"/>
      <c r="LLA43" s="51"/>
      <c r="LLB43" s="51"/>
      <c r="LLC43" s="51"/>
      <c r="LLD43" s="51"/>
      <c r="LLE43" s="51"/>
      <c r="LLF43" s="51"/>
      <c r="LLG43" s="51"/>
      <c r="LLH43" s="51"/>
      <c r="LLI43" s="51"/>
      <c r="LLJ43" s="51"/>
      <c r="LLK43" s="51"/>
      <c r="LLL43" s="51"/>
      <c r="LLM43" s="51"/>
      <c r="LLN43" s="51"/>
      <c r="LLO43" s="51"/>
      <c r="LLP43" s="51"/>
      <c r="LLQ43" s="51"/>
      <c r="LLR43" s="51"/>
      <c r="LLS43" s="51"/>
      <c r="LLT43" s="51"/>
      <c r="LLU43" s="51"/>
      <c r="LLV43" s="51"/>
      <c r="LLW43" s="51"/>
      <c r="LLX43" s="51"/>
      <c r="LLY43" s="51"/>
      <c r="LLZ43" s="51"/>
      <c r="LMA43" s="51"/>
      <c r="LMB43" s="51"/>
      <c r="LMC43" s="51"/>
      <c r="LMD43" s="51"/>
      <c r="LME43" s="51"/>
      <c r="LMF43" s="51"/>
      <c r="LMG43" s="51"/>
      <c r="LMH43" s="51"/>
      <c r="LMI43" s="51"/>
      <c r="LMJ43" s="51"/>
      <c r="LMK43" s="51"/>
      <c r="LML43" s="51"/>
      <c r="LMM43" s="51"/>
      <c r="LMN43" s="51"/>
      <c r="LMO43" s="51"/>
      <c r="LMP43" s="51"/>
      <c r="LMQ43" s="51"/>
      <c r="LMR43" s="51"/>
      <c r="LMS43" s="51"/>
      <c r="LMT43" s="51"/>
      <c r="LMU43" s="51"/>
      <c r="LMV43" s="51"/>
      <c r="LMW43" s="51"/>
      <c r="LMX43" s="51"/>
      <c r="LMY43" s="51"/>
      <c r="LMZ43" s="51"/>
      <c r="LNA43" s="51"/>
      <c r="LNB43" s="51"/>
      <c r="LNC43" s="51"/>
      <c r="LND43" s="51"/>
      <c r="LNE43" s="51"/>
      <c r="LNF43" s="51"/>
      <c r="LNG43" s="51"/>
      <c r="LNH43" s="51"/>
      <c r="LNI43" s="51"/>
      <c r="LNJ43" s="51"/>
      <c r="LNK43" s="51"/>
      <c r="LNL43" s="51"/>
      <c r="LNM43" s="51"/>
      <c r="LNN43" s="51"/>
      <c r="LNO43" s="51"/>
      <c r="LNP43" s="51"/>
      <c r="LNQ43" s="51"/>
      <c r="LNR43" s="51"/>
      <c r="LNS43" s="51"/>
      <c r="LNT43" s="51"/>
      <c r="LNU43" s="51"/>
      <c r="LNV43" s="51"/>
      <c r="LNW43" s="51"/>
      <c r="LNX43" s="51"/>
      <c r="LNY43" s="51"/>
      <c r="LNZ43" s="51"/>
      <c r="LOA43" s="51"/>
      <c r="LOB43" s="51"/>
      <c r="LOC43" s="51"/>
      <c r="LOD43" s="51"/>
      <c r="LOE43" s="51"/>
      <c r="LOF43" s="51"/>
      <c r="LOG43" s="51"/>
      <c r="LOH43" s="51"/>
      <c r="LOI43" s="51"/>
      <c r="LOJ43" s="51"/>
      <c r="LOK43" s="51"/>
      <c r="LOL43" s="51"/>
      <c r="LOM43" s="51"/>
      <c r="LON43" s="51"/>
      <c r="LOO43" s="51"/>
      <c r="LOP43" s="51"/>
      <c r="LOQ43" s="51"/>
      <c r="LOR43" s="51"/>
      <c r="LOS43" s="51"/>
      <c r="LOT43" s="51"/>
      <c r="LOU43" s="51"/>
      <c r="LOV43" s="51"/>
      <c r="LOW43" s="51"/>
      <c r="LOX43" s="51"/>
      <c r="LOY43" s="51"/>
      <c r="LOZ43" s="51"/>
      <c r="LPA43" s="51"/>
      <c r="LPB43" s="51"/>
      <c r="LPC43" s="51"/>
      <c r="LPD43" s="51"/>
      <c r="LPE43" s="51"/>
      <c r="LPF43" s="51"/>
      <c r="LPG43" s="51"/>
      <c r="LPH43" s="51"/>
      <c r="LPI43" s="51"/>
      <c r="LPJ43" s="51"/>
      <c r="LPK43" s="51"/>
      <c r="LPL43" s="51"/>
      <c r="LPM43" s="51"/>
      <c r="LPN43" s="51"/>
      <c r="LPO43" s="51"/>
      <c r="LPP43" s="51"/>
      <c r="LPQ43" s="51"/>
      <c r="LPR43" s="51"/>
      <c r="LPS43" s="51"/>
      <c r="LPT43" s="51"/>
      <c r="LPU43" s="51"/>
      <c r="LPV43" s="51"/>
      <c r="LPW43" s="51"/>
      <c r="LPX43" s="51"/>
      <c r="LPY43" s="51"/>
      <c r="LPZ43" s="51"/>
      <c r="LQA43" s="51"/>
      <c r="LQB43" s="51"/>
      <c r="LQC43" s="51"/>
      <c r="LQD43" s="51"/>
      <c r="LQE43" s="51"/>
      <c r="LQF43" s="51"/>
      <c r="LQG43" s="51"/>
      <c r="LQH43" s="51"/>
      <c r="LQI43" s="51"/>
      <c r="LQJ43" s="51"/>
      <c r="LQK43" s="51"/>
      <c r="LQL43" s="51"/>
      <c r="LQM43" s="51"/>
      <c r="LQN43" s="51"/>
      <c r="LQO43" s="51"/>
      <c r="LQP43" s="51"/>
      <c r="LQQ43" s="51"/>
      <c r="LQR43" s="51"/>
      <c r="LQS43" s="51"/>
      <c r="LQT43" s="51"/>
      <c r="LQU43" s="51"/>
      <c r="LQV43" s="51"/>
      <c r="LQW43" s="51"/>
      <c r="LQX43" s="51"/>
      <c r="LQY43" s="51"/>
      <c r="LQZ43" s="51"/>
      <c r="LRA43" s="51"/>
      <c r="LRB43" s="51"/>
      <c r="LRC43" s="51"/>
      <c r="LRD43" s="51"/>
      <c r="LRE43" s="51"/>
      <c r="LRF43" s="51"/>
      <c r="LRG43" s="51"/>
      <c r="LRH43" s="51"/>
      <c r="LRI43" s="51"/>
      <c r="LRJ43" s="51"/>
      <c r="LRK43" s="51"/>
      <c r="LRL43" s="51"/>
      <c r="LRM43" s="51"/>
      <c r="LRN43" s="51"/>
      <c r="LRO43" s="51"/>
      <c r="LRP43" s="51"/>
      <c r="LRQ43" s="51"/>
      <c r="LRR43" s="51"/>
      <c r="LRS43" s="51"/>
      <c r="LRT43" s="51"/>
      <c r="LRU43" s="51"/>
      <c r="LRV43" s="51"/>
      <c r="LRW43" s="51"/>
      <c r="LRX43" s="51"/>
      <c r="LRY43" s="51"/>
      <c r="LRZ43" s="51"/>
      <c r="LSA43" s="51"/>
      <c r="LSB43" s="51"/>
      <c r="LSC43" s="51"/>
      <c r="LSD43" s="51"/>
      <c r="LSE43" s="51"/>
      <c r="LSF43" s="51"/>
      <c r="LSG43" s="51"/>
      <c r="LSH43" s="51"/>
      <c r="LSI43" s="51"/>
      <c r="LSJ43" s="51"/>
      <c r="LSK43" s="51"/>
      <c r="LSL43" s="51"/>
      <c r="LSM43" s="51"/>
      <c r="LSN43" s="51"/>
      <c r="LSO43" s="51"/>
      <c r="LSP43" s="51"/>
      <c r="LSQ43" s="51"/>
      <c r="LSR43" s="51"/>
      <c r="LSS43" s="51"/>
      <c r="LST43" s="51"/>
      <c r="LSU43" s="51"/>
      <c r="LSV43" s="51"/>
      <c r="LSW43" s="51"/>
      <c r="LSX43" s="51"/>
      <c r="LSY43" s="51"/>
      <c r="LSZ43" s="51"/>
      <c r="LTA43" s="51"/>
      <c r="LTB43" s="51"/>
      <c r="LTC43" s="51"/>
      <c r="LTD43" s="51"/>
      <c r="LTE43" s="51"/>
      <c r="LTF43" s="51"/>
      <c r="LTG43" s="51"/>
      <c r="LTH43" s="51"/>
      <c r="LTI43" s="51"/>
      <c r="LTJ43" s="51"/>
      <c r="LTK43" s="51"/>
      <c r="LTL43" s="51"/>
      <c r="LTM43" s="51"/>
      <c r="LTN43" s="51"/>
      <c r="LTO43" s="51"/>
      <c r="LTP43" s="51"/>
      <c r="LTQ43" s="51"/>
      <c r="LTR43" s="51"/>
      <c r="LTS43" s="51"/>
      <c r="LTT43" s="51"/>
      <c r="LTU43" s="51"/>
      <c r="LTV43" s="51"/>
      <c r="LTW43" s="51"/>
      <c r="LTX43" s="51"/>
      <c r="LTY43" s="51"/>
      <c r="LTZ43" s="51"/>
      <c r="LUA43" s="51"/>
      <c r="LUB43" s="51"/>
      <c r="LUC43" s="51"/>
      <c r="LUD43" s="51"/>
      <c r="LUE43" s="51"/>
      <c r="LUF43" s="51"/>
      <c r="LUG43" s="51"/>
      <c r="LUH43" s="51"/>
      <c r="LUI43" s="51"/>
      <c r="LUJ43" s="51"/>
      <c r="LUK43" s="51"/>
      <c r="LUL43" s="51"/>
      <c r="LUM43" s="51"/>
      <c r="LUN43" s="51"/>
      <c r="LUO43" s="51"/>
      <c r="LUP43" s="51"/>
      <c r="LUQ43" s="51"/>
      <c r="LUR43" s="51"/>
      <c r="LUS43" s="51"/>
      <c r="LUT43" s="51"/>
      <c r="LUU43" s="51"/>
      <c r="LUV43" s="51"/>
      <c r="LUW43" s="51"/>
      <c r="LUX43" s="51"/>
      <c r="LUY43" s="51"/>
      <c r="LUZ43" s="51"/>
      <c r="LVA43" s="51"/>
      <c r="LVB43" s="51"/>
      <c r="LVC43" s="51"/>
      <c r="LVD43" s="51"/>
      <c r="LVE43" s="51"/>
      <c r="LVF43" s="51"/>
      <c r="LVG43" s="51"/>
      <c r="LVH43" s="51"/>
      <c r="LVI43" s="51"/>
      <c r="LVJ43" s="51"/>
      <c r="LVK43" s="51"/>
      <c r="LVL43" s="51"/>
      <c r="LVM43" s="51"/>
      <c r="LVN43" s="51"/>
      <c r="LVO43" s="51"/>
      <c r="LVP43" s="51"/>
      <c r="LVQ43" s="51"/>
      <c r="LVR43" s="51"/>
      <c r="LVS43" s="51"/>
      <c r="LVT43" s="51"/>
      <c r="LVU43" s="51"/>
      <c r="LVV43" s="51"/>
      <c r="LVW43" s="51"/>
      <c r="LVX43" s="51"/>
      <c r="LVY43" s="51"/>
      <c r="LVZ43" s="51"/>
      <c r="LWA43" s="51"/>
      <c r="LWB43" s="51"/>
      <c r="LWC43" s="51"/>
      <c r="LWD43" s="51"/>
      <c r="LWE43" s="51"/>
      <c r="LWF43" s="51"/>
      <c r="LWG43" s="51"/>
      <c r="LWH43" s="51"/>
      <c r="LWI43" s="51"/>
      <c r="LWJ43" s="51"/>
      <c r="LWK43" s="51"/>
      <c r="LWL43" s="51"/>
      <c r="LWM43" s="51"/>
      <c r="LWN43" s="51"/>
      <c r="LWO43" s="51"/>
      <c r="LWP43" s="51"/>
      <c r="LWQ43" s="51"/>
      <c r="LWR43" s="51"/>
      <c r="LWS43" s="51"/>
      <c r="LWT43" s="51"/>
      <c r="LWU43" s="51"/>
      <c r="LWV43" s="51"/>
      <c r="LWW43" s="51"/>
      <c r="LWX43" s="51"/>
      <c r="LWY43" s="51"/>
      <c r="LWZ43" s="51"/>
      <c r="LXA43" s="51"/>
      <c r="LXB43" s="51"/>
      <c r="LXC43" s="51"/>
      <c r="LXD43" s="51"/>
      <c r="LXE43" s="51"/>
      <c r="LXF43" s="51"/>
      <c r="LXG43" s="51"/>
      <c r="LXH43" s="51"/>
      <c r="LXI43" s="51"/>
      <c r="LXJ43" s="51"/>
      <c r="LXK43" s="51"/>
      <c r="LXL43" s="51"/>
      <c r="LXM43" s="51"/>
      <c r="LXN43" s="51"/>
      <c r="LXO43" s="51"/>
      <c r="LXP43" s="51"/>
      <c r="LXQ43" s="51"/>
      <c r="LXR43" s="51"/>
      <c r="LXS43" s="51"/>
      <c r="LXT43" s="51"/>
      <c r="LXU43" s="51"/>
      <c r="LXV43" s="51"/>
      <c r="LXW43" s="51"/>
      <c r="LXX43" s="51"/>
      <c r="LXY43" s="51"/>
      <c r="LXZ43" s="51"/>
      <c r="LYA43" s="51"/>
      <c r="LYB43" s="51"/>
      <c r="LYC43" s="51"/>
      <c r="LYD43" s="51"/>
      <c r="LYE43" s="51"/>
      <c r="LYF43" s="51"/>
      <c r="LYG43" s="51"/>
      <c r="LYH43" s="51"/>
      <c r="LYI43" s="51"/>
      <c r="LYJ43" s="51"/>
      <c r="LYK43" s="51"/>
      <c r="LYL43" s="51"/>
      <c r="LYM43" s="51"/>
      <c r="LYN43" s="51"/>
      <c r="LYO43" s="51"/>
      <c r="LYP43" s="51"/>
      <c r="LYQ43" s="51"/>
      <c r="LYR43" s="51"/>
      <c r="LYS43" s="51"/>
      <c r="LYT43" s="51"/>
      <c r="LYU43" s="51"/>
      <c r="LYV43" s="51"/>
      <c r="LYW43" s="51"/>
      <c r="LYX43" s="51"/>
      <c r="LYY43" s="51"/>
      <c r="LYZ43" s="51"/>
      <c r="LZA43" s="51"/>
      <c r="LZB43" s="51"/>
      <c r="LZC43" s="51"/>
      <c r="LZD43" s="51"/>
      <c r="LZE43" s="51"/>
      <c r="LZF43" s="51"/>
      <c r="LZG43" s="51"/>
      <c r="LZH43" s="51"/>
      <c r="LZI43" s="51"/>
      <c r="LZJ43" s="51"/>
      <c r="LZK43" s="51"/>
      <c r="LZL43" s="51"/>
      <c r="LZM43" s="51"/>
      <c r="LZN43" s="51"/>
      <c r="LZO43" s="51"/>
      <c r="LZP43" s="51"/>
      <c r="LZQ43" s="51"/>
      <c r="LZR43" s="51"/>
      <c r="LZS43" s="51"/>
      <c r="LZT43" s="51"/>
      <c r="LZU43" s="51"/>
      <c r="LZV43" s="51"/>
      <c r="LZW43" s="51"/>
      <c r="LZX43" s="51"/>
      <c r="LZY43" s="51"/>
      <c r="LZZ43" s="51"/>
      <c r="MAA43" s="51"/>
      <c r="MAB43" s="51"/>
      <c r="MAC43" s="51"/>
      <c r="MAD43" s="51"/>
      <c r="MAE43" s="51"/>
      <c r="MAF43" s="51"/>
      <c r="MAG43" s="51"/>
      <c r="MAH43" s="51"/>
      <c r="MAI43" s="51"/>
      <c r="MAJ43" s="51"/>
      <c r="MAK43" s="51"/>
      <c r="MAL43" s="51"/>
      <c r="MAM43" s="51"/>
      <c r="MAN43" s="51"/>
      <c r="MAO43" s="51"/>
      <c r="MAP43" s="51"/>
      <c r="MAQ43" s="51"/>
      <c r="MAR43" s="51"/>
      <c r="MAS43" s="51"/>
      <c r="MAT43" s="51"/>
      <c r="MAU43" s="51"/>
      <c r="MAV43" s="51"/>
      <c r="MAW43" s="51"/>
      <c r="MAX43" s="51"/>
      <c r="MAY43" s="51"/>
      <c r="MAZ43" s="51"/>
      <c r="MBA43" s="51"/>
      <c r="MBB43" s="51"/>
      <c r="MBC43" s="51"/>
      <c r="MBD43" s="51"/>
      <c r="MBE43" s="51"/>
      <c r="MBF43" s="51"/>
      <c r="MBG43" s="51"/>
      <c r="MBH43" s="51"/>
      <c r="MBI43" s="51"/>
      <c r="MBJ43" s="51"/>
      <c r="MBK43" s="51"/>
      <c r="MBL43" s="51"/>
      <c r="MBM43" s="51"/>
      <c r="MBN43" s="51"/>
      <c r="MBO43" s="51"/>
      <c r="MBP43" s="51"/>
      <c r="MBQ43" s="51"/>
      <c r="MBR43" s="51"/>
      <c r="MBS43" s="51"/>
      <c r="MBT43" s="51"/>
      <c r="MBU43" s="51"/>
      <c r="MBV43" s="51"/>
      <c r="MBW43" s="51"/>
      <c r="MBX43" s="51"/>
      <c r="MBY43" s="51"/>
      <c r="MBZ43" s="51"/>
      <c r="MCA43" s="51"/>
      <c r="MCB43" s="51"/>
      <c r="MCC43" s="51"/>
      <c r="MCD43" s="51"/>
      <c r="MCE43" s="51"/>
      <c r="MCF43" s="51"/>
      <c r="MCG43" s="51"/>
      <c r="MCH43" s="51"/>
      <c r="MCI43" s="51"/>
      <c r="MCJ43" s="51"/>
      <c r="MCK43" s="51"/>
      <c r="MCL43" s="51"/>
      <c r="MCM43" s="51"/>
      <c r="MCN43" s="51"/>
      <c r="MCO43" s="51"/>
      <c r="MCP43" s="51"/>
      <c r="MCQ43" s="51"/>
      <c r="MCR43" s="51"/>
      <c r="MCS43" s="51"/>
      <c r="MCT43" s="51"/>
      <c r="MCU43" s="51"/>
      <c r="MCV43" s="51"/>
      <c r="MCW43" s="51"/>
      <c r="MCX43" s="51"/>
      <c r="MCY43" s="51"/>
      <c r="MCZ43" s="51"/>
      <c r="MDA43" s="51"/>
      <c r="MDB43" s="51"/>
      <c r="MDC43" s="51"/>
      <c r="MDD43" s="51"/>
      <c r="MDE43" s="51"/>
      <c r="MDF43" s="51"/>
      <c r="MDG43" s="51"/>
      <c r="MDH43" s="51"/>
      <c r="MDI43" s="51"/>
      <c r="MDJ43" s="51"/>
      <c r="MDK43" s="51"/>
      <c r="MDL43" s="51"/>
      <c r="MDM43" s="51"/>
      <c r="MDN43" s="51"/>
      <c r="MDO43" s="51"/>
      <c r="MDP43" s="51"/>
      <c r="MDQ43" s="51"/>
      <c r="MDR43" s="51"/>
      <c r="MDS43" s="51"/>
      <c r="MDT43" s="51"/>
      <c r="MDU43" s="51"/>
      <c r="MDV43" s="51"/>
      <c r="MDW43" s="51"/>
      <c r="MDX43" s="51"/>
      <c r="MDY43" s="51"/>
      <c r="MDZ43" s="51"/>
      <c r="MEA43" s="51"/>
      <c r="MEB43" s="51"/>
      <c r="MEC43" s="51"/>
      <c r="MED43" s="51"/>
      <c r="MEE43" s="51"/>
      <c r="MEF43" s="51"/>
      <c r="MEG43" s="51"/>
      <c r="MEH43" s="51"/>
      <c r="MEI43" s="51"/>
      <c r="MEJ43" s="51"/>
      <c r="MEK43" s="51"/>
      <c r="MEL43" s="51"/>
      <c r="MEM43" s="51"/>
      <c r="MEN43" s="51"/>
      <c r="MEO43" s="51"/>
      <c r="MEP43" s="51"/>
      <c r="MEQ43" s="51"/>
      <c r="MER43" s="51"/>
      <c r="MES43" s="51"/>
      <c r="MET43" s="51"/>
      <c r="MEU43" s="51"/>
      <c r="MEV43" s="51"/>
      <c r="MEW43" s="51"/>
      <c r="MEX43" s="51"/>
      <c r="MEY43" s="51"/>
      <c r="MEZ43" s="51"/>
      <c r="MFA43" s="51"/>
      <c r="MFB43" s="51"/>
      <c r="MFC43" s="51"/>
      <c r="MFD43" s="51"/>
      <c r="MFE43" s="51"/>
      <c r="MFF43" s="51"/>
      <c r="MFG43" s="51"/>
      <c r="MFH43" s="51"/>
      <c r="MFI43" s="51"/>
      <c r="MFJ43" s="51"/>
      <c r="MFK43" s="51"/>
      <c r="MFL43" s="51"/>
      <c r="MFM43" s="51"/>
      <c r="MFN43" s="51"/>
      <c r="MFO43" s="51"/>
      <c r="MFP43" s="51"/>
      <c r="MFQ43" s="51"/>
      <c r="MFR43" s="51"/>
      <c r="MFS43" s="51"/>
      <c r="MFT43" s="51"/>
      <c r="MFU43" s="51"/>
      <c r="MFV43" s="51"/>
      <c r="MFW43" s="51"/>
      <c r="MFX43" s="51"/>
      <c r="MFY43" s="51"/>
      <c r="MFZ43" s="51"/>
      <c r="MGA43" s="51"/>
      <c r="MGB43" s="51"/>
      <c r="MGC43" s="51"/>
      <c r="MGD43" s="51"/>
      <c r="MGE43" s="51"/>
      <c r="MGF43" s="51"/>
      <c r="MGG43" s="51"/>
      <c r="MGH43" s="51"/>
      <c r="MGI43" s="51"/>
      <c r="MGJ43" s="51"/>
      <c r="MGK43" s="51"/>
      <c r="MGL43" s="51"/>
      <c r="MGM43" s="51"/>
      <c r="MGN43" s="51"/>
      <c r="MGO43" s="51"/>
      <c r="MGP43" s="51"/>
      <c r="MGQ43" s="51"/>
      <c r="MGR43" s="51"/>
      <c r="MGS43" s="51"/>
      <c r="MGT43" s="51"/>
      <c r="MGU43" s="51"/>
      <c r="MGV43" s="51"/>
      <c r="MGW43" s="51"/>
      <c r="MGX43" s="51"/>
      <c r="MGY43" s="51"/>
      <c r="MGZ43" s="51"/>
      <c r="MHA43" s="51"/>
      <c r="MHB43" s="51"/>
      <c r="MHC43" s="51"/>
      <c r="MHD43" s="51"/>
      <c r="MHE43" s="51"/>
      <c r="MHF43" s="51"/>
      <c r="MHG43" s="51"/>
      <c r="MHH43" s="51"/>
      <c r="MHI43" s="51"/>
      <c r="MHJ43" s="51"/>
      <c r="MHK43" s="51"/>
      <c r="MHL43" s="51"/>
      <c r="MHM43" s="51"/>
      <c r="MHN43" s="51"/>
      <c r="MHO43" s="51"/>
      <c r="MHP43" s="51"/>
      <c r="MHQ43" s="51"/>
      <c r="MHR43" s="51"/>
      <c r="MHS43" s="51"/>
      <c r="MHT43" s="51"/>
      <c r="MHU43" s="51"/>
      <c r="MHV43" s="51"/>
      <c r="MHW43" s="51"/>
      <c r="MHX43" s="51"/>
      <c r="MHY43" s="51"/>
      <c r="MHZ43" s="51"/>
      <c r="MIA43" s="51"/>
      <c r="MIB43" s="51"/>
      <c r="MIC43" s="51"/>
      <c r="MID43" s="51"/>
      <c r="MIE43" s="51"/>
      <c r="MIF43" s="51"/>
      <c r="MIG43" s="51"/>
      <c r="MIH43" s="51"/>
      <c r="MII43" s="51"/>
      <c r="MIJ43" s="51"/>
      <c r="MIK43" s="51"/>
      <c r="MIL43" s="51"/>
      <c r="MIM43" s="51"/>
      <c r="MIN43" s="51"/>
      <c r="MIO43" s="51"/>
      <c r="MIP43" s="51"/>
      <c r="MIQ43" s="51"/>
      <c r="MIR43" s="51"/>
      <c r="MIS43" s="51"/>
      <c r="MIT43" s="51"/>
      <c r="MIU43" s="51"/>
      <c r="MIV43" s="51"/>
      <c r="MIW43" s="51"/>
      <c r="MIX43" s="51"/>
      <c r="MIY43" s="51"/>
      <c r="MIZ43" s="51"/>
      <c r="MJA43" s="51"/>
      <c r="MJB43" s="51"/>
      <c r="MJC43" s="51"/>
      <c r="MJD43" s="51"/>
      <c r="MJE43" s="51"/>
      <c r="MJF43" s="51"/>
      <c r="MJG43" s="51"/>
      <c r="MJH43" s="51"/>
      <c r="MJI43" s="51"/>
      <c r="MJJ43" s="51"/>
      <c r="MJK43" s="51"/>
      <c r="MJL43" s="51"/>
      <c r="MJM43" s="51"/>
      <c r="MJN43" s="51"/>
      <c r="MJO43" s="51"/>
      <c r="MJP43" s="51"/>
      <c r="MJQ43" s="51"/>
      <c r="MJR43" s="51"/>
      <c r="MJS43" s="51"/>
      <c r="MJT43" s="51"/>
      <c r="MJU43" s="51"/>
      <c r="MJV43" s="51"/>
      <c r="MJW43" s="51"/>
      <c r="MJX43" s="51"/>
      <c r="MJY43" s="51"/>
      <c r="MJZ43" s="51"/>
      <c r="MKA43" s="51"/>
      <c r="MKB43" s="51"/>
      <c r="MKC43" s="51"/>
      <c r="MKD43" s="51"/>
      <c r="MKE43" s="51"/>
      <c r="MKF43" s="51"/>
      <c r="MKG43" s="51"/>
      <c r="MKH43" s="51"/>
      <c r="MKI43" s="51"/>
      <c r="MKJ43" s="51"/>
      <c r="MKK43" s="51"/>
      <c r="MKL43" s="51"/>
      <c r="MKM43" s="51"/>
      <c r="MKN43" s="51"/>
      <c r="MKO43" s="51"/>
      <c r="MKP43" s="51"/>
      <c r="MKQ43" s="51"/>
      <c r="MKR43" s="51"/>
      <c r="MKS43" s="51"/>
      <c r="MKT43" s="51"/>
      <c r="MKU43" s="51"/>
      <c r="MKV43" s="51"/>
      <c r="MKW43" s="51"/>
      <c r="MKX43" s="51"/>
      <c r="MKY43" s="51"/>
      <c r="MKZ43" s="51"/>
      <c r="MLA43" s="51"/>
      <c r="MLB43" s="51"/>
      <c r="MLC43" s="51"/>
      <c r="MLD43" s="51"/>
      <c r="MLE43" s="51"/>
      <c r="MLF43" s="51"/>
      <c r="MLG43" s="51"/>
      <c r="MLH43" s="51"/>
      <c r="MLI43" s="51"/>
      <c r="MLJ43" s="51"/>
      <c r="MLK43" s="51"/>
      <c r="MLL43" s="51"/>
      <c r="MLM43" s="51"/>
      <c r="MLN43" s="51"/>
      <c r="MLO43" s="51"/>
      <c r="MLP43" s="51"/>
      <c r="MLQ43" s="51"/>
      <c r="MLR43" s="51"/>
      <c r="MLS43" s="51"/>
      <c r="MLT43" s="51"/>
      <c r="MLU43" s="51"/>
      <c r="MLV43" s="51"/>
      <c r="MLW43" s="51"/>
      <c r="MLX43" s="51"/>
      <c r="MLY43" s="51"/>
      <c r="MLZ43" s="51"/>
      <c r="MMA43" s="51"/>
      <c r="MMB43" s="51"/>
      <c r="MMC43" s="51"/>
      <c r="MMD43" s="51"/>
      <c r="MME43" s="51"/>
      <c r="MMF43" s="51"/>
      <c r="MMG43" s="51"/>
      <c r="MMH43" s="51"/>
      <c r="MMI43" s="51"/>
      <c r="MMJ43" s="51"/>
      <c r="MMK43" s="51"/>
      <c r="MML43" s="51"/>
      <c r="MMM43" s="51"/>
      <c r="MMN43" s="51"/>
      <c r="MMO43" s="51"/>
      <c r="MMP43" s="51"/>
      <c r="MMQ43" s="51"/>
      <c r="MMR43" s="51"/>
      <c r="MMS43" s="51"/>
      <c r="MMT43" s="51"/>
      <c r="MMU43" s="51"/>
      <c r="MMV43" s="51"/>
      <c r="MMW43" s="51"/>
      <c r="MMX43" s="51"/>
      <c r="MMY43" s="51"/>
      <c r="MMZ43" s="51"/>
      <c r="MNA43" s="51"/>
      <c r="MNB43" s="51"/>
      <c r="MNC43" s="51"/>
      <c r="MND43" s="51"/>
      <c r="MNE43" s="51"/>
      <c r="MNF43" s="51"/>
      <c r="MNG43" s="51"/>
      <c r="MNH43" s="51"/>
      <c r="MNI43" s="51"/>
      <c r="MNJ43" s="51"/>
      <c r="MNK43" s="51"/>
      <c r="MNL43" s="51"/>
      <c r="MNM43" s="51"/>
      <c r="MNN43" s="51"/>
      <c r="MNO43" s="51"/>
      <c r="MNP43" s="51"/>
      <c r="MNQ43" s="51"/>
      <c r="MNR43" s="51"/>
      <c r="MNS43" s="51"/>
      <c r="MNT43" s="51"/>
      <c r="MNU43" s="51"/>
      <c r="MNV43" s="51"/>
      <c r="MNW43" s="51"/>
      <c r="MNX43" s="51"/>
      <c r="MNY43" s="51"/>
      <c r="MNZ43" s="51"/>
      <c r="MOA43" s="51"/>
      <c r="MOB43" s="51"/>
      <c r="MOC43" s="51"/>
      <c r="MOD43" s="51"/>
      <c r="MOE43" s="51"/>
      <c r="MOF43" s="51"/>
      <c r="MOG43" s="51"/>
      <c r="MOH43" s="51"/>
      <c r="MOI43" s="51"/>
      <c r="MOJ43" s="51"/>
      <c r="MOK43" s="51"/>
      <c r="MOL43" s="51"/>
      <c r="MOM43" s="51"/>
      <c r="MON43" s="51"/>
      <c r="MOO43" s="51"/>
      <c r="MOP43" s="51"/>
      <c r="MOQ43" s="51"/>
      <c r="MOR43" s="51"/>
      <c r="MOS43" s="51"/>
      <c r="MOT43" s="51"/>
      <c r="MOU43" s="51"/>
      <c r="MOV43" s="51"/>
      <c r="MOW43" s="51"/>
      <c r="MOX43" s="51"/>
      <c r="MOY43" s="51"/>
      <c r="MOZ43" s="51"/>
      <c r="MPA43" s="51"/>
      <c r="MPB43" s="51"/>
      <c r="MPC43" s="51"/>
      <c r="MPD43" s="51"/>
      <c r="MPE43" s="51"/>
      <c r="MPF43" s="51"/>
      <c r="MPG43" s="51"/>
      <c r="MPH43" s="51"/>
      <c r="MPI43" s="51"/>
      <c r="MPJ43" s="51"/>
      <c r="MPK43" s="51"/>
      <c r="MPL43" s="51"/>
      <c r="MPM43" s="51"/>
      <c r="MPN43" s="51"/>
      <c r="MPO43" s="51"/>
      <c r="MPP43" s="51"/>
      <c r="MPQ43" s="51"/>
      <c r="MPR43" s="51"/>
      <c r="MPS43" s="51"/>
      <c r="MPT43" s="51"/>
      <c r="MPU43" s="51"/>
      <c r="MPV43" s="51"/>
      <c r="MPW43" s="51"/>
      <c r="MPX43" s="51"/>
      <c r="MPY43" s="51"/>
      <c r="MPZ43" s="51"/>
      <c r="MQA43" s="51"/>
      <c r="MQB43" s="51"/>
      <c r="MQC43" s="51"/>
      <c r="MQD43" s="51"/>
      <c r="MQE43" s="51"/>
      <c r="MQF43" s="51"/>
      <c r="MQG43" s="51"/>
      <c r="MQH43" s="51"/>
      <c r="MQI43" s="51"/>
      <c r="MQJ43" s="51"/>
      <c r="MQK43" s="51"/>
      <c r="MQL43" s="51"/>
      <c r="MQM43" s="51"/>
      <c r="MQN43" s="51"/>
      <c r="MQO43" s="51"/>
      <c r="MQP43" s="51"/>
      <c r="MQQ43" s="51"/>
      <c r="MQR43" s="51"/>
      <c r="MQS43" s="51"/>
      <c r="MQT43" s="51"/>
      <c r="MQU43" s="51"/>
      <c r="MQV43" s="51"/>
      <c r="MQW43" s="51"/>
      <c r="MQX43" s="51"/>
      <c r="MQY43" s="51"/>
      <c r="MQZ43" s="51"/>
      <c r="MRA43" s="51"/>
      <c r="MRB43" s="51"/>
      <c r="MRC43" s="51"/>
      <c r="MRD43" s="51"/>
      <c r="MRE43" s="51"/>
      <c r="MRF43" s="51"/>
      <c r="MRG43" s="51"/>
      <c r="MRH43" s="51"/>
      <c r="MRI43" s="51"/>
      <c r="MRJ43" s="51"/>
      <c r="MRK43" s="51"/>
      <c r="MRL43" s="51"/>
      <c r="MRM43" s="51"/>
      <c r="MRN43" s="51"/>
      <c r="MRO43" s="51"/>
      <c r="MRP43" s="51"/>
      <c r="MRQ43" s="51"/>
      <c r="MRR43" s="51"/>
      <c r="MRS43" s="51"/>
      <c r="MRT43" s="51"/>
      <c r="MRU43" s="51"/>
      <c r="MRV43" s="51"/>
      <c r="MRW43" s="51"/>
      <c r="MRX43" s="51"/>
      <c r="MRY43" s="51"/>
      <c r="MRZ43" s="51"/>
      <c r="MSA43" s="51"/>
      <c r="MSB43" s="51"/>
      <c r="MSC43" s="51"/>
      <c r="MSD43" s="51"/>
      <c r="MSE43" s="51"/>
      <c r="MSF43" s="51"/>
      <c r="MSG43" s="51"/>
      <c r="MSH43" s="51"/>
      <c r="MSI43" s="51"/>
      <c r="MSJ43" s="51"/>
      <c r="MSK43" s="51"/>
      <c r="MSL43" s="51"/>
      <c r="MSM43" s="51"/>
      <c r="MSN43" s="51"/>
      <c r="MSO43" s="51"/>
      <c r="MSP43" s="51"/>
      <c r="MSQ43" s="51"/>
      <c r="MSR43" s="51"/>
      <c r="MSS43" s="51"/>
      <c r="MST43" s="51"/>
      <c r="MSU43" s="51"/>
      <c r="MSV43" s="51"/>
      <c r="MSW43" s="51"/>
      <c r="MSX43" s="51"/>
      <c r="MSY43" s="51"/>
      <c r="MSZ43" s="51"/>
      <c r="MTA43" s="51"/>
      <c r="MTB43" s="51"/>
      <c r="MTC43" s="51"/>
      <c r="MTD43" s="51"/>
      <c r="MTE43" s="51"/>
      <c r="MTF43" s="51"/>
      <c r="MTG43" s="51"/>
      <c r="MTH43" s="51"/>
      <c r="MTI43" s="51"/>
      <c r="MTJ43" s="51"/>
      <c r="MTK43" s="51"/>
      <c r="MTL43" s="51"/>
      <c r="MTM43" s="51"/>
      <c r="MTN43" s="51"/>
      <c r="MTO43" s="51"/>
      <c r="MTP43" s="51"/>
      <c r="MTQ43" s="51"/>
      <c r="MTR43" s="51"/>
      <c r="MTS43" s="51"/>
      <c r="MTT43" s="51"/>
      <c r="MTU43" s="51"/>
      <c r="MTV43" s="51"/>
      <c r="MTW43" s="51"/>
      <c r="MTX43" s="51"/>
      <c r="MTY43" s="51"/>
      <c r="MTZ43" s="51"/>
      <c r="MUA43" s="51"/>
      <c r="MUB43" s="51"/>
      <c r="MUC43" s="51"/>
      <c r="MUD43" s="51"/>
      <c r="MUE43" s="51"/>
      <c r="MUF43" s="51"/>
      <c r="MUG43" s="51"/>
      <c r="MUH43" s="51"/>
      <c r="MUI43" s="51"/>
      <c r="MUJ43" s="51"/>
      <c r="MUK43" s="51"/>
      <c r="MUL43" s="51"/>
      <c r="MUM43" s="51"/>
      <c r="MUN43" s="51"/>
      <c r="MUO43" s="51"/>
      <c r="MUP43" s="51"/>
      <c r="MUQ43" s="51"/>
      <c r="MUR43" s="51"/>
      <c r="MUS43" s="51"/>
      <c r="MUT43" s="51"/>
      <c r="MUU43" s="51"/>
      <c r="MUV43" s="51"/>
      <c r="MUW43" s="51"/>
      <c r="MUX43" s="51"/>
      <c r="MUY43" s="51"/>
      <c r="MUZ43" s="51"/>
      <c r="MVA43" s="51"/>
      <c r="MVB43" s="51"/>
      <c r="MVC43" s="51"/>
      <c r="MVD43" s="51"/>
      <c r="MVE43" s="51"/>
      <c r="MVF43" s="51"/>
      <c r="MVG43" s="51"/>
      <c r="MVH43" s="51"/>
      <c r="MVI43" s="51"/>
      <c r="MVJ43" s="51"/>
      <c r="MVK43" s="51"/>
      <c r="MVL43" s="51"/>
      <c r="MVM43" s="51"/>
      <c r="MVN43" s="51"/>
      <c r="MVO43" s="51"/>
      <c r="MVP43" s="51"/>
      <c r="MVQ43" s="51"/>
      <c r="MVR43" s="51"/>
      <c r="MVS43" s="51"/>
      <c r="MVT43" s="51"/>
      <c r="MVU43" s="51"/>
      <c r="MVV43" s="51"/>
      <c r="MVW43" s="51"/>
      <c r="MVX43" s="51"/>
      <c r="MVY43" s="51"/>
      <c r="MVZ43" s="51"/>
      <c r="MWA43" s="51"/>
      <c r="MWB43" s="51"/>
      <c r="MWC43" s="51"/>
      <c r="MWD43" s="51"/>
      <c r="MWE43" s="51"/>
      <c r="MWF43" s="51"/>
      <c r="MWG43" s="51"/>
      <c r="MWH43" s="51"/>
      <c r="MWI43" s="51"/>
      <c r="MWJ43" s="51"/>
      <c r="MWK43" s="51"/>
      <c r="MWL43" s="51"/>
      <c r="MWM43" s="51"/>
      <c r="MWN43" s="51"/>
      <c r="MWO43" s="51"/>
      <c r="MWP43" s="51"/>
      <c r="MWQ43" s="51"/>
      <c r="MWR43" s="51"/>
      <c r="MWS43" s="51"/>
      <c r="MWT43" s="51"/>
      <c r="MWU43" s="51"/>
      <c r="MWV43" s="51"/>
      <c r="MWW43" s="51"/>
      <c r="MWX43" s="51"/>
      <c r="MWY43" s="51"/>
      <c r="MWZ43" s="51"/>
      <c r="MXA43" s="51"/>
      <c r="MXB43" s="51"/>
      <c r="MXC43" s="51"/>
      <c r="MXD43" s="51"/>
      <c r="MXE43" s="51"/>
      <c r="MXF43" s="51"/>
      <c r="MXG43" s="51"/>
      <c r="MXH43" s="51"/>
      <c r="MXI43" s="51"/>
      <c r="MXJ43" s="51"/>
      <c r="MXK43" s="51"/>
      <c r="MXL43" s="51"/>
      <c r="MXM43" s="51"/>
      <c r="MXN43" s="51"/>
      <c r="MXO43" s="51"/>
      <c r="MXP43" s="51"/>
      <c r="MXQ43" s="51"/>
      <c r="MXR43" s="51"/>
      <c r="MXS43" s="51"/>
      <c r="MXT43" s="51"/>
      <c r="MXU43" s="51"/>
      <c r="MXV43" s="51"/>
      <c r="MXW43" s="51"/>
      <c r="MXX43" s="51"/>
      <c r="MXY43" s="51"/>
      <c r="MXZ43" s="51"/>
      <c r="MYA43" s="51"/>
      <c r="MYB43" s="51"/>
      <c r="MYC43" s="51"/>
      <c r="MYD43" s="51"/>
      <c r="MYE43" s="51"/>
      <c r="MYF43" s="51"/>
      <c r="MYG43" s="51"/>
      <c r="MYH43" s="51"/>
      <c r="MYI43" s="51"/>
      <c r="MYJ43" s="51"/>
      <c r="MYK43" s="51"/>
      <c r="MYL43" s="51"/>
      <c r="MYM43" s="51"/>
      <c r="MYN43" s="51"/>
      <c r="MYO43" s="51"/>
      <c r="MYP43" s="51"/>
      <c r="MYQ43" s="51"/>
      <c r="MYR43" s="51"/>
      <c r="MYS43" s="51"/>
      <c r="MYT43" s="51"/>
      <c r="MYU43" s="51"/>
      <c r="MYV43" s="51"/>
      <c r="MYW43" s="51"/>
      <c r="MYX43" s="51"/>
      <c r="MYY43" s="51"/>
      <c r="MYZ43" s="51"/>
      <c r="MZA43" s="51"/>
      <c r="MZB43" s="51"/>
      <c r="MZC43" s="51"/>
      <c r="MZD43" s="51"/>
      <c r="MZE43" s="51"/>
      <c r="MZF43" s="51"/>
      <c r="MZG43" s="51"/>
      <c r="MZH43" s="51"/>
      <c r="MZI43" s="51"/>
      <c r="MZJ43" s="51"/>
      <c r="MZK43" s="51"/>
      <c r="MZL43" s="51"/>
      <c r="MZM43" s="51"/>
      <c r="MZN43" s="51"/>
      <c r="MZO43" s="51"/>
      <c r="MZP43" s="51"/>
      <c r="MZQ43" s="51"/>
      <c r="MZR43" s="51"/>
      <c r="MZS43" s="51"/>
      <c r="MZT43" s="51"/>
      <c r="MZU43" s="51"/>
      <c r="MZV43" s="51"/>
      <c r="MZW43" s="51"/>
      <c r="MZX43" s="51"/>
      <c r="MZY43" s="51"/>
      <c r="MZZ43" s="51"/>
      <c r="NAA43" s="51"/>
      <c r="NAB43" s="51"/>
      <c r="NAC43" s="51"/>
      <c r="NAD43" s="51"/>
      <c r="NAE43" s="51"/>
      <c r="NAF43" s="51"/>
      <c r="NAG43" s="51"/>
      <c r="NAH43" s="51"/>
      <c r="NAI43" s="51"/>
      <c r="NAJ43" s="51"/>
      <c r="NAK43" s="51"/>
      <c r="NAL43" s="51"/>
      <c r="NAM43" s="51"/>
      <c r="NAN43" s="51"/>
      <c r="NAO43" s="51"/>
      <c r="NAP43" s="51"/>
      <c r="NAQ43" s="51"/>
      <c r="NAR43" s="51"/>
      <c r="NAS43" s="51"/>
      <c r="NAT43" s="51"/>
      <c r="NAU43" s="51"/>
      <c r="NAV43" s="51"/>
      <c r="NAW43" s="51"/>
      <c r="NAX43" s="51"/>
      <c r="NAY43" s="51"/>
      <c r="NAZ43" s="51"/>
      <c r="NBA43" s="51"/>
      <c r="NBB43" s="51"/>
      <c r="NBC43" s="51"/>
      <c r="NBD43" s="51"/>
      <c r="NBE43" s="51"/>
      <c r="NBF43" s="51"/>
      <c r="NBG43" s="51"/>
      <c r="NBH43" s="51"/>
      <c r="NBI43" s="51"/>
      <c r="NBJ43" s="51"/>
      <c r="NBK43" s="51"/>
      <c r="NBL43" s="51"/>
      <c r="NBM43" s="51"/>
      <c r="NBN43" s="51"/>
      <c r="NBO43" s="51"/>
      <c r="NBP43" s="51"/>
      <c r="NBQ43" s="51"/>
      <c r="NBR43" s="51"/>
      <c r="NBS43" s="51"/>
      <c r="NBT43" s="51"/>
      <c r="NBU43" s="51"/>
      <c r="NBV43" s="51"/>
      <c r="NBW43" s="51"/>
      <c r="NBX43" s="51"/>
      <c r="NBY43" s="51"/>
      <c r="NBZ43" s="51"/>
      <c r="NCA43" s="51"/>
      <c r="NCB43" s="51"/>
      <c r="NCC43" s="51"/>
      <c r="NCD43" s="51"/>
      <c r="NCE43" s="51"/>
      <c r="NCF43" s="51"/>
      <c r="NCG43" s="51"/>
      <c r="NCH43" s="51"/>
      <c r="NCI43" s="51"/>
      <c r="NCJ43" s="51"/>
      <c r="NCK43" s="51"/>
      <c r="NCL43" s="51"/>
      <c r="NCM43" s="51"/>
      <c r="NCN43" s="51"/>
      <c r="NCO43" s="51"/>
      <c r="NCP43" s="51"/>
      <c r="NCQ43" s="51"/>
      <c r="NCR43" s="51"/>
      <c r="NCS43" s="51"/>
      <c r="NCT43" s="51"/>
      <c r="NCU43" s="51"/>
      <c r="NCV43" s="51"/>
      <c r="NCW43" s="51"/>
      <c r="NCX43" s="51"/>
      <c r="NCY43" s="51"/>
      <c r="NCZ43" s="51"/>
      <c r="NDA43" s="51"/>
      <c r="NDB43" s="51"/>
      <c r="NDC43" s="51"/>
      <c r="NDD43" s="51"/>
      <c r="NDE43" s="51"/>
      <c r="NDF43" s="51"/>
      <c r="NDG43" s="51"/>
      <c r="NDH43" s="51"/>
      <c r="NDI43" s="51"/>
      <c r="NDJ43" s="51"/>
      <c r="NDK43" s="51"/>
      <c r="NDL43" s="51"/>
      <c r="NDM43" s="51"/>
      <c r="NDN43" s="51"/>
      <c r="NDO43" s="51"/>
      <c r="NDP43" s="51"/>
      <c r="NDQ43" s="51"/>
      <c r="NDR43" s="51"/>
      <c r="NDS43" s="51"/>
      <c r="NDT43" s="51"/>
      <c r="NDU43" s="51"/>
      <c r="NDV43" s="51"/>
      <c r="NDW43" s="51"/>
      <c r="NDX43" s="51"/>
      <c r="NDY43" s="51"/>
      <c r="NDZ43" s="51"/>
      <c r="NEA43" s="51"/>
      <c r="NEB43" s="51"/>
      <c r="NEC43" s="51"/>
      <c r="NED43" s="51"/>
      <c r="NEE43" s="51"/>
      <c r="NEF43" s="51"/>
      <c r="NEG43" s="51"/>
      <c r="NEH43" s="51"/>
      <c r="NEI43" s="51"/>
      <c r="NEJ43" s="51"/>
      <c r="NEK43" s="51"/>
      <c r="NEL43" s="51"/>
      <c r="NEM43" s="51"/>
      <c r="NEN43" s="51"/>
      <c r="NEO43" s="51"/>
      <c r="NEP43" s="51"/>
      <c r="NEQ43" s="51"/>
      <c r="NER43" s="51"/>
      <c r="NES43" s="51"/>
      <c r="NET43" s="51"/>
      <c r="NEU43" s="51"/>
      <c r="NEV43" s="51"/>
      <c r="NEW43" s="51"/>
      <c r="NEX43" s="51"/>
      <c r="NEY43" s="51"/>
      <c r="NEZ43" s="51"/>
      <c r="NFA43" s="51"/>
      <c r="NFB43" s="51"/>
      <c r="NFC43" s="51"/>
      <c r="NFD43" s="51"/>
      <c r="NFE43" s="51"/>
      <c r="NFF43" s="51"/>
      <c r="NFG43" s="51"/>
      <c r="NFH43" s="51"/>
      <c r="NFI43" s="51"/>
      <c r="NFJ43" s="51"/>
      <c r="NFK43" s="51"/>
      <c r="NFL43" s="51"/>
      <c r="NFM43" s="51"/>
      <c r="NFN43" s="51"/>
      <c r="NFO43" s="51"/>
      <c r="NFP43" s="51"/>
      <c r="NFQ43" s="51"/>
      <c r="NFR43" s="51"/>
      <c r="NFS43" s="51"/>
      <c r="NFT43" s="51"/>
      <c r="NFU43" s="51"/>
      <c r="NFV43" s="51"/>
      <c r="NFW43" s="51"/>
      <c r="NFX43" s="51"/>
      <c r="NFY43" s="51"/>
      <c r="NFZ43" s="51"/>
      <c r="NGA43" s="51"/>
      <c r="NGB43" s="51"/>
      <c r="NGC43" s="51"/>
      <c r="NGD43" s="51"/>
      <c r="NGE43" s="51"/>
      <c r="NGF43" s="51"/>
      <c r="NGG43" s="51"/>
      <c r="NGH43" s="51"/>
      <c r="NGI43" s="51"/>
      <c r="NGJ43" s="51"/>
      <c r="NGK43" s="51"/>
      <c r="NGL43" s="51"/>
      <c r="NGM43" s="51"/>
      <c r="NGN43" s="51"/>
      <c r="NGO43" s="51"/>
      <c r="NGP43" s="51"/>
      <c r="NGQ43" s="51"/>
      <c r="NGR43" s="51"/>
      <c r="NGS43" s="51"/>
      <c r="NGT43" s="51"/>
      <c r="NGU43" s="51"/>
      <c r="NGV43" s="51"/>
      <c r="NGW43" s="51"/>
      <c r="NGX43" s="51"/>
      <c r="NGY43" s="51"/>
      <c r="NGZ43" s="51"/>
      <c r="NHA43" s="51"/>
      <c r="NHB43" s="51"/>
      <c r="NHC43" s="51"/>
      <c r="NHD43" s="51"/>
      <c r="NHE43" s="51"/>
      <c r="NHF43" s="51"/>
      <c r="NHG43" s="51"/>
      <c r="NHH43" s="51"/>
      <c r="NHI43" s="51"/>
      <c r="NHJ43" s="51"/>
      <c r="NHK43" s="51"/>
      <c r="NHL43" s="51"/>
      <c r="NHM43" s="51"/>
      <c r="NHN43" s="51"/>
      <c r="NHO43" s="51"/>
      <c r="NHP43" s="51"/>
      <c r="NHQ43" s="51"/>
      <c r="NHR43" s="51"/>
      <c r="NHS43" s="51"/>
      <c r="NHT43" s="51"/>
      <c r="NHU43" s="51"/>
      <c r="NHV43" s="51"/>
      <c r="NHW43" s="51"/>
      <c r="NHX43" s="51"/>
      <c r="NHY43" s="51"/>
      <c r="NHZ43" s="51"/>
      <c r="NIA43" s="51"/>
      <c r="NIB43" s="51"/>
      <c r="NIC43" s="51"/>
      <c r="NID43" s="51"/>
      <c r="NIE43" s="51"/>
      <c r="NIF43" s="51"/>
      <c r="NIG43" s="51"/>
      <c r="NIH43" s="51"/>
      <c r="NII43" s="51"/>
      <c r="NIJ43" s="51"/>
      <c r="NIK43" s="51"/>
      <c r="NIL43" s="51"/>
      <c r="NIM43" s="51"/>
      <c r="NIN43" s="51"/>
      <c r="NIO43" s="51"/>
      <c r="NIP43" s="51"/>
      <c r="NIQ43" s="51"/>
      <c r="NIR43" s="51"/>
      <c r="NIS43" s="51"/>
      <c r="NIT43" s="51"/>
      <c r="NIU43" s="51"/>
      <c r="NIV43" s="51"/>
      <c r="NIW43" s="51"/>
      <c r="NIX43" s="51"/>
      <c r="NIY43" s="51"/>
      <c r="NIZ43" s="51"/>
      <c r="NJA43" s="51"/>
      <c r="NJB43" s="51"/>
      <c r="NJC43" s="51"/>
      <c r="NJD43" s="51"/>
      <c r="NJE43" s="51"/>
      <c r="NJF43" s="51"/>
      <c r="NJG43" s="51"/>
      <c r="NJH43" s="51"/>
      <c r="NJI43" s="51"/>
      <c r="NJJ43" s="51"/>
      <c r="NJK43" s="51"/>
      <c r="NJL43" s="51"/>
      <c r="NJM43" s="51"/>
      <c r="NJN43" s="51"/>
      <c r="NJO43" s="51"/>
      <c r="NJP43" s="51"/>
      <c r="NJQ43" s="51"/>
      <c r="NJR43" s="51"/>
      <c r="NJS43" s="51"/>
      <c r="NJT43" s="51"/>
      <c r="NJU43" s="51"/>
      <c r="NJV43" s="51"/>
      <c r="NJW43" s="51"/>
      <c r="NJX43" s="51"/>
      <c r="NJY43" s="51"/>
      <c r="NJZ43" s="51"/>
      <c r="NKA43" s="51"/>
      <c r="NKB43" s="51"/>
      <c r="NKC43" s="51"/>
      <c r="NKD43" s="51"/>
      <c r="NKE43" s="51"/>
      <c r="NKF43" s="51"/>
      <c r="NKG43" s="51"/>
      <c r="NKH43" s="51"/>
      <c r="NKI43" s="51"/>
      <c r="NKJ43" s="51"/>
      <c r="NKK43" s="51"/>
      <c r="NKL43" s="51"/>
      <c r="NKM43" s="51"/>
      <c r="NKN43" s="51"/>
      <c r="NKO43" s="51"/>
      <c r="NKP43" s="51"/>
      <c r="NKQ43" s="51"/>
      <c r="NKR43" s="51"/>
      <c r="NKS43" s="51"/>
      <c r="NKT43" s="51"/>
      <c r="NKU43" s="51"/>
      <c r="NKV43" s="51"/>
      <c r="NKW43" s="51"/>
      <c r="NKX43" s="51"/>
      <c r="NKY43" s="51"/>
      <c r="NKZ43" s="51"/>
      <c r="NLA43" s="51"/>
      <c r="NLB43" s="51"/>
      <c r="NLC43" s="51"/>
      <c r="NLD43" s="51"/>
      <c r="NLE43" s="51"/>
      <c r="NLF43" s="51"/>
      <c r="NLG43" s="51"/>
      <c r="NLH43" s="51"/>
      <c r="NLI43" s="51"/>
      <c r="NLJ43" s="51"/>
      <c r="NLK43" s="51"/>
      <c r="NLL43" s="51"/>
      <c r="NLM43" s="51"/>
      <c r="NLN43" s="51"/>
      <c r="NLO43" s="51"/>
      <c r="NLP43" s="51"/>
      <c r="NLQ43" s="51"/>
      <c r="NLR43" s="51"/>
      <c r="NLS43" s="51"/>
      <c r="NLT43" s="51"/>
      <c r="NLU43" s="51"/>
      <c r="NLV43" s="51"/>
      <c r="NLW43" s="51"/>
      <c r="NLX43" s="51"/>
      <c r="NLY43" s="51"/>
      <c r="NLZ43" s="51"/>
      <c r="NMA43" s="51"/>
      <c r="NMB43" s="51"/>
      <c r="NMC43" s="51"/>
      <c r="NMD43" s="51"/>
      <c r="NME43" s="51"/>
      <c r="NMF43" s="51"/>
      <c r="NMG43" s="51"/>
      <c r="NMH43" s="51"/>
      <c r="NMI43" s="51"/>
      <c r="NMJ43" s="51"/>
      <c r="NMK43" s="51"/>
      <c r="NML43" s="51"/>
      <c r="NMM43" s="51"/>
      <c r="NMN43" s="51"/>
      <c r="NMO43" s="51"/>
      <c r="NMP43" s="51"/>
      <c r="NMQ43" s="51"/>
      <c r="NMR43" s="51"/>
      <c r="NMS43" s="51"/>
      <c r="NMT43" s="51"/>
      <c r="NMU43" s="51"/>
      <c r="NMV43" s="51"/>
      <c r="NMW43" s="51"/>
      <c r="NMX43" s="51"/>
      <c r="NMY43" s="51"/>
      <c r="NMZ43" s="51"/>
      <c r="NNA43" s="51"/>
      <c r="NNB43" s="51"/>
      <c r="NNC43" s="51"/>
      <c r="NND43" s="51"/>
      <c r="NNE43" s="51"/>
      <c r="NNF43" s="51"/>
      <c r="NNG43" s="51"/>
      <c r="NNH43" s="51"/>
      <c r="NNI43" s="51"/>
      <c r="NNJ43" s="51"/>
      <c r="NNK43" s="51"/>
      <c r="NNL43" s="51"/>
      <c r="NNM43" s="51"/>
      <c r="NNN43" s="51"/>
      <c r="NNO43" s="51"/>
      <c r="NNP43" s="51"/>
      <c r="NNQ43" s="51"/>
      <c r="NNR43" s="51"/>
      <c r="NNS43" s="51"/>
      <c r="NNT43" s="51"/>
      <c r="NNU43" s="51"/>
      <c r="NNV43" s="51"/>
      <c r="NNW43" s="51"/>
      <c r="NNX43" s="51"/>
      <c r="NNY43" s="51"/>
      <c r="NNZ43" s="51"/>
      <c r="NOA43" s="51"/>
      <c r="NOB43" s="51"/>
      <c r="NOC43" s="51"/>
      <c r="NOD43" s="51"/>
      <c r="NOE43" s="51"/>
      <c r="NOF43" s="51"/>
      <c r="NOG43" s="51"/>
      <c r="NOH43" s="51"/>
      <c r="NOI43" s="51"/>
      <c r="NOJ43" s="51"/>
      <c r="NOK43" s="51"/>
      <c r="NOL43" s="51"/>
      <c r="NOM43" s="51"/>
      <c r="NON43" s="51"/>
      <c r="NOO43" s="51"/>
      <c r="NOP43" s="51"/>
      <c r="NOQ43" s="51"/>
      <c r="NOR43" s="51"/>
      <c r="NOS43" s="51"/>
      <c r="NOT43" s="51"/>
      <c r="NOU43" s="51"/>
      <c r="NOV43" s="51"/>
      <c r="NOW43" s="51"/>
      <c r="NOX43" s="51"/>
      <c r="NOY43" s="51"/>
      <c r="NOZ43" s="51"/>
      <c r="NPA43" s="51"/>
      <c r="NPB43" s="51"/>
      <c r="NPC43" s="51"/>
      <c r="NPD43" s="51"/>
      <c r="NPE43" s="51"/>
      <c r="NPF43" s="51"/>
      <c r="NPG43" s="51"/>
      <c r="NPH43" s="51"/>
      <c r="NPI43" s="51"/>
      <c r="NPJ43" s="51"/>
      <c r="NPK43" s="51"/>
      <c r="NPL43" s="51"/>
      <c r="NPM43" s="51"/>
      <c r="NPN43" s="51"/>
      <c r="NPO43" s="51"/>
      <c r="NPP43" s="51"/>
      <c r="NPQ43" s="51"/>
      <c r="NPR43" s="51"/>
      <c r="NPS43" s="51"/>
      <c r="NPT43" s="51"/>
      <c r="NPU43" s="51"/>
      <c r="NPV43" s="51"/>
      <c r="NPW43" s="51"/>
      <c r="NPX43" s="51"/>
      <c r="NPY43" s="51"/>
      <c r="NPZ43" s="51"/>
      <c r="NQA43" s="51"/>
      <c r="NQB43" s="51"/>
      <c r="NQC43" s="51"/>
      <c r="NQD43" s="51"/>
      <c r="NQE43" s="51"/>
      <c r="NQF43" s="51"/>
      <c r="NQG43" s="51"/>
      <c r="NQH43" s="51"/>
      <c r="NQI43" s="51"/>
      <c r="NQJ43" s="51"/>
      <c r="NQK43" s="51"/>
      <c r="NQL43" s="51"/>
      <c r="NQM43" s="51"/>
      <c r="NQN43" s="51"/>
      <c r="NQO43" s="51"/>
      <c r="NQP43" s="51"/>
      <c r="NQQ43" s="51"/>
      <c r="NQR43" s="51"/>
      <c r="NQS43" s="51"/>
      <c r="NQT43" s="51"/>
      <c r="NQU43" s="51"/>
      <c r="NQV43" s="51"/>
      <c r="NQW43" s="51"/>
      <c r="NQX43" s="51"/>
      <c r="NQY43" s="51"/>
      <c r="NQZ43" s="51"/>
      <c r="NRA43" s="51"/>
      <c r="NRB43" s="51"/>
      <c r="NRC43" s="51"/>
      <c r="NRD43" s="51"/>
      <c r="NRE43" s="51"/>
      <c r="NRF43" s="51"/>
      <c r="NRG43" s="51"/>
      <c r="NRH43" s="51"/>
      <c r="NRI43" s="51"/>
      <c r="NRJ43" s="51"/>
      <c r="NRK43" s="51"/>
      <c r="NRL43" s="51"/>
      <c r="NRM43" s="51"/>
      <c r="NRN43" s="51"/>
      <c r="NRO43" s="51"/>
      <c r="NRP43" s="51"/>
      <c r="NRQ43" s="51"/>
      <c r="NRR43" s="51"/>
      <c r="NRS43" s="51"/>
      <c r="NRT43" s="51"/>
      <c r="NRU43" s="51"/>
      <c r="NRV43" s="51"/>
      <c r="NRW43" s="51"/>
      <c r="NRX43" s="51"/>
      <c r="NRY43" s="51"/>
      <c r="NRZ43" s="51"/>
      <c r="NSA43" s="51"/>
      <c r="NSB43" s="51"/>
      <c r="NSC43" s="51"/>
      <c r="NSD43" s="51"/>
      <c r="NSE43" s="51"/>
      <c r="NSF43" s="51"/>
      <c r="NSG43" s="51"/>
      <c r="NSH43" s="51"/>
      <c r="NSI43" s="51"/>
      <c r="NSJ43" s="51"/>
      <c r="NSK43" s="51"/>
      <c r="NSL43" s="51"/>
      <c r="NSM43" s="51"/>
      <c r="NSN43" s="51"/>
      <c r="NSO43" s="51"/>
      <c r="NSP43" s="51"/>
      <c r="NSQ43" s="51"/>
      <c r="NSR43" s="51"/>
      <c r="NSS43" s="51"/>
      <c r="NST43" s="51"/>
      <c r="NSU43" s="51"/>
      <c r="NSV43" s="51"/>
      <c r="NSW43" s="51"/>
      <c r="NSX43" s="51"/>
      <c r="NSY43" s="51"/>
      <c r="NSZ43" s="51"/>
      <c r="NTA43" s="51"/>
      <c r="NTB43" s="51"/>
      <c r="NTC43" s="51"/>
      <c r="NTD43" s="51"/>
      <c r="NTE43" s="51"/>
      <c r="NTF43" s="51"/>
      <c r="NTG43" s="51"/>
      <c r="NTH43" s="51"/>
      <c r="NTI43" s="51"/>
      <c r="NTJ43" s="51"/>
      <c r="NTK43" s="51"/>
      <c r="NTL43" s="51"/>
      <c r="NTM43" s="51"/>
      <c r="NTN43" s="51"/>
      <c r="NTO43" s="51"/>
      <c r="NTP43" s="51"/>
      <c r="NTQ43" s="51"/>
      <c r="NTR43" s="51"/>
      <c r="NTS43" s="51"/>
      <c r="NTT43" s="51"/>
      <c r="NTU43" s="51"/>
      <c r="NTV43" s="51"/>
      <c r="NTW43" s="51"/>
      <c r="NTX43" s="51"/>
      <c r="NTY43" s="51"/>
      <c r="NTZ43" s="51"/>
      <c r="NUA43" s="51"/>
      <c r="NUB43" s="51"/>
      <c r="NUC43" s="51"/>
      <c r="NUD43" s="51"/>
      <c r="NUE43" s="51"/>
      <c r="NUF43" s="51"/>
      <c r="NUG43" s="51"/>
      <c r="NUH43" s="51"/>
      <c r="NUI43" s="51"/>
      <c r="NUJ43" s="51"/>
      <c r="NUK43" s="51"/>
      <c r="NUL43" s="51"/>
      <c r="NUM43" s="51"/>
      <c r="NUN43" s="51"/>
      <c r="NUO43" s="51"/>
      <c r="NUP43" s="51"/>
      <c r="NUQ43" s="51"/>
      <c r="NUR43" s="51"/>
      <c r="NUS43" s="51"/>
      <c r="NUT43" s="51"/>
      <c r="NUU43" s="51"/>
      <c r="NUV43" s="51"/>
      <c r="NUW43" s="51"/>
      <c r="NUX43" s="51"/>
      <c r="NUY43" s="51"/>
      <c r="NUZ43" s="51"/>
      <c r="NVA43" s="51"/>
      <c r="NVB43" s="51"/>
      <c r="NVC43" s="51"/>
      <c r="NVD43" s="51"/>
      <c r="NVE43" s="51"/>
      <c r="NVF43" s="51"/>
      <c r="NVG43" s="51"/>
      <c r="NVH43" s="51"/>
      <c r="NVI43" s="51"/>
      <c r="NVJ43" s="51"/>
      <c r="NVK43" s="51"/>
      <c r="NVL43" s="51"/>
      <c r="NVM43" s="51"/>
      <c r="NVN43" s="51"/>
      <c r="NVO43" s="51"/>
      <c r="NVP43" s="51"/>
      <c r="NVQ43" s="51"/>
      <c r="NVR43" s="51"/>
      <c r="NVS43" s="51"/>
      <c r="NVT43" s="51"/>
      <c r="NVU43" s="51"/>
      <c r="NVV43" s="51"/>
      <c r="NVW43" s="51"/>
      <c r="NVX43" s="51"/>
      <c r="NVY43" s="51"/>
      <c r="NVZ43" s="51"/>
      <c r="NWA43" s="51"/>
      <c r="NWB43" s="51"/>
      <c r="NWC43" s="51"/>
      <c r="NWD43" s="51"/>
      <c r="NWE43" s="51"/>
      <c r="NWF43" s="51"/>
      <c r="NWG43" s="51"/>
      <c r="NWH43" s="51"/>
      <c r="NWI43" s="51"/>
      <c r="NWJ43" s="51"/>
      <c r="NWK43" s="51"/>
      <c r="NWL43" s="51"/>
      <c r="NWM43" s="51"/>
      <c r="NWN43" s="51"/>
      <c r="NWO43" s="51"/>
      <c r="NWP43" s="51"/>
      <c r="NWQ43" s="51"/>
      <c r="NWR43" s="51"/>
      <c r="NWS43" s="51"/>
      <c r="NWT43" s="51"/>
      <c r="NWU43" s="51"/>
      <c r="NWV43" s="51"/>
      <c r="NWW43" s="51"/>
      <c r="NWX43" s="51"/>
      <c r="NWY43" s="51"/>
      <c r="NWZ43" s="51"/>
      <c r="NXA43" s="51"/>
      <c r="NXB43" s="51"/>
      <c r="NXC43" s="51"/>
      <c r="NXD43" s="51"/>
      <c r="NXE43" s="51"/>
      <c r="NXF43" s="51"/>
      <c r="NXG43" s="51"/>
      <c r="NXH43" s="51"/>
      <c r="NXI43" s="51"/>
      <c r="NXJ43" s="51"/>
      <c r="NXK43" s="51"/>
      <c r="NXL43" s="51"/>
      <c r="NXM43" s="51"/>
      <c r="NXN43" s="51"/>
      <c r="NXO43" s="51"/>
      <c r="NXP43" s="51"/>
      <c r="NXQ43" s="51"/>
      <c r="NXR43" s="51"/>
      <c r="NXS43" s="51"/>
      <c r="NXT43" s="51"/>
      <c r="NXU43" s="51"/>
      <c r="NXV43" s="51"/>
      <c r="NXW43" s="51"/>
      <c r="NXX43" s="51"/>
      <c r="NXY43" s="51"/>
      <c r="NXZ43" s="51"/>
      <c r="NYA43" s="51"/>
      <c r="NYB43" s="51"/>
      <c r="NYC43" s="51"/>
      <c r="NYD43" s="51"/>
      <c r="NYE43" s="51"/>
      <c r="NYF43" s="51"/>
      <c r="NYG43" s="51"/>
      <c r="NYH43" s="51"/>
      <c r="NYI43" s="51"/>
      <c r="NYJ43" s="51"/>
      <c r="NYK43" s="51"/>
      <c r="NYL43" s="51"/>
      <c r="NYM43" s="51"/>
      <c r="NYN43" s="51"/>
      <c r="NYO43" s="51"/>
      <c r="NYP43" s="51"/>
      <c r="NYQ43" s="51"/>
      <c r="NYR43" s="51"/>
      <c r="NYS43" s="51"/>
      <c r="NYT43" s="51"/>
      <c r="NYU43" s="51"/>
      <c r="NYV43" s="51"/>
      <c r="NYW43" s="51"/>
      <c r="NYX43" s="51"/>
      <c r="NYY43" s="51"/>
      <c r="NYZ43" s="51"/>
      <c r="NZA43" s="51"/>
      <c r="NZB43" s="51"/>
      <c r="NZC43" s="51"/>
      <c r="NZD43" s="51"/>
      <c r="NZE43" s="51"/>
      <c r="NZF43" s="51"/>
      <c r="NZG43" s="51"/>
      <c r="NZH43" s="51"/>
      <c r="NZI43" s="51"/>
      <c r="NZJ43" s="51"/>
      <c r="NZK43" s="51"/>
      <c r="NZL43" s="51"/>
      <c r="NZM43" s="51"/>
      <c r="NZN43" s="51"/>
      <c r="NZO43" s="51"/>
      <c r="NZP43" s="51"/>
      <c r="NZQ43" s="51"/>
      <c r="NZR43" s="51"/>
      <c r="NZS43" s="51"/>
      <c r="NZT43" s="51"/>
      <c r="NZU43" s="51"/>
      <c r="NZV43" s="51"/>
      <c r="NZW43" s="51"/>
      <c r="NZX43" s="51"/>
      <c r="NZY43" s="51"/>
      <c r="NZZ43" s="51"/>
      <c r="OAA43" s="51"/>
      <c r="OAB43" s="51"/>
      <c r="OAC43" s="51"/>
      <c r="OAD43" s="51"/>
      <c r="OAE43" s="51"/>
      <c r="OAF43" s="51"/>
      <c r="OAG43" s="51"/>
      <c r="OAH43" s="51"/>
      <c r="OAI43" s="51"/>
      <c r="OAJ43" s="51"/>
      <c r="OAK43" s="51"/>
      <c r="OAL43" s="51"/>
      <c r="OAM43" s="51"/>
      <c r="OAN43" s="51"/>
      <c r="OAO43" s="51"/>
      <c r="OAP43" s="51"/>
      <c r="OAQ43" s="51"/>
      <c r="OAR43" s="51"/>
      <c r="OAS43" s="51"/>
      <c r="OAT43" s="51"/>
      <c r="OAU43" s="51"/>
      <c r="OAV43" s="51"/>
      <c r="OAW43" s="51"/>
      <c r="OAX43" s="51"/>
      <c r="OAY43" s="51"/>
      <c r="OAZ43" s="51"/>
      <c r="OBA43" s="51"/>
      <c r="OBB43" s="51"/>
      <c r="OBC43" s="51"/>
      <c r="OBD43" s="51"/>
      <c r="OBE43" s="51"/>
      <c r="OBF43" s="51"/>
      <c r="OBG43" s="51"/>
      <c r="OBH43" s="51"/>
      <c r="OBI43" s="51"/>
      <c r="OBJ43" s="51"/>
      <c r="OBK43" s="51"/>
      <c r="OBL43" s="51"/>
      <c r="OBM43" s="51"/>
      <c r="OBN43" s="51"/>
      <c r="OBO43" s="51"/>
      <c r="OBP43" s="51"/>
      <c r="OBQ43" s="51"/>
      <c r="OBR43" s="51"/>
      <c r="OBS43" s="51"/>
      <c r="OBT43" s="51"/>
      <c r="OBU43" s="51"/>
      <c r="OBV43" s="51"/>
      <c r="OBW43" s="51"/>
      <c r="OBX43" s="51"/>
      <c r="OBY43" s="51"/>
      <c r="OBZ43" s="51"/>
      <c r="OCA43" s="51"/>
      <c r="OCB43" s="51"/>
      <c r="OCC43" s="51"/>
      <c r="OCD43" s="51"/>
      <c r="OCE43" s="51"/>
      <c r="OCF43" s="51"/>
      <c r="OCG43" s="51"/>
      <c r="OCH43" s="51"/>
      <c r="OCI43" s="51"/>
      <c r="OCJ43" s="51"/>
      <c r="OCK43" s="51"/>
      <c r="OCL43" s="51"/>
      <c r="OCM43" s="51"/>
      <c r="OCN43" s="51"/>
      <c r="OCO43" s="51"/>
      <c r="OCP43" s="51"/>
      <c r="OCQ43" s="51"/>
      <c r="OCR43" s="51"/>
      <c r="OCS43" s="51"/>
      <c r="OCT43" s="51"/>
      <c r="OCU43" s="51"/>
      <c r="OCV43" s="51"/>
      <c r="OCW43" s="51"/>
      <c r="OCX43" s="51"/>
      <c r="OCY43" s="51"/>
      <c r="OCZ43" s="51"/>
      <c r="ODA43" s="51"/>
      <c r="ODB43" s="51"/>
      <c r="ODC43" s="51"/>
      <c r="ODD43" s="51"/>
      <c r="ODE43" s="51"/>
      <c r="ODF43" s="51"/>
      <c r="ODG43" s="51"/>
      <c r="ODH43" s="51"/>
      <c r="ODI43" s="51"/>
      <c r="ODJ43" s="51"/>
      <c r="ODK43" s="51"/>
      <c r="ODL43" s="51"/>
      <c r="ODM43" s="51"/>
      <c r="ODN43" s="51"/>
      <c r="ODO43" s="51"/>
      <c r="ODP43" s="51"/>
      <c r="ODQ43" s="51"/>
      <c r="ODR43" s="51"/>
      <c r="ODS43" s="51"/>
      <c r="ODT43" s="51"/>
      <c r="ODU43" s="51"/>
      <c r="ODV43" s="51"/>
      <c r="ODW43" s="51"/>
      <c r="ODX43" s="51"/>
      <c r="ODY43" s="51"/>
      <c r="ODZ43" s="51"/>
      <c r="OEA43" s="51"/>
      <c r="OEB43" s="51"/>
      <c r="OEC43" s="51"/>
      <c r="OED43" s="51"/>
      <c r="OEE43" s="51"/>
      <c r="OEF43" s="51"/>
      <c r="OEG43" s="51"/>
      <c r="OEH43" s="51"/>
      <c r="OEI43" s="51"/>
      <c r="OEJ43" s="51"/>
      <c r="OEK43" s="51"/>
      <c r="OEL43" s="51"/>
      <c r="OEM43" s="51"/>
      <c r="OEN43" s="51"/>
      <c r="OEO43" s="51"/>
      <c r="OEP43" s="51"/>
      <c r="OEQ43" s="51"/>
      <c r="OER43" s="51"/>
      <c r="OES43" s="51"/>
      <c r="OET43" s="51"/>
      <c r="OEU43" s="51"/>
      <c r="OEV43" s="51"/>
      <c r="OEW43" s="51"/>
      <c r="OEX43" s="51"/>
      <c r="OEY43" s="51"/>
      <c r="OEZ43" s="51"/>
      <c r="OFA43" s="51"/>
      <c r="OFB43" s="51"/>
      <c r="OFC43" s="51"/>
      <c r="OFD43" s="51"/>
      <c r="OFE43" s="51"/>
      <c r="OFF43" s="51"/>
      <c r="OFG43" s="51"/>
      <c r="OFH43" s="51"/>
      <c r="OFI43" s="51"/>
      <c r="OFJ43" s="51"/>
      <c r="OFK43" s="51"/>
      <c r="OFL43" s="51"/>
      <c r="OFM43" s="51"/>
      <c r="OFN43" s="51"/>
      <c r="OFO43" s="51"/>
      <c r="OFP43" s="51"/>
      <c r="OFQ43" s="51"/>
      <c r="OFR43" s="51"/>
      <c r="OFS43" s="51"/>
      <c r="OFT43" s="51"/>
      <c r="OFU43" s="51"/>
      <c r="OFV43" s="51"/>
      <c r="OFW43" s="51"/>
      <c r="OFX43" s="51"/>
      <c r="OFY43" s="51"/>
      <c r="OFZ43" s="51"/>
      <c r="OGA43" s="51"/>
      <c r="OGB43" s="51"/>
      <c r="OGC43" s="51"/>
      <c r="OGD43" s="51"/>
      <c r="OGE43" s="51"/>
      <c r="OGF43" s="51"/>
      <c r="OGG43" s="51"/>
      <c r="OGH43" s="51"/>
      <c r="OGI43" s="51"/>
      <c r="OGJ43" s="51"/>
      <c r="OGK43" s="51"/>
      <c r="OGL43" s="51"/>
      <c r="OGM43" s="51"/>
      <c r="OGN43" s="51"/>
      <c r="OGO43" s="51"/>
      <c r="OGP43" s="51"/>
      <c r="OGQ43" s="51"/>
      <c r="OGR43" s="51"/>
      <c r="OGS43" s="51"/>
      <c r="OGT43" s="51"/>
      <c r="OGU43" s="51"/>
      <c r="OGV43" s="51"/>
      <c r="OGW43" s="51"/>
      <c r="OGX43" s="51"/>
      <c r="OGY43" s="51"/>
      <c r="OGZ43" s="51"/>
      <c r="OHA43" s="51"/>
      <c r="OHB43" s="51"/>
      <c r="OHC43" s="51"/>
      <c r="OHD43" s="51"/>
      <c r="OHE43" s="51"/>
      <c r="OHF43" s="51"/>
      <c r="OHG43" s="51"/>
      <c r="OHH43" s="51"/>
      <c r="OHI43" s="51"/>
      <c r="OHJ43" s="51"/>
      <c r="OHK43" s="51"/>
      <c r="OHL43" s="51"/>
      <c r="OHM43" s="51"/>
      <c r="OHN43" s="51"/>
      <c r="OHO43" s="51"/>
      <c r="OHP43" s="51"/>
      <c r="OHQ43" s="51"/>
      <c r="OHR43" s="51"/>
      <c r="OHS43" s="51"/>
      <c r="OHT43" s="51"/>
      <c r="OHU43" s="51"/>
      <c r="OHV43" s="51"/>
      <c r="OHW43" s="51"/>
      <c r="OHX43" s="51"/>
      <c r="OHY43" s="51"/>
      <c r="OHZ43" s="51"/>
      <c r="OIA43" s="51"/>
      <c r="OIB43" s="51"/>
      <c r="OIC43" s="51"/>
      <c r="OID43" s="51"/>
      <c r="OIE43" s="51"/>
      <c r="OIF43" s="51"/>
      <c r="OIG43" s="51"/>
      <c r="OIH43" s="51"/>
      <c r="OII43" s="51"/>
      <c r="OIJ43" s="51"/>
      <c r="OIK43" s="51"/>
      <c r="OIL43" s="51"/>
      <c r="OIM43" s="51"/>
      <c r="OIN43" s="51"/>
      <c r="OIO43" s="51"/>
      <c r="OIP43" s="51"/>
      <c r="OIQ43" s="51"/>
      <c r="OIR43" s="51"/>
      <c r="OIS43" s="51"/>
      <c r="OIT43" s="51"/>
      <c r="OIU43" s="51"/>
      <c r="OIV43" s="51"/>
      <c r="OIW43" s="51"/>
      <c r="OIX43" s="51"/>
      <c r="OIY43" s="51"/>
      <c r="OIZ43" s="51"/>
      <c r="OJA43" s="51"/>
      <c r="OJB43" s="51"/>
      <c r="OJC43" s="51"/>
      <c r="OJD43" s="51"/>
      <c r="OJE43" s="51"/>
      <c r="OJF43" s="51"/>
      <c r="OJG43" s="51"/>
      <c r="OJH43" s="51"/>
      <c r="OJI43" s="51"/>
      <c r="OJJ43" s="51"/>
      <c r="OJK43" s="51"/>
      <c r="OJL43" s="51"/>
      <c r="OJM43" s="51"/>
      <c r="OJN43" s="51"/>
      <c r="OJO43" s="51"/>
      <c r="OJP43" s="51"/>
      <c r="OJQ43" s="51"/>
      <c r="OJR43" s="51"/>
      <c r="OJS43" s="51"/>
      <c r="OJT43" s="51"/>
      <c r="OJU43" s="51"/>
      <c r="OJV43" s="51"/>
      <c r="OJW43" s="51"/>
      <c r="OJX43" s="51"/>
      <c r="OJY43" s="51"/>
      <c r="OJZ43" s="51"/>
      <c r="OKA43" s="51"/>
      <c r="OKB43" s="51"/>
      <c r="OKC43" s="51"/>
      <c r="OKD43" s="51"/>
      <c r="OKE43" s="51"/>
      <c r="OKF43" s="51"/>
      <c r="OKG43" s="51"/>
      <c r="OKH43" s="51"/>
      <c r="OKI43" s="51"/>
      <c r="OKJ43" s="51"/>
      <c r="OKK43" s="51"/>
      <c r="OKL43" s="51"/>
      <c r="OKM43" s="51"/>
      <c r="OKN43" s="51"/>
      <c r="OKO43" s="51"/>
      <c r="OKP43" s="51"/>
      <c r="OKQ43" s="51"/>
      <c r="OKR43" s="51"/>
      <c r="OKS43" s="51"/>
      <c r="OKT43" s="51"/>
      <c r="OKU43" s="51"/>
      <c r="OKV43" s="51"/>
      <c r="OKW43" s="51"/>
      <c r="OKX43" s="51"/>
      <c r="OKY43" s="51"/>
      <c r="OKZ43" s="51"/>
      <c r="OLA43" s="51"/>
      <c r="OLB43" s="51"/>
      <c r="OLC43" s="51"/>
      <c r="OLD43" s="51"/>
      <c r="OLE43" s="51"/>
      <c r="OLF43" s="51"/>
      <c r="OLG43" s="51"/>
      <c r="OLH43" s="51"/>
      <c r="OLI43" s="51"/>
      <c r="OLJ43" s="51"/>
      <c r="OLK43" s="51"/>
      <c r="OLL43" s="51"/>
      <c r="OLM43" s="51"/>
      <c r="OLN43" s="51"/>
      <c r="OLO43" s="51"/>
      <c r="OLP43" s="51"/>
      <c r="OLQ43" s="51"/>
      <c r="OLR43" s="51"/>
      <c r="OLS43" s="51"/>
      <c r="OLT43" s="51"/>
      <c r="OLU43" s="51"/>
      <c r="OLV43" s="51"/>
      <c r="OLW43" s="51"/>
      <c r="OLX43" s="51"/>
      <c r="OLY43" s="51"/>
      <c r="OLZ43" s="51"/>
      <c r="OMA43" s="51"/>
      <c r="OMB43" s="51"/>
      <c r="OMC43" s="51"/>
      <c r="OMD43" s="51"/>
      <c r="OME43" s="51"/>
      <c r="OMF43" s="51"/>
      <c r="OMG43" s="51"/>
      <c r="OMH43" s="51"/>
      <c r="OMI43" s="51"/>
      <c r="OMJ43" s="51"/>
      <c r="OMK43" s="51"/>
      <c r="OML43" s="51"/>
      <c r="OMM43" s="51"/>
      <c r="OMN43" s="51"/>
      <c r="OMO43" s="51"/>
      <c r="OMP43" s="51"/>
      <c r="OMQ43" s="51"/>
      <c r="OMR43" s="51"/>
      <c r="OMS43" s="51"/>
      <c r="OMT43" s="51"/>
      <c r="OMU43" s="51"/>
      <c r="OMV43" s="51"/>
      <c r="OMW43" s="51"/>
      <c r="OMX43" s="51"/>
      <c r="OMY43" s="51"/>
      <c r="OMZ43" s="51"/>
      <c r="ONA43" s="51"/>
      <c r="ONB43" s="51"/>
      <c r="ONC43" s="51"/>
      <c r="OND43" s="51"/>
      <c r="ONE43" s="51"/>
      <c r="ONF43" s="51"/>
      <c r="ONG43" s="51"/>
      <c r="ONH43" s="51"/>
      <c r="ONI43" s="51"/>
      <c r="ONJ43" s="51"/>
      <c r="ONK43" s="51"/>
      <c r="ONL43" s="51"/>
      <c r="ONM43" s="51"/>
      <c r="ONN43" s="51"/>
      <c r="ONO43" s="51"/>
      <c r="ONP43" s="51"/>
      <c r="ONQ43" s="51"/>
      <c r="ONR43" s="51"/>
      <c r="ONS43" s="51"/>
      <c r="ONT43" s="51"/>
      <c r="ONU43" s="51"/>
      <c r="ONV43" s="51"/>
      <c r="ONW43" s="51"/>
      <c r="ONX43" s="51"/>
      <c r="ONY43" s="51"/>
      <c r="ONZ43" s="51"/>
      <c r="OOA43" s="51"/>
      <c r="OOB43" s="51"/>
      <c r="OOC43" s="51"/>
      <c r="OOD43" s="51"/>
      <c r="OOE43" s="51"/>
      <c r="OOF43" s="51"/>
      <c r="OOG43" s="51"/>
      <c r="OOH43" s="51"/>
      <c r="OOI43" s="51"/>
      <c r="OOJ43" s="51"/>
      <c r="OOK43" s="51"/>
      <c r="OOL43" s="51"/>
      <c r="OOM43" s="51"/>
      <c r="OON43" s="51"/>
      <c r="OOO43" s="51"/>
      <c r="OOP43" s="51"/>
      <c r="OOQ43" s="51"/>
      <c r="OOR43" s="51"/>
      <c r="OOS43" s="51"/>
      <c r="OOT43" s="51"/>
      <c r="OOU43" s="51"/>
      <c r="OOV43" s="51"/>
      <c r="OOW43" s="51"/>
      <c r="OOX43" s="51"/>
      <c r="OOY43" s="51"/>
      <c r="OOZ43" s="51"/>
      <c r="OPA43" s="51"/>
      <c r="OPB43" s="51"/>
      <c r="OPC43" s="51"/>
      <c r="OPD43" s="51"/>
      <c r="OPE43" s="51"/>
      <c r="OPF43" s="51"/>
      <c r="OPG43" s="51"/>
      <c r="OPH43" s="51"/>
      <c r="OPI43" s="51"/>
      <c r="OPJ43" s="51"/>
      <c r="OPK43" s="51"/>
      <c r="OPL43" s="51"/>
      <c r="OPM43" s="51"/>
      <c r="OPN43" s="51"/>
      <c r="OPO43" s="51"/>
      <c r="OPP43" s="51"/>
      <c r="OPQ43" s="51"/>
      <c r="OPR43" s="51"/>
      <c r="OPS43" s="51"/>
      <c r="OPT43" s="51"/>
      <c r="OPU43" s="51"/>
      <c r="OPV43" s="51"/>
      <c r="OPW43" s="51"/>
      <c r="OPX43" s="51"/>
      <c r="OPY43" s="51"/>
      <c r="OPZ43" s="51"/>
      <c r="OQA43" s="51"/>
      <c r="OQB43" s="51"/>
      <c r="OQC43" s="51"/>
      <c r="OQD43" s="51"/>
      <c r="OQE43" s="51"/>
      <c r="OQF43" s="51"/>
      <c r="OQG43" s="51"/>
      <c r="OQH43" s="51"/>
      <c r="OQI43" s="51"/>
      <c r="OQJ43" s="51"/>
      <c r="OQK43" s="51"/>
      <c r="OQL43" s="51"/>
      <c r="OQM43" s="51"/>
      <c r="OQN43" s="51"/>
      <c r="OQO43" s="51"/>
      <c r="OQP43" s="51"/>
      <c r="OQQ43" s="51"/>
      <c r="OQR43" s="51"/>
      <c r="OQS43" s="51"/>
      <c r="OQT43" s="51"/>
      <c r="OQU43" s="51"/>
      <c r="OQV43" s="51"/>
      <c r="OQW43" s="51"/>
      <c r="OQX43" s="51"/>
      <c r="OQY43" s="51"/>
      <c r="OQZ43" s="51"/>
      <c r="ORA43" s="51"/>
      <c r="ORB43" s="51"/>
      <c r="ORC43" s="51"/>
      <c r="ORD43" s="51"/>
      <c r="ORE43" s="51"/>
      <c r="ORF43" s="51"/>
      <c r="ORG43" s="51"/>
      <c r="ORH43" s="51"/>
      <c r="ORI43" s="51"/>
      <c r="ORJ43" s="51"/>
      <c r="ORK43" s="51"/>
      <c r="ORL43" s="51"/>
      <c r="ORM43" s="51"/>
      <c r="ORN43" s="51"/>
      <c r="ORO43" s="51"/>
      <c r="ORP43" s="51"/>
      <c r="ORQ43" s="51"/>
      <c r="ORR43" s="51"/>
      <c r="ORS43" s="51"/>
      <c r="ORT43" s="51"/>
      <c r="ORU43" s="51"/>
      <c r="ORV43" s="51"/>
      <c r="ORW43" s="51"/>
      <c r="ORX43" s="51"/>
      <c r="ORY43" s="51"/>
      <c r="ORZ43" s="51"/>
      <c r="OSA43" s="51"/>
      <c r="OSB43" s="51"/>
      <c r="OSC43" s="51"/>
      <c r="OSD43" s="51"/>
      <c r="OSE43" s="51"/>
      <c r="OSF43" s="51"/>
      <c r="OSG43" s="51"/>
      <c r="OSH43" s="51"/>
      <c r="OSI43" s="51"/>
      <c r="OSJ43" s="51"/>
      <c r="OSK43" s="51"/>
      <c r="OSL43" s="51"/>
      <c r="OSM43" s="51"/>
      <c r="OSN43" s="51"/>
      <c r="OSO43" s="51"/>
      <c r="OSP43" s="51"/>
      <c r="OSQ43" s="51"/>
      <c r="OSR43" s="51"/>
      <c r="OSS43" s="51"/>
      <c r="OST43" s="51"/>
      <c r="OSU43" s="51"/>
      <c r="OSV43" s="51"/>
      <c r="OSW43" s="51"/>
      <c r="OSX43" s="51"/>
      <c r="OSY43" s="51"/>
      <c r="OSZ43" s="51"/>
      <c r="OTA43" s="51"/>
      <c r="OTB43" s="51"/>
      <c r="OTC43" s="51"/>
      <c r="OTD43" s="51"/>
      <c r="OTE43" s="51"/>
      <c r="OTF43" s="51"/>
      <c r="OTG43" s="51"/>
      <c r="OTH43" s="51"/>
      <c r="OTI43" s="51"/>
      <c r="OTJ43" s="51"/>
      <c r="OTK43" s="51"/>
      <c r="OTL43" s="51"/>
      <c r="OTM43" s="51"/>
      <c r="OTN43" s="51"/>
      <c r="OTO43" s="51"/>
      <c r="OTP43" s="51"/>
      <c r="OTQ43" s="51"/>
      <c r="OTR43" s="51"/>
      <c r="OTS43" s="51"/>
      <c r="OTT43" s="51"/>
      <c r="OTU43" s="51"/>
      <c r="OTV43" s="51"/>
      <c r="OTW43" s="51"/>
      <c r="OTX43" s="51"/>
      <c r="OTY43" s="51"/>
      <c r="OTZ43" s="51"/>
      <c r="OUA43" s="51"/>
      <c r="OUB43" s="51"/>
      <c r="OUC43" s="51"/>
      <c r="OUD43" s="51"/>
      <c r="OUE43" s="51"/>
      <c r="OUF43" s="51"/>
      <c r="OUG43" s="51"/>
      <c r="OUH43" s="51"/>
      <c r="OUI43" s="51"/>
      <c r="OUJ43" s="51"/>
      <c r="OUK43" s="51"/>
      <c r="OUL43" s="51"/>
      <c r="OUM43" s="51"/>
      <c r="OUN43" s="51"/>
      <c r="OUO43" s="51"/>
      <c r="OUP43" s="51"/>
      <c r="OUQ43" s="51"/>
      <c r="OUR43" s="51"/>
      <c r="OUS43" s="51"/>
      <c r="OUT43" s="51"/>
      <c r="OUU43" s="51"/>
      <c r="OUV43" s="51"/>
      <c r="OUW43" s="51"/>
      <c r="OUX43" s="51"/>
      <c r="OUY43" s="51"/>
      <c r="OUZ43" s="51"/>
      <c r="OVA43" s="51"/>
      <c r="OVB43" s="51"/>
      <c r="OVC43" s="51"/>
      <c r="OVD43" s="51"/>
      <c r="OVE43" s="51"/>
      <c r="OVF43" s="51"/>
      <c r="OVG43" s="51"/>
      <c r="OVH43" s="51"/>
      <c r="OVI43" s="51"/>
      <c r="OVJ43" s="51"/>
      <c r="OVK43" s="51"/>
      <c r="OVL43" s="51"/>
      <c r="OVM43" s="51"/>
      <c r="OVN43" s="51"/>
      <c r="OVO43" s="51"/>
      <c r="OVP43" s="51"/>
      <c r="OVQ43" s="51"/>
      <c r="OVR43" s="51"/>
      <c r="OVS43" s="51"/>
      <c r="OVT43" s="51"/>
      <c r="OVU43" s="51"/>
      <c r="OVV43" s="51"/>
      <c r="OVW43" s="51"/>
      <c r="OVX43" s="51"/>
      <c r="OVY43" s="51"/>
      <c r="OVZ43" s="51"/>
      <c r="OWA43" s="51"/>
      <c r="OWB43" s="51"/>
      <c r="OWC43" s="51"/>
      <c r="OWD43" s="51"/>
      <c r="OWE43" s="51"/>
      <c r="OWF43" s="51"/>
      <c r="OWG43" s="51"/>
      <c r="OWH43" s="51"/>
      <c r="OWI43" s="51"/>
      <c r="OWJ43" s="51"/>
      <c r="OWK43" s="51"/>
      <c r="OWL43" s="51"/>
      <c r="OWM43" s="51"/>
      <c r="OWN43" s="51"/>
      <c r="OWO43" s="51"/>
      <c r="OWP43" s="51"/>
      <c r="OWQ43" s="51"/>
      <c r="OWR43" s="51"/>
      <c r="OWS43" s="51"/>
      <c r="OWT43" s="51"/>
      <c r="OWU43" s="51"/>
      <c r="OWV43" s="51"/>
      <c r="OWW43" s="51"/>
      <c r="OWX43" s="51"/>
      <c r="OWY43" s="51"/>
      <c r="OWZ43" s="51"/>
      <c r="OXA43" s="51"/>
      <c r="OXB43" s="51"/>
      <c r="OXC43" s="51"/>
      <c r="OXD43" s="51"/>
      <c r="OXE43" s="51"/>
      <c r="OXF43" s="51"/>
      <c r="OXG43" s="51"/>
      <c r="OXH43" s="51"/>
      <c r="OXI43" s="51"/>
      <c r="OXJ43" s="51"/>
      <c r="OXK43" s="51"/>
      <c r="OXL43" s="51"/>
      <c r="OXM43" s="51"/>
      <c r="OXN43" s="51"/>
      <c r="OXO43" s="51"/>
      <c r="OXP43" s="51"/>
      <c r="OXQ43" s="51"/>
      <c r="OXR43" s="51"/>
      <c r="OXS43" s="51"/>
      <c r="OXT43" s="51"/>
      <c r="OXU43" s="51"/>
      <c r="OXV43" s="51"/>
      <c r="OXW43" s="51"/>
      <c r="OXX43" s="51"/>
      <c r="OXY43" s="51"/>
      <c r="OXZ43" s="51"/>
      <c r="OYA43" s="51"/>
      <c r="OYB43" s="51"/>
      <c r="OYC43" s="51"/>
      <c r="OYD43" s="51"/>
      <c r="OYE43" s="51"/>
      <c r="OYF43" s="51"/>
      <c r="OYG43" s="51"/>
      <c r="OYH43" s="51"/>
      <c r="OYI43" s="51"/>
      <c r="OYJ43" s="51"/>
      <c r="OYK43" s="51"/>
      <c r="OYL43" s="51"/>
      <c r="OYM43" s="51"/>
      <c r="OYN43" s="51"/>
      <c r="OYO43" s="51"/>
      <c r="OYP43" s="51"/>
      <c r="OYQ43" s="51"/>
      <c r="OYR43" s="51"/>
      <c r="OYS43" s="51"/>
      <c r="OYT43" s="51"/>
      <c r="OYU43" s="51"/>
      <c r="OYV43" s="51"/>
      <c r="OYW43" s="51"/>
      <c r="OYX43" s="51"/>
      <c r="OYY43" s="51"/>
      <c r="OYZ43" s="51"/>
      <c r="OZA43" s="51"/>
      <c r="OZB43" s="51"/>
      <c r="OZC43" s="51"/>
      <c r="OZD43" s="51"/>
      <c r="OZE43" s="51"/>
      <c r="OZF43" s="51"/>
      <c r="OZG43" s="51"/>
      <c r="OZH43" s="51"/>
      <c r="OZI43" s="51"/>
      <c r="OZJ43" s="51"/>
      <c r="OZK43" s="51"/>
      <c r="OZL43" s="51"/>
      <c r="OZM43" s="51"/>
      <c r="OZN43" s="51"/>
      <c r="OZO43" s="51"/>
      <c r="OZP43" s="51"/>
      <c r="OZQ43" s="51"/>
      <c r="OZR43" s="51"/>
      <c r="OZS43" s="51"/>
      <c r="OZT43" s="51"/>
      <c r="OZU43" s="51"/>
      <c r="OZV43" s="51"/>
      <c r="OZW43" s="51"/>
      <c r="OZX43" s="51"/>
      <c r="OZY43" s="51"/>
      <c r="OZZ43" s="51"/>
      <c r="PAA43" s="51"/>
      <c r="PAB43" s="51"/>
      <c r="PAC43" s="51"/>
      <c r="PAD43" s="51"/>
      <c r="PAE43" s="51"/>
      <c r="PAF43" s="51"/>
      <c r="PAG43" s="51"/>
      <c r="PAH43" s="51"/>
      <c r="PAI43" s="51"/>
      <c r="PAJ43" s="51"/>
      <c r="PAK43" s="51"/>
      <c r="PAL43" s="51"/>
      <c r="PAM43" s="51"/>
      <c r="PAN43" s="51"/>
      <c r="PAO43" s="51"/>
      <c r="PAP43" s="51"/>
      <c r="PAQ43" s="51"/>
      <c r="PAR43" s="51"/>
      <c r="PAS43" s="51"/>
      <c r="PAT43" s="51"/>
      <c r="PAU43" s="51"/>
      <c r="PAV43" s="51"/>
      <c r="PAW43" s="51"/>
      <c r="PAX43" s="51"/>
      <c r="PAY43" s="51"/>
      <c r="PAZ43" s="51"/>
      <c r="PBA43" s="51"/>
      <c r="PBB43" s="51"/>
      <c r="PBC43" s="51"/>
      <c r="PBD43" s="51"/>
      <c r="PBE43" s="51"/>
      <c r="PBF43" s="51"/>
      <c r="PBG43" s="51"/>
      <c r="PBH43" s="51"/>
      <c r="PBI43" s="51"/>
      <c r="PBJ43" s="51"/>
      <c r="PBK43" s="51"/>
      <c r="PBL43" s="51"/>
      <c r="PBM43" s="51"/>
      <c r="PBN43" s="51"/>
      <c r="PBO43" s="51"/>
      <c r="PBP43" s="51"/>
      <c r="PBQ43" s="51"/>
      <c r="PBR43" s="51"/>
      <c r="PBS43" s="51"/>
      <c r="PBT43" s="51"/>
      <c r="PBU43" s="51"/>
      <c r="PBV43" s="51"/>
      <c r="PBW43" s="51"/>
      <c r="PBX43" s="51"/>
      <c r="PBY43" s="51"/>
      <c r="PBZ43" s="51"/>
      <c r="PCA43" s="51"/>
      <c r="PCB43" s="51"/>
      <c r="PCC43" s="51"/>
      <c r="PCD43" s="51"/>
      <c r="PCE43" s="51"/>
      <c r="PCF43" s="51"/>
      <c r="PCG43" s="51"/>
      <c r="PCH43" s="51"/>
      <c r="PCI43" s="51"/>
      <c r="PCJ43" s="51"/>
      <c r="PCK43" s="51"/>
      <c r="PCL43" s="51"/>
      <c r="PCM43" s="51"/>
      <c r="PCN43" s="51"/>
      <c r="PCO43" s="51"/>
      <c r="PCP43" s="51"/>
      <c r="PCQ43" s="51"/>
      <c r="PCR43" s="51"/>
      <c r="PCS43" s="51"/>
      <c r="PCT43" s="51"/>
      <c r="PCU43" s="51"/>
      <c r="PCV43" s="51"/>
      <c r="PCW43" s="51"/>
      <c r="PCX43" s="51"/>
      <c r="PCY43" s="51"/>
      <c r="PCZ43" s="51"/>
      <c r="PDA43" s="51"/>
      <c r="PDB43" s="51"/>
      <c r="PDC43" s="51"/>
      <c r="PDD43" s="51"/>
      <c r="PDE43" s="51"/>
      <c r="PDF43" s="51"/>
      <c r="PDG43" s="51"/>
      <c r="PDH43" s="51"/>
      <c r="PDI43" s="51"/>
      <c r="PDJ43" s="51"/>
      <c r="PDK43" s="51"/>
      <c r="PDL43" s="51"/>
      <c r="PDM43" s="51"/>
      <c r="PDN43" s="51"/>
      <c r="PDO43" s="51"/>
      <c r="PDP43" s="51"/>
      <c r="PDQ43" s="51"/>
      <c r="PDR43" s="51"/>
      <c r="PDS43" s="51"/>
      <c r="PDT43" s="51"/>
      <c r="PDU43" s="51"/>
      <c r="PDV43" s="51"/>
      <c r="PDW43" s="51"/>
      <c r="PDX43" s="51"/>
      <c r="PDY43" s="51"/>
      <c r="PDZ43" s="51"/>
      <c r="PEA43" s="51"/>
      <c r="PEB43" s="51"/>
      <c r="PEC43" s="51"/>
      <c r="PED43" s="51"/>
      <c r="PEE43" s="51"/>
      <c r="PEF43" s="51"/>
      <c r="PEG43" s="51"/>
      <c r="PEH43" s="51"/>
      <c r="PEI43" s="51"/>
      <c r="PEJ43" s="51"/>
      <c r="PEK43" s="51"/>
      <c r="PEL43" s="51"/>
      <c r="PEM43" s="51"/>
      <c r="PEN43" s="51"/>
      <c r="PEO43" s="51"/>
      <c r="PEP43" s="51"/>
      <c r="PEQ43" s="51"/>
      <c r="PER43" s="51"/>
      <c r="PES43" s="51"/>
      <c r="PET43" s="51"/>
      <c r="PEU43" s="51"/>
      <c r="PEV43" s="51"/>
      <c r="PEW43" s="51"/>
      <c r="PEX43" s="51"/>
      <c r="PEY43" s="51"/>
      <c r="PEZ43" s="51"/>
      <c r="PFA43" s="51"/>
      <c r="PFB43" s="51"/>
      <c r="PFC43" s="51"/>
      <c r="PFD43" s="51"/>
      <c r="PFE43" s="51"/>
      <c r="PFF43" s="51"/>
      <c r="PFG43" s="51"/>
      <c r="PFH43" s="51"/>
      <c r="PFI43" s="51"/>
      <c r="PFJ43" s="51"/>
      <c r="PFK43" s="51"/>
      <c r="PFL43" s="51"/>
      <c r="PFM43" s="51"/>
      <c r="PFN43" s="51"/>
      <c r="PFO43" s="51"/>
      <c r="PFP43" s="51"/>
      <c r="PFQ43" s="51"/>
      <c r="PFR43" s="51"/>
      <c r="PFS43" s="51"/>
      <c r="PFT43" s="51"/>
      <c r="PFU43" s="51"/>
      <c r="PFV43" s="51"/>
      <c r="PFW43" s="51"/>
      <c r="PFX43" s="51"/>
      <c r="PFY43" s="51"/>
      <c r="PFZ43" s="51"/>
      <c r="PGA43" s="51"/>
      <c r="PGB43" s="51"/>
      <c r="PGC43" s="51"/>
      <c r="PGD43" s="51"/>
      <c r="PGE43" s="51"/>
      <c r="PGF43" s="51"/>
      <c r="PGG43" s="51"/>
      <c r="PGH43" s="51"/>
      <c r="PGI43" s="51"/>
      <c r="PGJ43" s="51"/>
      <c r="PGK43" s="51"/>
      <c r="PGL43" s="51"/>
      <c r="PGM43" s="51"/>
      <c r="PGN43" s="51"/>
      <c r="PGO43" s="51"/>
      <c r="PGP43" s="51"/>
      <c r="PGQ43" s="51"/>
      <c r="PGR43" s="51"/>
      <c r="PGS43" s="51"/>
      <c r="PGT43" s="51"/>
      <c r="PGU43" s="51"/>
      <c r="PGV43" s="51"/>
      <c r="PGW43" s="51"/>
      <c r="PGX43" s="51"/>
      <c r="PGY43" s="51"/>
      <c r="PGZ43" s="51"/>
      <c r="PHA43" s="51"/>
      <c r="PHB43" s="51"/>
      <c r="PHC43" s="51"/>
      <c r="PHD43" s="51"/>
      <c r="PHE43" s="51"/>
      <c r="PHF43" s="51"/>
      <c r="PHG43" s="51"/>
      <c r="PHH43" s="51"/>
      <c r="PHI43" s="51"/>
      <c r="PHJ43" s="51"/>
      <c r="PHK43" s="51"/>
      <c r="PHL43" s="51"/>
      <c r="PHM43" s="51"/>
      <c r="PHN43" s="51"/>
      <c r="PHO43" s="51"/>
      <c r="PHP43" s="51"/>
      <c r="PHQ43" s="51"/>
      <c r="PHR43" s="51"/>
      <c r="PHS43" s="51"/>
      <c r="PHT43" s="51"/>
      <c r="PHU43" s="51"/>
      <c r="PHV43" s="51"/>
      <c r="PHW43" s="51"/>
      <c r="PHX43" s="51"/>
      <c r="PHY43" s="51"/>
      <c r="PHZ43" s="51"/>
      <c r="PIA43" s="51"/>
      <c r="PIB43" s="51"/>
      <c r="PIC43" s="51"/>
      <c r="PID43" s="51"/>
      <c r="PIE43" s="51"/>
      <c r="PIF43" s="51"/>
      <c r="PIG43" s="51"/>
      <c r="PIH43" s="51"/>
      <c r="PII43" s="51"/>
      <c r="PIJ43" s="51"/>
      <c r="PIK43" s="51"/>
      <c r="PIL43" s="51"/>
      <c r="PIM43" s="51"/>
      <c r="PIN43" s="51"/>
      <c r="PIO43" s="51"/>
      <c r="PIP43" s="51"/>
      <c r="PIQ43" s="51"/>
      <c r="PIR43" s="51"/>
      <c r="PIS43" s="51"/>
      <c r="PIT43" s="51"/>
      <c r="PIU43" s="51"/>
      <c r="PIV43" s="51"/>
      <c r="PIW43" s="51"/>
      <c r="PIX43" s="51"/>
      <c r="PIY43" s="51"/>
      <c r="PIZ43" s="51"/>
      <c r="PJA43" s="51"/>
      <c r="PJB43" s="51"/>
      <c r="PJC43" s="51"/>
      <c r="PJD43" s="51"/>
      <c r="PJE43" s="51"/>
      <c r="PJF43" s="51"/>
      <c r="PJG43" s="51"/>
      <c r="PJH43" s="51"/>
      <c r="PJI43" s="51"/>
      <c r="PJJ43" s="51"/>
      <c r="PJK43" s="51"/>
      <c r="PJL43" s="51"/>
      <c r="PJM43" s="51"/>
      <c r="PJN43" s="51"/>
      <c r="PJO43" s="51"/>
      <c r="PJP43" s="51"/>
      <c r="PJQ43" s="51"/>
      <c r="PJR43" s="51"/>
      <c r="PJS43" s="51"/>
      <c r="PJT43" s="51"/>
      <c r="PJU43" s="51"/>
      <c r="PJV43" s="51"/>
      <c r="PJW43" s="51"/>
      <c r="PJX43" s="51"/>
      <c r="PJY43" s="51"/>
      <c r="PJZ43" s="51"/>
      <c r="PKA43" s="51"/>
      <c r="PKB43" s="51"/>
      <c r="PKC43" s="51"/>
      <c r="PKD43" s="51"/>
      <c r="PKE43" s="51"/>
      <c r="PKF43" s="51"/>
      <c r="PKG43" s="51"/>
      <c r="PKH43" s="51"/>
      <c r="PKI43" s="51"/>
      <c r="PKJ43" s="51"/>
      <c r="PKK43" s="51"/>
      <c r="PKL43" s="51"/>
      <c r="PKM43" s="51"/>
      <c r="PKN43" s="51"/>
      <c r="PKO43" s="51"/>
      <c r="PKP43" s="51"/>
      <c r="PKQ43" s="51"/>
      <c r="PKR43" s="51"/>
      <c r="PKS43" s="51"/>
      <c r="PKT43" s="51"/>
      <c r="PKU43" s="51"/>
      <c r="PKV43" s="51"/>
      <c r="PKW43" s="51"/>
      <c r="PKX43" s="51"/>
      <c r="PKY43" s="51"/>
      <c r="PKZ43" s="51"/>
      <c r="PLA43" s="51"/>
      <c r="PLB43" s="51"/>
      <c r="PLC43" s="51"/>
      <c r="PLD43" s="51"/>
      <c r="PLE43" s="51"/>
      <c r="PLF43" s="51"/>
      <c r="PLG43" s="51"/>
      <c r="PLH43" s="51"/>
      <c r="PLI43" s="51"/>
      <c r="PLJ43" s="51"/>
      <c r="PLK43" s="51"/>
      <c r="PLL43" s="51"/>
      <c r="PLM43" s="51"/>
      <c r="PLN43" s="51"/>
      <c r="PLO43" s="51"/>
      <c r="PLP43" s="51"/>
      <c r="PLQ43" s="51"/>
      <c r="PLR43" s="51"/>
      <c r="PLS43" s="51"/>
      <c r="PLT43" s="51"/>
      <c r="PLU43" s="51"/>
      <c r="PLV43" s="51"/>
      <c r="PLW43" s="51"/>
      <c r="PLX43" s="51"/>
      <c r="PLY43" s="51"/>
      <c r="PLZ43" s="51"/>
      <c r="PMA43" s="51"/>
      <c r="PMB43" s="51"/>
      <c r="PMC43" s="51"/>
      <c r="PMD43" s="51"/>
      <c r="PME43" s="51"/>
      <c r="PMF43" s="51"/>
      <c r="PMG43" s="51"/>
      <c r="PMH43" s="51"/>
      <c r="PMI43" s="51"/>
      <c r="PMJ43" s="51"/>
      <c r="PMK43" s="51"/>
      <c r="PML43" s="51"/>
      <c r="PMM43" s="51"/>
      <c r="PMN43" s="51"/>
      <c r="PMO43" s="51"/>
      <c r="PMP43" s="51"/>
      <c r="PMQ43" s="51"/>
      <c r="PMR43" s="51"/>
      <c r="PMS43" s="51"/>
      <c r="PMT43" s="51"/>
      <c r="PMU43" s="51"/>
      <c r="PMV43" s="51"/>
      <c r="PMW43" s="51"/>
      <c r="PMX43" s="51"/>
      <c r="PMY43" s="51"/>
      <c r="PMZ43" s="51"/>
      <c r="PNA43" s="51"/>
      <c r="PNB43" s="51"/>
      <c r="PNC43" s="51"/>
      <c r="PND43" s="51"/>
      <c r="PNE43" s="51"/>
      <c r="PNF43" s="51"/>
      <c r="PNG43" s="51"/>
      <c r="PNH43" s="51"/>
      <c r="PNI43" s="51"/>
      <c r="PNJ43" s="51"/>
      <c r="PNK43" s="51"/>
      <c r="PNL43" s="51"/>
      <c r="PNM43" s="51"/>
      <c r="PNN43" s="51"/>
      <c r="PNO43" s="51"/>
      <c r="PNP43" s="51"/>
      <c r="PNQ43" s="51"/>
      <c r="PNR43" s="51"/>
      <c r="PNS43" s="51"/>
      <c r="PNT43" s="51"/>
      <c r="PNU43" s="51"/>
      <c r="PNV43" s="51"/>
      <c r="PNW43" s="51"/>
      <c r="PNX43" s="51"/>
      <c r="PNY43" s="51"/>
      <c r="PNZ43" s="51"/>
      <c r="POA43" s="51"/>
      <c r="POB43" s="51"/>
      <c r="POC43" s="51"/>
      <c r="POD43" s="51"/>
      <c r="POE43" s="51"/>
      <c r="POF43" s="51"/>
      <c r="POG43" s="51"/>
      <c r="POH43" s="51"/>
      <c r="POI43" s="51"/>
      <c r="POJ43" s="51"/>
      <c r="POK43" s="51"/>
      <c r="POL43" s="51"/>
      <c r="POM43" s="51"/>
      <c r="PON43" s="51"/>
      <c r="POO43" s="51"/>
      <c r="POP43" s="51"/>
      <c r="POQ43" s="51"/>
      <c r="POR43" s="51"/>
      <c r="POS43" s="51"/>
      <c r="POT43" s="51"/>
      <c r="POU43" s="51"/>
      <c r="POV43" s="51"/>
      <c r="POW43" s="51"/>
      <c r="POX43" s="51"/>
      <c r="POY43" s="51"/>
      <c r="POZ43" s="51"/>
      <c r="PPA43" s="51"/>
      <c r="PPB43" s="51"/>
      <c r="PPC43" s="51"/>
      <c r="PPD43" s="51"/>
      <c r="PPE43" s="51"/>
      <c r="PPF43" s="51"/>
      <c r="PPG43" s="51"/>
      <c r="PPH43" s="51"/>
      <c r="PPI43" s="51"/>
      <c r="PPJ43" s="51"/>
      <c r="PPK43" s="51"/>
      <c r="PPL43" s="51"/>
      <c r="PPM43" s="51"/>
      <c r="PPN43" s="51"/>
      <c r="PPO43" s="51"/>
      <c r="PPP43" s="51"/>
      <c r="PPQ43" s="51"/>
      <c r="PPR43" s="51"/>
      <c r="PPS43" s="51"/>
      <c r="PPT43" s="51"/>
      <c r="PPU43" s="51"/>
      <c r="PPV43" s="51"/>
      <c r="PPW43" s="51"/>
      <c r="PPX43" s="51"/>
      <c r="PPY43" s="51"/>
      <c r="PPZ43" s="51"/>
      <c r="PQA43" s="51"/>
      <c r="PQB43" s="51"/>
      <c r="PQC43" s="51"/>
      <c r="PQD43" s="51"/>
      <c r="PQE43" s="51"/>
      <c r="PQF43" s="51"/>
      <c r="PQG43" s="51"/>
      <c r="PQH43" s="51"/>
      <c r="PQI43" s="51"/>
      <c r="PQJ43" s="51"/>
      <c r="PQK43" s="51"/>
      <c r="PQL43" s="51"/>
      <c r="PQM43" s="51"/>
      <c r="PQN43" s="51"/>
      <c r="PQO43" s="51"/>
      <c r="PQP43" s="51"/>
      <c r="PQQ43" s="51"/>
      <c r="PQR43" s="51"/>
      <c r="PQS43" s="51"/>
      <c r="PQT43" s="51"/>
      <c r="PQU43" s="51"/>
      <c r="PQV43" s="51"/>
      <c r="PQW43" s="51"/>
      <c r="PQX43" s="51"/>
      <c r="PQY43" s="51"/>
      <c r="PQZ43" s="51"/>
      <c r="PRA43" s="51"/>
      <c r="PRB43" s="51"/>
      <c r="PRC43" s="51"/>
      <c r="PRD43" s="51"/>
      <c r="PRE43" s="51"/>
      <c r="PRF43" s="51"/>
      <c r="PRG43" s="51"/>
      <c r="PRH43" s="51"/>
      <c r="PRI43" s="51"/>
      <c r="PRJ43" s="51"/>
      <c r="PRK43" s="51"/>
      <c r="PRL43" s="51"/>
      <c r="PRM43" s="51"/>
      <c r="PRN43" s="51"/>
      <c r="PRO43" s="51"/>
      <c r="PRP43" s="51"/>
      <c r="PRQ43" s="51"/>
      <c r="PRR43" s="51"/>
      <c r="PRS43" s="51"/>
      <c r="PRT43" s="51"/>
      <c r="PRU43" s="51"/>
      <c r="PRV43" s="51"/>
      <c r="PRW43" s="51"/>
      <c r="PRX43" s="51"/>
      <c r="PRY43" s="51"/>
      <c r="PRZ43" s="51"/>
      <c r="PSA43" s="51"/>
      <c r="PSB43" s="51"/>
      <c r="PSC43" s="51"/>
      <c r="PSD43" s="51"/>
      <c r="PSE43" s="51"/>
      <c r="PSF43" s="51"/>
      <c r="PSG43" s="51"/>
      <c r="PSH43" s="51"/>
      <c r="PSI43" s="51"/>
      <c r="PSJ43" s="51"/>
      <c r="PSK43" s="51"/>
      <c r="PSL43" s="51"/>
      <c r="PSM43" s="51"/>
      <c r="PSN43" s="51"/>
      <c r="PSO43" s="51"/>
      <c r="PSP43" s="51"/>
      <c r="PSQ43" s="51"/>
      <c r="PSR43" s="51"/>
      <c r="PSS43" s="51"/>
      <c r="PST43" s="51"/>
      <c r="PSU43" s="51"/>
      <c r="PSV43" s="51"/>
      <c r="PSW43" s="51"/>
      <c r="PSX43" s="51"/>
      <c r="PSY43" s="51"/>
      <c r="PSZ43" s="51"/>
      <c r="PTA43" s="51"/>
      <c r="PTB43" s="51"/>
      <c r="PTC43" s="51"/>
      <c r="PTD43" s="51"/>
      <c r="PTE43" s="51"/>
      <c r="PTF43" s="51"/>
      <c r="PTG43" s="51"/>
      <c r="PTH43" s="51"/>
      <c r="PTI43" s="51"/>
      <c r="PTJ43" s="51"/>
      <c r="PTK43" s="51"/>
      <c r="PTL43" s="51"/>
      <c r="PTM43" s="51"/>
      <c r="PTN43" s="51"/>
      <c r="PTO43" s="51"/>
      <c r="PTP43" s="51"/>
      <c r="PTQ43" s="51"/>
      <c r="PTR43" s="51"/>
      <c r="PTS43" s="51"/>
      <c r="PTT43" s="51"/>
      <c r="PTU43" s="51"/>
      <c r="PTV43" s="51"/>
      <c r="PTW43" s="51"/>
      <c r="PTX43" s="51"/>
      <c r="PTY43" s="51"/>
      <c r="PTZ43" s="51"/>
      <c r="PUA43" s="51"/>
      <c r="PUB43" s="51"/>
      <c r="PUC43" s="51"/>
      <c r="PUD43" s="51"/>
      <c r="PUE43" s="51"/>
      <c r="PUF43" s="51"/>
      <c r="PUG43" s="51"/>
      <c r="PUH43" s="51"/>
      <c r="PUI43" s="51"/>
      <c r="PUJ43" s="51"/>
      <c r="PUK43" s="51"/>
      <c r="PUL43" s="51"/>
      <c r="PUM43" s="51"/>
      <c r="PUN43" s="51"/>
      <c r="PUO43" s="51"/>
      <c r="PUP43" s="51"/>
      <c r="PUQ43" s="51"/>
      <c r="PUR43" s="51"/>
      <c r="PUS43" s="51"/>
      <c r="PUT43" s="51"/>
      <c r="PUU43" s="51"/>
      <c r="PUV43" s="51"/>
      <c r="PUW43" s="51"/>
      <c r="PUX43" s="51"/>
      <c r="PUY43" s="51"/>
      <c r="PUZ43" s="51"/>
      <c r="PVA43" s="51"/>
      <c r="PVB43" s="51"/>
      <c r="PVC43" s="51"/>
      <c r="PVD43" s="51"/>
      <c r="PVE43" s="51"/>
      <c r="PVF43" s="51"/>
      <c r="PVG43" s="51"/>
      <c r="PVH43" s="51"/>
      <c r="PVI43" s="51"/>
      <c r="PVJ43" s="51"/>
      <c r="PVK43" s="51"/>
      <c r="PVL43" s="51"/>
      <c r="PVM43" s="51"/>
      <c r="PVN43" s="51"/>
      <c r="PVO43" s="51"/>
      <c r="PVP43" s="51"/>
      <c r="PVQ43" s="51"/>
      <c r="PVR43" s="51"/>
      <c r="PVS43" s="51"/>
      <c r="PVT43" s="51"/>
      <c r="PVU43" s="51"/>
      <c r="PVV43" s="51"/>
      <c r="PVW43" s="51"/>
      <c r="PVX43" s="51"/>
      <c r="PVY43" s="51"/>
      <c r="PVZ43" s="51"/>
      <c r="PWA43" s="51"/>
      <c r="PWB43" s="51"/>
      <c r="PWC43" s="51"/>
      <c r="PWD43" s="51"/>
      <c r="PWE43" s="51"/>
      <c r="PWF43" s="51"/>
      <c r="PWG43" s="51"/>
      <c r="PWH43" s="51"/>
      <c r="PWI43" s="51"/>
      <c r="PWJ43" s="51"/>
      <c r="PWK43" s="51"/>
      <c r="PWL43" s="51"/>
      <c r="PWM43" s="51"/>
      <c r="PWN43" s="51"/>
      <c r="PWO43" s="51"/>
      <c r="PWP43" s="51"/>
      <c r="PWQ43" s="51"/>
      <c r="PWR43" s="51"/>
      <c r="PWS43" s="51"/>
      <c r="PWT43" s="51"/>
      <c r="PWU43" s="51"/>
      <c r="PWV43" s="51"/>
      <c r="PWW43" s="51"/>
      <c r="PWX43" s="51"/>
      <c r="PWY43" s="51"/>
      <c r="PWZ43" s="51"/>
      <c r="PXA43" s="51"/>
      <c r="PXB43" s="51"/>
      <c r="PXC43" s="51"/>
      <c r="PXD43" s="51"/>
      <c r="PXE43" s="51"/>
      <c r="PXF43" s="51"/>
      <c r="PXG43" s="51"/>
      <c r="PXH43" s="51"/>
      <c r="PXI43" s="51"/>
      <c r="PXJ43" s="51"/>
      <c r="PXK43" s="51"/>
      <c r="PXL43" s="51"/>
      <c r="PXM43" s="51"/>
      <c r="PXN43" s="51"/>
      <c r="PXO43" s="51"/>
      <c r="PXP43" s="51"/>
      <c r="PXQ43" s="51"/>
      <c r="PXR43" s="51"/>
      <c r="PXS43" s="51"/>
      <c r="PXT43" s="51"/>
      <c r="PXU43" s="51"/>
      <c r="PXV43" s="51"/>
      <c r="PXW43" s="51"/>
      <c r="PXX43" s="51"/>
      <c r="PXY43" s="51"/>
      <c r="PXZ43" s="51"/>
      <c r="PYA43" s="51"/>
      <c r="PYB43" s="51"/>
      <c r="PYC43" s="51"/>
      <c r="PYD43" s="51"/>
      <c r="PYE43" s="51"/>
      <c r="PYF43" s="51"/>
      <c r="PYG43" s="51"/>
      <c r="PYH43" s="51"/>
      <c r="PYI43" s="51"/>
      <c r="PYJ43" s="51"/>
      <c r="PYK43" s="51"/>
      <c r="PYL43" s="51"/>
      <c r="PYM43" s="51"/>
      <c r="PYN43" s="51"/>
      <c r="PYO43" s="51"/>
      <c r="PYP43" s="51"/>
      <c r="PYQ43" s="51"/>
      <c r="PYR43" s="51"/>
      <c r="PYS43" s="51"/>
      <c r="PYT43" s="51"/>
      <c r="PYU43" s="51"/>
      <c r="PYV43" s="51"/>
      <c r="PYW43" s="51"/>
      <c r="PYX43" s="51"/>
      <c r="PYY43" s="51"/>
      <c r="PYZ43" s="51"/>
      <c r="PZA43" s="51"/>
      <c r="PZB43" s="51"/>
      <c r="PZC43" s="51"/>
      <c r="PZD43" s="51"/>
      <c r="PZE43" s="51"/>
      <c r="PZF43" s="51"/>
      <c r="PZG43" s="51"/>
      <c r="PZH43" s="51"/>
      <c r="PZI43" s="51"/>
      <c r="PZJ43" s="51"/>
      <c r="PZK43" s="51"/>
      <c r="PZL43" s="51"/>
      <c r="PZM43" s="51"/>
      <c r="PZN43" s="51"/>
      <c r="PZO43" s="51"/>
      <c r="PZP43" s="51"/>
      <c r="PZQ43" s="51"/>
      <c r="PZR43" s="51"/>
      <c r="PZS43" s="51"/>
      <c r="PZT43" s="51"/>
      <c r="PZU43" s="51"/>
      <c r="PZV43" s="51"/>
      <c r="PZW43" s="51"/>
      <c r="PZX43" s="51"/>
      <c r="PZY43" s="51"/>
      <c r="PZZ43" s="51"/>
      <c r="QAA43" s="51"/>
      <c r="QAB43" s="51"/>
      <c r="QAC43" s="51"/>
      <c r="QAD43" s="51"/>
      <c r="QAE43" s="51"/>
      <c r="QAF43" s="51"/>
      <c r="QAG43" s="51"/>
      <c r="QAH43" s="51"/>
      <c r="QAI43" s="51"/>
      <c r="QAJ43" s="51"/>
      <c r="QAK43" s="51"/>
      <c r="QAL43" s="51"/>
      <c r="QAM43" s="51"/>
      <c r="QAN43" s="51"/>
      <c r="QAO43" s="51"/>
      <c r="QAP43" s="51"/>
      <c r="QAQ43" s="51"/>
      <c r="QAR43" s="51"/>
      <c r="QAS43" s="51"/>
      <c r="QAT43" s="51"/>
      <c r="QAU43" s="51"/>
      <c r="QAV43" s="51"/>
      <c r="QAW43" s="51"/>
      <c r="QAX43" s="51"/>
      <c r="QAY43" s="51"/>
      <c r="QAZ43" s="51"/>
      <c r="QBA43" s="51"/>
      <c r="QBB43" s="51"/>
      <c r="QBC43" s="51"/>
      <c r="QBD43" s="51"/>
      <c r="QBE43" s="51"/>
      <c r="QBF43" s="51"/>
      <c r="QBG43" s="51"/>
      <c r="QBH43" s="51"/>
      <c r="QBI43" s="51"/>
      <c r="QBJ43" s="51"/>
      <c r="QBK43" s="51"/>
      <c r="QBL43" s="51"/>
      <c r="QBM43" s="51"/>
      <c r="QBN43" s="51"/>
      <c r="QBO43" s="51"/>
      <c r="QBP43" s="51"/>
      <c r="QBQ43" s="51"/>
      <c r="QBR43" s="51"/>
      <c r="QBS43" s="51"/>
      <c r="QBT43" s="51"/>
      <c r="QBU43" s="51"/>
      <c r="QBV43" s="51"/>
      <c r="QBW43" s="51"/>
      <c r="QBX43" s="51"/>
      <c r="QBY43" s="51"/>
      <c r="QBZ43" s="51"/>
      <c r="QCA43" s="51"/>
      <c r="QCB43" s="51"/>
      <c r="QCC43" s="51"/>
      <c r="QCD43" s="51"/>
      <c r="QCE43" s="51"/>
      <c r="QCF43" s="51"/>
      <c r="QCG43" s="51"/>
      <c r="QCH43" s="51"/>
      <c r="QCI43" s="51"/>
      <c r="QCJ43" s="51"/>
      <c r="QCK43" s="51"/>
      <c r="QCL43" s="51"/>
      <c r="QCM43" s="51"/>
      <c r="QCN43" s="51"/>
      <c r="QCO43" s="51"/>
      <c r="QCP43" s="51"/>
      <c r="QCQ43" s="51"/>
      <c r="QCR43" s="51"/>
      <c r="QCS43" s="51"/>
      <c r="QCT43" s="51"/>
      <c r="QCU43" s="51"/>
      <c r="QCV43" s="51"/>
      <c r="QCW43" s="51"/>
      <c r="QCX43" s="51"/>
      <c r="QCY43" s="51"/>
      <c r="QCZ43" s="51"/>
      <c r="QDA43" s="51"/>
      <c r="QDB43" s="51"/>
      <c r="QDC43" s="51"/>
      <c r="QDD43" s="51"/>
      <c r="QDE43" s="51"/>
      <c r="QDF43" s="51"/>
      <c r="QDG43" s="51"/>
      <c r="QDH43" s="51"/>
      <c r="QDI43" s="51"/>
      <c r="QDJ43" s="51"/>
      <c r="QDK43" s="51"/>
      <c r="QDL43" s="51"/>
      <c r="QDM43" s="51"/>
      <c r="QDN43" s="51"/>
      <c r="QDO43" s="51"/>
      <c r="QDP43" s="51"/>
      <c r="QDQ43" s="51"/>
      <c r="QDR43" s="51"/>
      <c r="QDS43" s="51"/>
      <c r="QDT43" s="51"/>
      <c r="QDU43" s="51"/>
      <c r="QDV43" s="51"/>
      <c r="QDW43" s="51"/>
      <c r="QDX43" s="51"/>
      <c r="QDY43" s="51"/>
      <c r="QDZ43" s="51"/>
      <c r="QEA43" s="51"/>
      <c r="QEB43" s="51"/>
      <c r="QEC43" s="51"/>
      <c r="QED43" s="51"/>
      <c r="QEE43" s="51"/>
      <c r="QEF43" s="51"/>
      <c r="QEG43" s="51"/>
      <c r="QEH43" s="51"/>
      <c r="QEI43" s="51"/>
      <c r="QEJ43" s="51"/>
      <c r="QEK43" s="51"/>
      <c r="QEL43" s="51"/>
      <c r="QEM43" s="51"/>
      <c r="QEN43" s="51"/>
      <c r="QEO43" s="51"/>
      <c r="QEP43" s="51"/>
      <c r="QEQ43" s="51"/>
      <c r="QER43" s="51"/>
      <c r="QES43" s="51"/>
      <c r="QET43" s="51"/>
      <c r="QEU43" s="51"/>
      <c r="QEV43" s="51"/>
      <c r="QEW43" s="51"/>
      <c r="QEX43" s="51"/>
      <c r="QEY43" s="51"/>
      <c r="QEZ43" s="51"/>
      <c r="QFA43" s="51"/>
      <c r="QFB43" s="51"/>
      <c r="QFC43" s="51"/>
      <c r="QFD43" s="51"/>
      <c r="QFE43" s="51"/>
      <c r="QFF43" s="51"/>
      <c r="QFG43" s="51"/>
      <c r="QFH43" s="51"/>
      <c r="QFI43" s="51"/>
      <c r="QFJ43" s="51"/>
      <c r="QFK43" s="51"/>
      <c r="QFL43" s="51"/>
      <c r="QFM43" s="51"/>
      <c r="QFN43" s="51"/>
      <c r="QFO43" s="51"/>
      <c r="QFP43" s="51"/>
      <c r="QFQ43" s="51"/>
      <c r="QFR43" s="51"/>
      <c r="QFS43" s="51"/>
      <c r="QFT43" s="51"/>
      <c r="QFU43" s="51"/>
      <c r="QFV43" s="51"/>
      <c r="QFW43" s="51"/>
      <c r="QFX43" s="51"/>
      <c r="QFY43" s="51"/>
      <c r="QFZ43" s="51"/>
      <c r="QGA43" s="51"/>
      <c r="QGB43" s="51"/>
      <c r="QGC43" s="51"/>
      <c r="QGD43" s="51"/>
      <c r="QGE43" s="51"/>
      <c r="QGF43" s="51"/>
      <c r="QGG43" s="51"/>
      <c r="QGH43" s="51"/>
      <c r="QGI43" s="51"/>
      <c r="QGJ43" s="51"/>
      <c r="QGK43" s="51"/>
      <c r="QGL43" s="51"/>
      <c r="QGM43" s="51"/>
      <c r="QGN43" s="51"/>
      <c r="QGO43" s="51"/>
      <c r="QGP43" s="51"/>
      <c r="QGQ43" s="51"/>
      <c r="QGR43" s="51"/>
      <c r="QGS43" s="51"/>
      <c r="QGT43" s="51"/>
      <c r="QGU43" s="51"/>
      <c r="QGV43" s="51"/>
      <c r="QGW43" s="51"/>
      <c r="QGX43" s="51"/>
      <c r="QGY43" s="51"/>
      <c r="QGZ43" s="51"/>
      <c r="QHA43" s="51"/>
      <c r="QHB43" s="51"/>
      <c r="QHC43" s="51"/>
      <c r="QHD43" s="51"/>
      <c r="QHE43" s="51"/>
      <c r="QHF43" s="51"/>
      <c r="QHG43" s="51"/>
      <c r="QHH43" s="51"/>
      <c r="QHI43" s="51"/>
      <c r="QHJ43" s="51"/>
      <c r="QHK43" s="51"/>
      <c r="QHL43" s="51"/>
      <c r="QHM43" s="51"/>
      <c r="QHN43" s="51"/>
      <c r="QHO43" s="51"/>
      <c r="QHP43" s="51"/>
      <c r="QHQ43" s="51"/>
      <c r="QHR43" s="51"/>
      <c r="QHS43" s="51"/>
      <c r="QHT43" s="51"/>
      <c r="QHU43" s="51"/>
      <c r="QHV43" s="51"/>
      <c r="QHW43" s="51"/>
      <c r="QHX43" s="51"/>
      <c r="QHY43" s="51"/>
      <c r="QHZ43" s="51"/>
      <c r="QIA43" s="51"/>
      <c r="QIB43" s="51"/>
      <c r="QIC43" s="51"/>
      <c r="QID43" s="51"/>
      <c r="QIE43" s="51"/>
      <c r="QIF43" s="51"/>
      <c r="QIG43" s="51"/>
      <c r="QIH43" s="51"/>
      <c r="QII43" s="51"/>
      <c r="QIJ43" s="51"/>
      <c r="QIK43" s="51"/>
      <c r="QIL43" s="51"/>
      <c r="QIM43" s="51"/>
      <c r="QIN43" s="51"/>
      <c r="QIO43" s="51"/>
      <c r="QIP43" s="51"/>
      <c r="QIQ43" s="51"/>
      <c r="QIR43" s="51"/>
      <c r="QIS43" s="51"/>
      <c r="QIT43" s="51"/>
      <c r="QIU43" s="51"/>
      <c r="QIV43" s="51"/>
      <c r="QIW43" s="51"/>
      <c r="QIX43" s="51"/>
      <c r="QIY43" s="51"/>
      <c r="QIZ43" s="51"/>
      <c r="QJA43" s="51"/>
      <c r="QJB43" s="51"/>
      <c r="QJC43" s="51"/>
      <c r="QJD43" s="51"/>
      <c r="QJE43" s="51"/>
      <c r="QJF43" s="51"/>
      <c r="QJG43" s="51"/>
      <c r="QJH43" s="51"/>
      <c r="QJI43" s="51"/>
      <c r="QJJ43" s="51"/>
      <c r="QJK43" s="51"/>
      <c r="QJL43" s="51"/>
      <c r="QJM43" s="51"/>
      <c r="QJN43" s="51"/>
      <c r="QJO43" s="51"/>
      <c r="QJP43" s="51"/>
      <c r="QJQ43" s="51"/>
      <c r="QJR43" s="51"/>
      <c r="QJS43" s="51"/>
      <c r="QJT43" s="51"/>
      <c r="QJU43" s="51"/>
      <c r="QJV43" s="51"/>
      <c r="QJW43" s="51"/>
      <c r="QJX43" s="51"/>
      <c r="QJY43" s="51"/>
      <c r="QJZ43" s="51"/>
      <c r="QKA43" s="51"/>
      <c r="QKB43" s="51"/>
      <c r="QKC43" s="51"/>
      <c r="QKD43" s="51"/>
      <c r="QKE43" s="51"/>
      <c r="QKF43" s="51"/>
      <c r="QKG43" s="51"/>
      <c r="QKH43" s="51"/>
      <c r="QKI43" s="51"/>
      <c r="QKJ43" s="51"/>
      <c r="QKK43" s="51"/>
      <c r="QKL43" s="51"/>
      <c r="QKM43" s="51"/>
      <c r="QKN43" s="51"/>
      <c r="QKO43" s="51"/>
      <c r="QKP43" s="51"/>
      <c r="QKQ43" s="51"/>
      <c r="QKR43" s="51"/>
      <c r="QKS43" s="51"/>
      <c r="QKT43" s="51"/>
      <c r="QKU43" s="51"/>
      <c r="QKV43" s="51"/>
      <c r="QKW43" s="51"/>
      <c r="QKX43" s="51"/>
      <c r="QKY43" s="51"/>
      <c r="QKZ43" s="51"/>
      <c r="QLA43" s="51"/>
      <c r="QLB43" s="51"/>
      <c r="QLC43" s="51"/>
      <c r="QLD43" s="51"/>
      <c r="QLE43" s="51"/>
      <c r="QLF43" s="51"/>
      <c r="QLG43" s="51"/>
      <c r="QLH43" s="51"/>
      <c r="QLI43" s="51"/>
      <c r="QLJ43" s="51"/>
      <c r="QLK43" s="51"/>
      <c r="QLL43" s="51"/>
      <c r="QLM43" s="51"/>
      <c r="QLN43" s="51"/>
      <c r="QLO43" s="51"/>
      <c r="QLP43" s="51"/>
      <c r="QLQ43" s="51"/>
      <c r="QLR43" s="51"/>
      <c r="QLS43" s="51"/>
      <c r="QLT43" s="51"/>
      <c r="QLU43" s="51"/>
      <c r="QLV43" s="51"/>
      <c r="QLW43" s="51"/>
      <c r="QLX43" s="51"/>
      <c r="QLY43" s="51"/>
      <c r="QLZ43" s="51"/>
      <c r="QMA43" s="51"/>
      <c r="QMB43" s="51"/>
      <c r="QMC43" s="51"/>
      <c r="QMD43" s="51"/>
      <c r="QME43" s="51"/>
      <c r="QMF43" s="51"/>
      <c r="QMG43" s="51"/>
      <c r="QMH43" s="51"/>
      <c r="QMI43" s="51"/>
      <c r="QMJ43" s="51"/>
      <c r="QMK43" s="51"/>
      <c r="QML43" s="51"/>
      <c r="QMM43" s="51"/>
      <c r="QMN43" s="51"/>
      <c r="QMO43" s="51"/>
      <c r="QMP43" s="51"/>
      <c r="QMQ43" s="51"/>
      <c r="QMR43" s="51"/>
      <c r="QMS43" s="51"/>
      <c r="QMT43" s="51"/>
      <c r="QMU43" s="51"/>
      <c r="QMV43" s="51"/>
      <c r="QMW43" s="51"/>
      <c r="QMX43" s="51"/>
      <c r="QMY43" s="51"/>
      <c r="QMZ43" s="51"/>
      <c r="QNA43" s="51"/>
      <c r="QNB43" s="51"/>
      <c r="QNC43" s="51"/>
      <c r="QND43" s="51"/>
      <c r="QNE43" s="51"/>
      <c r="QNF43" s="51"/>
      <c r="QNG43" s="51"/>
      <c r="QNH43" s="51"/>
      <c r="QNI43" s="51"/>
      <c r="QNJ43" s="51"/>
      <c r="QNK43" s="51"/>
      <c r="QNL43" s="51"/>
      <c r="QNM43" s="51"/>
      <c r="QNN43" s="51"/>
      <c r="QNO43" s="51"/>
      <c r="QNP43" s="51"/>
      <c r="QNQ43" s="51"/>
      <c r="QNR43" s="51"/>
      <c r="QNS43" s="51"/>
      <c r="QNT43" s="51"/>
      <c r="QNU43" s="51"/>
      <c r="QNV43" s="51"/>
      <c r="QNW43" s="51"/>
      <c r="QNX43" s="51"/>
      <c r="QNY43" s="51"/>
      <c r="QNZ43" s="51"/>
      <c r="QOA43" s="51"/>
      <c r="QOB43" s="51"/>
      <c r="QOC43" s="51"/>
      <c r="QOD43" s="51"/>
      <c r="QOE43" s="51"/>
      <c r="QOF43" s="51"/>
      <c r="QOG43" s="51"/>
      <c r="QOH43" s="51"/>
      <c r="QOI43" s="51"/>
      <c r="QOJ43" s="51"/>
      <c r="QOK43" s="51"/>
      <c r="QOL43" s="51"/>
      <c r="QOM43" s="51"/>
      <c r="QON43" s="51"/>
      <c r="QOO43" s="51"/>
      <c r="QOP43" s="51"/>
      <c r="QOQ43" s="51"/>
      <c r="QOR43" s="51"/>
      <c r="QOS43" s="51"/>
      <c r="QOT43" s="51"/>
      <c r="QOU43" s="51"/>
      <c r="QOV43" s="51"/>
      <c r="QOW43" s="51"/>
      <c r="QOX43" s="51"/>
      <c r="QOY43" s="51"/>
      <c r="QOZ43" s="51"/>
      <c r="QPA43" s="51"/>
      <c r="QPB43" s="51"/>
      <c r="QPC43" s="51"/>
      <c r="QPD43" s="51"/>
      <c r="QPE43" s="51"/>
      <c r="QPF43" s="51"/>
      <c r="QPG43" s="51"/>
      <c r="QPH43" s="51"/>
      <c r="QPI43" s="51"/>
      <c r="QPJ43" s="51"/>
      <c r="QPK43" s="51"/>
      <c r="QPL43" s="51"/>
      <c r="QPM43" s="51"/>
      <c r="QPN43" s="51"/>
      <c r="QPO43" s="51"/>
      <c r="QPP43" s="51"/>
      <c r="QPQ43" s="51"/>
      <c r="QPR43" s="51"/>
      <c r="QPS43" s="51"/>
      <c r="QPT43" s="51"/>
      <c r="QPU43" s="51"/>
      <c r="QPV43" s="51"/>
      <c r="QPW43" s="51"/>
      <c r="QPX43" s="51"/>
      <c r="QPY43" s="51"/>
      <c r="QPZ43" s="51"/>
      <c r="QQA43" s="51"/>
      <c r="QQB43" s="51"/>
      <c r="QQC43" s="51"/>
      <c r="QQD43" s="51"/>
      <c r="QQE43" s="51"/>
      <c r="QQF43" s="51"/>
      <c r="QQG43" s="51"/>
      <c r="QQH43" s="51"/>
      <c r="QQI43" s="51"/>
      <c r="QQJ43" s="51"/>
      <c r="QQK43" s="51"/>
      <c r="QQL43" s="51"/>
      <c r="QQM43" s="51"/>
      <c r="QQN43" s="51"/>
      <c r="QQO43" s="51"/>
      <c r="QQP43" s="51"/>
      <c r="QQQ43" s="51"/>
      <c r="QQR43" s="51"/>
      <c r="QQS43" s="51"/>
      <c r="QQT43" s="51"/>
      <c r="QQU43" s="51"/>
      <c r="QQV43" s="51"/>
      <c r="QQW43" s="51"/>
      <c r="QQX43" s="51"/>
      <c r="QQY43" s="51"/>
      <c r="QQZ43" s="51"/>
      <c r="QRA43" s="51"/>
      <c r="QRB43" s="51"/>
      <c r="QRC43" s="51"/>
      <c r="QRD43" s="51"/>
      <c r="QRE43" s="51"/>
      <c r="QRF43" s="51"/>
      <c r="QRG43" s="51"/>
      <c r="QRH43" s="51"/>
      <c r="QRI43" s="51"/>
      <c r="QRJ43" s="51"/>
      <c r="QRK43" s="51"/>
      <c r="QRL43" s="51"/>
      <c r="QRM43" s="51"/>
      <c r="QRN43" s="51"/>
      <c r="QRO43" s="51"/>
      <c r="QRP43" s="51"/>
      <c r="QRQ43" s="51"/>
      <c r="QRR43" s="51"/>
      <c r="QRS43" s="51"/>
      <c r="QRT43" s="51"/>
      <c r="QRU43" s="51"/>
      <c r="QRV43" s="51"/>
      <c r="QRW43" s="51"/>
      <c r="QRX43" s="51"/>
      <c r="QRY43" s="51"/>
      <c r="QRZ43" s="51"/>
      <c r="QSA43" s="51"/>
      <c r="QSB43" s="51"/>
      <c r="QSC43" s="51"/>
      <c r="QSD43" s="51"/>
      <c r="QSE43" s="51"/>
      <c r="QSF43" s="51"/>
      <c r="QSG43" s="51"/>
      <c r="QSH43" s="51"/>
      <c r="QSI43" s="51"/>
      <c r="QSJ43" s="51"/>
      <c r="QSK43" s="51"/>
      <c r="QSL43" s="51"/>
      <c r="QSM43" s="51"/>
      <c r="QSN43" s="51"/>
      <c r="QSO43" s="51"/>
      <c r="QSP43" s="51"/>
      <c r="QSQ43" s="51"/>
      <c r="QSR43" s="51"/>
      <c r="QSS43" s="51"/>
      <c r="QST43" s="51"/>
      <c r="QSU43" s="51"/>
      <c r="QSV43" s="51"/>
      <c r="QSW43" s="51"/>
      <c r="QSX43" s="51"/>
      <c r="QSY43" s="51"/>
      <c r="QSZ43" s="51"/>
      <c r="QTA43" s="51"/>
      <c r="QTB43" s="51"/>
      <c r="QTC43" s="51"/>
      <c r="QTD43" s="51"/>
      <c r="QTE43" s="51"/>
      <c r="QTF43" s="51"/>
      <c r="QTG43" s="51"/>
      <c r="QTH43" s="51"/>
      <c r="QTI43" s="51"/>
      <c r="QTJ43" s="51"/>
      <c r="QTK43" s="51"/>
      <c r="QTL43" s="51"/>
      <c r="QTM43" s="51"/>
      <c r="QTN43" s="51"/>
      <c r="QTO43" s="51"/>
      <c r="QTP43" s="51"/>
      <c r="QTQ43" s="51"/>
      <c r="QTR43" s="51"/>
      <c r="QTS43" s="51"/>
      <c r="QTT43" s="51"/>
      <c r="QTU43" s="51"/>
      <c r="QTV43" s="51"/>
      <c r="QTW43" s="51"/>
      <c r="QTX43" s="51"/>
      <c r="QTY43" s="51"/>
      <c r="QTZ43" s="51"/>
      <c r="QUA43" s="51"/>
      <c r="QUB43" s="51"/>
      <c r="QUC43" s="51"/>
      <c r="QUD43" s="51"/>
      <c r="QUE43" s="51"/>
      <c r="QUF43" s="51"/>
      <c r="QUG43" s="51"/>
      <c r="QUH43" s="51"/>
      <c r="QUI43" s="51"/>
      <c r="QUJ43" s="51"/>
      <c r="QUK43" s="51"/>
      <c r="QUL43" s="51"/>
      <c r="QUM43" s="51"/>
      <c r="QUN43" s="51"/>
      <c r="QUO43" s="51"/>
      <c r="QUP43" s="51"/>
      <c r="QUQ43" s="51"/>
      <c r="QUR43" s="51"/>
      <c r="QUS43" s="51"/>
      <c r="QUT43" s="51"/>
      <c r="QUU43" s="51"/>
      <c r="QUV43" s="51"/>
      <c r="QUW43" s="51"/>
      <c r="QUX43" s="51"/>
      <c r="QUY43" s="51"/>
      <c r="QUZ43" s="51"/>
      <c r="QVA43" s="51"/>
      <c r="QVB43" s="51"/>
      <c r="QVC43" s="51"/>
      <c r="QVD43" s="51"/>
      <c r="QVE43" s="51"/>
      <c r="QVF43" s="51"/>
      <c r="QVG43" s="51"/>
      <c r="QVH43" s="51"/>
      <c r="QVI43" s="51"/>
      <c r="QVJ43" s="51"/>
      <c r="QVK43" s="51"/>
      <c r="QVL43" s="51"/>
      <c r="QVM43" s="51"/>
      <c r="QVN43" s="51"/>
      <c r="QVO43" s="51"/>
      <c r="QVP43" s="51"/>
      <c r="QVQ43" s="51"/>
      <c r="QVR43" s="51"/>
      <c r="QVS43" s="51"/>
      <c r="QVT43" s="51"/>
      <c r="QVU43" s="51"/>
      <c r="QVV43" s="51"/>
      <c r="QVW43" s="51"/>
      <c r="QVX43" s="51"/>
      <c r="QVY43" s="51"/>
      <c r="QVZ43" s="51"/>
      <c r="QWA43" s="51"/>
      <c r="QWB43" s="51"/>
      <c r="QWC43" s="51"/>
      <c r="QWD43" s="51"/>
      <c r="QWE43" s="51"/>
      <c r="QWF43" s="51"/>
      <c r="QWG43" s="51"/>
      <c r="QWH43" s="51"/>
      <c r="QWI43" s="51"/>
      <c r="QWJ43" s="51"/>
      <c r="QWK43" s="51"/>
      <c r="QWL43" s="51"/>
      <c r="QWM43" s="51"/>
      <c r="QWN43" s="51"/>
      <c r="QWO43" s="51"/>
      <c r="QWP43" s="51"/>
      <c r="QWQ43" s="51"/>
      <c r="QWR43" s="51"/>
      <c r="QWS43" s="51"/>
      <c r="QWT43" s="51"/>
      <c r="QWU43" s="51"/>
      <c r="QWV43" s="51"/>
      <c r="QWW43" s="51"/>
      <c r="QWX43" s="51"/>
      <c r="QWY43" s="51"/>
      <c r="QWZ43" s="51"/>
      <c r="QXA43" s="51"/>
      <c r="QXB43" s="51"/>
      <c r="QXC43" s="51"/>
      <c r="QXD43" s="51"/>
      <c r="QXE43" s="51"/>
      <c r="QXF43" s="51"/>
      <c r="QXG43" s="51"/>
      <c r="QXH43" s="51"/>
      <c r="QXI43" s="51"/>
      <c r="QXJ43" s="51"/>
      <c r="QXK43" s="51"/>
      <c r="QXL43" s="51"/>
      <c r="QXM43" s="51"/>
      <c r="QXN43" s="51"/>
      <c r="QXO43" s="51"/>
      <c r="QXP43" s="51"/>
      <c r="QXQ43" s="51"/>
      <c r="QXR43" s="51"/>
      <c r="QXS43" s="51"/>
      <c r="QXT43" s="51"/>
      <c r="QXU43" s="51"/>
      <c r="QXV43" s="51"/>
      <c r="QXW43" s="51"/>
      <c r="QXX43" s="51"/>
      <c r="QXY43" s="51"/>
      <c r="QXZ43" s="51"/>
      <c r="QYA43" s="51"/>
      <c r="QYB43" s="51"/>
      <c r="QYC43" s="51"/>
      <c r="QYD43" s="51"/>
      <c r="QYE43" s="51"/>
      <c r="QYF43" s="51"/>
      <c r="QYG43" s="51"/>
      <c r="QYH43" s="51"/>
      <c r="QYI43" s="51"/>
      <c r="QYJ43" s="51"/>
      <c r="QYK43" s="51"/>
      <c r="QYL43" s="51"/>
      <c r="QYM43" s="51"/>
      <c r="QYN43" s="51"/>
      <c r="QYO43" s="51"/>
      <c r="QYP43" s="51"/>
      <c r="QYQ43" s="51"/>
      <c r="QYR43" s="51"/>
      <c r="QYS43" s="51"/>
      <c r="QYT43" s="51"/>
      <c r="QYU43" s="51"/>
      <c r="QYV43" s="51"/>
      <c r="QYW43" s="51"/>
      <c r="QYX43" s="51"/>
      <c r="QYY43" s="51"/>
      <c r="QYZ43" s="51"/>
      <c r="QZA43" s="51"/>
      <c r="QZB43" s="51"/>
      <c r="QZC43" s="51"/>
      <c r="QZD43" s="51"/>
      <c r="QZE43" s="51"/>
      <c r="QZF43" s="51"/>
      <c r="QZG43" s="51"/>
      <c r="QZH43" s="51"/>
      <c r="QZI43" s="51"/>
      <c r="QZJ43" s="51"/>
      <c r="QZK43" s="51"/>
      <c r="QZL43" s="51"/>
      <c r="QZM43" s="51"/>
      <c r="QZN43" s="51"/>
      <c r="QZO43" s="51"/>
      <c r="QZP43" s="51"/>
      <c r="QZQ43" s="51"/>
      <c r="QZR43" s="51"/>
      <c r="QZS43" s="51"/>
      <c r="QZT43" s="51"/>
      <c r="QZU43" s="51"/>
      <c r="QZV43" s="51"/>
      <c r="QZW43" s="51"/>
      <c r="QZX43" s="51"/>
      <c r="QZY43" s="51"/>
      <c r="QZZ43" s="51"/>
      <c r="RAA43" s="51"/>
      <c r="RAB43" s="51"/>
      <c r="RAC43" s="51"/>
      <c r="RAD43" s="51"/>
      <c r="RAE43" s="51"/>
      <c r="RAF43" s="51"/>
      <c r="RAG43" s="51"/>
      <c r="RAH43" s="51"/>
      <c r="RAI43" s="51"/>
      <c r="RAJ43" s="51"/>
      <c r="RAK43" s="51"/>
      <c r="RAL43" s="51"/>
      <c r="RAM43" s="51"/>
      <c r="RAN43" s="51"/>
      <c r="RAO43" s="51"/>
      <c r="RAP43" s="51"/>
      <c r="RAQ43" s="51"/>
      <c r="RAR43" s="51"/>
      <c r="RAS43" s="51"/>
      <c r="RAT43" s="51"/>
      <c r="RAU43" s="51"/>
      <c r="RAV43" s="51"/>
      <c r="RAW43" s="51"/>
      <c r="RAX43" s="51"/>
      <c r="RAY43" s="51"/>
      <c r="RAZ43" s="51"/>
      <c r="RBA43" s="51"/>
      <c r="RBB43" s="51"/>
      <c r="RBC43" s="51"/>
      <c r="RBD43" s="51"/>
      <c r="RBE43" s="51"/>
      <c r="RBF43" s="51"/>
      <c r="RBG43" s="51"/>
      <c r="RBH43" s="51"/>
      <c r="RBI43" s="51"/>
      <c r="RBJ43" s="51"/>
      <c r="RBK43" s="51"/>
      <c r="RBL43" s="51"/>
      <c r="RBM43" s="51"/>
      <c r="RBN43" s="51"/>
      <c r="RBO43" s="51"/>
      <c r="RBP43" s="51"/>
      <c r="RBQ43" s="51"/>
      <c r="RBR43" s="51"/>
      <c r="RBS43" s="51"/>
      <c r="RBT43" s="51"/>
      <c r="RBU43" s="51"/>
      <c r="RBV43" s="51"/>
      <c r="RBW43" s="51"/>
      <c r="RBX43" s="51"/>
      <c r="RBY43" s="51"/>
      <c r="RBZ43" s="51"/>
      <c r="RCA43" s="51"/>
      <c r="RCB43" s="51"/>
      <c r="RCC43" s="51"/>
      <c r="RCD43" s="51"/>
      <c r="RCE43" s="51"/>
      <c r="RCF43" s="51"/>
      <c r="RCG43" s="51"/>
      <c r="RCH43" s="51"/>
      <c r="RCI43" s="51"/>
      <c r="RCJ43" s="51"/>
      <c r="RCK43" s="51"/>
      <c r="RCL43" s="51"/>
      <c r="RCM43" s="51"/>
      <c r="RCN43" s="51"/>
      <c r="RCO43" s="51"/>
      <c r="RCP43" s="51"/>
      <c r="RCQ43" s="51"/>
      <c r="RCR43" s="51"/>
      <c r="RCS43" s="51"/>
      <c r="RCT43" s="51"/>
      <c r="RCU43" s="51"/>
      <c r="RCV43" s="51"/>
      <c r="RCW43" s="51"/>
      <c r="RCX43" s="51"/>
      <c r="RCY43" s="51"/>
      <c r="RCZ43" s="51"/>
      <c r="RDA43" s="51"/>
      <c r="RDB43" s="51"/>
      <c r="RDC43" s="51"/>
      <c r="RDD43" s="51"/>
      <c r="RDE43" s="51"/>
      <c r="RDF43" s="51"/>
      <c r="RDG43" s="51"/>
      <c r="RDH43" s="51"/>
      <c r="RDI43" s="51"/>
      <c r="RDJ43" s="51"/>
      <c r="RDK43" s="51"/>
      <c r="RDL43" s="51"/>
      <c r="RDM43" s="51"/>
      <c r="RDN43" s="51"/>
      <c r="RDO43" s="51"/>
      <c r="RDP43" s="51"/>
      <c r="RDQ43" s="51"/>
      <c r="RDR43" s="51"/>
      <c r="RDS43" s="51"/>
      <c r="RDT43" s="51"/>
      <c r="RDU43" s="51"/>
      <c r="RDV43" s="51"/>
      <c r="RDW43" s="51"/>
      <c r="RDX43" s="51"/>
      <c r="RDY43" s="51"/>
      <c r="RDZ43" s="51"/>
      <c r="REA43" s="51"/>
      <c r="REB43" s="51"/>
      <c r="REC43" s="51"/>
      <c r="RED43" s="51"/>
      <c r="REE43" s="51"/>
      <c r="REF43" s="51"/>
      <c r="REG43" s="51"/>
      <c r="REH43" s="51"/>
      <c r="REI43" s="51"/>
      <c r="REJ43" s="51"/>
      <c r="REK43" s="51"/>
      <c r="REL43" s="51"/>
      <c r="REM43" s="51"/>
      <c r="REN43" s="51"/>
      <c r="REO43" s="51"/>
      <c r="REP43" s="51"/>
      <c r="REQ43" s="51"/>
      <c r="RER43" s="51"/>
      <c r="RES43" s="51"/>
      <c r="RET43" s="51"/>
      <c r="REU43" s="51"/>
      <c r="REV43" s="51"/>
      <c r="REW43" s="51"/>
      <c r="REX43" s="51"/>
      <c r="REY43" s="51"/>
      <c r="REZ43" s="51"/>
      <c r="RFA43" s="51"/>
      <c r="RFB43" s="51"/>
      <c r="RFC43" s="51"/>
      <c r="RFD43" s="51"/>
      <c r="RFE43" s="51"/>
      <c r="RFF43" s="51"/>
      <c r="RFG43" s="51"/>
      <c r="RFH43" s="51"/>
      <c r="RFI43" s="51"/>
      <c r="RFJ43" s="51"/>
      <c r="RFK43" s="51"/>
      <c r="RFL43" s="51"/>
      <c r="RFM43" s="51"/>
      <c r="RFN43" s="51"/>
      <c r="RFO43" s="51"/>
      <c r="RFP43" s="51"/>
      <c r="RFQ43" s="51"/>
      <c r="RFR43" s="51"/>
      <c r="RFS43" s="51"/>
      <c r="RFT43" s="51"/>
      <c r="RFU43" s="51"/>
      <c r="RFV43" s="51"/>
      <c r="RFW43" s="51"/>
      <c r="RFX43" s="51"/>
      <c r="RFY43" s="51"/>
      <c r="RFZ43" s="51"/>
      <c r="RGA43" s="51"/>
      <c r="RGB43" s="51"/>
      <c r="RGC43" s="51"/>
      <c r="RGD43" s="51"/>
      <c r="RGE43" s="51"/>
      <c r="RGF43" s="51"/>
      <c r="RGG43" s="51"/>
      <c r="RGH43" s="51"/>
      <c r="RGI43" s="51"/>
      <c r="RGJ43" s="51"/>
      <c r="RGK43" s="51"/>
      <c r="RGL43" s="51"/>
      <c r="RGM43" s="51"/>
      <c r="RGN43" s="51"/>
      <c r="RGO43" s="51"/>
      <c r="RGP43" s="51"/>
      <c r="RGQ43" s="51"/>
      <c r="RGR43" s="51"/>
      <c r="RGS43" s="51"/>
      <c r="RGT43" s="51"/>
      <c r="RGU43" s="51"/>
      <c r="RGV43" s="51"/>
      <c r="RGW43" s="51"/>
      <c r="RGX43" s="51"/>
      <c r="RGY43" s="51"/>
      <c r="RGZ43" s="51"/>
      <c r="RHA43" s="51"/>
      <c r="RHB43" s="51"/>
      <c r="RHC43" s="51"/>
      <c r="RHD43" s="51"/>
      <c r="RHE43" s="51"/>
      <c r="RHF43" s="51"/>
      <c r="RHG43" s="51"/>
      <c r="RHH43" s="51"/>
      <c r="RHI43" s="51"/>
      <c r="RHJ43" s="51"/>
      <c r="RHK43" s="51"/>
      <c r="RHL43" s="51"/>
      <c r="RHM43" s="51"/>
      <c r="RHN43" s="51"/>
      <c r="RHO43" s="51"/>
      <c r="RHP43" s="51"/>
      <c r="RHQ43" s="51"/>
      <c r="RHR43" s="51"/>
      <c r="RHS43" s="51"/>
      <c r="RHT43" s="51"/>
      <c r="RHU43" s="51"/>
      <c r="RHV43" s="51"/>
      <c r="RHW43" s="51"/>
      <c r="RHX43" s="51"/>
      <c r="RHY43" s="51"/>
      <c r="RHZ43" s="51"/>
      <c r="RIA43" s="51"/>
      <c r="RIB43" s="51"/>
      <c r="RIC43" s="51"/>
      <c r="RID43" s="51"/>
      <c r="RIE43" s="51"/>
      <c r="RIF43" s="51"/>
      <c r="RIG43" s="51"/>
      <c r="RIH43" s="51"/>
      <c r="RII43" s="51"/>
      <c r="RIJ43" s="51"/>
      <c r="RIK43" s="51"/>
      <c r="RIL43" s="51"/>
      <c r="RIM43" s="51"/>
      <c r="RIN43" s="51"/>
      <c r="RIO43" s="51"/>
      <c r="RIP43" s="51"/>
      <c r="RIQ43" s="51"/>
      <c r="RIR43" s="51"/>
      <c r="RIS43" s="51"/>
      <c r="RIT43" s="51"/>
      <c r="RIU43" s="51"/>
      <c r="RIV43" s="51"/>
      <c r="RIW43" s="51"/>
      <c r="RIX43" s="51"/>
      <c r="RIY43" s="51"/>
      <c r="RIZ43" s="51"/>
      <c r="RJA43" s="51"/>
      <c r="RJB43" s="51"/>
      <c r="RJC43" s="51"/>
      <c r="RJD43" s="51"/>
      <c r="RJE43" s="51"/>
      <c r="RJF43" s="51"/>
      <c r="RJG43" s="51"/>
      <c r="RJH43" s="51"/>
      <c r="RJI43" s="51"/>
      <c r="RJJ43" s="51"/>
      <c r="RJK43" s="51"/>
      <c r="RJL43" s="51"/>
      <c r="RJM43" s="51"/>
      <c r="RJN43" s="51"/>
      <c r="RJO43" s="51"/>
      <c r="RJP43" s="51"/>
      <c r="RJQ43" s="51"/>
      <c r="RJR43" s="51"/>
      <c r="RJS43" s="51"/>
      <c r="RJT43" s="51"/>
      <c r="RJU43" s="51"/>
      <c r="RJV43" s="51"/>
      <c r="RJW43" s="51"/>
      <c r="RJX43" s="51"/>
      <c r="RJY43" s="51"/>
      <c r="RJZ43" s="51"/>
      <c r="RKA43" s="51"/>
      <c r="RKB43" s="51"/>
      <c r="RKC43" s="51"/>
      <c r="RKD43" s="51"/>
      <c r="RKE43" s="51"/>
      <c r="RKF43" s="51"/>
      <c r="RKG43" s="51"/>
      <c r="RKH43" s="51"/>
      <c r="RKI43" s="51"/>
      <c r="RKJ43" s="51"/>
      <c r="RKK43" s="51"/>
      <c r="RKL43" s="51"/>
      <c r="RKM43" s="51"/>
      <c r="RKN43" s="51"/>
      <c r="RKO43" s="51"/>
      <c r="RKP43" s="51"/>
      <c r="RKQ43" s="51"/>
      <c r="RKR43" s="51"/>
      <c r="RKS43" s="51"/>
      <c r="RKT43" s="51"/>
      <c r="RKU43" s="51"/>
      <c r="RKV43" s="51"/>
      <c r="RKW43" s="51"/>
      <c r="RKX43" s="51"/>
      <c r="RKY43" s="51"/>
      <c r="RKZ43" s="51"/>
      <c r="RLA43" s="51"/>
      <c r="RLB43" s="51"/>
      <c r="RLC43" s="51"/>
      <c r="RLD43" s="51"/>
      <c r="RLE43" s="51"/>
      <c r="RLF43" s="51"/>
      <c r="RLG43" s="51"/>
      <c r="RLH43" s="51"/>
      <c r="RLI43" s="51"/>
      <c r="RLJ43" s="51"/>
      <c r="RLK43" s="51"/>
      <c r="RLL43" s="51"/>
      <c r="RLM43" s="51"/>
      <c r="RLN43" s="51"/>
      <c r="RLO43" s="51"/>
      <c r="RLP43" s="51"/>
      <c r="RLQ43" s="51"/>
      <c r="RLR43" s="51"/>
      <c r="RLS43" s="51"/>
      <c r="RLT43" s="51"/>
      <c r="RLU43" s="51"/>
      <c r="RLV43" s="51"/>
      <c r="RLW43" s="51"/>
      <c r="RLX43" s="51"/>
      <c r="RLY43" s="51"/>
      <c r="RLZ43" s="51"/>
      <c r="RMA43" s="51"/>
      <c r="RMB43" s="51"/>
      <c r="RMC43" s="51"/>
      <c r="RMD43" s="51"/>
      <c r="RME43" s="51"/>
      <c r="RMF43" s="51"/>
      <c r="RMG43" s="51"/>
      <c r="RMH43" s="51"/>
      <c r="RMI43" s="51"/>
      <c r="RMJ43" s="51"/>
      <c r="RMK43" s="51"/>
      <c r="RML43" s="51"/>
      <c r="RMM43" s="51"/>
      <c r="RMN43" s="51"/>
      <c r="RMO43" s="51"/>
      <c r="RMP43" s="51"/>
      <c r="RMQ43" s="51"/>
      <c r="RMR43" s="51"/>
      <c r="RMS43" s="51"/>
      <c r="RMT43" s="51"/>
      <c r="RMU43" s="51"/>
      <c r="RMV43" s="51"/>
      <c r="RMW43" s="51"/>
      <c r="RMX43" s="51"/>
      <c r="RMY43" s="51"/>
      <c r="RMZ43" s="51"/>
      <c r="RNA43" s="51"/>
      <c r="RNB43" s="51"/>
      <c r="RNC43" s="51"/>
      <c r="RND43" s="51"/>
      <c r="RNE43" s="51"/>
      <c r="RNF43" s="51"/>
      <c r="RNG43" s="51"/>
      <c r="RNH43" s="51"/>
      <c r="RNI43" s="51"/>
      <c r="RNJ43" s="51"/>
      <c r="RNK43" s="51"/>
      <c r="RNL43" s="51"/>
      <c r="RNM43" s="51"/>
      <c r="RNN43" s="51"/>
      <c r="RNO43" s="51"/>
      <c r="RNP43" s="51"/>
      <c r="RNQ43" s="51"/>
      <c r="RNR43" s="51"/>
      <c r="RNS43" s="51"/>
      <c r="RNT43" s="51"/>
      <c r="RNU43" s="51"/>
      <c r="RNV43" s="51"/>
      <c r="RNW43" s="51"/>
      <c r="RNX43" s="51"/>
      <c r="RNY43" s="51"/>
      <c r="RNZ43" s="51"/>
      <c r="ROA43" s="51"/>
      <c r="ROB43" s="51"/>
      <c r="ROC43" s="51"/>
      <c r="ROD43" s="51"/>
      <c r="ROE43" s="51"/>
      <c r="ROF43" s="51"/>
      <c r="ROG43" s="51"/>
      <c r="ROH43" s="51"/>
      <c r="ROI43" s="51"/>
      <c r="ROJ43" s="51"/>
      <c r="ROK43" s="51"/>
      <c r="ROL43" s="51"/>
      <c r="ROM43" s="51"/>
      <c r="RON43" s="51"/>
      <c r="ROO43" s="51"/>
      <c r="ROP43" s="51"/>
      <c r="ROQ43" s="51"/>
      <c r="ROR43" s="51"/>
      <c r="ROS43" s="51"/>
      <c r="ROT43" s="51"/>
      <c r="ROU43" s="51"/>
      <c r="ROV43" s="51"/>
      <c r="ROW43" s="51"/>
      <c r="ROX43" s="51"/>
      <c r="ROY43" s="51"/>
      <c r="ROZ43" s="51"/>
      <c r="RPA43" s="51"/>
      <c r="RPB43" s="51"/>
      <c r="RPC43" s="51"/>
      <c r="RPD43" s="51"/>
      <c r="RPE43" s="51"/>
      <c r="RPF43" s="51"/>
      <c r="RPG43" s="51"/>
      <c r="RPH43" s="51"/>
      <c r="RPI43" s="51"/>
      <c r="RPJ43" s="51"/>
      <c r="RPK43" s="51"/>
      <c r="RPL43" s="51"/>
      <c r="RPM43" s="51"/>
      <c r="RPN43" s="51"/>
      <c r="RPO43" s="51"/>
      <c r="RPP43" s="51"/>
      <c r="RPQ43" s="51"/>
      <c r="RPR43" s="51"/>
      <c r="RPS43" s="51"/>
      <c r="RPT43" s="51"/>
      <c r="RPU43" s="51"/>
      <c r="RPV43" s="51"/>
      <c r="RPW43" s="51"/>
      <c r="RPX43" s="51"/>
      <c r="RPY43" s="51"/>
      <c r="RPZ43" s="51"/>
      <c r="RQA43" s="51"/>
      <c r="RQB43" s="51"/>
      <c r="RQC43" s="51"/>
      <c r="RQD43" s="51"/>
      <c r="RQE43" s="51"/>
      <c r="RQF43" s="51"/>
      <c r="RQG43" s="51"/>
      <c r="RQH43" s="51"/>
      <c r="RQI43" s="51"/>
      <c r="RQJ43" s="51"/>
      <c r="RQK43" s="51"/>
      <c r="RQL43" s="51"/>
      <c r="RQM43" s="51"/>
      <c r="RQN43" s="51"/>
      <c r="RQO43" s="51"/>
      <c r="RQP43" s="51"/>
      <c r="RQQ43" s="51"/>
      <c r="RQR43" s="51"/>
      <c r="RQS43" s="51"/>
      <c r="RQT43" s="51"/>
      <c r="RQU43" s="51"/>
      <c r="RQV43" s="51"/>
      <c r="RQW43" s="51"/>
      <c r="RQX43" s="51"/>
      <c r="RQY43" s="51"/>
      <c r="RQZ43" s="51"/>
      <c r="RRA43" s="51"/>
      <c r="RRB43" s="51"/>
      <c r="RRC43" s="51"/>
      <c r="RRD43" s="51"/>
      <c r="RRE43" s="51"/>
      <c r="RRF43" s="51"/>
      <c r="RRG43" s="51"/>
      <c r="RRH43" s="51"/>
      <c r="RRI43" s="51"/>
      <c r="RRJ43" s="51"/>
      <c r="RRK43" s="51"/>
      <c r="RRL43" s="51"/>
      <c r="RRM43" s="51"/>
      <c r="RRN43" s="51"/>
      <c r="RRO43" s="51"/>
      <c r="RRP43" s="51"/>
      <c r="RRQ43" s="51"/>
      <c r="RRR43" s="51"/>
      <c r="RRS43" s="51"/>
      <c r="RRT43" s="51"/>
      <c r="RRU43" s="51"/>
      <c r="RRV43" s="51"/>
      <c r="RRW43" s="51"/>
      <c r="RRX43" s="51"/>
      <c r="RRY43" s="51"/>
      <c r="RRZ43" s="51"/>
      <c r="RSA43" s="51"/>
      <c r="RSB43" s="51"/>
      <c r="RSC43" s="51"/>
      <c r="RSD43" s="51"/>
      <c r="RSE43" s="51"/>
      <c r="RSF43" s="51"/>
      <c r="RSG43" s="51"/>
      <c r="RSH43" s="51"/>
      <c r="RSI43" s="51"/>
      <c r="RSJ43" s="51"/>
      <c r="RSK43" s="51"/>
      <c r="RSL43" s="51"/>
      <c r="RSM43" s="51"/>
      <c r="RSN43" s="51"/>
      <c r="RSO43" s="51"/>
      <c r="RSP43" s="51"/>
      <c r="RSQ43" s="51"/>
      <c r="RSR43" s="51"/>
      <c r="RSS43" s="51"/>
      <c r="RST43" s="51"/>
      <c r="RSU43" s="51"/>
      <c r="RSV43" s="51"/>
      <c r="RSW43" s="51"/>
      <c r="RSX43" s="51"/>
      <c r="RSY43" s="51"/>
      <c r="RSZ43" s="51"/>
      <c r="RTA43" s="51"/>
      <c r="RTB43" s="51"/>
      <c r="RTC43" s="51"/>
      <c r="RTD43" s="51"/>
      <c r="RTE43" s="51"/>
      <c r="RTF43" s="51"/>
      <c r="RTG43" s="51"/>
      <c r="RTH43" s="51"/>
      <c r="RTI43" s="51"/>
      <c r="RTJ43" s="51"/>
      <c r="RTK43" s="51"/>
      <c r="RTL43" s="51"/>
      <c r="RTM43" s="51"/>
      <c r="RTN43" s="51"/>
      <c r="RTO43" s="51"/>
      <c r="RTP43" s="51"/>
      <c r="RTQ43" s="51"/>
      <c r="RTR43" s="51"/>
      <c r="RTS43" s="51"/>
      <c r="RTT43" s="51"/>
      <c r="RTU43" s="51"/>
      <c r="RTV43" s="51"/>
      <c r="RTW43" s="51"/>
      <c r="RTX43" s="51"/>
      <c r="RTY43" s="51"/>
      <c r="RTZ43" s="51"/>
      <c r="RUA43" s="51"/>
      <c r="RUB43" s="51"/>
      <c r="RUC43" s="51"/>
      <c r="RUD43" s="51"/>
      <c r="RUE43" s="51"/>
      <c r="RUF43" s="51"/>
      <c r="RUG43" s="51"/>
      <c r="RUH43" s="51"/>
      <c r="RUI43" s="51"/>
      <c r="RUJ43" s="51"/>
      <c r="RUK43" s="51"/>
      <c r="RUL43" s="51"/>
      <c r="RUM43" s="51"/>
      <c r="RUN43" s="51"/>
      <c r="RUO43" s="51"/>
      <c r="RUP43" s="51"/>
      <c r="RUQ43" s="51"/>
      <c r="RUR43" s="51"/>
      <c r="RUS43" s="51"/>
      <c r="RUT43" s="51"/>
      <c r="RUU43" s="51"/>
      <c r="RUV43" s="51"/>
      <c r="RUW43" s="51"/>
      <c r="RUX43" s="51"/>
      <c r="RUY43" s="51"/>
      <c r="RUZ43" s="51"/>
      <c r="RVA43" s="51"/>
      <c r="RVB43" s="51"/>
      <c r="RVC43" s="51"/>
      <c r="RVD43" s="51"/>
      <c r="RVE43" s="51"/>
      <c r="RVF43" s="51"/>
      <c r="RVG43" s="51"/>
      <c r="RVH43" s="51"/>
      <c r="RVI43" s="51"/>
      <c r="RVJ43" s="51"/>
      <c r="RVK43" s="51"/>
      <c r="RVL43" s="51"/>
      <c r="RVM43" s="51"/>
      <c r="RVN43" s="51"/>
      <c r="RVO43" s="51"/>
      <c r="RVP43" s="51"/>
      <c r="RVQ43" s="51"/>
      <c r="RVR43" s="51"/>
      <c r="RVS43" s="51"/>
      <c r="RVT43" s="51"/>
      <c r="RVU43" s="51"/>
      <c r="RVV43" s="51"/>
      <c r="RVW43" s="51"/>
      <c r="RVX43" s="51"/>
      <c r="RVY43" s="51"/>
      <c r="RVZ43" s="51"/>
      <c r="RWA43" s="51"/>
      <c r="RWB43" s="51"/>
      <c r="RWC43" s="51"/>
      <c r="RWD43" s="51"/>
      <c r="RWE43" s="51"/>
      <c r="RWF43" s="51"/>
      <c r="RWG43" s="51"/>
      <c r="RWH43" s="51"/>
      <c r="RWI43" s="51"/>
      <c r="RWJ43" s="51"/>
      <c r="RWK43" s="51"/>
      <c r="RWL43" s="51"/>
      <c r="RWM43" s="51"/>
      <c r="RWN43" s="51"/>
      <c r="RWO43" s="51"/>
      <c r="RWP43" s="51"/>
      <c r="RWQ43" s="51"/>
      <c r="RWR43" s="51"/>
      <c r="RWS43" s="51"/>
      <c r="RWT43" s="51"/>
      <c r="RWU43" s="51"/>
      <c r="RWV43" s="51"/>
      <c r="RWW43" s="51"/>
      <c r="RWX43" s="51"/>
      <c r="RWY43" s="51"/>
      <c r="RWZ43" s="51"/>
      <c r="RXA43" s="51"/>
      <c r="RXB43" s="51"/>
      <c r="RXC43" s="51"/>
      <c r="RXD43" s="51"/>
      <c r="RXE43" s="51"/>
      <c r="RXF43" s="51"/>
      <c r="RXG43" s="51"/>
      <c r="RXH43" s="51"/>
      <c r="RXI43" s="51"/>
      <c r="RXJ43" s="51"/>
      <c r="RXK43" s="51"/>
      <c r="RXL43" s="51"/>
      <c r="RXM43" s="51"/>
      <c r="RXN43" s="51"/>
      <c r="RXO43" s="51"/>
      <c r="RXP43" s="51"/>
      <c r="RXQ43" s="51"/>
      <c r="RXR43" s="51"/>
      <c r="RXS43" s="51"/>
      <c r="RXT43" s="51"/>
      <c r="RXU43" s="51"/>
      <c r="RXV43" s="51"/>
      <c r="RXW43" s="51"/>
      <c r="RXX43" s="51"/>
      <c r="RXY43" s="51"/>
      <c r="RXZ43" s="51"/>
      <c r="RYA43" s="51"/>
      <c r="RYB43" s="51"/>
      <c r="RYC43" s="51"/>
      <c r="RYD43" s="51"/>
      <c r="RYE43" s="51"/>
      <c r="RYF43" s="51"/>
      <c r="RYG43" s="51"/>
      <c r="RYH43" s="51"/>
      <c r="RYI43" s="51"/>
      <c r="RYJ43" s="51"/>
      <c r="RYK43" s="51"/>
      <c r="RYL43" s="51"/>
      <c r="RYM43" s="51"/>
      <c r="RYN43" s="51"/>
      <c r="RYO43" s="51"/>
      <c r="RYP43" s="51"/>
      <c r="RYQ43" s="51"/>
      <c r="RYR43" s="51"/>
      <c r="RYS43" s="51"/>
      <c r="RYT43" s="51"/>
      <c r="RYU43" s="51"/>
      <c r="RYV43" s="51"/>
      <c r="RYW43" s="51"/>
      <c r="RYX43" s="51"/>
      <c r="RYY43" s="51"/>
      <c r="RYZ43" s="51"/>
      <c r="RZA43" s="51"/>
      <c r="RZB43" s="51"/>
      <c r="RZC43" s="51"/>
      <c r="RZD43" s="51"/>
      <c r="RZE43" s="51"/>
      <c r="RZF43" s="51"/>
      <c r="RZG43" s="51"/>
      <c r="RZH43" s="51"/>
      <c r="RZI43" s="51"/>
      <c r="RZJ43" s="51"/>
      <c r="RZK43" s="51"/>
      <c r="RZL43" s="51"/>
      <c r="RZM43" s="51"/>
      <c r="RZN43" s="51"/>
      <c r="RZO43" s="51"/>
      <c r="RZP43" s="51"/>
      <c r="RZQ43" s="51"/>
      <c r="RZR43" s="51"/>
      <c r="RZS43" s="51"/>
      <c r="RZT43" s="51"/>
      <c r="RZU43" s="51"/>
      <c r="RZV43" s="51"/>
      <c r="RZW43" s="51"/>
      <c r="RZX43" s="51"/>
      <c r="RZY43" s="51"/>
      <c r="RZZ43" s="51"/>
      <c r="SAA43" s="51"/>
      <c r="SAB43" s="51"/>
      <c r="SAC43" s="51"/>
      <c r="SAD43" s="51"/>
      <c r="SAE43" s="51"/>
      <c r="SAF43" s="51"/>
      <c r="SAG43" s="51"/>
      <c r="SAH43" s="51"/>
      <c r="SAI43" s="51"/>
      <c r="SAJ43" s="51"/>
      <c r="SAK43" s="51"/>
      <c r="SAL43" s="51"/>
      <c r="SAM43" s="51"/>
      <c r="SAN43" s="51"/>
      <c r="SAO43" s="51"/>
      <c r="SAP43" s="51"/>
      <c r="SAQ43" s="51"/>
      <c r="SAR43" s="51"/>
      <c r="SAS43" s="51"/>
      <c r="SAT43" s="51"/>
      <c r="SAU43" s="51"/>
      <c r="SAV43" s="51"/>
      <c r="SAW43" s="51"/>
      <c r="SAX43" s="51"/>
      <c r="SAY43" s="51"/>
      <c r="SAZ43" s="51"/>
      <c r="SBA43" s="51"/>
      <c r="SBB43" s="51"/>
      <c r="SBC43" s="51"/>
      <c r="SBD43" s="51"/>
      <c r="SBE43" s="51"/>
      <c r="SBF43" s="51"/>
      <c r="SBG43" s="51"/>
      <c r="SBH43" s="51"/>
      <c r="SBI43" s="51"/>
      <c r="SBJ43" s="51"/>
      <c r="SBK43" s="51"/>
      <c r="SBL43" s="51"/>
      <c r="SBM43" s="51"/>
      <c r="SBN43" s="51"/>
      <c r="SBO43" s="51"/>
      <c r="SBP43" s="51"/>
      <c r="SBQ43" s="51"/>
      <c r="SBR43" s="51"/>
      <c r="SBS43" s="51"/>
      <c r="SBT43" s="51"/>
      <c r="SBU43" s="51"/>
      <c r="SBV43" s="51"/>
      <c r="SBW43" s="51"/>
      <c r="SBX43" s="51"/>
      <c r="SBY43" s="51"/>
      <c r="SBZ43" s="51"/>
      <c r="SCA43" s="51"/>
      <c r="SCB43" s="51"/>
      <c r="SCC43" s="51"/>
      <c r="SCD43" s="51"/>
      <c r="SCE43" s="51"/>
      <c r="SCF43" s="51"/>
      <c r="SCG43" s="51"/>
      <c r="SCH43" s="51"/>
      <c r="SCI43" s="51"/>
      <c r="SCJ43" s="51"/>
      <c r="SCK43" s="51"/>
      <c r="SCL43" s="51"/>
      <c r="SCM43" s="51"/>
      <c r="SCN43" s="51"/>
      <c r="SCO43" s="51"/>
      <c r="SCP43" s="51"/>
      <c r="SCQ43" s="51"/>
      <c r="SCR43" s="51"/>
      <c r="SCS43" s="51"/>
      <c r="SCT43" s="51"/>
      <c r="SCU43" s="51"/>
      <c r="SCV43" s="51"/>
      <c r="SCW43" s="51"/>
      <c r="SCX43" s="51"/>
      <c r="SCY43" s="51"/>
      <c r="SCZ43" s="51"/>
      <c r="SDA43" s="51"/>
      <c r="SDB43" s="51"/>
      <c r="SDC43" s="51"/>
      <c r="SDD43" s="51"/>
      <c r="SDE43" s="51"/>
      <c r="SDF43" s="51"/>
      <c r="SDG43" s="51"/>
      <c r="SDH43" s="51"/>
      <c r="SDI43" s="51"/>
      <c r="SDJ43" s="51"/>
      <c r="SDK43" s="51"/>
      <c r="SDL43" s="51"/>
      <c r="SDM43" s="51"/>
      <c r="SDN43" s="51"/>
      <c r="SDO43" s="51"/>
      <c r="SDP43" s="51"/>
      <c r="SDQ43" s="51"/>
      <c r="SDR43" s="51"/>
      <c r="SDS43" s="51"/>
      <c r="SDT43" s="51"/>
      <c r="SDU43" s="51"/>
      <c r="SDV43" s="51"/>
      <c r="SDW43" s="51"/>
      <c r="SDX43" s="51"/>
      <c r="SDY43" s="51"/>
      <c r="SDZ43" s="51"/>
      <c r="SEA43" s="51"/>
      <c r="SEB43" s="51"/>
      <c r="SEC43" s="51"/>
      <c r="SED43" s="51"/>
      <c r="SEE43" s="51"/>
      <c r="SEF43" s="51"/>
      <c r="SEG43" s="51"/>
      <c r="SEH43" s="51"/>
      <c r="SEI43" s="51"/>
      <c r="SEJ43" s="51"/>
      <c r="SEK43" s="51"/>
      <c r="SEL43" s="51"/>
      <c r="SEM43" s="51"/>
      <c r="SEN43" s="51"/>
      <c r="SEO43" s="51"/>
      <c r="SEP43" s="51"/>
      <c r="SEQ43" s="51"/>
      <c r="SER43" s="51"/>
      <c r="SES43" s="51"/>
      <c r="SET43" s="51"/>
      <c r="SEU43" s="51"/>
      <c r="SEV43" s="51"/>
      <c r="SEW43" s="51"/>
      <c r="SEX43" s="51"/>
      <c r="SEY43" s="51"/>
      <c r="SEZ43" s="51"/>
      <c r="SFA43" s="51"/>
      <c r="SFB43" s="51"/>
      <c r="SFC43" s="51"/>
      <c r="SFD43" s="51"/>
      <c r="SFE43" s="51"/>
      <c r="SFF43" s="51"/>
      <c r="SFG43" s="51"/>
      <c r="SFH43" s="51"/>
      <c r="SFI43" s="51"/>
      <c r="SFJ43" s="51"/>
      <c r="SFK43" s="51"/>
      <c r="SFL43" s="51"/>
      <c r="SFM43" s="51"/>
      <c r="SFN43" s="51"/>
      <c r="SFO43" s="51"/>
      <c r="SFP43" s="51"/>
      <c r="SFQ43" s="51"/>
      <c r="SFR43" s="51"/>
      <c r="SFS43" s="51"/>
      <c r="SFT43" s="51"/>
      <c r="SFU43" s="51"/>
      <c r="SFV43" s="51"/>
      <c r="SFW43" s="51"/>
      <c r="SFX43" s="51"/>
      <c r="SFY43" s="51"/>
      <c r="SFZ43" s="51"/>
      <c r="SGA43" s="51"/>
      <c r="SGB43" s="51"/>
      <c r="SGC43" s="51"/>
      <c r="SGD43" s="51"/>
      <c r="SGE43" s="51"/>
      <c r="SGF43" s="51"/>
      <c r="SGG43" s="51"/>
      <c r="SGH43" s="51"/>
      <c r="SGI43" s="51"/>
      <c r="SGJ43" s="51"/>
      <c r="SGK43" s="51"/>
      <c r="SGL43" s="51"/>
      <c r="SGM43" s="51"/>
      <c r="SGN43" s="51"/>
      <c r="SGO43" s="51"/>
      <c r="SGP43" s="51"/>
      <c r="SGQ43" s="51"/>
      <c r="SGR43" s="51"/>
      <c r="SGS43" s="51"/>
      <c r="SGT43" s="51"/>
      <c r="SGU43" s="51"/>
      <c r="SGV43" s="51"/>
      <c r="SGW43" s="51"/>
      <c r="SGX43" s="51"/>
      <c r="SGY43" s="51"/>
      <c r="SGZ43" s="51"/>
      <c r="SHA43" s="51"/>
      <c r="SHB43" s="51"/>
      <c r="SHC43" s="51"/>
      <c r="SHD43" s="51"/>
      <c r="SHE43" s="51"/>
      <c r="SHF43" s="51"/>
      <c r="SHG43" s="51"/>
      <c r="SHH43" s="51"/>
      <c r="SHI43" s="51"/>
      <c r="SHJ43" s="51"/>
      <c r="SHK43" s="51"/>
      <c r="SHL43" s="51"/>
      <c r="SHM43" s="51"/>
      <c r="SHN43" s="51"/>
      <c r="SHO43" s="51"/>
      <c r="SHP43" s="51"/>
      <c r="SHQ43" s="51"/>
      <c r="SHR43" s="51"/>
      <c r="SHS43" s="51"/>
      <c r="SHT43" s="51"/>
      <c r="SHU43" s="51"/>
      <c r="SHV43" s="51"/>
      <c r="SHW43" s="51"/>
      <c r="SHX43" s="51"/>
      <c r="SHY43" s="51"/>
      <c r="SHZ43" s="51"/>
      <c r="SIA43" s="51"/>
      <c r="SIB43" s="51"/>
      <c r="SIC43" s="51"/>
      <c r="SID43" s="51"/>
      <c r="SIE43" s="51"/>
      <c r="SIF43" s="51"/>
      <c r="SIG43" s="51"/>
      <c r="SIH43" s="51"/>
      <c r="SII43" s="51"/>
      <c r="SIJ43" s="51"/>
      <c r="SIK43" s="51"/>
      <c r="SIL43" s="51"/>
      <c r="SIM43" s="51"/>
      <c r="SIN43" s="51"/>
      <c r="SIO43" s="51"/>
      <c r="SIP43" s="51"/>
      <c r="SIQ43" s="51"/>
      <c r="SIR43" s="51"/>
      <c r="SIS43" s="51"/>
      <c r="SIT43" s="51"/>
      <c r="SIU43" s="51"/>
      <c r="SIV43" s="51"/>
      <c r="SIW43" s="51"/>
      <c r="SIX43" s="51"/>
      <c r="SIY43" s="51"/>
      <c r="SIZ43" s="51"/>
      <c r="SJA43" s="51"/>
      <c r="SJB43" s="51"/>
      <c r="SJC43" s="51"/>
      <c r="SJD43" s="51"/>
      <c r="SJE43" s="51"/>
      <c r="SJF43" s="51"/>
      <c r="SJG43" s="51"/>
      <c r="SJH43" s="51"/>
      <c r="SJI43" s="51"/>
      <c r="SJJ43" s="51"/>
      <c r="SJK43" s="51"/>
      <c r="SJL43" s="51"/>
      <c r="SJM43" s="51"/>
      <c r="SJN43" s="51"/>
      <c r="SJO43" s="51"/>
      <c r="SJP43" s="51"/>
      <c r="SJQ43" s="51"/>
      <c r="SJR43" s="51"/>
      <c r="SJS43" s="51"/>
      <c r="SJT43" s="51"/>
      <c r="SJU43" s="51"/>
      <c r="SJV43" s="51"/>
      <c r="SJW43" s="51"/>
      <c r="SJX43" s="51"/>
      <c r="SJY43" s="51"/>
      <c r="SJZ43" s="51"/>
      <c r="SKA43" s="51"/>
      <c r="SKB43" s="51"/>
      <c r="SKC43" s="51"/>
      <c r="SKD43" s="51"/>
      <c r="SKE43" s="51"/>
      <c r="SKF43" s="51"/>
      <c r="SKG43" s="51"/>
      <c r="SKH43" s="51"/>
      <c r="SKI43" s="51"/>
      <c r="SKJ43" s="51"/>
      <c r="SKK43" s="51"/>
      <c r="SKL43" s="51"/>
      <c r="SKM43" s="51"/>
      <c r="SKN43" s="51"/>
      <c r="SKO43" s="51"/>
      <c r="SKP43" s="51"/>
      <c r="SKQ43" s="51"/>
      <c r="SKR43" s="51"/>
      <c r="SKS43" s="51"/>
      <c r="SKT43" s="51"/>
      <c r="SKU43" s="51"/>
      <c r="SKV43" s="51"/>
      <c r="SKW43" s="51"/>
      <c r="SKX43" s="51"/>
      <c r="SKY43" s="51"/>
      <c r="SKZ43" s="51"/>
      <c r="SLA43" s="51"/>
      <c r="SLB43" s="51"/>
      <c r="SLC43" s="51"/>
      <c r="SLD43" s="51"/>
      <c r="SLE43" s="51"/>
      <c r="SLF43" s="51"/>
      <c r="SLG43" s="51"/>
      <c r="SLH43" s="51"/>
      <c r="SLI43" s="51"/>
      <c r="SLJ43" s="51"/>
      <c r="SLK43" s="51"/>
      <c r="SLL43" s="51"/>
      <c r="SLM43" s="51"/>
      <c r="SLN43" s="51"/>
      <c r="SLO43" s="51"/>
      <c r="SLP43" s="51"/>
      <c r="SLQ43" s="51"/>
      <c r="SLR43" s="51"/>
      <c r="SLS43" s="51"/>
      <c r="SLT43" s="51"/>
      <c r="SLU43" s="51"/>
      <c r="SLV43" s="51"/>
      <c r="SLW43" s="51"/>
      <c r="SLX43" s="51"/>
      <c r="SLY43" s="51"/>
      <c r="SLZ43" s="51"/>
      <c r="SMA43" s="51"/>
      <c r="SMB43" s="51"/>
      <c r="SMC43" s="51"/>
      <c r="SMD43" s="51"/>
      <c r="SME43" s="51"/>
      <c r="SMF43" s="51"/>
      <c r="SMG43" s="51"/>
      <c r="SMH43" s="51"/>
      <c r="SMI43" s="51"/>
      <c r="SMJ43" s="51"/>
      <c r="SMK43" s="51"/>
      <c r="SML43" s="51"/>
      <c r="SMM43" s="51"/>
      <c r="SMN43" s="51"/>
      <c r="SMO43" s="51"/>
      <c r="SMP43" s="51"/>
      <c r="SMQ43" s="51"/>
      <c r="SMR43" s="51"/>
      <c r="SMS43" s="51"/>
      <c r="SMT43" s="51"/>
      <c r="SMU43" s="51"/>
      <c r="SMV43" s="51"/>
      <c r="SMW43" s="51"/>
      <c r="SMX43" s="51"/>
      <c r="SMY43" s="51"/>
      <c r="SMZ43" s="51"/>
      <c r="SNA43" s="51"/>
      <c r="SNB43" s="51"/>
      <c r="SNC43" s="51"/>
      <c r="SND43" s="51"/>
      <c r="SNE43" s="51"/>
      <c r="SNF43" s="51"/>
      <c r="SNG43" s="51"/>
      <c r="SNH43" s="51"/>
      <c r="SNI43" s="51"/>
      <c r="SNJ43" s="51"/>
      <c r="SNK43" s="51"/>
      <c r="SNL43" s="51"/>
      <c r="SNM43" s="51"/>
      <c r="SNN43" s="51"/>
      <c r="SNO43" s="51"/>
      <c r="SNP43" s="51"/>
      <c r="SNQ43" s="51"/>
      <c r="SNR43" s="51"/>
      <c r="SNS43" s="51"/>
      <c r="SNT43" s="51"/>
      <c r="SNU43" s="51"/>
      <c r="SNV43" s="51"/>
      <c r="SNW43" s="51"/>
      <c r="SNX43" s="51"/>
      <c r="SNY43" s="51"/>
      <c r="SNZ43" s="51"/>
      <c r="SOA43" s="51"/>
      <c r="SOB43" s="51"/>
      <c r="SOC43" s="51"/>
      <c r="SOD43" s="51"/>
      <c r="SOE43" s="51"/>
      <c r="SOF43" s="51"/>
      <c r="SOG43" s="51"/>
      <c r="SOH43" s="51"/>
      <c r="SOI43" s="51"/>
      <c r="SOJ43" s="51"/>
      <c r="SOK43" s="51"/>
      <c r="SOL43" s="51"/>
      <c r="SOM43" s="51"/>
      <c r="SON43" s="51"/>
      <c r="SOO43" s="51"/>
      <c r="SOP43" s="51"/>
      <c r="SOQ43" s="51"/>
      <c r="SOR43" s="51"/>
      <c r="SOS43" s="51"/>
      <c r="SOT43" s="51"/>
      <c r="SOU43" s="51"/>
      <c r="SOV43" s="51"/>
      <c r="SOW43" s="51"/>
      <c r="SOX43" s="51"/>
      <c r="SOY43" s="51"/>
      <c r="SOZ43" s="51"/>
      <c r="SPA43" s="51"/>
      <c r="SPB43" s="51"/>
      <c r="SPC43" s="51"/>
      <c r="SPD43" s="51"/>
      <c r="SPE43" s="51"/>
      <c r="SPF43" s="51"/>
      <c r="SPG43" s="51"/>
      <c r="SPH43" s="51"/>
      <c r="SPI43" s="51"/>
      <c r="SPJ43" s="51"/>
      <c r="SPK43" s="51"/>
      <c r="SPL43" s="51"/>
      <c r="SPM43" s="51"/>
      <c r="SPN43" s="51"/>
      <c r="SPO43" s="51"/>
      <c r="SPP43" s="51"/>
      <c r="SPQ43" s="51"/>
      <c r="SPR43" s="51"/>
      <c r="SPS43" s="51"/>
      <c r="SPT43" s="51"/>
      <c r="SPU43" s="51"/>
      <c r="SPV43" s="51"/>
      <c r="SPW43" s="51"/>
      <c r="SPX43" s="51"/>
      <c r="SPY43" s="51"/>
      <c r="SPZ43" s="51"/>
      <c r="SQA43" s="51"/>
      <c r="SQB43" s="51"/>
      <c r="SQC43" s="51"/>
      <c r="SQD43" s="51"/>
      <c r="SQE43" s="51"/>
      <c r="SQF43" s="51"/>
      <c r="SQG43" s="51"/>
      <c r="SQH43" s="51"/>
      <c r="SQI43" s="51"/>
      <c r="SQJ43" s="51"/>
      <c r="SQK43" s="51"/>
      <c r="SQL43" s="51"/>
      <c r="SQM43" s="51"/>
      <c r="SQN43" s="51"/>
      <c r="SQO43" s="51"/>
      <c r="SQP43" s="51"/>
      <c r="SQQ43" s="51"/>
      <c r="SQR43" s="51"/>
      <c r="SQS43" s="51"/>
      <c r="SQT43" s="51"/>
      <c r="SQU43" s="51"/>
      <c r="SQV43" s="51"/>
      <c r="SQW43" s="51"/>
      <c r="SQX43" s="51"/>
      <c r="SQY43" s="51"/>
      <c r="SQZ43" s="51"/>
      <c r="SRA43" s="51"/>
      <c r="SRB43" s="51"/>
      <c r="SRC43" s="51"/>
      <c r="SRD43" s="51"/>
      <c r="SRE43" s="51"/>
      <c r="SRF43" s="51"/>
      <c r="SRG43" s="51"/>
      <c r="SRH43" s="51"/>
      <c r="SRI43" s="51"/>
      <c r="SRJ43" s="51"/>
      <c r="SRK43" s="51"/>
      <c r="SRL43" s="51"/>
      <c r="SRM43" s="51"/>
      <c r="SRN43" s="51"/>
      <c r="SRO43" s="51"/>
      <c r="SRP43" s="51"/>
      <c r="SRQ43" s="51"/>
      <c r="SRR43" s="51"/>
      <c r="SRS43" s="51"/>
      <c r="SRT43" s="51"/>
      <c r="SRU43" s="51"/>
      <c r="SRV43" s="51"/>
      <c r="SRW43" s="51"/>
      <c r="SRX43" s="51"/>
      <c r="SRY43" s="51"/>
      <c r="SRZ43" s="51"/>
      <c r="SSA43" s="51"/>
      <c r="SSB43" s="51"/>
      <c r="SSC43" s="51"/>
      <c r="SSD43" s="51"/>
      <c r="SSE43" s="51"/>
      <c r="SSF43" s="51"/>
      <c r="SSG43" s="51"/>
      <c r="SSH43" s="51"/>
      <c r="SSI43" s="51"/>
      <c r="SSJ43" s="51"/>
      <c r="SSK43" s="51"/>
      <c r="SSL43" s="51"/>
      <c r="SSM43" s="51"/>
      <c r="SSN43" s="51"/>
      <c r="SSO43" s="51"/>
      <c r="SSP43" s="51"/>
      <c r="SSQ43" s="51"/>
      <c r="SSR43" s="51"/>
      <c r="SSS43" s="51"/>
      <c r="SST43" s="51"/>
      <c r="SSU43" s="51"/>
      <c r="SSV43" s="51"/>
      <c r="SSW43" s="51"/>
      <c r="SSX43" s="51"/>
      <c r="SSY43" s="51"/>
      <c r="SSZ43" s="51"/>
      <c r="STA43" s="51"/>
      <c r="STB43" s="51"/>
      <c r="STC43" s="51"/>
      <c r="STD43" s="51"/>
      <c r="STE43" s="51"/>
      <c r="STF43" s="51"/>
      <c r="STG43" s="51"/>
      <c r="STH43" s="51"/>
      <c r="STI43" s="51"/>
      <c r="STJ43" s="51"/>
      <c r="STK43" s="51"/>
      <c r="STL43" s="51"/>
      <c r="STM43" s="51"/>
      <c r="STN43" s="51"/>
      <c r="STO43" s="51"/>
      <c r="STP43" s="51"/>
      <c r="STQ43" s="51"/>
      <c r="STR43" s="51"/>
      <c r="STS43" s="51"/>
      <c r="STT43" s="51"/>
      <c r="STU43" s="51"/>
      <c r="STV43" s="51"/>
      <c r="STW43" s="51"/>
      <c r="STX43" s="51"/>
      <c r="STY43" s="51"/>
      <c r="STZ43" s="51"/>
      <c r="SUA43" s="51"/>
      <c r="SUB43" s="51"/>
      <c r="SUC43" s="51"/>
      <c r="SUD43" s="51"/>
      <c r="SUE43" s="51"/>
      <c r="SUF43" s="51"/>
      <c r="SUG43" s="51"/>
      <c r="SUH43" s="51"/>
      <c r="SUI43" s="51"/>
      <c r="SUJ43" s="51"/>
      <c r="SUK43" s="51"/>
      <c r="SUL43" s="51"/>
      <c r="SUM43" s="51"/>
      <c r="SUN43" s="51"/>
      <c r="SUO43" s="51"/>
      <c r="SUP43" s="51"/>
      <c r="SUQ43" s="51"/>
      <c r="SUR43" s="51"/>
      <c r="SUS43" s="51"/>
      <c r="SUT43" s="51"/>
      <c r="SUU43" s="51"/>
      <c r="SUV43" s="51"/>
      <c r="SUW43" s="51"/>
      <c r="SUX43" s="51"/>
      <c r="SUY43" s="51"/>
      <c r="SUZ43" s="51"/>
      <c r="SVA43" s="51"/>
      <c r="SVB43" s="51"/>
      <c r="SVC43" s="51"/>
      <c r="SVD43" s="51"/>
      <c r="SVE43" s="51"/>
      <c r="SVF43" s="51"/>
      <c r="SVG43" s="51"/>
      <c r="SVH43" s="51"/>
      <c r="SVI43" s="51"/>
      <c r="SVJ43" s="51"/>
      <c r="SVK43" s="51"/>
      <c r="SVL43" s="51"/>
      <c r="SVM43" s="51"/>
      <c r="SVN43" s="51"/>
      <c r="SVO43" s="51"/>
      <c r="SVP43" s="51"/>
      <c r="SVQ43" s="51"/>
      <c r="SVR43" s="51"/>
      <c r="SVS43" s="51"/>
      <c r="SVT43" s="51"/>
      <c r="SVU43" s="51"/>
      <c r="SVV43" s="51"/>
      <c r="SVW43" s="51"/>
      <c r="SVX43" s="51"/>
      <c r="SVY43" s="51"/>
      <c r="SVZ43" s="51"/>
      <c r="SWA43" s="51"/>
      <c r="SWB43" s="51"/>
      <c r="SWC43" s="51"/>
      <c r="SWD43" s="51"/>
      <c r="SWE43" s="51"/>
      <c r="SWF43" s="51"/>
      <c r="SWG43" s="51"/>
      <c r="SWH43" s="51"/>
      <c r="SWI43" s="51"/>
      <c r="SWJ43" s="51"/>
      <c r="SWK43" s="51"/>
      <c r="SWL43" s="51"/>
      <c r="SWM43" s="51"/>
      <c r="SWN43" s="51"/>
      <c r="SWO43" s="51"/>
      <c r="SWP43" s="51"/>
      <c r="SWQ43" s="51"/>
      <c r="SWR43" s="51"/>
      <c r="SWS43" s="51"/>
      <c r="SWT43" s="51"/>
      <c r="SWU43" s="51"/>
      <c r="SWV43" s="51"/>
      <c r="SWW43" s="51"/>
      <c r="SWX43" s="51"/>
      <c r="SWY43" s="51"/>
      <c r="SWZ43" s="51"/>
      <c r="SXA43" s="51"/>
      <c r="SXB43" s="51"/>
      <c r="SXC43" s="51"/>
      <c r="SXD43" s="51"/>
      <c r="SXE43" s="51"/>
      <c r="SXF43" s="51"/>
      <c r="SXG43" s="51"/>
      <c r="SXH43" s="51"/>
      <c r="SXI43" s="51"/>
      <c r="SXJ43" s="51"/>
      <c r="SXK43" s="51"/>
      <c r="SXL43" s="51"/>
      <c r="SXM43" s="51"/>
      <c r="SXN43" s="51"/>
      <c r="SXO43" s="51"/>
      <c r="SXP43" s="51"/>
      <c r="SXQ43" s="51"/>
      <c r="SXR43" s="51"/>
      <c r="SXS43" s="51"/>
      <c r="SXT43" s="51"/>
      <c r="SXU43" s="51"/>
      <c r="SXV43" s="51"/>
      <c r="SXW43" s="51"/>
      <c r="SXX43" s="51"/>
      <c r="SXY43" s="51"/>
      <c r="SXZ43" s="51"/>
      <c r="SYA43" s="51"/>
      <c r="SYB43" s="51"/>
      <c r="SYC43" s="51"/>
      <c r="SYD43" s="51"/>
      <c r="SYE43" s="51"/>
      <c r="SYF43" s="51"/>
      <c r="SYG43" s="51"/>
      <c r="SYH43" s="51"/>
      <c r="SYI43" s="51"/>
      <c r="SYJ43" s="51"/>
      <c r="SYK43" s="51"/>
      <c r="SYL43" s="51"/>
      <c r="SYM43" s="51"/>
      <c r="SYN43" s="51"/>
      <c r="SYO43" s="51"/>
      <c r="SYP43" s="51"/>
      <c r="SYQ43" s="51"/>
      <c r="SYR43" s="51"/>
      <c r="SYS43" s="51"/>
      <c r="SYT43" s="51"/>
      <c r="SYU43" s="51"/>
      <c r="SYV43" s="51"/>
      <c r="SYW43" s="51"/>
      <c r="SYX43" s="51"/>
      <c r="SYY43" s="51"/>
      <c r="SYZ43" s="51"/>
      <c r="SZA43" s="51"/>
      <c r="SZB43" s="51"/>
      <c r="SZC43" s="51"/>
      <c r="SZD43" s="51"/>
      <c r="SZE43" s="51"/>
      <c r="SZF43" s="51"/>
      <c r="SZG43" s="51"/>
      <c r="SZH43" s="51"/>
      <c r="SZI43" s="51"/>
      <c r="SZJ43" s="51"/>
      <c r="SZK43" s="51"/>
      <c r="SZL43" s="51"/>
      <c r="SZM43" s="51"/>
      <c r="SZN43" s="51"/>
      <c r="SZO43" s="51"/>
      <c r="SZP43" s="51"/>
      <c r="SZQ43" s="51"/>
      <c r="SZR43" s="51"/>
      <c r="SZS43" s="51"/>
      <c r="SZT43" s="51"/>
      <c r="SZU43" s="51"/>
      <c r="SZV43" s="51"/>
      <c r="SZW43" s="51"/>
      <c r="SZX43" s="51"/>
      <c r="SZY43" s="51"/>
      <c r="SZZ43" s="51"/>
      <c r="TAA43" s="51"/>
      <c r="TAB43" s="51"/>
      <c r="TAC43" s="51"/>
      <c r="TAD43" s="51"/>
      <c r="TAE43" s="51"/>
      <c r="TAF43" s="51"/>
      <c r="TAG43" s="51"/>
      <c r="TAH43" s="51"/>
      <c r="TAI43" s="51"/>
      <c r="TAJ43" s="51"/>
      <c r="TAK43" s="51"/>
      <c r="TAL43" s="51"/>
      <c r="TAM43" s="51"/>
      <c r="TAN43" s="51"/>
      <c r="TAO43" s="51"/>
      <c r="TAP43" s="51"/>
      <c r="TAQ43" s="51"/>
      <c r="TAR43" s="51"/>
      <c r="TAS43" s="51"/>
      <c r="TAT43" s="51"/>
      <c r="TAU43" s="51"/>
      <c r="TAV43" s="51"/>
      <c r="TAW43" s="51"/>
      <c r="TAX43" s="51"/>
      <c r="TAY43" s="51"/>
      <c r="TAZ43" s="51"/>
      <c r="TBA43" s="51"/>
      <c r="TBB43" s="51"/>
      <c r="TBC43" s="51"/>
      <c r="TBD43" s="51"/>
      <c r="TBE43" s="51"/>
      <c r="TBF43" s="51"/>
      <c r="TBG43" s="51"/>
      <c r="TBH43" s="51"/>
      <c r="TBI43" s="51"/>
      <c r="TBJ43" s="51"/>
      <c r="TBK43" s="51"/>
      <c r="TBL43" s="51"/>
      <c r="TBM43" s="51"/>
      <c r="TBN43" s="51"/>
      <c r="TBO43" s="51"/>
      <c r="TBP43" s="51"/>
      <c r="TBQ43" s="51"/>
      <c r="TBR43" s="51"/>
      <c r="TBS43" s="51"/>
      <c r="TBT43" s="51"/>
      <c r="TBU43" s="51"/>
      <c r="TBV43" s="51"/>
      <c r="TBW43" s="51"/>
      <c r="TBX43" s="51"/>
      <c r="TBY43" s="51"/>
      <c r="TBZ43" s="51"/>
      <c r="TCA43" s="51"/>
      <c r="TCB43" s="51"/>
      <c r="TCC43" s="51"/>
      <c r="TCD43" s="51"/>
      <c r="TCE43" s="51"/>
      <c r="TCF43" s="51"/>
      <c r="TCG43" s="51"/>
      <c r="TCH43" s="51"/>
      <c r="TCI43" s="51"/>
      <c r="TCJ43" s="51"/>
      <c r="TCK43" s="51"/>
      <c r="TCL43" s="51"/>
      <c r="TCM43" s="51"/>
      <c r="TCN43" s="51"/>
      <c r="TCO43" s="51"/>
      <c r="TCP43" s="51"/>
      <c r="TCQ43" s="51"/>
      <c r="TCR43" s="51"/>
      <c r="TCS43" s="51"/>
      <c r="TCT43" s="51"/>
      <c r="TCU43" s="51"/>
      <c r="TCV43" s="51"/>
      <c r="TCW43" s="51"/>
      <c r="TCX43" s="51"/>
      <c r="TCY43" s="51"/>
      <c r="TCZ43" s="51"/>
      <c r="TDA43" s="51"/>
      <c r="TDB43" s="51"/>
      <c r="TDC43" s="51"/>
      <c r="TDD43" s="51"/>
      <c r="TDE43" s="51"/>
      <c r="TDF43" s="51"/>
      <c r="TDG43" s="51"/>
      <c r="TDH43" s="51"/>
      <c r="TDI43" s="51"/>
      <c r="TDJ43" s="51"/>
      <c r="TDK43" s="51"/>
      <c r="TDL43" s="51"/>
      <c r="TDM43" s="51"/>
      <c r="TDN43" s="51"/>
      <c r="TDO43" s="51"/>
      <c r="TDP43" s="51"/>
      <c r="TDQ43" s="51"/>
      <c r="TDR43" s="51"/>
      <c r="TDS43" s="51"/>
      <c r="TDT43" s="51"/>
      <c r="TDU43" s="51"/>
      <c r="TDV43" s="51"/>
      <c r="TDW43" s="51"/>
      <c r="TDX43" s="51"/>
      <c r="TDY43" s="51"/>
      <c r="TDZ43" s="51"/>
      <c r="TEA43" s="51"/>
      <c r="TEB43" s="51"/>
      <c r="TEC43" s="51"/>
      <c r="TED43" s="51"/>
      <c r="TEE43" s="51"/>
      <c r="TEF43" s="51"/>
      <c r="TEG43" s="51"/>
      <c r="TEH43" s="51"/>
      <c r="TEI43" s="51"/>
      <c r="TEJ43" s="51"/>
      <c r="TEK43" s="51"/>
      <c r="TEL43" s="51"/>
      <c r="TEM43" s="51"/>
      <c r="TEN43" s="51"/>
      <c r="TEO43" s="51"/>
      <c r="TEP43" s="51"/>
      <c r="TEQ43" s="51"/>
      <c r="TER43" s="51"/>
      <c r="TES43" s="51"/>
      <c r="TET43" s="51"/>
      <c r="TEU43" s="51"/>
      <c r="TEV43" s="51"/>
      <c r="TEW43" s="51"/>
      <c r="TEX43" s="51"/>
      <c r="TEY43" s="51"/>
      <c r="TEZ43" s="51"/>
      <c r="TFA43" s="51"/>
      <c r="TFB43" s="51"/>
      <c r="TFC43" s="51"/>
      <c r="TFD43" s="51"/>
      <c r="TFE43" s="51"/>
      <c r="TFF43" s="51"/>
      <c r="TFG43" s="51"/>
      <c r="TFH43" s="51"/>
      <c r="TFI43" s="51"/>
      <c r="TFJ43" s="51"/>
      <c r="TFK43" s="51"/>
      <c r="TFL43" s="51"/>
      <c r="TFM43" s="51"/>
      <c r="TFN43" s="51"/>
      <c r="TFO43" s="51"/>
      <c r="TFP43" s="51"/>
      <c r="TFQ43" s="51"/>
      <c r="TFR43" s="51"/>
      <c r="TFS43" s="51"/>
      <c r="TFT43" s="51"/>
      <c r="TFU43" s="51"/>
      <c r="TFV43" s="51"/>
      <c r="TFW43" s="51"/>
      <c r="TFX43" s="51"/>
      <c r="TFY43" s="51"/>
      <c r="TFZ43" s="51"/>
      <c r="TGA43" s="51"/>
      <c r="TGB43" s="51"/>
      <c r="TGC43" s="51"/>
      <c r="TGD43" s="51"/>
      <c r="TGE43" s="51"/>
      <c r="TGF43" s="51"/>
      <c r="TGG43" s="51"/>
      <c r="TGH43" s="51"/>
      <c r="TGI43" s="51"/>
      <c r="TGJ43" s="51"/>
      <c r="TGK43" s="51"/>
      <c r="TGL43" s="51"/>
      <c r="TGM43" s="51"/>
      <c r="TGN43" s="51"/>
      <c r="TGO43" s="51"/>
      <c r="TGP43" s="51"/>
      <c r="TGQ43" s="51"/>
      <c r="TGR43" s="51"/>
      <c r="TGS43" s="51"/>
      <c r="TGT43" s="51"/>
      <c r="TGU43" s="51"/>
      <c r="TGV43" s="51"/>
      <c r="TGW43" s="51"/>
      <c r="TGX43" s="51"/>
      <c r="TGY43" s="51"/>
      <c r="TGZ43" s="51"/>
      <c r="THA43" s="51"/>
      <c r="THB43" s="51"/>
      <c r="THC43" s="51"/>
      <c r="THD43" s="51"/>
      <c r="THE43" s="51"/>
      <c r="THF43" s="51"/>
      <c r="THG43" s="51"/>
      <c r="THH43" s="51"/>
      <c r="THI43" s="51"/>
      <c r="THJ43" s="51"/>
      <c r="THK43" s="51"/>
      <c r="THL43" s="51"/>
      <c r="THM43" s="51"/>
      <c r="THN43" s="51"/>
      <c r="THO43" s="51"/>
      <c r="THP43" s="51"/>
      <c r="THQ43" s="51"/>
      <c r="THR43" s="51"/>
      <c r="THS43" s="51"/>
      <c r="THT43" s="51"/>
      <c r="THU43" s="51"/>
      <c r="THV43" s="51"/>
      <c r="THW43" s="51"/>
      <c r="THX43" s="51"/>
      <c r="THY43" s="51"/>
      <c r="THZ43" s="51"/>
      <c r="TIA43" s="51"/>
      <c r="TIB43" s="51"/>
      <c r="TIC43" s="51"/>
      <c r="TID43" s="51"/>
      <c r="TIE43" s="51"/>
      <c r="TIF43" s="51"/>
      <c r="TIG43" s="51"/>
      <c r="TIH43" s="51"/>
      <c r="TII43" s="51"/>
      <c r="TIJ43" s="51"/>
      <c r="TIK43" s="51"/>
      <c r="TIL43" s="51"/>
      <c r="TIM43" s="51"/>
      <c r="TIN43" s="51"/>
      <c r="TIO43" s="51"/>
      <c r="TIP43" s="51"/>
      <c r="TIQ43" s="51"/>
      <c r="TIR43" s="51"/>
      <c r="TIS43" s="51"/>
      <c r="TIT43" s="51"/>
      <c r="TIU43" s="51"/>
      <c r="TIV43" s="51"/>
      <c r="TIW43" s="51"/>
      <c r="TIX43" s="51"/>
      <c r="TIY43" s="51"/>
      <c r="TIZ43" s="51"/>
      <c r="TJA43" s="51"/>
      <c r="TJB43" s="51"/>
      <c r="TJC43" s="51"/>
      <c r="TJD43" s="51"/>
      <c r="TJE43" s="51"/>
      <c r="TJF43" s="51"/>
      <c r="TJG43" s="51"/>
      <c r="TJH43" s="51"/>
      <c r="TJI43" s="51"/>
      <c r="TJJ43" s="51"/>
      <c r="TJK43" s="51"/>
      <c r="TJL43" s="51"/>
      <c r="TJM43" s="51"/>
      <c r="TJN43" s="51"/>
      <c r="TJO43" s="51"/>
      <c r="TJP43" s="51"/>
      <c r="TJQ43" s="51"/>
      <c r="TJR43" s="51"/>
      <c r="TJS43" s="51"/>
      <c r="TJT43" s="51"/>
      <c r="TJU43" s="51"/>
      <c r="TJV43" s="51"/>
      <c r="TJW43" s="51"/>
      <c r="TJX43" s="51"/>
      <c r="TJY43" s="51"/>
      <c r="TJZ43" s="51"/>
      <c r="TKA43" s="51"/>
      <c r="TKB43" s="51"/>
      <c r="TKC43" s="51"/>
      <c r="TKD43" s="51"/>
      <c r="TKE43" s="51"/>
      <c r="TKF43" s="51"/>
      <c r="TKG43" s="51"/>
      <c r="TKH43" s="51"/>
      <c r="TKI43" s="51"/>
      <c r="TKJ43" s="51"/>
      <c r="TKK43" s="51"/>
      <c r="TKL43" s="51"/>
      <c r="TKM43" s="51"/>
      <c r="TKN43" s="51"/>
      <c r="TKO43" s="51"/>
      <c r="TKP43" s="51"/>
      <c r="TKQ43" s="51"/>
      <c r="TKR43" s="51"/>
      <c r="TKS43" s="51"/>
      <c r="TKT43" s="51"/>
      <c r="TKU43" s="51"/>
      <c r="TKV43" s="51"/>
      <c r="TKW43" s="51"/>
      <c r="TKX43" s="51"/>
      <c r="TKY43" s="51"/>
      <c r="TKZ43" s="51"/>
      <c r="TLA43" s="51"/>
      <c r="TLB43" s="51"/>
      <c r="TLC43" s="51"/>
      <c r="TLD43" s="51"/>
      <c r="TLE43" s="51"/>
      <c r="TLF43" s="51"/>
      <c r="TLG43" s="51"/>
      <c r="TLH43" s="51"/>
      <c r="TLI43" s="51"/>
      <c r="TLJ43" s="51"/>
      <c r="TLK43" s="51"/>
      <c r="TLL43" s="51"/>
      <c r="TLM43" s="51"/>
      <c r="TLN43" s="51"/>
      <c r="TLO43" s="51"/>
      <c r="TLP43" s="51"/>
      <c r="TLQ43" s="51"/>
      <c r="TLR43" s="51"/>
      <c r="TLS43" s="51"/>
      <c r="TLT43" s="51"/>
      <c r="TLU43" s="51"/>
      <c r="TLV43" s="51"/>
      <c r="TLW43" s="51"/>
      <c r="TLX43" s="51"/>
      <c r="TLY43" s="51"/>
      <c r="TLZ43" s="51"/>
      <c r="TMA43" s="51"/>
      <c r="TMB43" s="51"/>
      <c r="TMC43" s="51"/>
      <c r="TMD43" s="51"/>
      <c r="TME43" s="51"/>
      <c r="TMF43" s="51"/>
      <c r="TMG43" s="51"/>
      <c r="TMH43" s="51"/>
      <c r="TMI43" s="51"/>
      <c r="TMJ43" s="51"/>
      <c r="TMK43" s="51"/>
      <c r="TML43" s="51"/>
      <c r="TMM43" s="51"/>
      <c r="TMN43" s="51"/>
      <c r="TMO43" s="51"/>
      <c r="TMP43" s="51"/>
      <c r="TMQ43" s="51"/>
      <c r="TMR43" s="51"/>
      <c r="TMS43" s="51"/>
      <c r="TMT43" s="51"/>
      <c r="TMU43" s="51"/>
      <c r="TMV43" s="51"/>
      <c r="TMW43" s="51"/>
      <c r="TMX43" s="51"/>
      <c r="TMY43" s="51"/>
      <c r="TMZ43" s="51"/>
      <c r="TNA43" s="51"/>
      <c r="TNB43" s="51"/>
      <c r="TNC43" s="51"/>
      <c r="TND43" s="51"/>
      <c r="TNE43" s="51"/>
      <c r="TNF43" s="51"/>
      <c r="TNG43" s="51"/>
      <c r="TNH43" s="51"/>
      <c r="TNI43" s="51"/>
      <c r="TNJ43" s="51"/>
      <c r="TNK43" s="51"/>
      <c r="TNL43" s="51"/>
      <c r="TNM43" s="51"/>
      <c r="TNN43" s="51"/>
      <c r="TNO43" s="51"/>
      <c r="TNP43" s="51"/>
      <c r="TNQ43" s="51"/>
      <c r="TNR43" s="51"/>
      <c r="TNS43" s="51"/>
      <c r="TNT43" s="51"/>
      <c r="TNU43" s="51"/>
      <c r="TNV43" s="51"/>
      <c r="TNW43" s="51"/>
      <c r="TNX43" s="51"/>
      <c r="TNY43" s="51"/>
      <c r="TNZ43" s="51"/>
      <c r="TOA43" s="51"/>
      <c r="TOB43" s="51"/>
      <c r="TOC43" s="51"/>
      <c r="TOD43" s="51"/>
      <c r="TOE43" s="51"/>
      <c r="TOF43" s="51"/>
      <c r="TOG43" s="51"/>
      <c r="TOH43" s="51"/>
      <c r="TOI43" s="51"/>
      <c r="TOJ43" s="51"/>
      <c r="TOK43" s="51"/>
      <c r="TOL43" s="51"/>
      <c r="TOM43" s="51"/>
      <c r="TON43" s="51"/>
      <c r="TOO43" s="51"/>
      <c r="TOP43" s="51"/>
      <c r="TOQ43" s="51"/>
      <c r="TOR43" s="51"/>
      <c r="TOS43" s="51"/>
      <c r="TOT43" s="51"/>
      <c r="TOU43" s="51"/>
      <c r="TOV43" s="51"/>
      <c r="TOW43" s="51"/>
      <c r="TOX43" s="51"/>
      <c r="TOY43" s="51"/>
      <c r="TOZ43" s="51"/>
      <c r="TPA43" s="51"/>
      <c r="TPB43" s="51"/>
      <c r="TPC43" s="51"/>
      <c r="TPD43" s="51"/>
      <c r="TPE43" s="51"/>
      <c r="TPF43" s="51"/>
      <c r="TPG43" s="51"/>
      <c r="TPH43" s="51"/>
      <c r="TPI43" s="51"/>
      <c r="TPJ43" s="51"/>
      <c r="TPK43" s="51"/>
      <c r="TPL43" s="51"/>
      <c r="TPM43" s="51"/>
      <c r="TPN43" s="51"/>
      <c r="TPO43" s="51"/>
      <c r="TPP43" s="51"/>
      <c r="TPQ43" s="51"/>
      <c r="TPR43" s="51"/>
      <c r="TPS43" s="51"/>
      <c r="TPT43" s="51"/>
      <c r="TPU43" s="51"/>
      <c r="TPV43" s="51"/>
      <c r="TPW43" s="51"/>
      <c r="TPX43" s="51"/>
      <c r="TPY43" s="51"/>
      <c r="TPZ43" s="51"/>
      <c r="TQA43" s="51"/>
      <c r="TQB43" s="51"/>
      <c r="TQC43" s="51"/>
      <c r="TQD43" s="51"/>
      <c r="TQE43" s="51"/>
      <c r="TQF43" s="51"/>
      <c r="TQG43" s="51"/>
      <c r="TQH43" s="51"/>
      <c r="TQI43" s="51"/>
      <c r="TQJ43" s="51"/>
      <c r="TQK43" s="51"/>
      <c r="TQL43" s="51"/>
      <c r="TQM43" s="51"/>
      <c r="TQN43" s="51"/>
      <c r="TQO43" s="51"/>
      <c r="TQP43" s="51"/>
      <c r="TQQ43" s="51"/>
      <c r="TQR43" s="51"/>
      <c r="TQS43" s="51"/>
      <c r="TQT43" s="51"/>
      <c r="TQU43" s="51"/>
      <c r="TQV43" s="51"/>
      <c r="TQW43" s="51"/>
      <c r="TQX43" s="51"/>
      <c r="TQY43" s="51"/>
      <c r="TQZ43" s="51"/>
      <c r="TRA43" s="51"/>
      <c r="TRB43" s="51"/>
      <c r="TRC43" s="51"/>
      <c r="TRD43" s="51"/>
      <c r="TRE43" s="51"/>
      <c r="TRF43" s="51"/>
      <c r="TRG43" s="51"/>
      <c r="TRH43" s="51"/>
      <c r="TRI43" s="51"/>
      <c r="TRJ43" s="51"/>
      <c r="TRK43" s="51"/>
      <c r="TRL43" s="51"/>
      <c r="TRM43" s="51"/>
      <c r="TRN43" s="51"/>
      <c r="TRO43" s="51"/>
      <c r="TRP43" s="51"/>
      <c r="TRQ43" s="51"/>
      <c r="TRR43" s="51"/>
      <c r="TRS43" s="51"/>
      <c r="TRT43" s="51"/>
      <c r="TRU43" s="51"/>
      <c r="TRV43" s="51"/>
      <c r="TRW43" s="51"/>
      <c r="TRX43" s="51"/>
      <c r="TRY43" s="51"/>
      <c r="TRZ43" s="51"/>
      <c r="TSA43" s="51"/>
      <c r="TSB43" s="51"/>
      <c r="TSC43" s="51"/>
      <c r="TSD43" s="51"/>
      <c r="TSE43" s="51"/>
      <c r="TSF43" s="51"/>
      <c r="TSG43" s="51"/>
      <c r="TSH43" s="51"/>
      <c r="TSI43" s="51"/>
      <c r="TSJ43" s="51"/>
      <c r="TSK43" s="51"/>
      <c r="TSL43" s="51"/>
      <c r="TSM43" s="51"/>
      <c r="TSN43" s="51"/>
      <c r="TSO43" s="51"/>
      <c r="TSP43" s="51"/>
      <c r="TSQ43" s="51"/>
      <c r="TSR43" s="51"/>
      <c r="TSS43" s="51"/>
      <c r="TST43" s="51"/>
      <c r="TSU43" s="51"/>
      <c r="TSV43" s="51"/>
      <c r="TSW43" s="51"/>
      <c r="TSX43" s="51"/>
      <c r="TSY43" s="51"/>
      <c r="TSZ43" s="51"/>
      <c r="TTA43" s="51"/>
      <c r="TTB43" s="51"/>
      <c r="TTC43" s="51"/>
      <c r="TTD43" s="51"/>
      <c r="TTE43" s="51"/>
      <c r="TTF43" s="51"/>
      <c r="TTG43" s="51"/>
      <c r="TTH43" s="51"/>
      <c r="TTI43" s="51"/>
      <c r="TTJ43" s="51"/>
      <c r="TTK43" s="51"/>
      <c r="TTL43" s="51"/>
      <c r="TTM43" s="51"/>
      <c r="TTN43" s="51"/>
      <c r="TTO43" s="51"/>
      <c r="TTP43" s="51"/>
      <c r="TTQ43" s="51"/>
      <c r="TTR43" s="51"/>
      <c r="TTS43" s="51"/>
      <c r="TTT43" s="51"/>
      <c r="TTU43" s="51"/>
      <c r="TTV43" s="51"/>
      <c r="TTW43" s="51"/>
      <c r="TTX43" s="51"/>
      <c r="TTY43" s="51"/>
      <c r="TTZ43" s="51"/>
      <c r="TUA43" s="51"/>
      <c r="TUB43" s="51"/>
      <c r="TUC43" s="51"/>
      <c r="TUD43" s="51"/>
      <c r="TUE43" s="51"/>
      <c r="TUF43" s="51"/>
      <c r="TUG43" s="51"/>
      <c r="TUH43" s="51"/>
      <c r="TUI43" s="51"/>
      <c r="TUJ43" s="51"/>
      <c r="TUK43" s="51"/>
      <c r="TUL43" s="51"/>
      <c r="TUM43" s="51"/>
      <c r="TUN43" s="51"/>
      <c r="TUO43" s="51"/>
      <c r="TUP43" s="51"/>
      <c r="TUQ43" s="51"/>
      <c r="TUR43" s="51"/>
      <c r="TUS43" s="51"/>
      <c r="TUT43" s="51"/>
      <c r="TUU43" s="51"/>
      <c r="TUV43" s="51"/>
      <c r="TUW43" s="51"/>
      <c r="TUX43" s="51"/>
      <c r="TUY43" s="51"/>
      <c r="TUZ43" s="51"/>
      <c r="TVA43" s="51"/>
      <c r="TVB43" s="51"/>
      <c r="TVC43" s="51"/>
      <c r="TVD43" s="51"/>
      <c r="TVE43" s="51"/>
      <c r="TVF43" s="51"/>
      <c r="TVG43" s="51"/>
      <c r="TVH43" s="51"/>
      <c r="TVI43" s="51"/>
      <c r="TVJ43" s="51"/>
      <c r="TVK43" s="51"/>
      <c r="TVL43" s="51"/>
      <c r="TVM43" s="51"/>
      <c r="TVN43" s="51"/>
      <c r="TVO43" s="51"/>
      <c r="TVP43" s="51"/>
      <c r="TVQ43" s="51"/>
      <c r="TVR43" s="51"/>
      <c r="TVS43" s="51"/>
      <c r="TVT43" s="51"/>
      <c r="TVU43" s="51"/>
      <c r="TVV43" s="51"/>
      <c r="TVW43" s="51"/>
      <c r="TVX43" s="51"/>
      <c r="TVY43" s="51"/>
      <c r="TVZ43" s="51"/>
      <c r="TWA43" s="51"/>
      <c r="TWB43" s="51"/>
      <c r="TWC43" s="51"/>
      <c r="TWD43" s="51"/>
      <c r="TWE43" s="51"/>
      <c r="TWF43" s="51"/>
      <c r="TWG43" s="51"/>
      <c r="TWH43" s="51"/>
      <c r="TWI43" s="51"/>
      <c r="TWJ43" s="51"/>
      <c r="TWK43" s="51"/>
      <c r="TWL43" s="51"/>
      <c r="TWM43" s="51"/>
      <c r="TWN43" s="51"/>
      <c r="TWO43" s="51"/>
      <c r="TWP43" s="51"/>
      <c r="TWQ43" s="51"/>
      <c r="TWR43" s="51"/>
      <c r="TWS43" s="51"/>
      <c r="TWT43" s="51"/>
      <c r="TWU43" s="51"/>
      <c r="TWV43" s="51"/>
      <c r="TWW43" s="51"/>
      <c r="TWX43" s="51"/>
      <c r="TWY43" s="51"/>
      <c r="TWZ43" s="51"/>
      <c r="TXA43" s="51"/>
      <c r="TXB43" s="51"/>
      <c r="TXC43" s="51"/>
      <c r="TXD43" s="51"/>
      <c r="TXE43" s="51"/>
      <c r="TXF43" s="51"/>
      <c r="TXG43" s="51"/>
      <c r="TXH43" s="51"/>
      <c r="TXI43" s="51"/>
      <c r="TXJ43" s="51"/>
      <c r="TXK43" s="51"/>
      <c r="TXL43" s="51"/>
      <c r="TXM43" s="51"/>
      <c r="TXN43" s="51"/>
      <c r="TXO43" s="51"/>
      <c r="TXP43" s="51"/>
      <c r="TXQ43" s="51"/>
      <c r="TXR43" s="51"/>
      <c r="TXS43" s="51"/>
      <c r="TXT43" s="51"/>
      <c r="TXU43" s="51"/>
      <c r="TXV43" s="51"/>
      <c r="TXW43" s="51"/>
      <c r="TXX43" s="51"/>
      <c r="TXY43" s="51"/>
      <c r="TXZ43" s="51"/>
      <c r="TYA43" s="51"/>
      <c r="TYB43" s="51"/>
      <c r="TYC43" s="51"/>
      <c r="TYD43" s="51"/>
      <c r="TYE43" s="51"/>
      <c r="TYF43" s="51"/>
      <c r="TYG43" s="51"/>
      <c r="TYH43" s="51"/>
      <c r="TYI43" s="51"/>
      <c r="TYJ43" s="51"/>
      <c r="TYK43" s="51"/>
      <c r="TYL43" s="51"/>
      <c r="TYM43" s="51"/>
      <c r="TYN43" s="51"/>
      <c r="TYO43" s="51"/>
      <c r="TYP43" s="51"/>
      <c r="TYQ43" s="51"/>
      <c r="TYR43" s="51"/>
      <c r="TYS43" s="51"/>
      <c r="TYT43" s="51"/>
      <c r="TYU43" s="51"/>
      <c r="TYV43" s="51"/>
      <c r="TYW43" s="51"/>
      <c r="TYX43" s="51"/>
      <c r="TYY43" s="51"/>
      <c r="TYZ43" s="51"/>
      <c r="TZA43" s="51"/>
      <c r="TZB43" s="51"/>
      <c r="TZC43" s="51"/>
      <c r="TZD43" s="51"/>
      <c r="TZE43" s="51"/>
      <c r="TZF43" s="51"/>
      <c r="TZG43" s="51"/>
      <c r="TZH43" s="51"/>
      <c r="TZI43" s="51"/>
      <c r="TZJ43" s="51"/>
      <c r="TZK43" s="51"/>
      <c r="TZL43" s="51"/>
      <c r="TZM43" s="51"/>
      <c r="TZN43" s="51"/>
      <c r="TZO43" s="51"/>
      <c r="TZP43" s="51"/>
      <c r="TZQ43" s="51"/>
      <c r="TZR43" s="51"/>
      <c r="TZS43" s="51"/>
      <c r="TZT43" s="51"/>
      <c r="TZU43" s="51"/>
      <c r="TZV43" s="51"/>
      <c r="TZW43" s="51"/>
      <c r="TZX43" s="51"/>
      <c r="TZY43" s="51"/>
      <c r="TZZ43" s="51"/>
      <c r="UAA43" s="51"/>
      <c r="UAB43" s="51"/>
      <c r="UAC43" s="51"/>
      <c r="UAD43" s="51"/>
      <c r="UAE43" s="51"/>
      <c r="UAF43" s="51"/>
      <c r="UAG43" s="51"/>
      <c r="UAH43" s="51"/>
      <c r="UAI43" s="51"/>
      <c r="UAJ43" s="51"/>
      <c r="UAK43" s="51"/>
      <c r="UAL43" s="51"/>
      <c r="UAM43" s="51"/>
      <c r="UAN43" s="51"/>
      <c r="UAO43" s="51"/>
      <c r="UAP43" s="51"/>
      <c r="UAQ43" s="51"/>
      <c r="UAR43" s="51"/>
      <c r="UAS43" s="51"/>
      <c r="UAT43" s="51"/>
      <c r="UAU43" s="51"/>
      <c r="UAV43" s="51"/>
      <c r="UAW43" s="51"/>
      <c r="UAX43" s="51"/>
      <c r="UAY43" s="51"/>
      <c r="UAZ43" s="51"/>
      <c r="UBA43" s="51"/>
      <c r="UBB43" s="51"/>
      <c r="UBC43" s="51"/>
      <c r="UBD43" s="51"/>
      <c r="UBE43" s="51"/>
      <c r="UBF43" s="51"/>
      <c r="UBG43" s="51"/>
      <c r="UBH43" s="51"/>
      <c r="UBI43" s="51"/>
      <c r="UBJ43" s="51"/>
      <c r="UBK43" s="51"/>
      <c r="UBL43" s="51"/>
      <c r="UBM43" s="51"/>
      <c r="UBN43" s="51"/>
      <c r="UBO43" s="51"/>
      <c r="UBP43" s="51"/>
      <c r="UBQ43" s="51"/>
      <c r="UBR43" s="51"/>
      <c r="UBS43" s="51"/>
      <c r="UBT43" s="51"/>
      <c r="UBU43" s="51"/>
      <c r="UBV43" s="51"/>
      <c r="UBW43" s="51"/>
      <c r="UBX43" s="51"/>
      <c r="UBY43" s="51"/>
      <c r="UBZ43" s="51"/>
      <c r="UCA43" s="51"/>
      <c r="UCB43" s="51"/>
      <c r="UCC43" s="51"/>
      <c r="UCD43" s="51"/>
      <c r="UCE43" s="51"/>
      <c r="UCF43" s="51"/>
      <c r="UCG43" s="51"/>
      <c r="UCH43" s="51"/>
      <c r="UCI43" s="51"/>
      <c r="UCJ43" s="51"/>
      <c r="UCK43" s="51"/>
      <c r="UCL43" s="51"/>
      <c r="UCM43" s="51"/>
      <c r="UCN43" s="51"/>
      <c r="UCO43" s="51"/>
      <c r="UCP43" s="51"/>
      <c r="UCQ43" s="51"/>
      <c r="UCR43" s="51"/>
      <c r="UCS43" s="51"/>
      <c r="UCT43" s="51"/>
      <c r="UCU43" s="51"/>
      <c r="UCV43" s="51"/>
      <c r="UCW43" s="51"/>
      <c r="UCX43" s="51"/>
      <c r="UCY43" s="51"/>
      <c r="UCZ43" s="51"/>
      <c r="UDA43" s="51"/>
      <c r="UDB43" s="51"/>
      <c r="UDC43" s="51"/>
      <c r="UDD43" s="51"/>
      <c r="UDE43" s="51"/>
      <c r="UDF43" s="51"/>
      <c r="UDG43" s="51"/>
      <c r="UDH43" s="51"/>
      <c r="UDI43" s="51"/>
      <c r="UDJ43" s="51"/>
      <c r="UDK43" s="51"/>
      <c r="UDL43" s="51"/>
      <c r="UDM43" s="51"/>
      <c r="UDN43" s="51"/>
      <c r="UDO43" s="51"/>
      <c r="UDP43" s="51"/>
      <c r="UDQ43" s="51"/>
      <c r="UDR43" s="51"/>
      <c r="UDS43" s="51"/>
      <c r="UDT43" s="51"/>
      <c r="UDU43" s="51"/>
      <c r="UDV43" s="51"/>
      <c r="UDW43" s="51"/>
      <c r="UDX43" s="51"/>
      <c r="UDY43" s="51"/>
      <c r="UDZ43" s="51"/>
      <c r="UEA43" s="51"/>
      <c r="UEB43" s="51"/>
      <c r="UEC43" s="51"/>
      <c r="UED43" s="51"/>
      <c r="UEE43" s="51"/>
      <c r="UEF43" s="51"/>
      <c r="UEG43" s="51"/>
      <c r="UEH43" s="51"/>
      <c r="UEI43" s="51"/>
      <c r="UEJ43" s="51"/>
      <c r="UEK43" s="51"/>
      <c r="UEL43" s="51"/>
      <c r="UEM43" s="51"/>
      <c r="UEN43" s="51"/>
      <c r="UEO43" s="51"/>
      <c r="UEP43" s="51"/>
      <c r="UEQ43" s="51"/>
      <c r="UER43" s="51"/>
      <c r="UES43" s="51"/>
      <c r="UET43" s="51"/>
      <c r="UEU43" s="51"/>
      <c r="UEV43" s="51"/>
      <c r="UEW43" s="51"/>
      <c r="UEX43" s="51"/>
      <c r="UEY43" s="51"/>
      <c r="UEZ43" s="51"/>
      <c r="UFA43" s="51"/>
      <c r="UFB43" s="51"/>
      <c r="UFC43" s="51"/>
      <c r="UFD43" s="51"/>
      <c r="UFE43" s="51"/>
      <c r="UFF43" s="51"/>
      <c r="UFG43" s="51"/>
      <c r="UFH43" s="51"/>
      <c r="UFI43" s="51"/>
      <c r="UFJ43" s="51"/>
      <c r="UFK43" s="51"/>
      <c r="UFL43" s="51"/>
      <c r="UFM43" s="51"/>
      <c r="UFN43" s="51"/>
      <c r="UFO43" s="51"/>
      <c r="UFP43" s="51"/>
      <c r="UFQ43" s="51"/>
      <c r="UFR43" s="51"/>
      <c r="UFS43" s="51"/>
      <c r="UFT43" s="51"/>
      <c r="UFU43" s="51"/>
      <c r="UFV43" s="51"/>
      <c r="UFW43" s="51"/>
      <c r="UFX43" s="51"/>
      <c r="UFY43" s="51"/>
      <c r="UFZ43" s="51"/>
      <c r="UGA43" s="51"/>
      <c r="UGB43" s="51"/>
      <c r="UGC43" s="51"/>
      <c r="UGD43" s="51"/>
      <c r="UGE43" s="51"/>
      <c r="UGF43" s="51"/>
      <c r="UGG43" s="51"/>
      <c r="UGH43" s="51"/>
      <c r="UGI43" s="51"/>
      <c r="UGJ43" s="51"/>
      <c r="UGK43" s="51"/>
      <c r="UGL43" s="51"/>
      <c r="UGM43" s="51"/>
      <c r="UGN43" s="51"/>
      <c r="UGO43" s="51"/>
      <c r="UGP43" s="51"/>
      <c r="UGQ43" s="51"/>
      <c r="UGR43" s="51"/>
      <c r="UGS43" s="51"/>
      <c r="UGT43" s="51"/>
      <c r="UGU43" s="51"/>
      <c r="UGV43" s="51"/>
      <c r="UGW43" s="51"/>
      <c r="UGX43" s="51"/>
      <c r="UGY43" s="51"/>
      <c r="UGZ43" s="51"/>
      <c r="UHA43" s="51"/>
      <c r="UHB43" s="51"/>
      <c r="UHC43" s="51"/>
      <c r="UHD43" s="51"/>
      <c r="UHE43" s="51"/>
      <c r="UHF43" s="51"/>
      <c r="UHG43" s="51"/>
      <c r="UHH43" s="51"/>
      <c r="UHI43" s="51"/>
      <c r="UHJ43" s="51"/>
      <c r="UHK43" s="51"/>
      <c r="UHL43" s="51"/>
      <c r="UHM43" s="51"/>
      <c r="UHN43" s="51"/>
      <c r="UHO43" s="51"/>
      <c r="UHP43" s="51"/>
      <c r="UHQ43" s="51"/>
      <c r="UHR43" s="51"/>
      <c r="UHS43" s="51"/>
      <c r="UHT43" s="51"/>
      <c r="UHU43" s="51"/>
      <c r="UHV43" s="51"/>
      <c r="UHW43" s="51"/>
      <c r="UHX43" s="51"/>
      <c r="UHY43" s="51"/>
      <c r="UHZ43" s="51"/>
      <c r="UIA43" s="51"/>
      <c r="UIB43" s="51"/>
      <c r="UIC43" s="51"/>
      <c r="UID43" s="51"/>
      <c r="UIE43" s="51"/>
      <c r="UIF43" s="51"/>
      <c r="UIG43" s="51"/>
      <c r="UIH43" s="51"/>
      <c r="UII43" s="51"/>
      <c r="UIJ43" s="51"/>
      <c r="UIK43" s="51"/>
      <c r="UIL43" s="51"/>
      <c r="UIM43" s="51"/>
      <c r="UIN43" s="51"/>
      <c r="UIO43" s="51"/>
      <c r="UIP43" s="51"/>
      <c r="UIQ43" s="51"/>
      <c r="UIR43" s="51"/>
      <c r="UIS43" s="51"/>
      <c r="UIT43" s="51"/>
      <c r="UIU43" s="51"/>
      <c r="UIV43" s="51"/>
      <c r="UIW43" s="51"/>
      <c r="UIX43" s="51"/>
      <c r="UIY43" s="51"/>
      <c r="UIZ43" s="51"/>
      <c r="UJA43" s="51"/>
      <c r="UJB43" s="51"/>
      <c r="UJC43" s="51"/>
      <c r="UJD43" s="51"/>
      <c r="UJE43" s="51"/>
      <c r="UJF43" s="51"/>
      <c r="UJG43" s="51"/>
      <c r="UJH43" s="51"/>
      <c r="UJI43" s="51"/>
      <c r="UJJ43" s="51"/>
      <c r="UJK43" s="51"/>
      <c r="UJL43" s="51"/>
      <c r="UJM43" s="51"/>
      <c r="UJN43" s="51"/>
      <c r="UJO43" s="51"/>
      <c r="UJP43" s="51"/>
      <c r="UJQ43" s="51"/>
      <c r="UJR43" s="51"/>
      <c r="UJS43" s="51"/>
      <c r="UJT43" s="51"/>
      <c r="UJU43" s="51"/>
      <c r="UJV43" s="51"/>
      <c r="UJW43" s="51"/>
      <c r="UJX43" s="51"/>
      <c r="UJY43" s="51"/>
      <c r="UJZ43" s="51"/>
      <c r="UKA43" s="51"/>
      <c r="UKB43" s="51"/>
      <c r="UKC43" s="51"/>
      <c r="UKD43" s="51"/>
      <c r="UKE43" s="51"/>
      <c r="UKF43" s="51"/>
      <c r="UKG43" s="51"/>
      <c r="UKH43" s="51"/>
      <c r="UKI43" s="51"/>
      <c r="UKJ43" s="51"/>
      <c r="UKK43" s="51"/>
      <c r="UKL43" s="51"/>
      <c r="UKM43" s="51"/>
      <c r="UKN43" s="51"/>
      <c r="UKO43" s="51"/>
      <c r="UKP43" s="51"/>
      <c r="UKQ43" s="51"/>
      <c r="UKR43" s="51"/>
      <c r="UKS43" s="51"/>
      <c r="UKT43" s="51"/>
      <c r="UKU43" s="51"/>
      <c r="UKV43" s="51"/>
      <c r="UKW43" s="51"/>
      <c r="UKX43" s="51"/>
      <c r="UKY43" s="51"/>
      <c r="UKZ43" s="51"/>
      <c r="ULA43" s="51"/>
      <c r="ULB43" s="51"/>
      <c r="ULC43" s="51"/>
      <c r="ULD43" s="51"/>
      <c r="ULE43" s="51"/>
      <c r="ULF43" s="51"/>
      <c r="ULG43" s="51"/>
      <c r="ULH43" s="51"/>
      <c r="ULI43" s="51"/>
      <c r="ULJ43" s="51"/>
      <c r="ULK43" s="51"/>
      <c r="ULL43" s="51"/>
      <c r="ULM43" s="51"/>
      <c r="ULN43" s="51"/>
      <c r="ULO43" s="51"/>
      <c r="ULP43" s="51"/>
      <c r="ULQ43" s="51"/>
      <c r="ULR43" s="51"/>
      <c r="ULS43" s="51"/>
      <c r="ULT43" s="51"/>
      <c r="ULU43" s="51"/>
      <c r="ULV43" s="51"/>
      <c r="ULW43" s="51"/>
      <c r="ULX43" s="51"/>
      <c r="ULY43" s="51"/>
      <c r="ULZ43" s="51"/>
      <c r="UMA43" s="51"/>
      <c r="UMB43" s="51"/>
      <c r="UMC43" s="51"/>
      <c r="UMD43" s="51"/>
      <c r="UME43" s="51"/>
      <c r="UMF43" s="51"/>
      <c r="UMG43" s="51"/>
      <c r="UMH43" s="51"/>
      <c r="UMI43" s="51"/>
      <c r="UMJ43" s="51"/>
      <c r="UMK43" s="51"/>
      <c r="UML43" s="51"/>
      <c r="UMM43" s="51"/>
      <c r="UMN43" s="51"/>
      <c r="UMO43" s="51"/>
      <c r="UMP43" s="51"/>
      <c r="UMQ43" s="51"/>
      <c r="UMR43" s="51"/>
      <c r="UMS43" s="51"/>
      <c r="UMT43" s="51"/>
      <c r="UMU43" s="51"/>
      <c r="UMV43" s="51"/>
      <c r="UMW43" s="51"/>
      <c r="UMX43" s="51"/>
      <c r="UMY43" s="51"/>
      <c r="UMZ43" s="51"/>
      <c r="UNA43" s="51"/>
      <c r="UNB43" s="51"/>
      <c r="UNC43" s="51"/>
      <c r="UND43" s="51"/>
      <c r="UNE43" s="51"/>
      <c r="UNF43" s="51"/>
      <c r="UNG43" s="51"/>
      <c r="UNH43" s="51"/>
      <c r="UNI43" s="51"/>
      <c r="UNJ43" s="51"/>
      <c r="UNK43" s="51"/>
      <c r="UNL43" s="51"/>
      <c r="UNM43" s="51"/>
      <c r="UNN43" s="51"/>
      <c r="UNO43" s="51"/>
      <c r="UNP43" s="51"/>
      <c r="UNQ43" s="51"/>
      <c r="UNR43" s="51"/>
      <c r="UNS43" s="51"/>
      <c r="UNT43" s="51"/>
      <c r="UNU43" s="51"/>
      <c r="UNV43" s="51"/>
      <c r="UNW43" s="51"/>
      <c r="UNX43" s="51"/>
      <c r="UNY43" s="51"/>
      <c r="UNZ43" s="51"/>
      <c r="UOA43" s="51"/>
      <c r="UOB43" s="51"/>
      <c r="UOC43" s="51"/>
      <c r="UOD43" s="51"/>
      <c r="UOE43" s="51"/>
      <c r="UOF43" s="51"/>
      <c r="UOG43" s="51"/>
      <c r="UOH43" s="51"/>
      <c r="UOI43" s="51"/>
      <c r="UOJ43" s="51"/>
      <c r="UOK43" s="51"/>
      <c r="UOL43" s="51"/>
      <c r="UOM43" s="51"/>
      <c r="UON43" s="51"/>
      <c r="UOO43" s="51"/>
      <c r="UOP43" s="51"/>
      <c r="UOQ43" s="51"/>
      <c r="UOR43" s="51"/>
      <c r="UOS43" s="51"/>
      <c r="UOT43" s="51"/>
      <c r="UOU43" s="51"/>
      <c r="UOV43" s="51"/>
      <c r="UOW43" s="51"/>
      <c r="UOX43" s="51"/>
      <c r="UOY43" s="51"/>
      <c r="UOZ43" s="51"/>
      <c r="UPA43" s="51"/>
      <c r="UPB43" s="51"/>
      <c r="UPC43" s="51"/>
      <c r="UPD43" s="51"/>
      <c r="UPE43" s="51"/>
      <c r="UPF43" s="51"/>
      <c r="UPG43" s="51"/>
      <c r="UPH43" s="51"/>
      <c r="UPI43" s="51"/>
      <c r="UPJ43" s="51"/>
      <c r="UPK43" s="51"/>
      <c r="UPL43" s="51"/>
      <c r="UPM43" s="51"/>
      <c r="UPN43" s="51"/>
      <c r="UPO43" s="51"/>
      <c r="UPP43" s="51"/>
      <c r="UPQ43" s="51"/>
      <c r="UPR43" s="51"/>
      <c r="UPS43" s="51"/>
      <c r="UPT43" s="51"/>
      <c r="UPU43" s="51"/>
      <c r="UPV43" s="51"/>
      <c r="UPW43" s="51"/>
      <c r="UPX43" s="51"/>
      <c r="UPY43" s="51"/>
      <c r="UPZ43" s="51"/>
      <c r="UQA43" s="51"/>
      <c r="UQB43" s="51"/>
      <c r="UQC43" s="51"/>
      <c r="UQD43" s="51"/>
      <c r="UQE43" s="51"/>
      <c r="UQF43" s="51"/>
      <c r="UQG43" s="51"/>
      <c r="UQH43" s="51"/>
      <c r="UQI43" s="51"/>
      <c r="UQJ43" s="51"/>
      <c r="UQK43" s="51"/>
      <c r="UQL43" s="51"/>
      <c r="UQM43" s="51"/>
      <c r="UQN43" s="51"/>
      <c r="UQO43" s="51"/>
      <c r="UQP43" s="51"/>
      <c r="UQQ43" s="51"/>
      <c r="UQR43" s="51"/>
      <c r="UQS43" s="51"/>
      <c r="UQT43" s="51"/>
      <c r="UQU43" s="51"/>
      <c r="UQV43" s="51"/>
      <c r="UQW43" s="51"/>
      <c r="UQX43" s="51"/>
      <c r="UQY43" s="51"/>
      <c r="UQZ43" s="51"/>
      <c r="URA43" s="51"/>
      <c r="URB43" s="51"/>
      <c r="URC43" s="51"/>
      <c r="URD43" s="51"/>
      <c r="URE43" s="51"/>
      <c r="URF43" s="51"/>
      <c r="URG43" s="51"/>
      <c r="URH43" s="51"/>
      <c r="URI43" s="51"/>
      <c r="URJ43" s="51"/>
      <c r="URK43" s="51"/>
      <c r="URL43" s="51"/>
      <c r="URM43" s="51"/>
      <c r="URN43" s="51"/>
      <c r="URO43" s="51"/>
      <c r="URP43" s="51"/>
      <c r="URQ43" s="51"/>
      <c r="URR43" s="51"/>
      <c r="URS43" s="51"/>
      <c r="URT43" s="51"/>
      <c r="URU43" s="51"/>
      <c r="URV43" s="51"/>
      <c r="URW43" s="51"/>
      <c r="URX43" s="51"/>
      <c r="URY43" s="51"/>
      <c r="URZ43" s="51"/>
      <c r="USA43" s="51"/>
      <c r="USB43" s="51"/>
      <c r="USC43" s="51"/>
      <c r="USD43" s="51"/>
      <c r="USE43" s="51"/>
      <c r="USF43" s="51"/>
      <c r="USG43" s="51"/>
      <c r="USH43" s="51"/>
      <c r="USI43" s="51"/>
      <c r="USJ43" s="51"/>
      <c r="USK43" s="51"/>
      <c r="USL43" s="51"/>
      <c r="USM43" s="51"/>
      <c r="USN43" s="51"/>
      <c r="USO43" s="51"/>
      <c r="USP43" s="51"/>
      <c r="USQ43" s="51"/>
      <c r="USR43" s="51"/>
      <c r="USS43" s="51"/>
      <c r="UST43" s="51"/>
      <c r="USU43" s="51"/>
      <c r="USV43" s="51"/>
      <c r="USW43" s="51"/>
      <c r="USX43" s="51"/>
      <c r="USY43" s="51"/>
      <c r="USZ43" s="51"/>
      <c r="UTA43" s="51"/>
      <c r="UTB43" s="51"/>
      <c r="UTC43" s="51"/>
      <c r="UTD43" s="51"/>
      <c r="UTE43" s="51"/>
      <c r="UTF43" s="51"/>
      <c r="UTG43" s="51"/>
      <c r="UTH43" s="51"/>
      <c r="UTI43" s="51"/>
      <c r="UTJ43" s="51"/>
      <c r="UTK43" s="51"/>
      <c r="UTL43" s="51"/>
      <c r="UTM43" s="51"/>
      <c r="UTN43" s="51"/>
      <c r="UTO43" s="51"/>
      <c r="UTP43" s="51"/>
      <c r="UTQ43" s="51"/>
      <c r="UTR43" s="51"/>
      <c r="UTS43" s="51"/>
      <c r="UTT43" s="51"/>
      <c r="UTU43" s="51"/>
      <c r="UTV43" s="51"/>
      <c r="UTW43" s="51"/>
      <c r="UTX43" s="51"/>
      <c r="UTY43" s="51"/>
      <c r="UTZ43" s="51"/>
      <c r="UUA43" s="51"/>
      <c r="UUB43" s="51"/>
      <c r="UUC43" s="51"/>
      <c r="UUD43" s="51"/>
      <c r="UUE43" s="51"/>
      <c r="UUF43" s="51"/>
      <c r="UUG43" s="51"/>
      <c r="UUH43" s="51"/>
      <c r="UUI43" s="51"/>
      <c r="UUJ43" s="51"/>
      <c r="UUK43" s="51"/>
      <c r="UUL43" s="51"/>
      <c r="UUM43" s="51"/>
      <c r="UUN43" s="51"/>
      <c r="UUO43" s="51"/>
      <c r="UUP43" s="51"/>
      <c r="UUQ43" s="51"/>
      <c r="UUR43" s="51"/>
      <c r="UUS43" s="51"/>
      <c r="UUT43" s="51"/>
      <c r="UUU43" s="51"/>
      <c r="UUV43" s="51"/>
      <c r="UUW43" s="51"/>
      <c r="UUX43" s="51"/>
      <c r="UUY43" s="51"/>
      <c r="UUZ43" s="51"/>
      <c r="UVA43" s="51"/>
      <c r="UVB43" s="51"/>
      <c r="UVC43" s="51"/>
      <c r="UVD43" s="51"/>
      <c r="UVE43" s="51"/>
      <c r="UVF43" s="51"/>
      <c r="UVG43" s="51"/>
      <c r="UVH43" s="51"/>
      <c r="UVI43" s="51"/>
      <c r="UVJ43" s="51"/>
      <c r="UVK43" s="51"/>
      <c r="UVL43" s="51"/>
      <c r="UVM43" s="51"/>
      <c r="UVN43" s="51"/>
      <c r="UVO43" s="51"/>
      <c r="UVP43" s="51"/>
      <c r="UVQ43" s="51"/>
      <c r="UVR43" s="51"/>
      <c r="UVS43" s="51"/>
      <c r="UVT43" s="51"/>
      <c r="UVU43" s="51"/>
      <c r="UVV43" s="51"/>
      <c r="UVW43" s="51"/>
      <c r="UVX43" s="51"/>
      <c r="UVY43" s="51"/>
      <c r="UVZ43" s="51"/>
      <c r="UWA43" s="51"/>
      <c r="UWB43" s="51"/>
      <c r="UWC43" s="51"/>
      <c r="UWD43" s="51"/>
      <c r="UWE43" s="51"/>
      <c r="UWF43" s="51"/>
      <c r="UWG43" s="51"/>
      <c r="UWH43" s="51"/>
      <c r="UWI43" s="51"/>
      <c r="UWJ43" s="51"/>
      <c r="UWK43" s="51"/>
      <c r="UWL43" s="51"/>
      <c r="UWM43" s="51"/>
      <c r="UWN43" s="51"/>
      <c r="UWO43" s="51"/>
      <c r="UWP43" s="51"/>
      <c r="UWQ43" s="51"/>
      <c r="UWR43" s="51"/>
      <c r="UWS43" s="51"/>
      <c r="UWT43" s="51"/>
      <c r="UWU43" s="51"/>
      <c r="UWV43" s="51"/>
      <c r="UWW43" s="51"/>
      <c r="UWX43" s="51"/>
      <c r="UWY43" s="51"/>
      <c r="UWZ43" s="51"/>
      <c r="UXA43" s="51"/>
      <c r="UXB43" s="51"/>
      <c r="UXC43" s="51"/>
      <c r="UXD43" s="51"/>
      <c r="UXE43" s="51"/>
      <c r="UXF43" s="51"/>
      <c r="UXG43" s="51"/>
      <c r="UXH43" s="51"/>
      <c r="UXI43" s="51"/>
      <c r="UXJ43" s="51"/>
      <c r="UXK43" s="51"/>
      <c r="UXL43" s="51"/>
      <c r="UXM43" s="51"/>
      <c r="UXN43" s="51"/>
      <c r="UXO43" s="51"/>
      <c r="UXP43" s="51"/>
      <c r="UXQ43" s="51"/>
      <c r="UXR43" s="51"/>
      <c r="UXS43" s="51"/>
      <c r="UXT43" s="51"/>
      <c r="UXU43" s="51"/>
      <c r="UXV43" s="51"/>
      <c r="UXW43" s="51"/>
      <c r="UXX43" s="51"/>
      <c r="UXY43" s="51"/>
      <c r="UXZ43" s="51"/>
      <c r="UYA43" s="51"/>
      <c r="UYB43" s="51"/>
      <c r="UYC43" s="51"/>
      <c r="UYD43" s="51"/>
      <c r="UYE43" s="51"/>
      <c r="UYF43" s="51"/>
      <c r="UYG43" s="51"/>
      <c r="UYH43" s="51"/>
      <c r="UYI43" s="51"/>
      <c r="UYJ43" s="51"/>
      <c r="UYK43" s="51"/>
      <c r="UYL43" s="51"/>
      <c r="UYM43" s="51"/>
      <c r="UYN43" s="51"/>
      <c r="UYO43" s="51"/>
      <c r="UYP43" s="51"/>
      <c r="UYQ43" s="51"/>
      <c r="UYR43" s="51"/>
      <c r="UYS43" s="51"/>
      <c r="UYT43" s="51"/>
      <c r="UYU43" s="51"/>
      <c r="UYV43" s="51"/>
      <c r="UYW43" s="51"/>
      <c r="UYX43" s="51"/>
      <c r="UYY43" s="51"/>
      <c r="UYZ43" s="51"/>
      <c r="UZA43" s="51"/>
      <c r="UZB43" s="51"/>
      <c r="UZC43" s="51"/>
      <c r="UZD43" s="51"/>
      <c r="UZE43" s="51"/>
      <c r="UZF43" s="51"/>
      <c r="UZG43" s="51"/>
      <c r="UZH43" s="51"/>
      <c r="UZI43" s="51"/>
      <c r="UZJ43" s="51"/>
      <c r="UZK43" s="51"/>
      <c r="UZL43" s="51"/>
      <c r="UZM43" s="51"/>
      <c r="UZN43" s="51"/>
      <c r="UZO43" s="51"/>
      <c r="UZP43" s="51"/>
      <c r="UZQ43" s="51"/>
      <c r="UZR43" s="51"/>
      <c r="UZS43" s="51"/>
      <c r="UZT43" s="51"/>
      <c r="UZU43" s="51"/>
      <c r="UZV43" s="51"/>
      <c r="UZW43" s="51"/>
      <c r="UZX43" s="51"/>
      <c r="UZY43" s="51"/>
      <c r="UZZ43" s="51"/>
      <c r="VAA43" s="51"/>
      <c r="VAB43" s="51"/>
      <c r="VAC43" s="51"/>
      <c r="VAD43" s="51"/>
      <c r="VAE43" s="51"/>
      <c r="VAF43" s="51"/>
      <c r="VAG43" s="51"/>
      <c r="VAH43" s="51"/>
      <c r="VAI43" s="51"/>
      <c r="VAJ43" s="51"/>
      <c r="VAK43" s="51"/>
      <c r="VAL43" s="51"/>
      <c r="VAM43" s="51"/>
      <c r="VAN43" s="51"/>
      <c r="VAO43" s="51"/>
      <c r="VAP43" s="51"/>
      <c r="VAQ43" s="51"/>
      <c r="VAR43" s="51"/>
      <c r="VAS43" s="51"/>
      <c r="VAT43" s="51"/>
      <c r="VAU43" s="51"/>
      <c r="VAV43" s="51"/>
      <c r="VAW43" s="51"/>
      <c r="VAX43" s="51"/>
      <c r="VAY43" s="51"/>
      <c r="VAZ43" s="51"/>
      <c r="VBA43" s="51"/>
      <c r="VBB43" s="51"/>
      <c r="VBC43" s="51"/>
      <c r="VBD43" s="51"/>
      <c r="VBE43" s="51"/>
      <c r="VBF43" s="51"/>
      <c r="VBG43" s="51"/>
      <c r="VBH43" s="51"/>
      <c r="VBI43" s="51"/>
      <c r="VBJ43" s="51"/>
      <c r="VBK43" s="51"/>
      <c r="VBL43" s="51"/>
      <c r="VBM43" s="51"/>
      <c r="VBN43" s="51"/>
      <c r="VBO43" s="51"/>
      <c r="VBP43" s="51"/>
      <c r="VBQ43" s="51"/>
      <c r="VBR43" s="51"/>
      <c r="VBS43" s="51"/>
      <c r="VBT43" s="51"/>
      <c r="VBU43" s="51"/>
      <c r="VBV43" s="51"/>
      <c r="VBW43" s="51"/>
      <c r="VBX43" s="51"/>
      <c r="VBY43" s="51"/>
      <c r="VBZ43" s="51"/>
      <c r="VCA43" s="51"/>
      <c r="VCB43" s="51"/>
      <c r="VCC43" s="51"/>
      <c r="VCD43" s="51"/>
      <c r="VCE43" s="51"/>
      <c r="VCF43" s="51"/>
      <c r="VCG43" s="51"/>
      <c r="VCH43" s="51"/>
      <c r="VCI43" s="51"/>
      <c r="VCJ43" s="51"/>
      <c r="VCK43" s="51"/>
      <c r="VCL43" s="51"/>
      <c r="VCM43" s="51"/>
      <c r="VCN43" s="51"/>
      <c r="VCO43" s="51"/>
      <c r="VCP43" s="51"/>
      <c r="VCQ43" s="51"/>
      <c r="VCR43" s="51"/>
      <c r="VCS43" s="51"/>
      <c r="VCT43" s="51"/>
      <c r="VCU43" s="51"/>
      <c r="VCV43" s="51"/>
      <c r="VCW43" s="51"/>
      <c r="VCX43" s="51"/>
      <c r="VCY43" s="51"/>
      <c r="VCZ43" s="51"/>
      <c r="VDA43" s="51"/>
      <c r="VDB43" s="51"/>
      <c r="VDC43" s="51"/>
      <c r="VDD43" s="51"/>
      <c r="VDE43" s="51"/>
      <c r="VDF43" s="51"/>
      <c r="VDG43" s="51"/>
      <c r="VDH43" s="51"/>
      <c r="VDI43" s="51"/>
      <c r="VDJ43" s="51"/>
      <c r="VDK43" s="51"/>
      <c r="VDL43" s="51"/>
      <c r="VDM43" s="51"/>
      <c r="VDN43" s="51"/>
      <c r="VDO43" s="51"/>
      <c r="VDP43" s="51"/>
      <c r="VDQ43" s="51"/>
      <c r="VDR43" s="51"/>
      <c r="VDS43" s="51"/>
      <c r="VDT43" s="51"/>
      <c r="VDU43" s="51"/>
      <c r="VDV43" s="51"/>
      <c r="VDW43" s="51"/>
      <c r="VDX43" s="51"/>
      <c r="VDY43" s="51"/>
      <c r="VDZ43" s="51"/>
      <c r="VEA43" s="51"/>
      <c r="VEB43" s="51"/>
      <c r="VEC43" s="51"/>
      <c r="VED43" s="51"/>
      <c r="VEE43" s="51"/>
      <c r="VEF43" s="51"/>
      <c r="VEG43" s="51"/>
      <c r="VEH43" s="51"/>
      <c r="VEI43" s="51"/>
      <c r="VEJ43" s="51"/>
      <c r="VEK43" s="51"/>
      <c r="VEL43" s="51"/>
      <c r="VEM43" s="51"/>
      <c r="VEN43" s="51"/>
      <c r="VEO43" s="51"/>
      <c r="VEP43" s="51"/>
      <c r="VEQ43" s="51"/>
      <c r="VER43" s="51"/>
      <c r="VES43" s="51"/>
      <c r="VET43" s="51"/>
      <c r="VEU43" s="51"/>
      <c r="VEV43" s="51"/>
      <c r="VEW43" s="51"/>
      <c r="VEX43" s="51"/>
      <c r="VEY43" s="51"/>
      <c r="VEZ43" s="51"/>
      <c r="VFA43" s="51"/>
      <c r="VFB43" s="51"/>
      <c r="VFC43" s="51"/>
      <c r="VFD43" s="51"/>
      <c r="VFE43" s="51"/>
      <c r="VFF43" s="51"/>
      <c r="VFG43" s="51"/>
      <c r="VFH43" s="51"/>
      <c r="VFI43" s="51"/>
      <c r="VFJ43" s="51"/>
      <c r="VFK43" s="51"/>
      <c r="VFL43" s="51"/>
      <c r="VFM43" s="51"/>
      <c r="VFN43" s="51"/>
      <c r="VFO43" s="51"/>
      <c r="VFP43" s="51"/>
      <c r="VFQ43" s="51"/>
      <c r="VFR43" s="51"/>
      <c r="VFS43" s="51"/>
      <c r="VFT43" s="51"/>
      <c r="VFU43" s="51"/>
      <c r="VFV43" s="51"/>
      <c r="VFW43" s="51"/>
      <c r="VFX43" s="51"/>
      <c r="VFY43" s="51"/>
      <c r="VFZ43" s="51"/>
      <c r="VGA43" s="51"/>
      <c r="VGB43" s="51"/>
      <c r="VGC43" s="51"/>
      <c r="VGD43" s="51"/>
      <c r="VGE43" s="51"/>
      <c r="VGF43" s="51"/>
      <c r="VGG43" s="51"/>
      <c r="VGH43" s="51"/>
      <c r="VGI43" s="51"/>
      <c r="VGJ43" s="51"/>
      <c r="VGK43" s="51"/>
      <c r="VGL43" s="51"/>
      <c r="VGM43" s="51"/>
      <c r="VGN43" s="51"/>
      <c r="VGO43" s="51"/>
      <c r="VGP43" s="51"/>
      <c r="VGQ43" s="51"/>
      <c r="VGR43" s="51"/>
      <c r="VGS43" s="51"/>
      <c r="VGT43" s="51"/>
      <c r="VGU43" s="51"/>
      <c r="VGV43" s="51"/>
      <c r="VGW43" s="51"/>
      <c r="VGX43" s="51"/>
      <c r="VGY43" s="51"/>
      <c r="VGZ43" s="51"/>
      <c r="VHA43" s="51"/>
      <c r="VHB43" s="51"/>
      <c r="VHC43" s="51"/>
      <c r="VHD43" s="51"/>
      <c r="VHE43" s="51"/>
      <c r="VHF43" s="51"/>
      <c r="VHG43" s="51"/>
      <c r="VHH43" s="51"/>
      <c r="VHI43" s="51"/>
      <c r="VHJ43" s="51"/>
      <c r="VHK43" s="51"/>
      <c r="VHL43" s="51"/>
      <c r="VHM43" s="51"/>
      <c r="VHN43" s="51"/>
      <c r="VHO43" s="51"/>
      <c r="VHP43" s="51"/>
      <c r="VHQ43" s="51"/>
      <c r="VHR43" s="51"/>
      <c r="VHS43" s="51"/>
      <c r="VHT43" s="51"/>
      <c r="VHU43" s="51"/>
      <c r="VHV43" s="51"/>
      <c r="VHW43" s="51"/>
      <c r="VHX43" s="51"/>
      <c r="VHY43" s="51"/>
      <c r="VHZ43" s="51"/>
      <c r="VIA43" s="51"/>
      <c r="VIB43" s="51"/>
      <c r="VIC43" s="51"/>
      <c r="VID43" s="51"/>
      <c r="VIE43" s="51"/>
      <c r="VIF43" s="51"/>
      <c r="VIG43" s="51"/>
      <c r="VIH43" s="51"/>
      <c r="VII43" s="51"/>
      <c r="VIJ43" s="51"/>
      <c r="VIK43" s="51"/>
      <c r="VIL43" s="51"/>
      <c r="VIM43" s="51"/>
      <c r="VIN43" s="51"/>
      <c r="VIO43" s="51"/>
      <c r="VIP43" s="51"/>
      <c r="VIQ43" s="51"/>
      <c r="VIR43" s="51"/>
      <c r="VIS43" s="51"/>
      <c r="VIT43" s="51"/>
      <c r="VIU43" s="51"/>
      <c r="VIV43" s="51"/>
      <c r="VIW43" s="51"/>
      <c r="VIX43" s="51"/>
      <c r="VIY43" s="51"/>
      <c r="VIZ43" s="51"/>
      <c r="VJA43" s="51"/>
      <c r="VJB43" s="51"/>
      <c r="VJC43" s="51"/>
      <c r="VJD43" s="51"/>
      <c r="VJE43" s="51"/>
      <c r="VJF43" s="51"/>
      <c r="VJG43" s="51"/>
      <c r="VJH43" s="51"/>
      <c r="VJI43" s="51"/>
      <c r="VJJ43" s="51"/>
      <c r="VJK43" s="51"/>
      <c r="VJL43" s="51"/>
      <c r="VJM43" s="51"/>
      <c r="VJN43" s="51"/>
      <c r="VJO43" s="51"/>
      <c r="VJP43" s="51"/>
      <c r="VJQ43" s="51"/>
      <c r="VJR43" s="51"/>
      <c r="VJS43" s="51"/>
      <c r="VJT43" s="51"/>
      <c r="VJU43" s="51"/>
      <c r="VJV43" s="51"/>
      <c r="VJW43" s="51"/>
      <c r="VJX43" s="51"/>
      <c r="VJY43" s="51"/>
      <c r="VJZ43" s="51"/>
      <c r="VKA43" s="51"/>
      <c r="VKB43" s="51"/>
      <c r="VKC43" s="51"/>
      <c r="VKD43" s="51"/>
      <c r="VKE43" s="51"/>
      <c r="VKF43" s="51"/>
      <c r="VKG43" s="51"/>
      <c r="VKH43" s="51"/>
      <c r="VKI43" s="51"/>
      <c r="VKJ43" s="51"/>
      <c r="VKK43" s="51"/>
      <c r="VKL43" s="51"/>
      <c r="VKM43" s="51"/>
      <c r="VKN43" s="51"/>
      <c r="VKO43" s="51"/>
      <c r="VKP43" s="51"/>
      <c r="VKQ43" s="51"/>
      <c r="VKR43" s="51"/>
      <c r="VKS43" s="51"/>
      <c r="VKT43" s="51"/>
      <c r="VKU43" s="51"/>
      <c r="VKV43" s="51"/>
      <c r="VKW43" s="51"/>
      <c r="VKX43" s="51"/>
      <c r="VKY43" s="51"/>
      <c r="VKZ43" s="51"/>
      <c r="VLA43" s="51"/>
      <c r="VLB43" s="51"/>
      <c r="VLC43" s="51"/>
      <c r="VLD43" s="51"/>
      <c r="VLE43" s="51"/>
      <c r="VLF43" s="51"/>
      <c r="VLG43" s="51"/>
      <c r="VLH43" s="51"/>
      <c r="VLI43" s="51"/>
      <c r="VLJ43" s="51"/>
      <c r="VLK43" s="51"/>
      <c r="VLL43" s="51"/>
      <c r="VLM43" s="51"/>
      <c r="VLN43" s="51"/>
      <c r="VLO43" s="51"/>
      <c r="VLP43" s="51"/>
      <c r="VLQ43" s="51"/>
      <c r="VLR43" s="51"/>
      <c r="VLS43" s="51"/>
      <c r="VLT43" s="51"/>
      <c r="VLU43" s="51"/>
      <c r="VLV43" s="51"/>
      <c r="VLW43" s="51"/>
      <c r="VLX43" s="51"/>
      <c r="VLY43" s="51"/>
      <c r="VLZ43" s="51"/>
      <c r="VMA43" s="51"/>
      <c r="VMB43" s="51"/>
      <c r="VMC43" s="51"/>
      <c r="VMD43" s="51"/>
      <c r="VME43" s="51"/>
      <c r="VMF43" s="51"/>
      <c r="VMG43" s="51"/>
      <c r="VMH43" s="51"/>
      <c r="VMI43" s="51"/>
      <c r="VMJ43" s="51"/>
      <c r="VMK43" s="51"/>
      <c r="VML43" s="51"/>
      <c r="VMM43" s="51"/>
      <c r="VMN43" s="51"/>
      <c r="VMO43" s="51"/>
      <c r="VMP43" s="51"/>
      <c r="VMQ43" s="51"/>
      <c r="VMR43" s="51"/>
      <c r="VMS43" s="51"/>
      <c r="VMT43" s="51"/>
      <c r="VMU43" s="51"/>
      <c r="VMV43" s="51"/>
      <c r="VMW43" s="51"/>
      <c r="VMX43" s="51"/>
      <c r="VMY43" s="51"/>
      <c r="VMZ43" s="51"/>
      <c r="VNA43" s="51"/>
      <c r="VNB43" s="51"/>
      <c r="VNC43" s="51"/>
      <c r="VND43" s="51"/>
      <c r="VNE43" s="51"/>
      <c r="VNF43" s="51"/>
      <c r="VNG43" s="51"/>
      <c r="VNH43" s="51"/>
      <c r="VNI43" s="51"/>
      <c r="VNJ43" s="51"/>
      <c r="VNK43" s="51"/>
      <c r="VNL43" s="51"/>
      <c r="VNM43" s="51"/>
      <c r="VNN43" s="51"/>
      <c r="VNO43" s="51"/>
      <c r="VNP43" s="51"/>
      <c r="VNQ43" s="51"/>
      <c r="VNR43" s="51"/>
      <c r="VNS43" s="51"/>
      <c r="VNT43" s="51"/>
      <c r="VNU43" s="51"/>
      <c r="VNV43" s="51"/>
      <c r="VNW43" s="51"/>
      <c r="VNX43" s="51"/>
      <c r="VNY43" s="51"/>
      <c r="VNZ43" s="51"/>
      <c r="VOA43" s="51"/>
      <c r="VOB43" s="51"/>
      <c r="VOC43" s="51"/>
      <c r="VOD43" s="51"/>
      <c r="VOE43" s="51"/>
      <c r="VOF43" s="51"/>
      <c r="VOG43" s="51"/>
      <c r="VOH43" s="51"/>
      <c r="VOI43" s="51"/>
      <c r="VOJ43" s="51"/>
      <c r="VOK43" s="51"/>
      <c r="VOL43" s="51"/>
      <c r="VOM43" s="51"/>
      <c r="VON43" s="51"/>
      <c r="VOO43" s="51"/>
      <c r="VOP43" s="51"/>
      <c r="VOQ43" s="51"/>
      <c r="VOR43" s="51"/>
      <c r="VOS43" s="51"/>
      <c r="VOT43" s="51"/>
      <c r="VOU43" s="51"/>
      <c r="VOV43" s="51"/>
      <c r="VOW43" s="51"/>
      <c r="VOX43" s="51"/>
      <c r="VOY43" s="51"/>
      <c r="VOZ43" s="51"/>
      <c r="VPA43" s="51"/>
      <c r="VPB43" s="51"/>
      <c r="VPC43" s="51"/>
      <c r="VPD43" s="51"/>
      <c r="VPE43" s="51"/>
      <c r="VPF43" s="51"/>
      <c r="VPG43" s="51"/>
      <c r="VPH43" s="51"/>
      <c r="VPI43" s="51"/>
      <c r="VPJ43" s="51"/>
      <c r="VPK43" s="51"/>
      <c r="VPL43" s="51"/>
      <c r="VPM43" s="51"/>
      <c r="VPN43" s="51"/>
      <c r="VPO43" s="51"/>
      <c r="VPP43" s="51"/>
      <c r="VPQ43" s="51"/>
      <c r="VPR43" s="51"/>
      <c r="VPS43" s="51"/>
      <c r="VPT43" s="51"/>
      <c r="VPU43" s="51"/>
      <c r="VPV43" s="51"/>
      <c r="VPW43" s="51"/>
      <c r="VPX43" s="51"/>
      <c r="VPY43" s="51"/>
      <c r="VPZ43" s="51"/>
      <c r="VQA43" s="51"/>
      <c r="VQB43" s="51"/>
      <c r="VQC43" s="51"/>
      <c r="VQD43" s="51"/>
      <c r="VQE43" s="51"/>
      <c r="VQF43" s="51"/>
      <c r="VQG43" s="51"/>
      <c r="VQH43" s="51"/>
      <c r="VQI43" s="51"/>
      <c r="VQJ43" s="51"/>
      <c r="VQK43" s="51"/>
      <c r="VQL43" s="51"/>
      <c r="VQM43" s="51"/>
      <c r="VQN43" s="51"/>
      <c r="VQO43" s="51"/>
      <c r="VQP43" s="51"/>
      <c r="VQQ43" s="51"/>
      <c r="VQR43" s="51"/>
      <c r="VQS43" s="51"/>
      <c r="VQT43" s="51"/>
      <c r="VQU43" s="51"/>
      <c r="VQV43" s="51"/>
      <c r="VQW43" s="51"/>
      <c r="VQX43" s="51"/>
      <c r="VQY43" s="51"/>
      <c r="VQZ43" s="51"/>
      <c r="VRA43" s="51"/>
      <c r="VRB43" s="51"/>
      <c r="VRC43" s="51"/>
      <c r="VRD43" s="51"/>
      <c r="VRE43" s="51"/>
      <c r="VRF43" s="51"/>
      <c r="VRG43" s="51"/>
      <c r="VRH43" s="51"/>
      <c r="VRI43" s="51"/>
      <c r="VRJ43" s="51"/>
      <c r="VRK43" s="51"/>
      <c r="VRL43" s="51"/>
      <c r="VRM43" s="51"/>
      <c r="VRN43" s="51"/>
      <c r="VRO43" s="51"/>
      <c r="VRP43" s="51"/>
      <c r="VRQ43" s="51"/>
      <c r="VRR43" s="51"/>
      <c r="VRS43" s="51"/>
      <c r="VRT43" s="51"/>
      <c r="VRU43" s="51"/>
      <c r="VRV43" s="51"/>
      <c r="VRW43" s="51"/>
      <c r="VRX43" s="51"/>
      <c r="VRY43" s="51"/>
      <c r="VRZ43" s="51"/>
      <c r="VSA43" s="51"/>
      <c r="VSB43" s="51"/>
      <c r="VSC43" s="51"/>
      <c r="VSD43" s="51"/>
      <c r="VSE43" s="51"/>
      <c r="VSF43" s="51"/>
      <c r="VSG43" s="51"/>
      <c r="VSH43" s="51"/>
      <c r="VSI43" s="51"/>
      <c r="VSJ43" s="51"/>
      <c r="VSK43" s="51"/>
      <c r="VSL43" s="51"/>
      <c r="VSM43" s="51"/>
      <c r="VSN43" s="51"/>
      <c r="VSO43" s="51"/>
      <c r="VSP43" s="51"/>
      <c r="VSQ43" s="51"/>
      <c r="VSR43" s="51"/>
      <c r="VSS43" s="51"/>
      <c r="VST43" s="51"/>
      <c r="VSU43" s="51"/>
      <c r="VSV43" s="51"/>
      <c r="VSW43" s="51"/>
      <c r="VSX43" s="51"/>
      <c r="VSY43" s="51"/>
      <c r="VSZ43" s="51"/>
      <c r="VTA43" s="51"/>
      <c r="VTB43" s="51"/>
      <c r="VTC43" s="51"/>
      <c r="VTD43" s="51"/>
      <c r="VTE43" s="51"/>
      <c r="VTF43" s="51"/>
      <c r="VTG43" s="51"/>
      <c r="VTH43" s="51"/>
      <c r="VTI43" s="51"/>
      <c r="VTJ43" s="51"/>
      <c r="VTK43" s="51"/>
      <c r="VTL43" s="51"/>
      <c r="VTM43" s="51"/>
      <c r="VTN43" s="51"/>
      <c r="VTO43" s="51"/>
      <c r="VTP43" s="51"/>
      <c r="VTQ43" s="51"/>
      <c r="VTR43" s="51"/>
      <c r="VTS43" s="51"/>
      <c r="VTT43" s="51"/>
      <c r="VTU43" s="51"/>
      <c r="VTV43" s="51"/>
      <c r="VTW43" s="51"/>
      <c r="VTX43" s="51"/>
      <c r="VTY43" s="51"/>
      <c r="VTZ43" s="51"/>
      <c r="VUA43" s="51"/>
      <c r="VUB43" s="51"/>
      <c r="VUC43" s="51"/>
      <c r="VUD43" s="51"/>
      <c r="VUE43" s="51"/>
      <c r="VUF43" s="51"/>
      <c r="VUG43" s="51"/>
      <c r="VUH43" s="51"/>
      <c r="VUI43" s="51"/>
      <c r="VUJ43" s="51"/>
      <c r="VUK43" s="51"/>
      <c r="VUL43" s="51"/>
      <c r="VUM43" s="51"/>
      <c r="VUN43" s="51"/>
      <c r="VUO43" s="51"/>
      <c r="VUP43" s="51"/>
      <c r="VUQ43" s="51"/>
      <c r="VUR43" s="51"/>
      <c r="VUS43" s="51"/>
      <c r="VUT43" s="51"/>
      <c r="VUU43" s="51"/>
      <c r="VUV43" s="51"/>
      <c r="VUW43" s="51"/>
      <c r="VUX43" s="51"/>
      <c r="VUY43" s="51"/>
      <c r="VUZ43" s="51"/>
      <c r="VVA43" s="51"/>
      <c r="VVB43" s="51"/>
      <c r="VVC43" s="51"/>
      <c r="VVD43" s="51"/>
      <c r="VVE43" s="51"/>
      <c r="VVF43" s="51"/>
      <c r="VVG43" s="51"/>
      <c r="VVH43" s="51"/>
      <c r="VVI43" s="51"/>
      <c r="VVJ43" s="51"/>
      <c r="VVK43" s="51"/>
      <c r="VVL43" s="51"/>
      <c r="VVM43" s="51"/>
      <c r="VVN43" s="51"/>
      <c r="VVO43" s="51"/>
      <c r="VVP43" s="51"/>
      <c r="VVQ43" s="51"/>
      <c r="VVR43" s="51"/>
      <c r="VVS43" s="51"/>
      <c r="VVT43" s="51"/>
      <c r="VVU43" s="51"/>
      <c r="VVV43" s="51"/>
      <c r="VVW43" s="51"/>
      <c r="VVX43" s="51"/>
      <c r="VVY43" s="51"/>
      <c r="VVZ43" s="51"/>
      <c r="VWA43" s="51"/>
      <c r="VWB43" s="51"/>
      <c r="VWC43" s="51"/>
      <c r="VWD43" s="51"/>
      <c r="VWE43" s="51"/>
      <c r="VWF43" s="51"/>
      <c r="VWG43" s="51"/>
      <c r="VWH43" s="51"/>
      <c r="VWI43" s="51"/>
      <c r="VWJ43" s="51"/>
      <c r="VWK43" s="51"/>
      <c r="VWL43" s="51"/>
      <c r="VWM43" s="51"/>
      <c r="VWN43" s="51"/>
      <c r="VWO43" s="51"/>
      <c r="VWP43" s="51"/>
      <c r="VWQ43" s="51"/>
      <c r="VWR43" s="51"/>
      <c r="VWS43" s="51"/>
      <c r="VWT43" s="51"/>
      <c r="VWU43" s="51"/>
      <c r="VWV43" s="51"/>
      <c r="VWW43" s="51"/>
      <c r="VWX43" s="51"/>
      <c r="VWY43" s="51"/>
      <c r="VWZ43" s="51"/>
      <c r="VXA43" s="51"/>
      <c r="VXB43" s="51"/>
      <c r="VXC43" s="51"/>
      <c r="VXD43" s="51"/>
      <c r="VXE43" s="51"/>
      <c r="VXF43" s="51"/>
      <c r="VXG43" s="51"/>
      <c r="VXH43" s="51"/>
      <c r="VXI43" s="51"/>
      <c r="VXJ43" s="51"/>
      <c r="VXK43" s="51"/>
      <c r="VXL43" s="51"/>
      <c r="VXM43" s="51"/>
      <c r="VXN43" s="51"/>
      <c r="VXO43" s="51"/>
      <c r="VXP43" s="51"/>
      <c r="VXQ43" s="51"/>
      <c r="VXR43" s="51"/>
      <c r="VXS43" s="51"/>
      <c r="VXT43" s="51"/>
      <c r="VXU43" s="51"/>
      <c r="VXV43" s="51"/>
      <c r="VXW43" s="51"/>
      <c r="VXX43" s="51"/>
      <c r="VXY43" s="51"/>
      <c r="VXZ43" s="51"/>
      <c r="VYA43" s="51"/>
      <c r="VYB43" s="51"/>
      <c r="VYC43" s="51"/>
      <c r="VYD43" s="51"/>
      <c r="VYE43" s="51"/>
      <c r="VYF43" s="51"/>
      <c r="VYG43" s="51"/>
      <c r="VYH43" s="51"/>
      <c r="VYI43" s="51"/>
      <c r="VYJ43" s="51"/>
      <c r="VYK43" s="51"/>
      <c r="VYL43" s="51"/>
      <c r="VYM43" s="51"/>
      <c r="VYN43" s="51"/>
      <c r="VYO43" s="51"/>
      <c r="VYP43" s="51"/>
      <c r="VYQ43" s="51"/>
      <c r="VYR43" s="51"/>
      <c r="VYS43" s="51"/>
      <c r="VYT43" s="51"/>
      <c r="VYU43" s="51"/>
      <c r="VYV43" s="51"/>
      <c r="VYW43" s="51"/>
      <c r="VYX43" s="51"/>
      <c r="VYY43" s="51"/>
      <c r="VYZ43" s="51"/>
      <c r="VZA43" s="51"/>
      <c r="VZB43" s="51"/>
      <c r="VZC43" s="51"/>
      <c r="VZD43" s="51"/>
      <c r="VZE43" s="51"/>
      <c r="VZF43" s="51"/>
      <c r="VZG43" s="51"/>
      <c r="VZH43" s="51"/>
      <c r="VZI43" s="51"/>
      <c r="VZJ43" s="51"/>
      <c r="VZK43" s="51"/>
      <c r="VZL43" s="51"/>
      <c r="VZM43" s="51"/>
      <c r="VZN43" s="51"/>
      <c r="VZO43" s="51"/>
      <c r="VZP43" s="51"/>
      <c r="VZQ43" s="51"/>
      <c r="VZR43" s="51"/>
      <c r="VZS43" s="51"/>
      <c r="VZT43" s="51"/>
      <c r="VZU43" s="51"/>
      <c r="VZV43" s="51"/>
      <c r="VZW43" s="51"/>
      <c r="VZX43" s="51"/>
      <c r="VZY43" s="51"/>
      <c r="VZZ43" s="51"/>
      <c r="WAA43" s="51"/>
      <c r="WAB43" s="51"/>
      <c r="WAC43" s="51"/>
      <c r="WAD43" s="51"/>
      <c r="WAE43" s="51"/>
      <c r="WAF43" s="51"/>
      <c r="WAG43" s="51"/>
      <c r="WAH43" s="51"/>
      <c r="WAI43" s="51"/>
      <c r="WAJ43" s="51"/>
      <c r="WAK43" s="51"/>
      <c r="WAL43" s="51"/>
      <c r="WAM43" s="51"/>
      <c r="WAN43" s="51"/>
      <c r="WAO43" s="51"/>
      <c r="WAP43" s="51"/>
      <c r="WAQ43" s="51"/>
      <c r="WAR43" s="51"/>
      <c r="WAS43" s="51"/>
      <c r="WAT43" s="51"/>
      <c r="WAU43" s="51"/>
      <c r="WAV43" s="51"/>
      <c r="WAW43" s="51"/>
      <c r="WAX43" s="51"/>
      <c r="WAY43" s="51"/>
      <c r="WAZ43" s="51"/>
      <c r="WBA43" s="51"/>
      <c r="WBB43" s="51"/>
      <c r="WBC43" s="51"/>
      <c r="WBD43" s="51"/>
      <c r="WBE43" s="51"/>
      <c r="WBF43" s="51"/>
      <c r="WBG43" s="51"/>
      <c r="WBH43" s="51"/>
      <c r="WBI43" s="51"/>
      <c r="WBJ43" s="51"/>
      <c r="WBK43" s="51"/>
      <c r="WBL43" s="51"/>
      <c r="WBM43" s="51"/>
      <c r="WBN43" s="51"/>
      <c r="WBO43" s="51"/>
      <c r="WBP43" s="51"/>
      <c r="WBQ43" s="51"/>
      <c r="WBR43" s="51"/>
      <c r="WBS43" s="51"/>
      <c r="WBT43" s="51"/>
      <c r="WBU43" s="51"/>
      <c r="WBV43" s="51"/>
      <c r="WBW43" s="51"/>
      <c r="WBX43" s="51"/>
      <c r="WBY43" s="51"/>
      <c r="WBZ43" s="51"/>
      <c r="WCA43" s="51"/>
      <c r="WCB43" s="51"/>
      <c r="WCC43" s="51"/>
      <c r="WCD43" s="51"/>
      <c r="WCE43" s="51"/>
      <c r="WCF43" s="51"/>
      <c r="WCG43" s="51"/>
      <c r="WCH43" s="51"/>
      <c r="WCI43" s="51"/>
      <c r="WCJ43" s="51"/>
      <c r="WCK43" s="51"/>
      <c r="WCL43" s="51"/>
      <c r="WCM43" s="51"/>
      <c r="WCN43" s="51"/>
      <c r="WCO43" s="51"/>
      <c r="WCP43" s="51"/>
      <c r="WCQ43" s="51"/>
      <c r="WCR43" s="51"/>
      <c r="WCS43" s="51"/>
      <c r="WCT43" s="51"/>
      <c r="WCU43" s="51"/>
      <c r="WCV43" s="51"/>
      <c r="WCW43" s="51"/>
      <c r="WCX43" s="51"/>
      <c r="WCY43" s="51"/>
      <c r="WCZ43" s="51"/>
      <c r="WDA43" s="51"/>
      <c r="WDB43" s="51"/>
      <c r="WDC43" s="51"/>
      <c r="WDD43" s="51"/>
      <c r="WDE43" s="51"/>
      <c r="WDF43" s="51"/>
      <c r="WDG43" s="51"/>
      <c r="WDH43" s="51"/>
      <c r="WDI43" s="51"/>
      <c r="WDJ43" s="51"/>
      <c r="WDK43" s="51"/>
      <c r="WDL43" s="51"/>
      <c r="WDM43" s="51"/>
      <c r="WDN43" s="51"/>
      <c r="WDO43" s="51"/>
      <c r="WDP43" s="51"/>
      <c r="WDQ43" s="51"/>
      <c r="WDR43" s="51"/>
      <c r="WDS43" s="51"/>
      <c r="WDT43" s="51"/>
      <c r="WDU43" s="51"/>
      <c r="WDV43" s="51"/>
      <c r="WDW43" s="51"/>
      <c r="WDX43" s="51"/>
      <c r="WDY43" s="51"/>
      <c r="WDZ43" s="51"/>
      <c r="WEA43" s="51"/>
      <c r="WEB43" s="51"/>
      <c r="WEC43" s="51"/>
      <c r="WED43" s="51"/>
      <c r="WEE43" s="51"/>
      <c r="WEF43" s="51"/>
      <c r="WEG43" s="51"/>
      <c r="WEH43" s="51"/>
      <c r="WEI43" s="51"/>
      <c r="WEJ43" s="51"/>
      <c r="WEK43" s="51"/>
      <c r="WEL43" s="51"/>
      <c r="WEM43" s="51"/>
      <c r="WEN43" s="51"/>
      <c r="WEO43" s="51"/>
      <c r="WEP43" s="51"/>
      <c r="WEQ43" s="51"/>
      <c r="WER43" s="51"/>
      <c r="WES43" s="51"/>
      <c r="WET43" s="51"/>
      <c r="WEU43" s="51"/>
      <c r="WEV43" s="51"/>
      <c r="WEW43" s="51"/>
      <c r="WEX43" s="51"/>
      <c r="WEY43" s="51"/>
      <c r="WEZ43" s="51"/>
      <c r="WFA43" s="51"/>
      <c r="WFB43" s="51"/>
      <c r="WFC43" s="51"/>
      <c r="WFD43" s="51"/>
      <c r="WFE43" s="51"/>
      <c r="WFF43" s="51"/>
      <c r="WFG43" s="51"/>
      <c r="WFH43" s="51"/>
      <c r="WFI43" s="51"/>
      <c r="WFJ43" s="51"/>
      <c r="WFK43" s="51"/>
      <c r="WFL43" s="51"/>
      <c r="WFM43" s="51"/>
      <c r="WFN43" s="51"/>
      <c r="WFO43" s="51"/>
      <c r="WFP43" s="51"/>
      <c r="WFQ43" s="51"/>
      <c r="WFR43" s="51"/>
      <c r="WFS43" s="51"/>
      <c r="WFT43" s="51"/>
      <c r="WFU43" s="51"/>
      <c r="WFV43" s="51"/>
      <c r="WFW43" s="51"/>
      <c r="WFX43" s="51"/>
      <c r="WFY43" s="51"/>
      <c r="WFZ43" s="51"/>
      <c r="WGA43" s="51"/>
      <c r="WGB43" s="51"/>
      <c r="WGC43" s="51"/>
      <c r="WGD43" s="51"/>
      <c r="WGE43" s="51"/>
      <c r="WGF43" s="51"/>
      <c r="WGG43" s="51"/>
      <c r="WGH43" s="51"/>
      <c r="WGI43" s="51"/>
      <c r="WGJ43" s="51"/>
      <c r="WGK43" s="51"/>
      <c r="WGL43" s="51"/>
      <c r="WGM43" s="51"/>
      <c r="WGN43" s="51"/>
      <c r="WGO43" s="51"/>
      <c r="WGP43" s="51"/>
      <c r="WGQ43" s="51"/>
      <c r="WGR43" s="51"/>
      <c r="WGS43" s="51"/>
      <c r="WGT43" s="51"/>
      <c r="WGU43" s="51"/>
      <c r="WGV43" s="51"/>
      <c r="WGW43" s="51"/>
      <c r="WGX43" s="51"/>
      <c r="WGY43" s="51"/>
      <c r="WGZ43" s="51"/>
      <c r="WHA43" s="51"/>
      <c r="WHB43" s="51"/>
      <c r="WHC43" s="51"/>
      <c r="WHD43" s="51"/>
      <c r="WHE43" s="51"/>
      <c r="WHF43" s="51"/>
      <c r="WHG43" s="51"/>
      <c r="WHH43" s="51"/>
      <c r="WHI43" s="51"/>
      <c r="WHJ43" s="51"/>
      <c r="WHK43" s="51"/>
      <c r="WHL43" s="51"/>
      <c r="WHM43" s="51"/>
      <c r="WHN43" s="51"/>
      <c r="WHO43" s="51"/>
      <c r="WHP43" s="51"/>
      <c r="WHQ43" s="51"/>
      <c r="WHR43" s="51"/>
      <c r="WHS43" s="51"/>
      <c r="WHT43" s="51"/>
      <c r="WHU43" s="51"/>
      <c r="WHV43" s="51"/>
      <c r="WHW43" s="51"/>
      <c r="WHX43" s="51"/>
      <c r="WHY43" s="51"/>
      <c r="WHZ43" s="51"/>
      <c r="WIA43" s="51"/>
      <c r="WIB43" s="51"/>
      <c r="WIC43" s="51"/>
      <c r="WID43" s="51"/>
      <c r="WIE43" s="51"/>
      <c r="WIF43" s="51"/>
      <c r="WIG43" s="51"/>
      <c r="WIH43" s="51"/>
      <c r="WII43" s="51"/>
      <c r="WIJ43" s="51"/>
      <c r="WIK43" s="51"/>
      <c r="WIL43" s="51"/>
      <c r="WIM43" s="51"/>
      <c r="WIN43" s="51"/>
      <c r="WIO43" s="51"/>
      <c r="WIP43" s="51"/>
      <c r="WIQ43" s="51"/>
      <c r="WIR43" s="51"/>
      <c r="WIS43" s="51"/>
      <c r="WIT43" s="51"/>
      <c r="WIU43" s="51"/>
      <c r="WIV43" s="51"/>
      <c r="WIW43" s="51"/>
      <c r="WIX43" s="51"/>
      <c r="WIY43" s="51"/>
      <c r="WIZ43" s="51"/>
      <c r="WJA43" s="51"/>
      <c r="WJB43" s="51"/>
      <c r="WJC43" s="51"/>
      <c r="WJD43" s="51"/>
      <c r="WJE43" s="51"/>
      <c r="WJF43" s="51"/>
      <c r="WJG43" s="51"/>
      <c r="WJH43" s="51"/>
      <c r="WJI43" s="51"/>
      <c r="WJJ43" s="51"/>
      <c r="WJK43" s="51"/>
      <c r="WJL43" s="51"/>
      <c r="WJM43" s="51"/>
      <c r="WJN43" s="51"/>
      <c r="WJO43" s="51"/>
      <c r="WJP43" s="51"/>
      <c r="WJQ43" s="51"/>
      <c r="WJR43" s="51"/>
      <c r="WJS43" s="51"/>
      <c r="WJT43" s="51"/>
      <c r="WJU43" s="51"/>
      <c r="WJV43" s="51"/>
      <c r="WJW43" s="51"/>
      <c r="WJX43" s="51"/>
      <c r="WJY43" s="51"/>
      <c r="WJZ43" s="51"/>
      <c r="WKA43" s="51"/>
      <c r="WKB43" s="51"/>
      <c r="WKC43" s="51"/>
      <c r="WKD43" s="51"/>
      <c r="WKE43" s="51"/>
      <c r="WKF43" s="51"/>
      <c r="WKG43" s="51"/>
      <c r="WKH43" s="51"/>
      <c r="WKI43" s="51"/>
      <c r="WKJ43" s="51"/>
      <c r="WKK43" s="51"/>
      <c r="WKL43" s="51"/>
      <c r="WKM43" s="51"/>
      <c r="WKN43" s="51"/>
      <c r="WKO43" s="51"/>
      <c r="WKP43" s="51"/>
      <c r="WKQ43" s="51"/>
      <c r="WKR43" s="51"/>
      <c r="WKS43" s="51"/>
      <c r="WKT43" s="51"/>
      <c r="WKU43" s="51"/>
      <c r="WKV43" s="51"/>
      <c r="WKW43" s="51"/>
      <c r="WKX43" s="51"/>
      <c r="WKY43" s="51"/>
      <c r="WKZ43" s="51"/>
      <c r="WLA43" s="51"/>
      <c r="WLB43" s="51"/>
      <c r="WLC43" s="51"/>
      <c r="WLD43" s="51"/>
      <c r="WLE43" s="51"/>
      <c r="WLF43" s="51"/>
      <c r="WLG43" s="51"/>
      <c r="WLH43" s="51"/>
      <c r="WLI43" s="51"/>
      <c r="WLJ43" s="51"/>
      <c r="WLK43" s="51"/>
      <c r="WLL43" s="51"/>
      <c r="WLM43" s="51"/>
      <c r="WLN43" s="51"/>
      <c r="WLO43" s="51"/>
      <c r="WLP43" s="51"/>
      <c r="WLQ43" s="51"/>
      <c r="WLR43" s="51"/>
      <c r="WLS43" s="51"/>
      <c r="WLT43" s="51"/>
      <c r="WLU43" s="51"/>
      <c r="WLV43" s="51"/>
      <c r="WLW43" s="51"/>
      <c r="WLX43" s="51"/>
      <c r="WLY43" s="51"/>
      <c r="WLZ43" s="51"/>
      <c r="WMA43" s="51"/>
      <c r="WMB43" s="51"/>
      <c r="WMC43" s="51"/>
      <c r="WMD43" s="51"/>
      <c r="WME43" s="51"/>
      <c r="WMF43" s="51"/>
      <c r="WMG43" s="51"/>
      <c r="WMH43" s="51"/>
      <c r="WMI43" s="51"/>
      <c r="WMJ43" s="51"/>
      <c r="WMK43" s="51"/>
      <c r="WML43" s="51"/>
      <c r="WMM43" s="51"/>
      <c r="WMN43" s="51"/>
      <c r="WMO43" s="51"/>
      <c r="WMP43" s="51"/>
      <c r="WMQ43" s="51"/>
      <c r="WMR43" s="51"/>
      <c r="WMS43" s="51"/>
      <c r="WMT43" s="51"/>
      <c r="WMU43" s="51"/>
      <c r="WMV43" s="51"/>
      <c r="WMW43" s="51"/>
      <c r="WMX43" s="51"/>
      <c r="WMY43" s="51"/>
      <c r="WMZ43" s="51"/>
      <c r="WNA43" s="51"/>
      <c r="WNB43" s="51"/>
      <c r="WNC43" s="51"/>
      <c r="WND43" s="51"/>
      <c r="WNE43" s="51"/>
      <c r="WNF43" s="51"/>
      <c r="WNG43" s="51"/>
      <c r="WNH43" s="51"/>
      <c r="WNI43" s="51"/>
      <c r="WNJ43" s="51"/>
      <c r="WNK43" s="51"/>
      <c r="WNL43" s="51"/>
      <c r="WNM43" s="51"/>
      <c r="WNN43" s="51"/>
      <c r="WNO43" s="51"/>
      <c r="WNP43" s="51"/>
      <c r="WNQ43" s="51"/>
      <c r="WNR43" s="51"/>
      <c r="WNS43" s="51"/>
      <c r="WNT43" s="51"/>
      <c r="WNU43" s="51"/>
      <c r="WNV43" s="51"/>
      <c r="WNW43" s="51"/>
      <c r="WNX43" s="51"/>
      <c r="WNY43" s="51"/>
      <c r="WNZ43" s="51"/>
      <c r="WOA43" s="51"/>
      <c r="WOB43" s="51"/>
      <c r="WOC43" s="51"/>
      <c r="WOD43" s="51"/>
      <c r="WOE43" s="51"/>
      <c r="WOF43" s="51"/>
      <c r="WOG43" s="51"/>
      <c r="WOH43" s="51"/>
      <c r="WOI43" s="51"/>
      <c r="WOJ43" s="51"/>
      <c r="WOK43" s="51"/>
      <c r="WOL43" s="51"/>
      <c r="WOM43" s="51"/>
      <c r="WON43" s="51"/>
      <c r="WOO43" s="51"/>
      <c r="WOP43" s="51"/>
      <c r="WOQ43" s="51"/>
      <c r="WOR43" s="51"/>
      <c r="WOS43" s="51"/>
      <c r="WOT43" s="51"/>
      <c r="WOU43" s="51"/>
      <c r="WOV43" s="51"/>
      <c r="WOW43" s="51"/>
      <c r="WOX43" s="51"/>
      <c r="WOY43" s="51"/>
      <c r="WOZ43" s="51"/>
      <c r="WPA43" s="51"/>
      <c r="WPB43" s="51"/>
      <c r="WPC43" s="51"/>
      <c r="WPD43" s="51"/>
      <c r="WPE43" s="51"/>
      <c r="WPF43" s="51"/>
      <c r="WPG43" s="51"/>
      <c r="WPH43" s="51"/>
      <c r="WPI43" s="51"/>
      <c r="WPJ43" s="51"/>
      <c r="WPK43" s="51"/>
      <c r="WPL43" s="51"/>
      <c r="WPM43" s="51"/>
      <c r="WPN43" s="51"/>
      <c r="WPO43" s="51"/>
      <c r="WPP43" s="51"/>
      <c r="WPQ43" s="51"/>
      <c r="WPR43" s="51"/>
      <c r="WPS43" s="51"/>
      <c r="WPT43" s="51"/>
      <c r="WPU43" s="51"/>
      <c r="WPV43" s="51"/>
      <c r="WPW43" s="51"/>
      <c r="WPX43" s="51"/>
      <c r="WPY43" s="51"/>
      <c r="WPZ43" s="51"/>
      <c r="WQA43" s="51"/>
      <c r="WQB43" s="51"/>
      <c r="WQC43" s="51"/>
      <c r="WQD43" s="51"/>
      <c r="WQE43" s="51"/>
      <c r="WQF43" s="51"/>
      <c r="WQG43" s="51"/>
      <c r="WQH43" s="51"/>
      <c r="WQI43" s="51"/>
      <c r="WQJ43" s="51"/>
      <c r="WQK43" s="51"/>
      <c r="WQL43" s="51"/>
      <c r="WQM43" s="51"/>
      <c r="WQN43" s="51"/>
      <c r="WQO43" s="51"/>
      <c r="WQP43" s="51"/>
      <c r="WQQ43" s="51"/>
      <c r="WQR43" s="51"/>
      <c r="WQS43" s="51"/>
      <c r="WQT43" s="51"/>
      <c r="WQU43" s="51"/>
      <c r="WQV43" s="51"/>
      <c r="WQW43" s="51"/>
      <c r="WQX43" s="51"/>
      <c r="WQY43" s="51"/>
      <c r="WQZ43" s="51"/>
      <c r="WRA43" s="51"/>
      <c r="WRB43" s="51"/>
      <c r="WRC43" s="51"/>
      <c r="WRD43" s="51"/>
      <c r="WRE43" s="51"/>
      <c r="WRF43" s="51"/>
      <c r="WRG43" s="51"/>
      <c r="WRH43" s="51"/>
      <c r="WRI43" s="51"/>
      <c r="WRJ43" s="51"/>
      <c r="WRK43" s="51"/>
      <c r="WRL43" s="51"/>
      <c r="WRM43" s="51"/>
      <c r="WRN43" s="51"/>
      <c r="WRO43" s="51"/>
      <c r="WRP43" s="51"/>
      <c r="WRQ43" s="51"/>
      <c r="WRR43" s="51"/>
      <c r="WRS43" s="51"/>
      <c r="WRT43" s="51"/>
      <c r="WRU43" s="51"/>
      <c r="WRV43" s="51"/>
      <c r="WRW43" s="51"/>
      <c r="WRX43" s="51"/>
      <c r="WRY43" s="51"/>
      <c r="WRZ43" s="51"/>
      <c r="WSA43" s="51"/>
      <c r="WSB43" s="51"/>
      <c r="WSC43" s="51"/>
      <c r="WSD43" s="51"/>
      <c r="WSE43" s="51"/>
      <c r="WSF43" s="51"/>
      <c r="WSG43" s="51"/>
      <c r="WSH43" s="51"/>
      <c r="WSI43" s="51"/>
      <c r="WSJ43" s="51"/>
      <c r="WSK43" s="51"/>
      <c r="WSL43" s="51"/>
      <c r="WSM43" s="51"/>
      <c r="WSN43" s="51"/>
      <c r="WSO43" s="51"/>
      <c r="WSP43" s="51"/>
      <c r="WSQ43" s="51"/>
      <c r="WSR43" s="51"/>
      <c r="WSS43" s="51"/>
      <c r="WST43" s="51"/>
      <c r="WSU43" s="51"/>
      <c r="WSV43" s="51"/>
      <c r="WSW43" s="51"/>
      <c r="WSX43" s="51"/>
      <c r="WSY43" s="51"/>
      <c r="WSZ43" s="51"/>
      <c r="WTA43" s="51"/>
      <c r="WTB43" s="51"/>
      <c r="WTC43" s="51"/>
      <c r="WTD43" s="51"/>
      <c r="WTE43" s="51"/>
      <c r="WTF43" s="51"/>
      <c r="WTG43" s="51"/>
      <c r="WTH43" s="51"/>
      <c r="WTI43" s="51"/>
      <c r="WTJ43" s="51"/>
      <c r="WTK43" s="51"/>
      <c r="WTL43" s="51"/>
      <c r="WTM43" s="51"/>
      <c r="WTN43" s="51"/>
      <c r="WTO43" s="51"/>
      <c r="WTP43" s="51"/>
      <c r="WTQ43" s="51"/>
      <c r="WTR43" s="51"/>
      <c r="WTS43" s="51"/>
      <c r="WTT43" s="51"/>
      <c r="WTU43" s="51"/>
      <c r="WTV43" s="51"/>
      <c r="WTW43" s="51"/>
      <c r="WTX43" s="51"/>
      <c r="WTY43" s="51"/>
      <c r="WTZ43" s="51"/>
      <c r="WUA43" s="51"/>
      <c r="WUB43" s="51"/>
      <c r="WUC43" s="51"/>
      <c r="WUD43" s="51"/>
      <c r="WUE43" s="51"/>
      <c r="WUF43" s="51"/>
      <c r="WUG43" s="51"/>
      <c r="WUH43" s="51"/>
      <c r="WUI43" s="51"/>
      <c r="WUJ43" s="51"/>
      <c r="WUK43" s="51"/>
      <c r="WUL43" s="51"/>
      <c r="WUM43" s="51"/>
      <c r="WUN43" s="51"/>
      <c r="WUO43" s="51"/>
      <c r="WUP43" s="51"/>
      <c r="WUQ43" s="51"/>
      <c r="WUR43" s="51"/>
      <c r="WUS43" s="51"/>
      <c r="WUT43" s="51"/>
      <c r="WUU43" s="51"/>
      <c r="WUV43" s="51"/>
      <c r="WUW43" s="51"/>
      <c r="WUX43" s="51"/>
      <c r="WUY43" s="51"/>
      <c r="WUZ43" s="51"/>
      <c r="WVA43" s="51"/>
      <c r="WVB43" s="51"/>
      <c r="WVC43" s="51"/>
      <c r="WVD43" s="51"/>
      <c r="WVE43" s="51"/>
      <c r="WVF43" s="51"/>
      <c r="WVG43" s="51"/>
      <c r="WVH43" s="51"/>
      <c r="WVI43" s="51"/>
      <c r="WVJ43" s="51"/>
      <c r="WVK43" s="51"/>
      <c r="WVL43" s="51"/>
      <c r="WVM43" s="51"/>
      <c r="WVN43" s="51"/>
      <c r="WVO43" s="51"/>
      <c r="WVP43" s="51"/>
      <c r="WVQ43" s="51"/>
      <c r="WVR43" s="51"/>
      <c r="WVS43" s="51"/>
      <c r="WVT43" s="51"/>
      <c r="WVU43" s="51"/>
      <c r="WVV43" s="51"/>
      <c r="WVW43" s="51"/>
      <c r="WVX43" s="51"/>
      <c r="WVY43" s="51"/>
      <c r="WVZ43" s="51"/>
      <c r="WWA43" s="51"/>
      <c r="WWB43" s="51"/>
      <c r="WWC43" s="51"/>
      <c r="WWD43" s="51"/>
      <c r="WWE43" s="51"/>
      <c r="WWF43" s="51"/>
      <c r="WWG43" s="51"/>
      <c r="WWH43" s="51"/>
      <c r="WWI43" s="51"/>
      <c r="WWJ43" s="51"/>
      <c r="WWK43" s="51"/>
      <c r="WWL43" s="51"/>
      <c r="WWM43" s="51"/>
      <c r="WWN43" s="51"/>
      <c r="WWO43" s="51"/>
      <c r="WWP43" s="51"/>
      <c r="WWQ43" s="51"/>
      <c r="WWR43" s="51"/>
      <c r="WWS43" s="51"/>
      <c r="WWT43" s="51"/>
      <c r="WWU43" s="51"/>
      <c r="WWV43" s="51"/>
      <c r="WWW43" s="51"/>
      <c r="WWX43" s="51"/>
      <c r="WWY43" s="51"/>
      <c r="WWZ43" s="51"/>
      <c r="WXA43" s="51"/>
      <c r="WXB43" s="51"/>
      <c r="WXC43" s="51"/>
      <c r="WXD43" s="51"/>
      <c r="WXE43" s="51"/>
      <c r="WXF43" s="51"/>
      <c r="WXG43" s="51"/>
      <c r="WXH43" s="51"/>
      <c r="WXI43" s="51"/>
      <c r="WXJ43" s="51"/>
      <c r="WXK43" s="51"/>
      <c r="WXL43" s="51"/>
      <c r="WXM43" s="51"/>
      <c r="WXN43" s="51"/>
      <c r="WXO43" s="51"/>
      <c r="WXP43" s="51"/>
      <c r="WXQ43" s="51"/>
      <c r="WXR43" s="51"/>
      <c r="WXS43" s="51"/>
      <c r="WXT43" s="51"/>
      <c r="WXU43" s="51"/>
      <c r="WXV43" s="51"/>
      <c r="WXW43" s="51"/>
      <c r="WXX43" s="51"/>
      <c r="WXY43" s="51"/>
      <c r="WXZ43" s="51"/>
      <c r="WYA43" s="51"/>
      <c r="WYB43" s="51"/>
      <c r="WYC43" s="51"/>
      <c r="WYD43" s="51"/>
      <c r="WYE43" s="51"/>
      <c r="WYF43" s="51"/>
      <c r="WYG43" s="51"/>
      <c r="WYH43" s="51"/>
      <c r="WYI43" s="51"/>
      <c r="WYJ43" s="51"/>
      <c r="WYK43" s="51"/>
      <c r="WYL43" s="51"/>
      <c r="WYM43" s="51"/>
      <c r="WYN43" s="51"/>
      <c r="WYO43" s="51"/>
      <c r="WYP43" s="51"/>
      <c r="WYQ43" s="51"/>
      <c r="WYR43" s="51"/>
      <c r="WYS43" s="51"/>
      <c r="WYT43" s="51"/>
      <c r="WYU43" s="51"/>
      <c r="WYV43" s="51"/>
      <c r="WYW43" s="51"/>
      <c r="WYX43" s="51"/>
      <c r="WYY43" s="51"/>
      <c r="WYZ43" s="51"/>
      <c r="WZA43" s="51"/>
      <c r="WZB43" s="51"/>
      <c r="WZC43" s="51"/>
      <c r="WZD43" s="51"/>
      <c r="WZE43" s="51"/>
      <c r="WZF43" s="51"/>
      <c r="WZG43" s="51"/>
      <c r="WZH43" s="51"/>
      <c r="WZI43" s="51"/>
      <c r="WZJ43" s="51"/>
      <c r="WZK43" s="51"/>
      <c r="WZL43" s="51"/>
      <c r="WZM43" s="51"/>
      <c r="WZN43" s="51"/>
      <c r="WZO43" s="51"/>
      <c r="WZP43" s="51"/>
      <c r="WZQ43" s="51"/>
      <c r="WZR43" s="51"/>
      <c r="WZS43" s="51"/>
      <c r="WZT43" s="51"/>
      <c r="WZU43" s="51"/>
      <c r="WZV43" s="51"/>
      <c r="WZW43" s="51"/>
      <c r="WZX43" s="51"/>
      <c r="WZY43" s="51"/>
      <c r="WZZ43" s="51"/>
      <c r="XAA43" s="51"/>
      <c r="XAB43" s="51"/>
      <c r="XAC43" s="51"/>
      <c r="XAD43" s="51"/>
      <c r="XAE43" s="51"/>
      <c r="XAF43" s="51"/>
      <c r="XAG43" s="51"/>
      <c r="XAH43" s="51"/>
      <c r="XAI43" s="51"/>
      <c r="XAJ43" s="51"/>
      <c r="XAK43" s="51"/>
      <c r="XAL43" s="51"/>
      <c r="XAM43" s="51"/>
      <c r="XAN43" s="51"/>
      <c r="XAO43" s="51"/>
      <c r="XAP43" s="51"/>
      <c r="XAQ43" s="51"/>
      <c r="XAR43" s="51"/>
      <c r="XAS43" s="51"/>
      <c r="XAT43" s="51"/>
      <c r="XAU43" s="51"/>
      <c r="XAV43" s="51"/>
      <c r="XAW43" s="51"/>
      <c r="XAX43" s="51"/>
      <c r="XAY43" s="51"/>
      <c r="XAZ43" s="51"/>
      <c r="XBA43" s="51"/>
      <c r="XBB43" s="51"/>
      <c r="XBC43" s="51"/>
      <c r="XBD43" s="51"/>
      <c r="XBE43" s="51"/>
      <c r="XBF43" s="51"/>
      <c r="XBG43" s="51"/>
      <c r="XBH43" s="51"/>
      <c r="XBI43" s="51"/>
      <c r="XBJ43" s="51"/>
      <c r="XBK43" s="51"/>
      <c r="XBL43" s="51"/>
      <c r="XBM43" s="51"/>
      <c r="XBN43" s="51"/>
      <c r="XBO43" s="51"/>
      <c r="XBP43" s="51"/>
      <c r="XBQ43" s="51"/>
      <c r="XBR43" s="51"/>
      <c r="XBS43" s="51"/>
      <c r="XBT43" s="51"/>
      <c r="XBU43" s="51"/>
      <c r="XBV43" s="51"/>
      <c r="XBW43" s="51"/>
      <c r="XBX43" s="51"/>
      <c r="XBY43" s="51"/>
      <c r="XBZ43" s="51"/>
      <c r="XCA43" s="51"/>
      <c r="XCB43" s="51"/>
      <c r="XCC43" s="51"/>
      <c r="XCD43" s="51"/>
      <c r="XCE43" s="51"/>
      <c r="XCF43" s="51"/>
      <c r="XCG43" s="51"/>
      <c r="XCH43" s="51"/>
      <c r="XCI43" s="51"/>
      <c r="XCJ43" s="51"/>
      <c r="XCK43" s="51"/>
      <c r="XCL43" s="51"/>
      <c r="XCM43" s="51"/>
      <c r="XCN43" s="51"/>
      <c r="XCO43" s="51"/>
      <c r="XCP43" s="51"/>
      <c r="XCQ43" s="51"/>
      <c r="XCR43" s="51"/>
      <c r="XCS43" s="51"/>
      <c r="XCT43" s="51"/>
      <c r="XCU43" s="51"/>
      <c r="XCV43" s="51"/>
      <c r="XCW43" s="51"/>
      <c r="XCX43" s="51"/>
      <c r="XCY43" s="51"/>
      <c r="XCZ43" s="51"/>
      <c r="XDA43" s="51"/>
      <c r="XDB43" s="51"/>
      <c r="XDC43" s="51"/>
      <c r="XDD43" s="51"/>
      <c r="XDE43" s="51"/>
      <c r="XDF43" s="51"/>
      <c r="XDG43" s="51"/>
      <c r="XDH43" s="51"/>
      <c r="XDI43" s="51"/>
      <c r="XDJ43" s="51"/>
      <c r="XDK43" s="51"/>
      <c r="XDL43" s="51"/>
      <c r="XDM43" s="51"/>
      <c r="XDN43" s="51"/>
      <c r="XDO43" s="51"/>
      <c r="XDP43" s="51"/>
      <c r="XDQ43" s="51"/>
      <c r="XDR43" s="51"/>
      <c r="XDS43" s="51"/>
      <c r="XDT43" s="51"/>
      <c r="XDU43" s="51"/>
      <c r="XDV43" s="51"/>
      <c r="XDW43" s="51"/>
      <c r="XDX43" s="51"/>
      <c r="XDY43" s="51"/>
      <c r="XDZ43" s="51"/>
      <c r="XEA43" s="51"/>
      <c r="XEB43" s="51"/>
      <c r="XEC43" s="51"/>
      <c r="XED43" s="51"/>
      <c r="XEE43" s="51"/>
      <c r="XEF43" s="51"/>
      <c r="XEG43" s="51"/>
      <c r="XEH43" s="51"/>
      <c r="XEI43" s="51"/>
      <c r="XEJ43" s="51"/>
      <c r="XEK43" s="51"/>
      <c r="XEL43" s="51"/>
      <c r="XEM43" s="51"/>
      <c r="XEN43" s="51"/>
      <c r="XEO43" s="51"/>
      <c r="XEP43" s="51"/>
      <c r="XEQ43" s="51"/>
      <c r="XER43" s="51"/>
      <c r="XES43" s="51"/>
      <c r="XET43" s="51"/>
      <c r="XEU43" s="51"/>
      <c r="XEV43" s="51"/>
      <c r="XEW43" s="51"/>
      <c r="XEX43" s="51"/>
      <c r="XEY43" s="51"/>
      <c r="XEZ43" s="51"/>
      <c r="XFA43" s="51"/>
      <c r="XFB43" s="51"/>
      <c r="XFC43" s="51"/>
      <c r="XFD43" s="51"/>
    </row>
    <row r="44" spans="1:16384" s="258" customFormat="1">
      <c r="A44" s="51"/>
      <c r="B44" s="51" t="s">
        <v>1032</v>
      </c>
      <c r="C44" s="51"/>
      <c r="D44" s="51"/>
      <c r="E44" s="51"/>
      <c r="F44" s="51"/>
      <c r="G44" s="447">
        <f>IF(G43&gt;0,ROUNDDOWN(G43,2),ROUNDUP(G43,2))</f>
        <v>8.0399999999999991</v>
      </c>
      <c r="H44" s="447">
        <f t="shared" ref="H44:O44" si="2">IF(H43&gt;0,ROUNDDOWN(H43,2),ROUNDUP(H43,2))</f>
        <v>7.58</v>
      </c>
      <c r="I44" s="447">
        <f t="shared" si="2"/>
        <v>7.41</v>
      </c>
      <c r="J44" s="447">
        <f t="shared" si="2"/>
        <v>7.35</v>
      </c>
      <c r="K44" s="447">
        <f t="shared" si="2"/>
        <v>6.7</v>
      </c>
      <c r="L44" s="447">
        <f t="shared" si="2"/>
        <v>7.46</v>
      </c>
      <c r="M44" s="447">
        <f t="shared" si="2"/>
        <v>7.01</v>
      </c>
      <c r="N44" s="447">
        <f t="shared" si="2"/>
        <v>8.15</v>
      </c>
      <c r="O44" s="447">
        <f t="shared" si="2"/>
        <v>18.07</v>
      </c>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c r="XE44" s="51"/>
      <c r="XF44" s="51"/>
      <c r="XG44" s="51"/>
      <c r="XH44" s="51"/>
      <c r="XI44" s="51"/>
      <c r="XJ44" s="51"/>
      <c r="XK44" s="51"/>
      <c r="XL44" s="51"/>
      <c r="XM44" s="51"/>
      <c r="XN44" s="51"/>
      <c r="XO44" s="51"/>
      <c r="XP44" s="51"/>
      <c r="XQ44" s="51"/>
      <c r="XR44" s="51"/>
      <c r="XS44" s="51"/>
      <c r="XT44" s="51"/>
      <c r="XU44" s="51"/>
      <c r="XV44" s="51"/>
      <c r="XW44" s="51"/>
      <c r="XX44" s="51"/>
      <c r="XY44" s="51"/>
      <c r="XZ44" s="51"/>
      <c r="YA44" s="51"/>
      <c r="YB44" s="51"/>
      <c r="YC44" s="51"/>
      <c r="YD44" s="51"/>
      <c r="YE44" s="51"/>
      <c r="YF44" s="51"/>
      <c r="YG44" s="51"/>
      <c r="YH44" s="51"/>
      <c r="YI44" s="51"/>
      <c r="YJ44" s="51"/>
      <c r="YK44" s="51"/>
      <c r="YL44" s="51"/>
      <c r="YM44" s="51"/>
      <c r="YN44" s="51"/>
      <c r="YO44" s="51"/>
      <c r="YP44" s="51"/>
      <c r="YQ44" s="51"/>
      <c r="YR44" s="51"/>
      <c r="YS44" s="51"/>
      <c r="YT44" s="51"/>
      <c r="YU44" s="51"/>
      <c r="YV44" s="51"/>
      <c r="YW44" s="51"/>
      <c r="YX44" s="51"/>
      <c r="YY44" s="51"/>
      <c r="YZ44" s="51"/>
      <c r="ZA44" s="51"/>
      <c r="ZB44" s="51"/>
      <c r="ZC44" s="51"/>
      <c r="ZD44" s="51"/>
      <c r="ZE44" s="51"/>
      <c r="ZF44" s="51"/>
      <c r="ZG44" s="51"/>
      <c r="ZH44" s="51"/>
      <c r="ZI44" s="51"/>
      <c r="ZJ44" s="51"/>
      <c r="ZK44" s="51"/>
      <c r="ZL44" s="51"/>
      <c r="ZM44" s="51"/>
      <c r="ZN44" s="51"/>
      <c r="ZO44" s="51"/>
      <c r="ZP44" s="51"/>
      <c r="ZQ44" s="51"/>
      <c r="ZR44" s="51"/>
      <c r="ZS44" s="51"/>
      <c r="ZT44" s="51"/>
      <c r="ZU44" s="51"/>
      <c r="ZV44" s="51"/>
      <c r="ZW44" s="51"/>
      <c r="ZX44" s="51"/>
      <c r="ZY44" s="51"/>
      <c r="ZZ44" s="51"/>
      <c r="AAA44" s="51"/>
      <c r="AAB44" s="51"/>
      <c r="AAC44" s="51"/>
      <c r="AAD44" s="51"/>
      <c r="AAE44" s="51"/>
      <c r="AAF44" s="51"/>
      <c r="AAG44" s="51"/>
      <c r="AAH44" s="51"/>
      <c r="AAI44" s="51"/>
      <c r="AAJ44" s="51"/>
      <c r="AAK44" s="51"/>
      <c r="AAL44" s="51"/>
      <c r="AAM44" s="51"/>
      <c r="AAN44" s="51"/>
      <c r="AAO44" s="51"/>
      <c r="AAP44" s="51"/>
      <c r="AAQ44" s="51"/>
      <c r="AAR44" s="51"/>
      <c r="AAS44" s="51"/>
      <c r="AAT44" s="51"/>
      <c r="AAU44" s="51"/>
      <c r="AAV44" s="51"/>
      <c r="AAW44" s="51"/>
      <c r="AAX44" s="51"/>
      <c r="AAY44" s="51"/>
      <c r="AAZ44" s="51"/>
      <c r="ABA44" s="51"/>
      <c r="ABB44" s="51"/>
      <c r="ABC44" s="51"/>
      <c r="ABD44" s="51"/>
      <c r="ABE44" s="51"/>
      <c r="ABF44" s="51"/>
      <c r="ABG44" s="51"/>
      <c r="ABH44" s="51"/>
      <c r="ABI44" s="51"/>
      <c r="ABJ44" s="51"/>
      <c r="ABK44" s="51"/>
      <c r="ABL44" s="51"/>
      <c r="ABM44" s="51"/>
      <c r="ABN44" s="51"/>
      <c r="ABO44" s="51"/>
      <c r="ABP44" s="51"/>
      <c r="ABQ44" s="51"/>
      <c r="ABR44" s="51"/>
      <c r="ABS44" s="51"/>
      <c r="ABT44" s="51"/>
      <c r="ABU44" s="51"/>
      <c r="ABV44" s="51"/>
      <c r="ABW44" s="51"/>
      <c r="ABX44" s="51"/>
      <c r="ABY44" s="51"/>
      <c r="ABZ44" s="51"/>
      <c r="ACA44" s="51"/>
      <c r="ACB44" s="51"/>
      <c r="ACC44" s="51"/>
      <c r="ACD44" s="51"/>
      <c r="ACE44" s="51"/>
      <c r="ACF44" s="51"/>
      <c r="ACG44" s="51"/>
      <c r="ACH44" s="51"/>
      <c r="ACI44" s="51"/>
      <c r="ACJ44" s="51"/>
      <c r="ACK44" s="51"/>
      <c r="ACL44" s="51"/>
      <c r="ACM44" s="51"/>
      <c r="ACN44" s="51"/>
      <c r="ACO44" s="51"/>
      <c r="ACP44" s="51"/>
      <c r="ACQ44" s="51"/>
      <c r="ACR44" s="51"/>
      <c r="ACS44" s="51"/>
      <c r="ACT44" s="51"/>
      <c r="ACU44" s="51"/>
      <c r="ACV44" s="51"/>
      <c r="ACW44" s="51"/>
      <c r="ACX44" s="51"/>
      <c r="ACY44" s="51"/>
      <c r="ACZ44" s="51"/>
      <c r="ADA44" s="51"/>
      <c r="ADB44" s="51"/>
      <c r="ADC44" s="51"/>
      <c r="ADD44" s="51"/>
      <c r="ADE44" s="51"/>
      <c r="ADF44" s="51"/>
      <c r="ADG44" s="51"/>
      <c r="ADH44" s="51"/>
      <c r="ADI44" s="51"/>
      <c r="ADJ44" s="51"/>
      <c r="ADK44" s="51"/>
      <c r="ADL44" s="51"/>
      <c r="ADM44" s="51"/>
      <c r="ADN44" s="51"/>
      <c r="ADO44" s="51"/>
      <c r="ADP44" s="51"/>
      <c r="ADQ44" s="51"/>
      <c r="ADR44" s="51"/>
      <c r="ADS44" s="51"/>
      <c r="ADT44" s="51"/>
      <c r="ADU44" s="51"/>
      <c r="ADV44" s="51"/>
      <c r="ADW44" s="51"/>
      <c r="ADX44" s="51"/>
      <c r="ADY44" s="51"/>
      <c r="ADZ44" s="51"/>
      <c r="AEA44" s="51"/>
      <c r="AEB44" s="51"/>
      <c r="AEC44" s="51"/>
      <c r="AED44" s="51"/>
      <c r="AEE44" s="51"/>
      <c r="AEF44" s="51"/>
      <c r="AEG44" s="51"/>
      <c r="AEH44" s="51"/>
      <c r="AEI44" s="51"/>
      <c r="AEJ44" s="51"/>
      <c r="AEK44" s="51"/>
      <c r="AEL44" s="51"/>
      <c r="AEM44" s="51"/>
      <c r="AEN44" s="51"/>
      <c r="AEO44" s="51"/>
      <c r="AEP44" s="51"/>
      <c r="AEQ44" s="51"/>
      <c r="AER44" s="51"/>
      <c r="AES44" s="51"/>
      <c r="AET44" s="51"/>
      <c r="AEU44" s="51"/>
      <c r="AEV44" s="51"/>
      <c r="AEW44" s="51"/>
      <c r="AEX44" s="51"/>
      <c r="AEY44" s="51"/>
      <c r="AEZ44" s="51"/>
      <c r="AFA44" s="51"/>
      <c r="AFB44" s="51"/>
      <c r="AFC44" s="51"/>
      <c r="AFD44" s="51"/>
      <c r="AFE44" s="51"/>
      <c r="AFF44" s="51"/>
      <c r="AFG44" s="51"/>
      <c r="AFH44" s="51"/>
      <c r="AFI44" s="51"/>
      <c r="AFJ44" s="51"/>
      <c r="AFK44" s="51"/>
      <c r="AFL44" s="51"/>
      <c r="AFM44" s="51"/>
      <c r="AFN44" s="51"/>
      <c r="AFO44" s="51"/>
      <c r="AFP44" s="51"/>
      <c r="AFQ44" s="51"/>
      <c r="AFR44" s="51"/>
      <c r="AFS44" s="51"/>
      <c r="AFT44" s="51"/>
      <c r="AFU44" s="51"/>
      <c r="AFV44" s="51"/>
      <c r="AFW44" s="51"/>
      <c r="AFX44" s="51"/>
      <c r="AFY44" s="51"/>
      <c r="AFZ44" s="51"/>
      <c r="AGA44" s="51"/>
      <c r="AGB44" s="51"/>
      <c r="AGC44" s="51"/>
      <c r="AGD44" s="51"/>
      <c r="AGE44" s="51"/>
      <c r="AGF44" s="51"/>
      <c r="AGG44" s="51"/>
      <c r="AGH44" s="51"/>
      <c r="AGI44" s="51"/>
      <c r="AGJ44" s="51"/>
      <c r="AGK44" s="51"/>
      <c r="AGL44" s="51"/>
      <c r="AGM44" s="51"/>
      <c r="AGN44" s="51"/>
      <c r="AGO44" s="51"/>
      <c r="AGP44" s="51"/>
      <c r="AGQ44" s="51"/>
      <c r="AGR44" s="51"/>
      <c r="AGS44" s="51"/>
      <c r="AGT44" s="51"/>
      <c r="AGU44" s="51"/>
      <c r="AGV44" s="51"/>
      <c r="AGW44" s="51"/>
      <c r="AGX44" s="51"/>
      <c r="AGY44" s="51"/>
      <c r="AGZ44" s="51"/>
      <c r="AHA44" s="51"/>
      <c r="AHB44" s="51"/>
      <c r="AHC44" s="51"/>
      <c r="AHD44" s="51"/>
      <c r="AHE44" s="51"/>
      <c r="AHF44" s="51"/>
      <c r="AHG44" s="51"/>
      <c r="AHH44" s="51"/>
      <c r="AHI44" s="51"/>
      <c r="AHJ44" s="51"/>
      <c r="AHK44" s="51"/>
      <c r="AHL44" s="51"/>
      <c r="AHM44" s="51"/>
      <c r="AHN44" s="51"/>
      <c r="AHO44" s="51"/>
      <c r="AHP44" s="51"/>
      <c r="AHQ44" s="51"/>
      <c r="AHR44" s="51"/>
      <c r="AHS44" s="51"/>
      <c r="AHT44" s="51"/>
      <c r="AHU44" s="51"/>
      <c r="AHV44" s="51"/>
      <c r="AHW44" s="51"/>
      <c r="AHX44" s="51"/>
      <c r="AHY44" s="51"/>
      <c r="AHZ44" s="51"/>
      <c r="AIA44" s="51"/>
      <c r="AIB44" s="51"/>
      <c r="AIC44" s="51"/>
      <c r="AID44" s="51"/>
      <c r="AIE44" s="51"/>
      <c r="AIF44" s="51"/>
      <c r="AIG44" s="51"/>
      <c r="AIH44" s="51"/>
      <c r="AII44" s="51"/>
      <c r="AIJ44" s="51"/>
      <c r="AIK44" s="51"/>
      <c r="AIL44" s="51"/>
      <c r="AIM44" s="51"/>
      <c r="AIN44" s="51"/>
      <c r="AIO44" s="51"/>
      <c r="AIP44" s="51"/>
      <c r="AIQ44" s="51"/>
      <c r="AIR44" s="51"/>
      <c r="AIS44" s="51"/>
      <c r="AIT44" s="51"/>
      <c r="AIU44" s="51"/>
      <c r="AIV44" s="51"/>
      <c r="AIW44" s="51"/>
      <c r="AIX44" s="51"/>
      <c r="AIY44" s="51"/>
      <c r="AIZ44" s="51"/>
      <c r="AJA44" s="51"/>
      <c r="AJB44" s="51"/>
      <c r="AJC44" s="51"/>
      <c r="AJD44" s="51"/>
      <c r="AJE44" s="51"/>
      <c r="AJF44" s="51"/>
      <c r="AJG44" s="51"/>
      <c r="AJH44" s="51"/>
      <c r="AJI44" s="51"/>
      <c r="AJJ44" s="51"/>
      <c r="AJK44" s="51"/>
      <c r="AJL44" s="51"/>
      <c r="AJM44" s="51"/>
      <c r="AJN44" s="51"/>
      <c r="AJO44" s="51"/>
      <c r="AJP44" s="51"/>
      <c r="AJQ44" s="51"/>
      <c r="AJR44" s="51"/>
      <c r="AJS44" s="51"/>
      <c r="AJT44" s="51"/>
      <c r="AJU44" s="51"/>
      <c r="AJV44" s="51"/>
      <c r="AJW44" s="51"/>
      <c r="AJX44" s="51"/>
      <c r="AJY44" s="51"/>
      <c r="AJZ44" s="51"/>
      <c r="AKA44" s="51"/>
      <c r="AKB44" s="51"/>
      <c r="AKC44" s="51"/>
      <c r="AKD44" s="51"/>
      <c r="AKE44" s="51"/>
      <c r="AKF44" s="51"/>
      <c r="AKG44" s="51"/>
      <c r="AKH44" s="51"/>
      <c r="AKI44" s="51"/>
      <c r="AKJ44" s="51"/>
      <c r="AKK44" s="51"/>
      <c r="AKL44" s="51"/>
      <c r="AKM44" s="51"/>
      <c r="AKN44" s="51"/>
      <c r="AKO44" s="51"/>
      <c r="AKP44" s="51"/>
      <c r="AKQ44" s="51"/>
      <c r="AKR44" s="51"/>
      <c r="AKS44" s="51"/>
      <c r="AKT44" s="51"/>
      <c r="AKU44" s="51"/>
      <c r="AKV44" s="51"/>
      <c r="AKW44" s="51"/>
      <c r="AKX44" s="51"/>
      <c r="AKY44" s="51"/>
      <c r="AKZ44" s="51"/>
      <c r="ALA44" s="51"/>
      <c r="ALB44" s="51"/>
      <c r="ALC44" s="51"/>
      <c r="ALD44" s="51"/>
      <c r="ALE44" s="51"/>
      <c r="ALF44" s="51"/>
      <c r="ALG44" s="51"/>
      <c r="ALH44" s="51"/>
      <c r="ALI44" s="51"/>
      <c r="ALJ44" s="51"/>
      <c r="ALK44" s="51"/>
      <c r="ALL44" s="51"/>
      <c r="ALM44" s="51"/>
      <c r="ALN44" s="51"/>
      <c r="ALO44" s="51"/>
      <c r="ALP44" s="51"/>
      <c r="ALQ44" s="51"/>
      <c r="ALR44" s="51"/>
      <c r="ALS44" s="51"/>
      <c r="ALT44" s="51"/>
      <c r="ALU44" s="51"/>
      <c r="ALV44" s="51"/>
      <c r="ALW44" s="51"/>
      <c r="ALX44" s="51"/>
      <c r="ALY44" s="51"/>
      <c r="ALZ44" s="51"/>
      <c r="AMA44" s="51"/>
      <c r="AMB44" s="51"/>
      <c r="AMC44" s="51"/>
      <c r="AMD44" s="51"/>
      <c r="AME44" s="51"/>
      <c r="AMF44" s="51"/>
      <c r="AMG44" s="51"/>
      <c r="AMH44" s="51"/>
      <c r="AMI44" s="51"/>
      <c r="AMJ44" s="51"/>
      <c r="AMK44" s="51"/>
      <c r="AML44" s="51"/>
      <c r="AMM44" s="51"/>
      <c r="AMN44" s="51"/>
      <c r="AMO44" s="51"/>
      <c r="AMP44" s="51"/>
      <c r="AMQ44" s="51"/>
      <c r="AMR44" s="51"/>
      <c r="AMS44" s="51"/>
      <c r="AMT44" s="51"/>
      <c r="AMU44" s="51"/>
      <c r="AMV44" s="51"/>
      <c r="AMW44" s="51"/>
      <c r="AMX44" s="51"/>
      <c r="AMY44" s="51"/>
      <c r="AMZ44" s="51"/>
      <c r="ANA44" s="51"/>
      <c r="ANB44" s="51"/>
      <c r="ANC44" s="51"/>
      <c r="AND44" s="51"/>
      <c r="ANE44" s="51"/>
      <c r="ANF44" s="51"/>
      <c r="ANG44" s="51"/>
      <c r="ANH44" s="51"/>
      <c r="ANI44" s="51"/>
      <c r="ANJ44" s="51"/>
      <c r="ANK44" s="51"/>
      <c r="ANL44" s="51"/>
      <c r="ANM44" s="51"/>
      <c r="ANN44" s="51"/>
      <c r="ANO44" s="51"/>
      <c r="ANP44" s="51"/>
      <c r="ANQ44" s="51"/>
      <c r="ANR44" s="51"/>
      <c r="ANS44" s="51"/>
      <c r="ANT44" s="51"/>
      <c r="ANU44" s="51"/>
      <c r="ANV44" s="51"/>
      <c r="ANW44" s="51"/>
      <c r="ANX44" s="51"/>
      <c r="ANY44" s="51"/>
      <c r="ANZ44" s="51"/>
      <c r="AOA44" s="51"/>
      <c r="AOB44" s="51"/>
      <c r="AOC44" s="51"/>
      <c r="AOD44" s="51"/>
      <c r="AOE44" s="51"/>
      <c r="AOF44" s="51"/>
      <c r="AOG44" s="51"/>
      <c r="AOH44" s="51"/>
      <c r="AOI44" s="51"/>
      <c r="AOJ44" s="51"/>
      <c r="AOK44" s="51"/>
      <c r="AOL44" s="51"/>
      <c r="AOM44" s="51"/>
      <c r="AON44" s="51"/>
      <c r="AOO44" s="51"/>
      <c r="AOP44" s="51"/>
      <c r="AOQ44" s="51"/>
      <c r="AOR44" s="51"/>
      <c r="AOS44" s="51"/>
      <c r="AOT44" s="51"/>
      <c r="AOU44" s="51"/>
      <c r="AOV44" s="51"/>
      <c r="AOW44" s="51"/>
      <c r="AOX44" s="51"/>
      <c r="AOY44" s="51"/>
      <c r="AOZ44" s="51"/>
      <c r="APA44" s="51"/>
      <c r="APB44" s="51"/>
      <c r="APC44" s="51"/>
      <c r="APD44" s="51"/>
      <c r="APE44" s="51"/>
      <c r="APF44" s="51"/>
      <c r="APG44" s="51"/>
      <c r="APH44" s="51"/>
      <c r="API44" s="51"/>
      <c r="APJ44" s="51"/>
      <c r="APK44" s="51"/>
      <c r="APL44" s="51"/>
      <c r="APM44" s="51"/>
      <c r="APN44" s="51"/>
      <c r="APO44" s="51"/>
      <c r="APP44" s="51"/>
      <c r="APQ44" s="51"/>
      <c r="APR44" s="51"/>
      <c r="APS44" s="51"/>
      <c r="APT44" s="51"/>
      <c r="APU44" s="51"/>
      <c r="APV44" s="51"/>
      <c r="APW44" s="51"/>
      <c r="APX44" s="51"/>
      <c r="APY44" s="51"/>
      <c r="APZ44" s="51"/>
      <c r="AQA44" s="51"/>
      <c r="AQB44" s="51"/>
      <c r="AQC44" s="51"/>
      <c r="AQD44" s="51"/>
      <c r="AQE44" s="51"/>
      <c r="AQF44" s="51"/>
      <c r="AQG44" s="51"/>
      <c r="AQH44" s="51"/>
      <c r="AQI44" s="51"/>
      <c r="AQJ44" s="51"/>
      <c r="AQK44" s="51"/>
      <c r="AQL44" s="51"/>
      <c r="AQM44" s="51"/>
      <c r="AQN44" s="51"/>
      <c r="AQO44" s="51"/>
      <c r="AQP44" s="51"/>
      <c r="AQQ44" s="51"/>
      <c r="AQR44" s="51"/>
      <c r="AQS44" s="51"/>
      <c r="AQT44" s="51"/>
      <c r="AQU44" s="51"/>
      <c r="AQV44" s="51"/>
      <c r="AQW44" s="51"/>
      <c r="AQX44" s="51"/>
      <c r="AQY44" s="51"/>
      <c r="AQZ44" s="51"/>
      <c r="ARA44" s="51"/>
      <c r="ARB44" s="51"/>
      <c r="ARC44" s="51"/>
      <c r="ARD44" s="51"/>
      <c r="ARE44" s="51"/>
      <c r="ARF44" s="51"/>
      <c r="ARG44" s="51"/>
      <c r="ARH44" s="51"/>
      <c r="ARI44" s="51"/>
      <c r="ARJ44" s="51"/>
      <c r="ARK44" s="51"/>
      <c r="ARL44" s="51"/>
      <c r="ARM44" s="51"/>
      <c r="ARN44" s="51"/>
      <c r="ARO44" s="51"/>
      <c r="ARP44" s="51"/>
      <c r="ARQ44" s="51"/>
      <c r="ARR44" s="51"/>
      <c r="ARS44" s="51"/>
      <c r="ART44" s="51"/>
      <c r="ARU44" s="51"/>
      <c r="ARV44" s="51"/>
      <c r="ARW44" s="51"/>
      <c r="ARX44" s="51"/>
      <c r="ARY44" s="51"/>
      <c r="ARZ44" s="51"/>
      <c r="ASA44" s="51"/>
      <c r="ASB44" s="51"/>
      <c r="ASC44" s="51"/>
      <c r="ASD44" s="51"/>
      <c r="ASE44" s="51"/>
      <c r="ASF44" s="51"/>
      <c r="ASG44" s="51"/>
      <c r="ASH44" s="51"/>
      <c r="ASI44" s="51"/>
      <c r="ASJ44" s="51"/>
      <c r="ASK44" s="51"/>
      <c r="ASL44" s="51"/>
      <c r="ASM44" s="51"/>
      <c r="ASN44" s="51"/>
      <c r="ASO44" s="51"/>
      <c r="ASP44" s="51"/>
      <c r="ASQ44" s="51"/>
      <c r="ASR44" s="51"/>
      <c r="ASS44" s="51"/>
      <c r="AST44" s="51"/>
      <c r="ASU44" s="51"/>
      <c r="ASV44" s="51"/>
      <c r="ASW44" s="51"/>
      <c r="ASX44" s="51"/>
      <c r="ASY44" s="51"/>
      <c r="ASZ44" s="51"/>
      <c r="ATA44" s="51"/>
      <c r="ATB44" s="51"/>
      <c r="ATC44" s="51"/>
      <c r="ATD44" s="51"/>
      <c r="ATE44" s="51"/>
      <c r="ATF44" s="51"/>
      <c r="ATG44" s="51"/>
      <c r="ATH44" s="51"/>
      <c r="ATI44" s="51"/>
      <c r="ATJ44" s="51"/>
      <c r="ATK44" s="51"/>
      <c r="ATL44" s="51"/>
      <c r="ATM44" s="51"/>
      <c r="ATN44" s="51"/>
      <c r="ATO44" s="51"/>
      <c r="ATP44" s="51"/>
      <c r="ATQ44" s="51"/>
      <c r="ATR44" s="51"/>
      <c r="ATS44" s="51"/>
      <c r="ATT44" s="51"/>
      <c r="ATU44" s="51"/>
      <c r="ATV44" s="51"/>
      <c r="ATW44" s="51"/>
      <c r="ATX44" s="51"/>
      <c r="ATY44" s="51"/>
      <c r="ATZ44" s="51"/>
      <c r="AUA44" s="51"/>
      <c r="AUB44" s="51"/>
      <c r="AUC44" s="51"/>
      <c r="AUD44" s="51"/>
      <c r="AUE44" s="51"/>
      <c r="AUF44" s="51"/>
      <c r="AUG44" s="51"/>
      <c r="AUH44" s="51"/>
      <c r="AUI44" s="51"/>
      <c r="AUJ44" s="51"/>
      <c r="AUK44" s="51"/>
      <c r="AUL44" s="51"/>
      <c r="AUM44" s="51"/>
      <c r="AUN44" s="51"/>
      <c r="AUO44" s="51"/>
      <c r="AUP44" s="51"/>
      <c r="AUQ44" s="51"/>
      <c r="AUR44" s="51"/>
      <c r="AUS44" s="51"/>
      <c r="AUT44" s="51"/>
      <c r="AUU44" s="51"/>
      <c r="AUV44" s="51"/>
      <c r="AUW44" s="51"/>
      <c r="AUX44" s="51"/>
      <c r="AUY44" s="51"/>
      <c r="AUZ44" s="51"/>
      <c r="AVA44" s="51"/>
      <c r="AVB44" s="51"/>
      <c r="AVC44" s="51"/>
      <c r="AVD44" s="51"/>
      <c r="AVE44" s="51"/>
      <c r="AVF44" s="51"/>
      <c r="AVG44" s="51"/>
      <c r="AVH44" s="51"/>
      <c r="AVI44" s="51"/>
      <c r="AVJ44" s="51"/>
      <c r="AVK44" s="51"/>
      <c r="AVL44" s="51"/>
      <c r="AVM44" s="51"/>
      <c r="AVN44" s="51"/>
      <c r="AVO44" s="51"/>
      <c r="AVP44" s="51"/>
      <c r="AVQ44" s="51"/>
      <c r="AVR44" s="51"/>
      <c r="AVS44" s="51"/>
      <c r="AVT44" s="51"/>
      <c r="AVU44" s="51"/>
      <c r="AVV44" s="51"/>
      <c r="AVW44" s="51"/>
      <c r="AVX44" s="51"/>
      <c r="AVY44" s="51"/>
      <c r="AVZ44" s="51"/>
      <c r="AWA44" s="51"/>
      <c r="AWB44" s="51"/>
      <c r="AWC44" s="51"/>
      <c r="AWD44" s="51"/>
      <c r="AWE44" s="51"/>
      <c r="AWF44" s="51"/>
      <c r="AWG44" s="51"/>
      <c r="AWH44" s="51"/>
      <c r="AWI44" s="51"/>
      <c r="AWJ44" s="51"/>
      <c r="AWK44" s="51"/>
      <c r="AWL44" s="51"/>
      <c r="AWM44" s="51"/>
      <c r="AWN44" s="51"/>
      <c r="AWO44" s="51"/>
      <c r="AWP44" s="51"/>
      <c r="AWQ44" s="51"/>
      <c r="AWR44" s="51"/>
      <c r="AWS44" s="51"/>
      <c r="AWT44" s="51"/>
      <c r="AWU44" s="51"/>
      <c r="AWV44" s="51"/>
      <c r="AWW44" s="51"/>
      <c r="AWX44" s="51"/>
      <c r="AWY44" s="51"/>
      <c r="AWZ44" s="51"/>
      <c r="AXA44" s="51"/>
      <c r="AXB44" s="51"/>
      <c r="AXC44" s="51"/>
      <c r="AXD44" s="51"/>
      <c r="AXE44" s="51"/>
      <c r="AXF44" s="51"/>
      <c r="AXG44" s="51"/>
      <c r="AXH44" s="51"/>
      <c r="AXI44" s="51"/>
      <c r="AXJ44" s="51"/>
      <c r="AXK44" s="51"/>
      <c r="AXL44" s="51"/>
      <c r="AXM44" s="51"/>
      <c r="AXN44" s="51"/>
      <c r="AXO44" s="51"/>
      <c r="AXP44" s="51"/>
      <c r="AXQ44" s="51"/>
      <c r="AXR44" s="51"/>
      <c r="AXS44" s="51"/>
      <c r="AXT44" s="51"/>
      <c r="AXU44" s="51"/>
      <c r="AXV44" s="51"/>
      <c r="AXW44" s="51"/>
      <c r="AXX44" s="51"/>
      <c r="AXY44" s="51"/>
      <c r="AXZ44" s="51"/>
      <c r="AYA44" s="51"/>
      <c r="AYB44" s="51"/>
      <c r="AYC44" s="51"/>
      <c r="AYD44" s="51"/>
      <c r="AYE44" s="51"/>
      <c r="AYF44" s="51"/>
      <c r="AYG44" s="51"/>
      <c r="AYH44" s="51"/>
      <c r="AYI44" s="51"/>
      <c r="AYJ44" s="51"/>
      <c r="AYK44" s="51"/>
      <c r="AYL44" s="51"/>
      <c r="AYM44" s="51"/>
      <c r="AYN44" s="51"/>
      <c r="AYO44" s="51"/>
      <c r="AYP44" s="51"/>
      <c r="AYQ44" s="51"/>
      <c r="AYR44" s="51"/>
      <c r="AYS44" s="51"/>
      <c r="AYT44" s="51"/>
      <c r="AYU44" s="51"/>
      <c r="AYV44" s="51"/>
      <c r="AYW44" s="51"/>
      <c r="AYX44" s="51"/>
      <c r="AYY44" s="51"/>
      <c r="AYZ44" s="51"/>
      <c r="AZA44" s="51"/>
      <c r="AZB44" s="51"/>
      <c r="AZC44" s="51"/>
      <c r="AZD44" s="51"/>
      <c r="AZE44" s="51"/>
      <c r="AZF44" s="51"/>
      <c r="AZG44" s="51"/>
      <c r="AZH44" s="51"/>
      <c r="AZI44" s="51"/>
      <c r="AZJ44" s="51"/>
      <c r="AZK44" s="51"/>
      <c r="AZL44" s="51"/>
      <c r="AZM44" s="51"/>
      <c r="AZN44" s="51"/>
      <c r="AZO44" s="51"/>
      <c r="AZP44" s="51"/>
      <c r="AZQ44" s="51"/>
      <c r="AZR44" s="51"/>
      <c r="AZS44" s="51"/>
      <c r="AZT44" s="51"/>
      <c r="AZU44" s="51"/>
      <c r="AZV44" s="51"/>
      <c r="AZW44" s="51"/>
      <c r="AZX44" s="51"/>
      <c r="AZY44" s="51"/>
      <c r="AZZ44" s="51"/>
      <c r="BAA44" s="51"/>
      <c r="BAB44" s="51"/>
      <c r="BAC44" s="51"/>
      <c r="BAD44" s="51"/>
      <c r="BAE44" s="51"/>
      <c r="BAF44" s="51"/>
      <c r="BAG44" s="51"/>
      <c r="BAH44" s="51"/>
      <c r="BAI44" s="51"/>
      <c r="BAJ44" s="51"/>
      <c r="BAK44" s="51"/>
      <c r="BAL44" s="51"/>
      <c r="BAM44" s="51"/>
      <c r="BAN44" s="51"/>
      <c r="BAO44" s="51"/>
      <c r="BAP44" s="51"/>
      <c r="BAQ44" s="51"/>
      <c r="BAR44" s="51"/>
      <c r="BAS44" s="51"/>
      <c r="BAT44" s="51"/>
      <c r="BAU44" s="51"/>
      <c r="BAV44" s="51"/>
      <c r="BAW44" s="51"/>
      <c r="BAX44" s="51"/>
      <c r="BAY44" s="51"/>
      <c r="BAZ44" s="51"/>
      <c r="BBA44" s="51"/>
      <c r="BBB44" s="51"/>
      <c r="BBC44" s="51"/>
      <c r="BBD44" s="51"/>
      <c r="BBE44" s="51"/>
      <c r="BBF44" s="51"/>
      <c r="BBG44" s="51"/>
      <c r="BBH44" s="51"/>
      <c r="BBI44" s="51"/>
      <c r="BBJ44" s="51"/>
      <c r="BBK44" s="51"/>
      <c r="BBL44" s="51"/>
      <c r="BBM44" s="51"/>
      <c r="BBN44" s="51"/>
      <c r="BBO44" s="51"/>
      <c r="BBP44" s="51"/>
      <c r="BBQ44" s="51"/>
      <c r="BBR44" s="51"/>
      <c r="BBS44" s="51"/>
      <c r="BBT44" s="51"/>
      <c r="BBU44" s="51"/>
      <c r="BBV44" s="51"/>
      <c r="BBW44" s="51"/>
      <c r="BBX44" s="51"/>
      <c r="BBY44" s="51"/>
      <c r="BBZ44" s="51"/>
      <c r="BCA44" s="51"/>
      <c r="BCB44" s="51"/>
      <c r="BCC44" s="51"/>
      <c r="BCD44" s="51"/>
      <c r="BCE44" s="51"/>
      <c r="BCF44" s="51"/>
      <c r="BCG44" s="51"/>
      <c r="BCH44" s="51"/>
      <c r="BCI44" s="51"/>
      <c r="BCJ44" s="51"/>
      <c r="BCK44" s="51"/>
      <c r="BCL44" s="51"/>
      <c r="BCM44" s="51"/>
      <c r="BCN44" s="51"/>
      <c r="BCO44" s="51"/>
      <c r="BCP44" s="51"/>
      <c r="BCQ44" s="51"/>
      <c r="BCR44" s="51"/>
      <c r="BCS44" s="51"/>
      <c r="BCT44" s="51"/>
      <c r="BCU44" s="51"/>
      <c r="BCV44" s="51"/>
      <c r="BCW44" s="51"/>
      <c r="BCX44" s="51"/>
      <c r="BCY44" s="51"/>
      <c r="BCZ44" s="51"/>
      <c r="BDA44" s="51"/>
      <c r="BDB44" s="51"/>
      <c r="BDC44" s="51"/>
      <c r="BDD44" s="51"/>
      <c r="BDE44" s="51"/>
      <c r="BDF44" s="51"/>
      <c r="BDG44" s="51"/>
      <c r="BDH44" s="51"/>
      <c r="BDI44" s="51"/>
      <c r="BDJ44" s="51"/>
      <c r="BDK44" s="51"/>
      <c r="BDL44" s="51"/>
      <c r="BDM44" s="51"/>
      <c r="BDN44" s="51"/>
      <c r="BDO44" s="51"/>
      <c r="BDP44" s="51"/>
      <c r="BDQ44" s="51"/>
      <c r="BDR44" s="51"/>
      <c r="BDS44" s="51"/>
      <c r="BDT44" s="51"/>
      <c r="BDU44" s="51"/>
      <c r="BDV44" s="51"/>
      <c r="BDW44" s="51"/>
      <c r="BDX44" s="51"/>
      <c r="BDY44" s="51"/>
      <c r="BDZ44" s="51"/>
      <c r="BEA44" s="51"/>
      <c r="BEB44" s="51"/>
      <c r="BEC44" s="51"/>
      <c r="BED44" s="51"/>
      <c r="BEE44" s="51"/>
      <c r="BEF44" s="51"/>
      <c r="BEG44" s="51"/>
      <c r="BEH44" s="51"/>
      <c r="BEI44" s="51"/>
      <c r="BEJ44" s="51"/>
      <c r="BEK44" s="51"/>
      <c r="BEL44" s="51"/>
      <c r="BEM44" s="51"/>
      <c r="BEN44" s="51"/>
      <c r="BEO44" s="51"/>
      <c r="BEP44" s="51"/>
      <c r="BEQ44" s="51"/>
      <c r="BER44" s="51"/>
      <c r="BES44" s="51"/>
      <c r="BET44" s="51"/>
      <c r="BEU44" s="51"/>
      <c r="BEV44" s="51"/>
      <c r="BEW44" s="51"/>
      <c r="BEX44" s="51"/>
      <c r="BEY44" s="51"/>
      <c r="BEZ44" s="51"/>
      <c r="BFA44" s="51"/>
      <c r="BFB44" s="51"/>
      <c r="BFC44" s="51"/>
      <c r="BFD44" s="51"/>
      <c r="BFE44" s="51"/>
      <c r="BFF44" s="51"/>
      <c r="BFG44" s="51"/>
      <c r="BFH44" s="51"/>
      <c r="BFI44" s="51"/>
      <c r="BFJ44" s="51"/>
      <c r="BFK44" s="51"/>
      <c r="BFL44" s="51"/>
      <c r="BFM44" s="51"/>
      <c r="BFN44" s="51"/>
      <c r="BFO44" s="51"/>
      <c r="BFP44" s="51"/>
      <c r="BFQ44" s="51"/>
      <c r="BFR44" s="51"/>
      <c r="BFS44" s="51"/>
      <c r="BFT44" s="51"/>
      <c r="BFU44" s="51"/>
      <c r="BFV44" s="51"/>
      <c r="BFW44" s="51"/>
      <c r="BFX44" s="51"/>
      <c r="BFY44" s="51"/>
      <c r="BFZ44" s="51"/>
      <c r="BGA44" s="51"/>
      <c r="BGB44" s="51"/>
      <c r="BGC44" s="51"/>
      <c r="BGD44" s="51"/>
      <c r="BGE44" s="51"/>
      <c r="BGF44" s="51"/>
      <c r="BGG44" s="51"/>
      <c r="BGH44" s="51"/>
      <c r="BGI44" s="51"/>
      <c r="BGJ44" s="51"/>
      <c r="BGK44" s="51"/>
      <c r="BGL44" s="51"/>
      <c r="BGM44" s="51"/>
      <c r="BGN44" s="51"/>
      <c r="BGO44" s="51"/>
      <c r="BGP44" s="51"/>
      <c r="BGQ44" s="51"/>
      <c r="BGR44" s="51"/>
      <c r="BGS44" s="51"/>
      <c r="BGT44" s="51"/>
      <c r="BGU44" s="51"/>
      <c r="BGV44" s="51"/>
      <c r="BGW44" s="51"/>
      <c r="BGX44" s="51"/>
      <c r="BGY44" s="51"/>
      <c r="BGZ44" s="51"/>
      <c r="BHA44" s="51"/>
      <c r="BHB44" s="51"/>
      <c r="BHC44" s="51"/>
      <c r="BHD44" s="51"/>
      <c r="BHE44" s="51"/>
      <c r="BHF44" s="51"/>
      <c r="BHG44" s="51"/>
      <c r="BHH44" s="51"/>
      <c r="BHI44" s="51"/>
      <c r="BHJ44" s="51"/>
      <c r="BHK44" s="51"/>
      <c r="BHL44" s="51"/>
      <c r="BHM44" s="51"/>
      <c r="BHN44" s="51"/>
      <c r="BHO44" s="51"/>
      <c r="BHP44" s="51"/>
      <c r="BHQ44" s="51"/>
      <c r="BHR44" s="51"/>
      <c r="BHS44" s="51"/>
      <c r="BHT44" s="51"/>
      <c r="BHU44" s="51"/>
      <c r="BHV44" s="51"/>
      <c r="BHW44" s="51"/>
      <c r="BHX44" s="51"/>
      <c r="BHY44" s="51"/>
      <c r="BHZ44" s="51"/>
      <c r="BIA44" s="51"/>
      <c r="BIB44" s="51"/>
      <c r="BIC44" s="51"/>
      <c r="BID44" s="51"/>
      <c r="BIE44" s="51"/>
      <c r="BIF44" s="51"/>
      <c r="BIG44" s="51"/>
      <c r="BIH44" s="51"/>
      <c r="BII44" s="51"/>
      <c r="BIJ44" s="51"/>
      <c r="BIK44" s="51"/>
      <c r="BIL44" s="51"/>
      <c r="BIM44" s="51"/>
      <c r="BIN44" s="51"/>
      <c r="BIO44" s="51"/>
      <c r="BIP44" s="51"/>
      <c r="BIQ44" s="51"/>
      <c r="BIR44" s="51"/>
      <c r="BIS44" s="51"/>
      <c r="BIT44" s="51"/>
      <c r="BIU44" s="51"/>
      <c r="BIV44" s="51"/>
      <c r="BIW44" s="51"/>
      <c r="BIX44" s="51"/>
      <c r="BIY44" s="51"/>
      <c r="BIZ44" s="51"/>
      <c r="BJA44" s="51"/>
      <c r="BJB44" s="51"/>
      <c r="BJC44" s="51"/>
      <c r="BJD44" s="51"/>
      <c r="BJE44" s="51"/>
      <c r="BJF44" s="51"/>
      <c r="BJG44" s="51"/>
      <c r="BJH44" s="51"/>
      <c r="BJI44" s="51"/>
      <c r="BJJ44" s="51"/>
      <c r="BJK44" s="51"/>
      <c r="BJL44" s="51"/>
      <c r="BJM44" s="51"/>
      <c r="BJN44" s="51"/>
      <c r="BJO44" s="51"/>
      <c r="BJP44" s="51"/>
      <c r="BJQ44" s="51"/>
      <c r="BJR44" s="51"/>
      <c r="BJS44" s="51"/>
      <c r="BJT44" s="51"/>
      <c r="BJU44" s="51"/>
      <c r="BJV44" s="51"/>
      <c r="BJW44" s="51"/>
      <c r="BJX44" s="51"/>
      <c r="BJY44" s="51"/>
      <c r="BJZ44" s="51"/>
      <c r="BKA44" s="51"/>
      <c r="BKB44" s="51"/>
      <c r="BKC44" s="51"/>
      <c r="BKD44" s="51"/>
      <c r="BKE44" s="51"/>
      <c r="BKF44" s="51"/>
      <c r="BKG44" s="51"/>
      <c r="BKH44" s="51"/>
      <c r="BKI44" s="51"/>
      <c r="BKJ44" s="51"/>
      <c r="BKK44" s="51"/>
      <c r="BKL44" s="51"/>
      <c r="BKM44" s="51"/>
      <c r="BKN44" s="51"/>
      <c r="BKO44" s="51"/>
      <c r="BKP44" s="51"/>
      <c r="BKQ44" s="51"/>
      <c r="BKR44" s="51"/>
      <c r="BKS44" s="51"/>
      <c r="BKT44" s="51"/>
      <c r="BKU44" s="51"/>
      <c r="BKV44" s="51"/>
      <c r="BKW44" s="51"/>
      <c r="BKX44" s="51"/>
      <c r="BKY44" s="51"/>
      <c r="BKZ44" s="51"/>
      <c r="BLA44" s="51"/>
      <c r="BLB44" s="51"/>
      <c r="BLC44" s="51"/>
      <c r="BLD44" s="51"/>
      <c r="BLE44" s="51"/>
      <c r="BLF44" s="51"/>
      <c r="BLG44" s="51"/>
      <c r="BLH44" s="51"/>
      <c r="BLI44" s="51"/>
      <c r="BLJ44" s="51"/>
      <c r="BLK44" s="51"/>
      <c r="BLL44" s="51"/>
      <c r="BLM44" s="51"/>
      <c r="BLN44" s="51"/>
      <c r="BLO44" s="51"/>
      <c r="BLP44" s="51"/>
      <c r="BLQ44" s="51"/>
      <c r="BLR44" s="51"/>
      <c r="BLS44" s="51"/>
      <c r="BLT44" s="51"/>
      <c r="BLU44" s="51"/>
      <c r="BLV44" s="51"/>
      <c r="BLW44" s="51"/>
      <c r="BLX44" s="51"/>
      <c r="BLY44" s="51"/>
      <c r="BLZ44" s="51"/>
      <c r="BMA44" s="51"/>
      <c r="BMB44" s="51"/>
      <c r="BMC44" s="51"/>
      <c r="BMD44" s="51"/>
      <c r="BME44" s="51"/>
      <c r="BMF44" s="51"/>
      <c r="BMG44" s="51"/>
      <c r="BMH44" s="51"/>
      <c r="BMI44" s="51"/>
      <c r="BMJ44" s="51"/>
      <c r="BMK44" s="51"/>
      <c r="BML44" s="51"/>
      <c r="BMM44" s="51"/>
      <c r="BMN44" s="51"/>
      <c r="BMO44" s="51"/>
      <c r="BMP44" s="51"/>
      <c r="BMQ44" s="51"/>
      <c r="BMR44" s="51"/>
      <c r="BMS44" s="51"/>
      <c r="BMT44" s="51"/>
      <c r="BMU44" s="51"/>
      <c r="BMV44" s="51"/>
      <c r="BMW44" s="51"/>
      <c r="BMX44" s="51"/>
      <c r="BMY44" s="51"/>
      <c r="BMZ44" s="51"/>
      <c r="BNA44" s="51"/>
      <c r="BNB44" s="51"/>
      <c r="BNC44" s="51"/>
      <c r="BND44" s="51"/>
      <c r="BNE44" s="51"/>
      <c r="BNF44" s="51"/>
      <c r="BNG44" s="51"/>
      <c r="BNH44" s="51"/>
      <c r="BNI44" s="51"/>
      <c r="BNJ44" s="51"/>
      <c r="BNK44" s="51"/>
      <c r="BNL44" s="51"/>
      <c r="BNM44" s="51"/>
      <c r="BNN44" s="51"/>
      <c r="BNO44" s="51"/>
      <c r="BNP44" s="51"/>
      <c r="BNQ44" s="51"/>
      <c r="BNR44" s="51"/>
      <c r="BNS44" s="51"/>
      <c r="BNT44" s="51"/>
      <c r="BNU44" s="51"/>
      <c r="BNV44" s="51"/>
      <c r="BNW44" s="51"/>
      <c r="BNX44" s="51"/>
      <c r="BNY44" s="51"/>
      <c r="BNZ44" s="51"/>
      <c r="BOA44" s="51"/>
      <c r="BOB44" s="51"/>
      <c r="BOC44" s="51"/>
      <c r="BOD44" s="51"/>
      <c r="BOE44" s="51"/>
      <c r="BOF44" s="51"/>
      <c r="BOG44" s="51"/>
      <c r="BOH44" s="51"/>
      <c r="BOI44" s="51"/>
      <c r="BOJ44" s="51"/>
      <c r="BOK44" s="51"/>
      <c r="BOL44" s="51"/>
      <c r="BOM44" s="51"/>
      <c r="BON44" s="51"/>
      <c r="BOO44" s="51"/>
      <c r="BOP44" s="51"/>
      <c r="BOQ44" s="51"/>
      <c r="BOR44" s="51"/>
      <c r="BOS44" s="51"/>
      <c r="BOT44" s="51"/>
      <c r="BOU44" s="51"/>
      <c r="BOV44" s="51"/>
      <c r="BOW44" s="51"/>
      <c r="BOX44" s="51"/>
      <c r="BOY44" s="51"/>
      <c r="BOZ44" s="51"/>
      <c r="BPA44" s="51"/>
      <c r="BPB44" s="51"/>
      <c r="BPC44" s="51"/>
      <c r="BPD44" s="51"/>
      <c r="BPE44" s="51"/>
      <c r="BPF44" s="51"/>
      <c r="BPG44" s="51"/>
      <c r="BPH44" s="51"/>
      <c r="BPI44" s="51"/>
      <c r="BPJ44" s="51"/>
      <c r="BPK44" s="51"/>
      <c r="BPL44" s="51"/>
      <c r="BPM44" s="51"/>
      <c r="BPN44" s="51"/>
      <c r="BPO44" s="51"/>
      <c r="BPP44" s="51"/>
      <c r="BPQ44" s="51"/>
      <c r="BPR44" s="51"/>
      <c r="BPS44" s="51"/>
      <c r="BPT44" s="51"/>
      <c r="BPU44" s="51"/>
      <c r="BPV44" s="51"/>
      <c r="BPW44" s="51"/>
      <c r="BPX44" s="51"/>
      <c r="BPY44" s="51"/>
      <c r="BPZ44" s="51"/>
      <c r="BQA44" s="51"/>
      <c r="BQB44" s="51"/>
      <c r="BQC44" s="51"/>
      <c r="BQD44" s="51"/>
      <c r="BQE44" s="51"/>
      <c r="BQF44" s="51"/>
      <c r="BQG44" s="51"/>
      <c r="BQH44" s="51"/>
      <c r="BQI44" s="51"/>
      <c r="BQJ44" s="51"/>
      <c r="BQK44" s="51"/>
      <c r="BQL44" s="51"/>
      <c r="BQM44" s="51"/>
      <c r="BQN44" s="51"/>
      <c r="BQO44" s="51"/>
      <c r="BQP44" s="51"/>
      <c r="BQQ44" s="51"/>
      <c r="BQR44" s="51"/>
      <c r="BQS44" s="51"/>
      <c r="BQT44" s="51"/>
      <c r="BQU44" s="51"/>
      <c r="BQV44" s="51"/>
      <c r="BQW44" s="51"/>
      <c r="BQX44" s="51"/>
      <c r="BQY44" s="51"/>
      <c r="BQZ44" s="51"/>
      <c r="BRA44" s="51"/>
      <c r="BRB44" s="51"/>
      <c r="BRC44" s="51"/>
      <c r="BRD44" s="51"/>
      <c r="BRE44" s="51"/>
      <c r="BRF44" s="51"/>
      <c r="BRG44" s="51"/>
      <c r="BRH44" s="51"/>
      <c r="BRI44" s="51"/>
      <c r="BRJ44" s="51"/>
      <c r="BRK44" s="51"/>
      <c r="BRL44" s="51"/>
      <c r="BRM44" s="51"/>
      <c r="BRN44" s="51"/>
      <c r="BRO44" s="51"/>
      <c r="BRP44" s="51"/>
      <c r="BRQ44" s="51"/>
      <c r="BRR44" s="51"/>
      <c r="BRS44" s="51"/>
      <c r="BRT44" s="51"/>
      <c r="BRU44" s="51"/>
      <c r="BRV44" s="51"/>
      <c r="BRW44" s="51"/>
      <c r="BRX44" s="51"/>
      <c r="BRY44" s="51"/>
      <c r="BRZ44" s="51"/>
      <c r="BSA44" s="51"/>
      <c r="BSB44" s="51"/>
      <c r="BSC44" s="51"/>
      <c r="BSD44" s="51"/>
      <c r="BSE44" s="51"/>
      <c r="BSF44" s="51"/>
      <c r="BSG44" s="51"/>
      <c r="BSH44" s="51"/>
      <c r="BSI44" s="51"/>
      <c r="BSJ44" s="51"/>
      <c r="BSK44" s="51"/>
      <c r="BSL44" s="51"/>
      <c r="BSM44" s="51"/>
      <c r="BSN44" s="51"/>
      <c r="BSO44" s="51"/>
      <c r="BSP44" s="51"/>
      <c r="BSQ44" s="51"/>
      <c r="BSR44" s="51"/>
      <c r="BSS44" s="51"/>
      <c r="BST44" s="51"/>
      <c r="BSU44" s="51"/>
      <c r="BSV44" s="51"/>
      <c r="BSW44" s="51"/>
      <c r="BSX44" s="51"/>
      <c r="BSY44" s="51"/>
      <c r="BSZ44" s="51"/>
      <c r="BTA44" s="51"/>
      <c r="BTB44" s="51"/>
      <c r="BTC44" s="51"/>
      <c r="BTD44" s="51"/>
      <c r="BTE44" s="51"/>
      <c r="BTF44" s="51"/>
      <c r="BTG44" s="51"/>
      <c r="BTH44" s="51"/>
      <c r="BTI44" s="51"/>
      <c r="BTJ44" s="51"/>
      <c r="BTK44" s="51"/>
      <c r="BTL44" s="51"/>
      <c r="BTM44" s="51"/>
      <c r="BTN44" s="51"/>
      <c r="BTO44" s="51"/>
      <c r="BTP44" s="51"/>
      <c r="BTQ44" s="51"/>
      <c r="BTR44" s="51"/>
      <c r="BTS44" s="51"/>
      <c r="BTT44" s="51"/>
      <c r="BTU44" s="51"/>
      <c r="BTV44" s="51"/>
      <c r="BTW44" s="51"/>
      <c r="BTX44" s="51"/>
      <c r="BTY44" s="51"/>
      <c r="BTZ44" s="51"/>
      <c r="BUA44" s="51"/>
      <c r="BUB44" s="51"/>
      <c r="BUC44" s="51"/>
      <c r="BUD44" s="51"/>
      <c r="BUE44" s="51"/>
      <c r="BUF44" s="51"/>
      <c r="BUG44" s="51"/>
      <c r="BUH44" s="51"/>
      <c r="BUI44" s="51"/>
      <c r="BUJ44" s="51"/>
      <c r="BUK44" s="51"/>
      <c r="BUL44" s="51"/>
      <c r="BUM44" s="51"/>
      <c r="BUN44" s="51"/>
      <c r="BUO44" s="51"/>
      <c r="BUP44" s="51"/>
      <c r="BUQ44" s="51"/>
      <c r="BUR44" s="51"/>
      <c r="BUS44" s="51"/>
      <c r="BUT44" s="51"/>
      <c r="BUU44" s="51"/>
      <c r="BUV44" s="51"/>
      <c r="BUW44" s="51"/>
      <c r="BUX44" s="51"/>
      <c r="BUY44" s="51"/>
      <c r="BUZ44" s="51"/>
      <c r="BVA44" s="51"/>
      <c r="BVB44" s="51"/>
      <c r="BVC44" s="51"/>
      <c r="BVD44" s="51"/>
      <c r="BVE44" s="51"/>
      <c r="BVF44" s="51"/>
      <c r="BVG44" s="51"/>
      <c r="BVH44" s="51"/>
      <c r="BVI44" s="51"/>
      <c r="BVJ44" s="51"/>
      <c r="BVK44" s="51"/>
      <c r="BVL44" s="51"/>
      <c r="BVM44" s="51"/>
      <c r="BVN44" s="51"/>
      <c r="BVO44" s="51"/>
      <c r="BVP44" s="51"/>
      <c r="BVQ44" s="51"/>
      <c r="BVR44" s="51"/>
      <c r="BVS44" s="51"/>
      <c r="BVT44" s="51"/>
      <c r="BVU44" s="51"/>
      <c r="BVV44" s="51"/>
      <c r="BVW44" s="51"/>
      <c r="BVX44" s="51"/>
      <c r="BVY44" s="51"/>
      <c r="BVZ44" s="51"/>
      <c r="BWA44" s="51"/>
      <c r="BWB44" s="51"/>
      <c r="BWC44" s="51"/>
      <c r="BWD44" s="51"/>
      <c r="BWE44" s="51"/>
      <c r="BWF44" s="51"/>
      <c r="BWG44" s="51"/>
      <c r="BWH44" s="51"/>
      <c r="BWI44" s="51"/>
      <c r="BWJ44" s="51"/>
      <c r="BWK44" s="51"/>
      <c r="BWL44" s="51"/>
      <c r="BWM44" s="51"/>
      <c r="BWN44" s="51"/>
      <c r="BWO44" s="51"/>
      <c r="BWP44" s="51"/>
      <c r="BWQ44" s="51"/>
      <c r="BWR44" s="51"/>
      <c r="BWS44" s="51"/>
      <c r="BWT44" s="51"/>
      <c r="BWU44" s="51"/>
      <c r="BWV44" s="51"/>
      <c r="BWW44" s="51"/>
      <c r="BWX44" s="51"/>
      <c r="BWY44" s="51"/>
      <c r="BWZ44" s="51"/>
      <c r="BXA44" s="51"/>
      <c r="BXB44" s="51"/>
      <c r="BXC44" s="51"/>
      <c r="BXD44" s="51"/>
      <c r="BXE44" s="51"/>
      <c r="BXF44" s="51"/>
      <c r="BXG44" s="51"/>
      <c r="BXH44" s="51"/>
      <c r="BXI44" s="51"/>
      <c r="BXJ44" s="51"/>
      <c r="BXK44" s="51"/>
      <c r="BXL44" s="51"/>
      <c r="BXM44" s="51"/>
      <c r="BXN44" s="51"/>
      <c r="BXO44" s="51"/>
      <c r="BXP44" s="51"/>
      <c r="BXQ44" s="51"/>
      <c r="BXR44" s="51"/>
      <c r="BXS44" s="51"/>
      <c r="BXT44" s="51"/>
      <c r="BXU44" s="51"/>
      <c r="BXV44" s="51"/>
      <c r="BXW44" s="51"/>
      <c r="BXX44" s="51"/>
      <c r="BXY44" s="51"/>
      <c r="BXZ44" s="51"/>
      <c r="BYA44" s="51"/>
      <c r="BYB44" s="51"/>
      <c r="BYC44" s="51"/>
      <c r="BYD44" s="51"/>
      <c r="BYE44" s="51"/>
      <c r="BYF44" s="51"/>
      <c r="BYG44" s="51"/>
      <c r="BYH44" s="51"/>
      <c r="BYI44" s="51"/>
      <c r="BYJ44" s="51"/>
      <c r="BYK44" s="51"/>
      <c r="BYL44" s="51"/>
      <c r="BYM44" s="51"/>
      <c r="BYN44" s="51"/>
      <c r="BYO44" s="51"/>
      <c r="BYP44" s="51"/>
      <c r="BYQ44" s="51"/>
      <c r="BYR44" s="51"/>
      <c r="BYS44" s="51"/>
      <c r="BYT44" s="51"/>
      <c r="BYU44" s="51"/>
      <c r="BYV44" s="51"/>
      <c r="BYW44" s="51"/>
      <c r="BYX44" s="51"/>
      <c r="BYY44" s="51"/>
      <c r="BYZ44" s="51"/>
      <c r="BZA44" s="51"/>
      <c r="BZB44" s="51"/>
      <c r="BZC44" s="51"/>
      <c r="BZD44" s="51"/>
      <c r="BZE44" s="51"/>
      <c r="BZF44" s="51"/>
      <c r="BZG44" s="51"/>
      <c r="BZH44" s="51"/>
      <c r="BZI44" s="51"/>
      <c r="BZJ44" s="51"/>
      <c r="BZK44" s="51"/>
      <c r="BZL44" s="51"/>
      <c r="BZM44" s="51"/>
      <c r="BZN44" s="51"/>
      <c r="BZO44" s="51"/>
      <c r="BZP44" s="51"/>
      <c r="BZQ44" s="51"/>
      <c r="BZR44" s="51"/>
      <c r="BZS44" s="51"/>
      <c r="BZT44" s="51"/>
      <c r="BZU44" s="51"/>
      <c r="BZV44" s="51"/>
      <c r="BZW44" s="51"/>
      <c r="BZX44" s="51"/>
      <c r="BZY44" s="51"/>
      <c r="BZZ44" s="51"/>
      <c r="CAA44" s="51"/>
      <c r="CAB44" s="51"/>
      <c r="CAC44" s="51"/>
      <c r="CAD44" s="51"/>
      <c r="CAE44" s="51"/>
      <c r="CAF44" s="51"/>
      <c r="CAG44" s="51"/>
      <c r="CAH44" s="51"/>
      <c r="CAI44" s="51"/>
      <c r="CAJ44" s="51"/>
      <c r="CAK44" s="51"/>
      <c r="CAL44" s="51"/>
      <c r="CAM44" s="51"/>
      <c r="CAN44" s="51"/>
      <c r="CAO44" s="51"/>
      <c r="CAP44" s="51"/>
      <c r="CAQ44" s="51"/>
      <c r="CAR44" s="51"/>
      <c r="CAS44" s="51"/>
      <c r="CAT44" s="51"/>
      <c r="CAU44" s="51"/>
      <c r="CAV44" s="51"/>
      <c r="CAW44" s="51"/>
      <c r="CAX44" s="51"/>
      <c r="CAY44" s="51"/>
      <c r="CAZ44" s="51"/>
      <c r="CBA44" s="51"/>
      <c r="CBB44" s="51"/>
      <c r="CBC44" s="51"/>
      <c r="CBD44" s="51"/>
      <c r="CBE44" s="51"/>
      <c r="CBF44" s="51"/>
      <c r="CBG44" s="51"/>
      <c r="CBH44" s="51"/>
      <c r="CBI44" s="51"/>
      <c r="CBJ44" s="51"/>
      <c r="CBK44" s="51"/>
      <c r="CBL44" s="51"/>
      <c r="CBM44" s="51"/>
      <c r="CBN44" s="51"/>
      <c r="CBO44" s="51"/>
      <c r="CBP44" s="51"/>
      <c r="CBQ44" s="51"/>
      <c r="CBR44" s="51"/>
      <c r="CBS44" s="51"/>
      <c r="CBT44" s="51"/>
      <c r="CBU44" s="51"/>
      <c r="CBV44" s="51"/>
      <c r="CBW44" s="51"/>
      <c r="CBX44" s="51"/>
      <c r="CBY44" s="51"/>
      <c r="CBZ44" s="51"/>
      <c r="CCA44" s="51"/>
      <c r="CCB44" s="51"/>
      <c r="CCC44" s="51"/>
      <c r="CCD44" s="51"/>
      <c r="CCE44" s="51"/>
      <c r="CCF44" s="51"/>
      <c r="CCG44" s="51"/>
      <c r="CCH44" s="51"/>
      <c r="CCI44" s="51"/>
      <c r="CCJ44" s="51"/>
      <c r="CCK44" s="51"/>
      <c r="CCL44" s="51"/>
      <c r="CCM44" s="51"/>
      <c r="CCN44" s="51"/>
      <c r="CCO44" s="51"/>
      <c r="CCP44" s="51"/>
      <c r="CCQ44" s="51"/>
      <c r="CCR44" s="51"/>
      <c r="CCS44" s="51"/>
      <c r="CCT44" s="51"/>
      <c r="CCU44" s="51"/>
      <c r="CCV44" s="51"/>
      <c r="CCW44" s="51"/>
      <c r="CCX44" s="51"/>
      <c r="CCY44" s="51"/>
      <c r="CCZ44" s="51"/>
      <c r="CDA44" s="51"/>
      <c r="CDB44" s="51"/>
      <c r="CDC44" s="51"/>
      <c r="CDD44" s="51"/>
      <c r="CDE44" s="51"/>
      <c r="CDF44" s="51"/>
      <c r="CDG44" s="51"/>
      <c r="CDH44" s="51"/>
      <c r="CDI44" s="51"/>
      <c r="CDJ44" s="51"/>
      <c r="CDK44" s="51"/>
      <c r="CDL44" s="51"/>
      <c r="CDM44" s="51"/>
      <c r="CDN44" s="51"/>
      <c r="CDO44" s="51"/>
      <c r="CDP44" s="51"/>
      <c r="CDQ44" s="51"/>
      <c r="CDR44" s="51"/>
      <c r="CDS44" s="51"/>
      <c r="CDT44" s="51"/>
      <c r="CDU44" s="51"/>
      <c r="CDV44" s="51"/>
      <c r="CDW44" s="51"/>
      <c r="CDX44" s="51"/>
      <c r="CDY44" s="51"/>
      <c r="CDZ44" s="51"/>
      <c r="CEA44" s="51"/>
      <c r="CEB44" s="51"/>
      <c r="CEC44" s="51"/>
      <c r="CED44" s="51"/>
      <c r="CEE44" s="51"/>
      <c r="CEF44" s="51"/>
      <c r="CEG44" s="51"/>
      <c r="CEH44" s="51"/>
      <c r="CEI44" s="51"/>
      <c r="CEJ44" s="51"/>
      <c r="CEK44" s="51"/>
      <c r="CEL44" s="51"/>
      <c r="CEM44" s="51"/>
      <c r="CEN44" s="51"/>
      <c r="CEO44" s="51"/>
      <c r="CEP44" s="51"/>
      <c r="CEQ44" s="51"/>
      <c r="CER44" s="51"/>
      <c r="CES44" s="51"/>
      <c r="CET44" s="51"/>
      <c r="CEU44" s="51"/>
      <c r="CEV44" s="51"/>
      <c r="CEW44" s="51"/>
      <c r="CEX44" s="51"/>
      <c r="CEY44" s="51"/>
      <c r="CEZ44" s="51"/>
      <c r="CFA44" s="51"/>
      <c r="CFB44" s="51"/>
      <c r="CFC44" s="51"/>
      <c r="CFD44" s="51"/>
      <c r="CFE44" s="51"/>
      <c r="CFF44" s="51"/>
      <c r="CFG44" s="51"/>
      <c r="CFH44" s="51"/>
      <c r="CFI44" s="51"/>
      <c r="CFJ44" s="51"/>
      <c r="CFK44" s="51"/>
      <c r="CFL44" s="51"/>
      <c r="CFM44" s="51"/>
      <c r="CFN44" s="51"/>
      <c r="CFO44" s="51"/>
      <c r="CFP44" s="51"/>
      <c r="CFQ44" s="51"/>
      <c r="CFR44" s="51"/>
      <c r="CFS44" s="51"/>
      <c r="CFT44" s="51"/>
      <c r="CFU44" s="51"/>
      <c r="CFV44" s="51"/>
      <c r="CFW44" s="51"/>
      <c r="CFX44" s="51"/>
      <c r="CFY44" s="51"/>
      <c r="CFZ44" s="51"/>
      <c r="CGA44" s="51"/>
      <c r="CGB44" s="51"/>
      <c r="CGC44" s="51"/>
      <c r="CGD44" s="51"/>
      <c r="CGE44" s="51"/>
      <c r="CGF44" s="51"/>
      <c r="CGG44" s="51"/>
      <c r="CGH44" s="51"/>
      <c r="CGI44" s="51"/>
      <c r="CGJ44" s="51"/>
      <c r="CGK44" s="51"/>
      <c r="CGL44" s="51"/>
      <c r="CGM44" s="51"/>
      <c r="CGN44" s="51"/>
      <c r="CGO44" s="51"/>
      <c r="CGP44" s="51"/>
      <c r="CGQ44" s="51"/>
      <c r="CGR44" s="51"/>
      <c r="CGS44" s="51"/>
      <c r="CGT44" s="51"/>
      <c r="CGU44" s="51"/>
      <c r="CGV44" s="51"/>
      <c r="CGW44" s="51"/>
      <c r="CGX44" s="51"/>
      <c r="CGY44" s="51"/>
      <c r="CGZ44" s="51"/>
      <c r="CHA44" s="51"/>
      <c r="CHB44" s="51"/>
      <c r="CHC44" s="51"/>
      <c r="CHD44" s="51"/>
      <c r="CHE44" s="51"/>
      <c r="CHF44" s="51"/>
      <c r="CHG44" s="51"/>
      <c r="CHH44" s="51"/>
      <c r="CHI44" s="51"/>
      <c r="CHJ44" s="51"/>
      <c r="CHK44" s="51"/>
      <c r="CHL44" s="51"/>
      <c r="CHM44" s="51"/>
      <c r="CHN44" s="51"/>
      <c r="CHO44" s="51"/>
      <c r="CHP44" s="51"/>
      <c r="CHQ44" s="51"/>
      <c r="CHR44" s="51"/>
      <c r="CHS44" s="51"/>
      <c r="CHT44" s="51"/>
      <c r="CHU44" s="51"/>
      <c r="CHV44" s="51"/>
      <c r="CHW44" s="51"/>
      <c r="CHX44" s="51"/>
      <c r="CHY44" s="51"/>
      <c r="CHZ44" s="51"/>
      <c r="CIA44" s="51"/>
      <c r="CIB44" s="51"/>
      <c r="CIC44" s="51"/>
      <c r="CID44" s="51"/>
      <c r="CIE44" s="51"/>
      <c r="CIF44" s="51"/>
      <c r="CIG44" s="51"/>
      <c r="CIH44" s="51"/>
      <c r="CII44" s="51"/>
      <c r="CIJ44" s="51"/>
      <c r="CIK44" s="51"/>
      <c r="CIL44" s="51"/>
      <c r="CIM44" s="51"/>
      <c r="CIN44" s="51"/>
      <c r="CIO44" s="51"/>
      <c r="CIP44" s="51"/>
      <c r="CIQ44" s="51"/>
      <c r="CIR44" s="51"/>
      <c r="CIS44" s="51"/>
      <c r="CIT44" s="51"/>
      <c r="CIU44" s="51"/>
      <c r="CIV44" s="51"/>
      <c r="CIW44" s="51"/>
      <c r="CIX44" s="51"/>
      <c r="CIY44" s="51"/>
      <c r="CIZ44" s="51"/>
      <c r="CJA44" s="51"/>
      <c r="CJB44" s="51"/>
      <c r="CJC44" s="51"/>
      <c r="CJD44" s="51"/>
      <c r="CJE44" s="51"/>
      <c r="CJF44" s="51"/>
      <c r="CJG44" s="51"/>
      <c r="CJH44" s="51"/>
      <c r="CJI44" s="51"/>
      <c r="CJJ44" s="51"/>
      <c r="CJK44" s="51"/>
      <c r="CJL44" s="51"/>
      <c r="CJM44" s="51"/>
      <c r="CJN44" s="51"/>
      <c r="CJO44" s="51"/>
      <c r="CJP44" s="51"/>
      <c r="CJQ44" s="51"/>
      <c r="CJR44" s="51"/>
      <c r="CJS44" s="51"/>
      <c r="CJT44" s="51"/>
      <c r="CJU44" s="51"/>
      <c r="CJV44" s="51"/>
      <c r="CJW44" s="51"/>
      <c r="CJX44" s="51"/>
      <c r="CJY44" s="51"/>
      <c r="CJZ44" s="51"/>
      <c r="CKA44" s="51"/>
      <c r="CKB44" s="51"/>
      <c r="CKC44" s="51"/>
      <c r="CKD44" s="51"/>
      <c r="CKE44" s="51"/>
      <c r="CKF44" s="51"/>
      <c r="CKG44" s="51"/>
      <c r="CKH44" s="51"/>
      <c r="CKI44" s="51"/>
      <c r="CKJ44" s="51"/>
      <c r="CKK44" s="51"/>
      <c r="CKL44" s="51"/>
      <c r="CKM44" s="51"/>
      <c r="CKN44" s="51"/>
      <c r="CKO44" s="51"/>
      <c r="CKP44" s="51"/>
      <c r="CKQ44" s="51"/>
      <c r="CKR44" s="51"/>
      <c r="CKS44" s="51"/>
      <c r="CKT44" s="51"/>
      <c r="CKU44" s="51"/>
      <c r="CKV44" s="51"/>
      <c r="CKW44" s="51"/>
      <c r="CKX44" s="51"/>
      <c r="CKY44" s="51"/>
      <c r="CKZ44" s="51"/>
      <c r="CLA44" s="51"/>
      <c r="CLB44" s="51"/>
      <c r="CLC44" s="51"/>
      <c r="CLD44" s="51"/>
      <c r="CLE44" s="51"/>
      <c r="CLF44" s="51"/>
      <c r="CLG44" s="51"/>
      <c r="CLH44" s="51"/>
      <c r="CLI44" s="51"/>
      <c r="CLJ44" s="51"/>
      <c r="CLK44" s="51"/>
      <c r="CLL44" s="51"/>
      <c r="CLM44" s="51"/>
      <c r="CLN44" s="51"/>
      <c r="CLO44" s="51"/>
      <c r="CLP44" s="51"/>
      <c r="CLQ44" s="51"/>
      <c r="CLR44" s="51"/>
      <c r="CLS44" s="51"/>
      <c r="CLT44" s="51"/>
      <c r="CLU44" s="51"/>
      <c r="CLV44" s="51"/>
      <c r="CLW44" s="51"/>
      <c r="CLX44" s="51"/>
      <c r="CLY44" s="51"/>
      <c r="CLZ44" s="51"/>
      <c r="CMA44" s="51"/>
      <c r="CMB44" s="51"/>
      <c r="CMC44" s="51"/>
      <c r="CMD44" s="51"/>
      <c r="CME44" s="51"/>
      <c r="CMF44" s="51"/>
      <c r="CMG44" s="51"/>
      <c r="CMH44" s="51"/>
      <c r="CMI44" s="51"/>
      <c r="CMJ44" s="51"/>
      <c r="CMK44" s="51"/>
      <c r="CML44" s="51"/>
      <c r="CMM44" s="51"/>
      <c r="CMN44" s="51"/>
      <c r="CMO44" s="51"/>
      <c r="CMP44" s="51"/>
      <c r="CMQ44" s="51"/>
      <c r="CMR44" s="51"/>
      <c r="CMS44" s="51"/>
      <c r="CMT44" s="51"/>
      <c r="CMU44" s="51"/>
      <c r="CMV44" s="51"/>
      <c r="CMW44" s="51"/>
      <c r="CMX44" s="51"/>
      <c r="CMY44" s="51"/>
      <c r="CMZ44" s="51"/>
      <c r="CNA44" s="51"/>
      <c r="CNB44" s="51"/>
      <c r="CNC44" s="51"/>
      <c r="CND44" s="51"/>
      <c r="CNE44" s="51"/>
      <c r="CNF44" s="51"/>
      <c r="CNG44" s="51"/>
      <c r="CNH44" s="51"/>
      <c r="CNI44" s="51"/>
      <c r="CNJ44" s="51"/>
      <c r="CNK44" s="51"/>
      <c r="CNL44" s="51"/>
      <c r="CNM44" s="51"/>
      <c r="CNN44" s="51"/>
      <c r="CNO44" s="51"/>
      <c r="CNP44" s="51"/>
      <c r="CNQ44" s="51"/>
      <c r="CNR44" s="51"/>
      <c r="CNS44" s="51"/>
      <c r="CNT44" s="51"/>
      <c r="CNU44" s="51"/>
      <c r="CNV44" s="51"/>
      <c r="CNW44" s="51"/>
      <c r="CNX44" s="51"/>
      <c r="CNY44" s="51"/>
      <c r="CNZ44" s="51"/>
      <c r="COA44" s="51"/>
      <c r="COB44" s="51"/>
      <c r="COC44" s="51"/>
      <c r="COD44" s="51"/>
      <c r="COE44" s="51"/>
      <c r="COF44" s="51"/>
      <c r="COG44" s="51"/>
      <c r="COH44" s="51"/>
      <c r="COI44" s="51"/>
      <c r="COJ44" s="51"/>
      <c r="COK44" s="51"/>
      <c r="COL44" s="51"/>
      <c r="COM44" s="51"/>
      <c r="CON44" s="51"/>
      <c r="COO44" s="51"/>
      <c r="COP44" s="51"/>
      <c r="COQ44" s="51"/>
      <c r="COR44" s="51"/>
      <c r="COS44" s="51"/>
      <c r="COT44" s="51"/>
      <c r="COU44" s="51"/>
      <c r="COV44" s="51"/>
      <c r="COW44" s="51"/>
      <c r="COX44" s="51"/>
      <c r="COY44" s="51"/>
      <c r="COZ44" s="51"/>
      <c r="CPA44" s="51"/>
      <c r="CPB44" s="51"/>
      <c r="CPC44" s="51"/>
      <c r="CPD44" s="51"/>
      <c r="CPE44" s="51"/>
      <c r="CPF44" s="51"/>
      <c r="CPG44" s="51"/>
      <c r="CPH44" s="51"/>
      <c r="CPI44" s="51"/>
      <c r="CPJ44" s="51"/>
      <c r="CPK44" s="51"/>
      <c r="CPL44" s="51"/>
      <c r="CPM44" s="51"/>
      <c r="CPN44" s="51"/>
      <c r="CPO44" s="51"/>
      <c r="CPP44" s="51"/>
      <c r="CPQ44" s="51"/>
      <c r="CPR44" s="51"/>
      <c r="CPS44" s="51"/>
      <c r="CPT44" s="51"/>
      <c r="CPU44" s="51"/>
      <c r="CPV44" s="51"/>
      <c r="CPW44" s="51"/>
      <c r="CPX44" s="51"/>
      <c r="CPY44" s="51"/>
      <c r="CPZ44" s="51"/>
      <c r="CQA44" s="51"/>
      <c r="CQB44" s="51"/>
      <c r="CQC44" s="51"/>
      <c r="CQD44" s="51"/>
      <c r="CQE44" s="51"/>
      <c r="CQF44" s="51"/>
      <c r="CQG44" s="51"/>
      <c r="CQH44" s="51"/>
      <c r="CQI44" s="51"/>
      <c r="CQJ44" s="51"/>
      <c r="CQK44" s="51"/>
      <c r="CQL44" s="51"/>
      <c r="CQM44" s="51"/>
      <c r="CQN44" s="51"/>
      <c r="CQO44" s="51"/>
      <c r="CQP44" s="51"/>
      <c r="CQQ44" s="51"/>
      <c r="CQR44" s="51"/>
      <c r="CQS44" s="51"/>
      <c r="CQT44" s="51"/>
      <c r="CQU44" s="51"/>
      <c r="CQV44" s="51"/>
      <c r="CQW44" s="51"/>
      <c r="CQX44" s="51"/>
      <c r="CQY44" s="51"/>
      <c r="CQZ44" s="51"/>
      <c r="CRA44" s="51"/>
      <c r="CRB44" s="51"/>
      <c r="CRC44" s="51"/>
      <c r="CRD44" s="51"/>
      <c r="CRE44" s="51"/>
      <c r="CRF44" s="51"/>
      <c r="CRG44" s="51"/>
      <c r="CRH44" s="51"/>
      <c r="CRI44" s="51"/>
      <c r="CRJ44" s="51"/>
      <c r="CRK44" s="51"/>
      <c r="CRL44" s="51"/>
      <c r="CRM44" s="51"/>
      <c r="CRN44" s="51"/>
      <c r="CRO44" s="51"/>
      <c r="CRP44" s="51"/>
      <c r="CRQ44" s="51"/>
      <c r="CRR44" s="51"/>
      <c r="CRS44" s="51"/>
      <c r="CRT44" s="51"/>
      <c r="CRU44" s="51"/>
      <c r="CRV44" s="51"/>
      <c r="CRW44" s="51"/>
      <c r="CRX44" s="51"/>
      <c r="CRY44" s="51"/>
      <c r="CRZ44" s="51"/>
      <c r="CSA44" s="51"/>
      <c r="CSB44" s="51"/>
      <c r="CSC44" s="51"/>
      <c r="CSD44" s="51"/>
      <c r="CSE44" s="51"/>
      <c r="CSF44" s="51"/>
      <c r="CSG44" s="51"/>
      <c r="CSH44" s="51"/>
      <c r="CSI44" s="51"/>
      <c r="CSJ44" s="51"/>
      <c r="CSK44" s="51"/>
      <c r="CSL44" s="51"/>
      <c r="CSM44" s="51"/>
      <c r="CSN44" s="51"/>
      <c r="CSO44" s="51"/>
      <c r="CSP44" s="51"/>
      <c r="CSQ44" s="51"/>
      <c r="CSR44" s="51"/>
      <c r="CSS44" s="51"/>
      <c r="CST44" s="51"/>
      <c r="CSU44" s="51"/>
      <c r="CSV44" s="51"/>
      <c r="CSW44" s="51"/>
      <c r="CSX44" s="51"/>
      <c r="CSY44" s="51"/>
      <c r="CSZ44" s="51"/>
      <c r="CTA44" s="51"/>
      <c r="CTB44" s="51"/>
      <c r="CTC44" s="51"/>
      <c r="CTD44" s="51"/>
      <c r="CTE44" s="51"/>
      <c r="CTF44" s="51"/>
      <c r="CTG44" s="51"/>
      <c r="CTH44" s="51"/>
      <c r="CTI44" s="51"/>
      <c r="CTJ44" s="51"/>
      <c r="CTK44" s="51"/>
      <c r="CTL44" s="51"/>
      <c r="CTM44" s="51"/>
      <c r="CTN44" s="51"/>
      <c r="CTO44" s="51"/>
      <c r="CTP44" s="51"/>
      <c r="CTQ44" s="51"/>
      <c r="CTR44" s="51"/>
      <c r="CTS44" s="51"/>
      <c r="CTT44" s="51"/>
      <c r="CTU44" s="51"/>
      <c r="CTV44" s="51"/>
      <c r="CTW44" s="51"/>
      <c r="CTX44" s="51"/>
      <c r="CTY44" s="51"/>
      <c r="CTZ44" s="51"/>
      <c r="CUA44" s="51"/>
      <c r="CUB44" s="51"/>
      <c r="CUC44" s="51"/>
      <c r="CUD44" s="51"/>
      <c r="CUE44" s="51"/>
      <c r="CUF44" s="51"/>
      <c r="CUG44" s="51"/>
      <c r="CUH44" s="51"/>
      <c r="CUI44" s="51"/>
      <c r="CUJ44" s="51"/>
      <c r="CUK44" s="51"/>
      <c r="CUL44" s="51"/>
      <c r="CUM44" s="51"/>
      <c r="CUN44" s="51"/>
      <c r="CUO44" s="51"/>
      <c r="CUP44" s="51"/>
      <c r="CUQ44" s="51"/>
      <c r="CUR44" s="51"/>
      <c r="CUS44" s="51"/>
      <c r="CUT44" s="51"/>
      <c r="CUU44" s="51"/>
      <c r="CUV44" s="51"/>
      <c r="CUW44" s="51"/>
      <c r="CUX44" s="51"/>
      <c r="CUY44" s="51"/>
      <c r="CUZ44" s="51"/>
      <c r="CVA44" s="51"/>
      <c r="CVB44" s="51"/>
      <c r="CVC44" s="51"/>
      <c r="CVD44" s="51"/>
      <c r="CVE44" s="51"/>
      <c r="CVF44" s="51"/>
      <c r="CVG44" s="51"/>
      <c r="CVH44" s="51"/>
      <c r="CVI44" s="51"/>
      <c r="CVJ44" s="51"/>
      <c r="CVK44" s="51"/>
      <c r="CVL44" s="51"/>
      <c r="CVM44" s="51"/>
      <c r="CVN44" s="51"/>
      <c r="CVO44" s="51"/>
      <c r="CVP44" s="51"/>
      <c r="CVQ44" s="51"/>
      <c r="CVR44" s="51"/>
      <c r="CVS44" s="51"/>
      <c r="CVT44" s="51"/>
      <c r="CVU44" s="51"/>
      <c r="CVV44" s="51"/>
      <c r="CVW44" s="51"/>
      <c r="CVX44" s="51"/>
      <c r="CVY44" s="51"/>
      <c r="CVZ44" s="51"/>
      <c r="CWA44" s="51"/>
      <c r="CWB44" s="51"/>
      <c r="CWC44" s="51"/>
      <c r="CWD44" s="51"/>
      <c r="CWE44" s="51"/>
      <c r="CWF44" s="51"/>
      <c r="CWG44" s="51"/>
      <c r="CWH44" s="51"/>
      <c r="CWI44" s="51"/>
      <c r="CWJ44" s="51"/>
      <c r="CWK44" s="51"/>
      <c r="CWL44" s="51"/>
      <c r="CWM44" s="51"/>
      <c r="CWN44" s="51"/>
      <c r="CWO44" s="51"/>
      <c r="CWP44" s="51"/>
      <c r="CWQ44" s="51"/>
      <c r="CWR44" s="51"/>
      <c r="CWS44" s="51"/>
      <c r="CWT44" s="51"/>
      <c r="CWU44" s="51"/>
      <c r="CWV44" s="51"/>
      <c r="CWW44" s="51"/>
      <c r="CWX44" s="51"/>
      <c r="CWY44" s="51"/>
      <c r="CWZ44" s="51"/>
      <c r="CXA44" s="51"/>
      <c r="CXB44" s="51"/>
      <c r="CXC44" s="51"/>
      <c r="CXD44" s="51"/>
      <c r="CXE44" s="51"/>
      <c r="CXF44" s="51"/>
      <c r="CXG44" s="51"/>
      <c r="CXH44" s="51"/>
      <c r="CXI44" s="51"/>
      <c r="CXJ44" s="51"/>
      <c r="CXK44" s="51"/>
      <c r="CXL44" s="51"/>
      <c r="CXM44" s="51"/>
      <c r="CXN44" s="51"/>
      <c r="CXO44" s="51"/>
      <c r="CXP44" s="51"/>
      <c r="CXQ44" s="51"/>
      <c r="CXR44" s="51"/>
      <c r="CXS44" s="51"/>
      <c r="CXT44" s="51"/>
      <c r="CXU44" s="51"/>
      <c r="CXV44" s="51"/>
      <c r="CXW44" s="51"/>
      <c r="CXX44" s="51"/>
      <c r="CXY44" s="51"/>
      <c r="CXZ44" s="51"/>
      <c r="CYA44" s="51"/>
      <c r="CYB44" s="51"/>
      <c r="CYC44" s="51"/>
      <c r="CYD44" s="51"/>
      <c r="CYE44" s="51"/>
      <c r="CYF44" s="51"/>
      <c r="CYG44" s="51"/>
      <c r="CYH44" s="51"/>
      <c r="CYI44" s="51"/>
      <c r="CYJ44" s="51"/>
      <c r="CYK44" s="51"/>
      <c r="CYL44" s="51"/>
      <c r="CYM44" s="51"/>
      <c r="CYN44" s="51"/>
      <c r="CYO44" s="51"/>
      <c r="CYP44" s="51"/>
      <c r="CYQ44" s="51"/>
      <c r="CYR44" s="51"/>
      <c r="CYS44" s="51"/>
      <c r="CYT44" s="51"/>
      <c r="CYU44" s="51"/>
      <c r="CYV44" s="51"/>
      <c r="CYW44" s="51"/>
      <c r="CYX44" s="51"/>
      <c r="CYY44" s="51"/>
      <c r="CYZ44" s="51"/>
      <c r="CZA44" s="51"/>
      <c r="CZB44" s="51"/>
      <c r="CZC44" s="51"/>
      <c r="CZD44" s="51"/>
      <c r="CZE44" s="51"/>
      <c r="CZF44" s="51"/>
      <c r="CZG44" s="51"/>
      <c r="CZH44" s="51"/>
      <c r="CZI44" s="51"/>
      <c r="CZJ44" s="51"/>
      <c r="CZK44" s="51"/>
      <c r="CZL44" s="51"/>
      <c r="CZM44" s="51"/>
      <c r="CZN44" s="51"/>
      <c r="CZO44" s="51"/>
      <c r="CZP44" s="51"/>
      <c r="CZQ44" s="51"/>
      <c r="CZR44" s="51"/>
      <c r="CZS44" s="51"/>
      <c r="CZT44" s="51"/>
      <c r="CZU44" s="51"/>
      <c r="CZV44" s="51"/>
      <c r="CZW44" s="51"/>
      <c r="CZX44" s="51"/>
      <c r="CZY44" s="51"/>
      <c r="CZZ44" s="51"/>
      <c r="DAA44" s="51"/>
      <c r="DAB44" s="51"/>
      <c r="DAC44" s="51"/>
      <c r="DAD44" s="51"/>
      <c r="DAE44" s="51"/>
      <c r="DAF44" s="51"/>
      <c r="DAG44" s="51"/>
      <c r="DAH44" s="51"/>
      <c r="DAI44" s="51"/>
      <c r="DAJ44" s="51"/>
      <c r="DAK44" s="51"/>
      <c r="DAL44" s="51"/>
      <c r="DAM44" s="51"/>
      <c r="DAN44" s="51"/>
      <c r="DAO44" s="51"/>
      <c r="DAP44" s="51"/>
      <c r="DAQ44" s="51"/>
      <c r="DAR44" s="51"/>
      <c r="DAS44" s="51"/>
      <c r="DAT44" s="51"/>
      <c r="DAU44" s="51"/>
      <c r="DAV44" s="51"/>
      <c r="DAW44" s="51"/>
      <c r="DAX44" s="51"/>
      <c r="DAY44" s="51"/>
      <c r="DAZ44" s="51"/>
      <c r="DBA44" s="51"/>
      <c r="DBB44" s="51"/>
      <c r="DBC44" s="51"/>
      <c r="DBD44" s="51"/>
      <c r="DBE44" s="51"/>
      <c r="DBF44" s="51"/>
      <c r="DBG44" s="51"/>
      <c r="DBH44" s="51"/>
      <c r="DBI44" s="51"/>
      <c r="DBJ44" s="51"/>
      <c r="DBK44" s="51"/>
      <c r="DBL44" s="51"/>
      <c r="DBM44" s="51"/>
      <c r="DBN44" s="51"/>
      <c r="DBO44" s="51"/>
      <c r="DBP44" s="51"/>
      <c r="DBQ44" s="51"/>
      <c r="DBR44" s="51"/>
      <c r="DBS44" s="51"/>
      <c r="DBT44" s="51"/>
      <c r="DBU44" s="51"/>
      <c r="DBV44" s="51"/>
      <c r="DBW44" s="51"/>
      <c r="DBX44" s="51"/>
      <c r="DBY44" s="51"/>
      <c r="DBZ44" s="51"/>
      <c r="DCA44" s="51"/>
      <c r="DCB44" s="51"/>
      <c r="DCC44" s="51"/>
      <c r="DCD44" s="51"/>
      <c r="DCE44" s="51"/>
      <c r="DCF44" s="51"/>
      <c r="DCG44" s="51"/>
      <c r="DCH44" s="51"/>
      <c r="DCI44" s="51"/>
      <c r="DCJ44" s="51"/>
      <c r="DCK44" s="51"/>
      <c r="DCL44" s="51"/>
      <c r="DCM44" s="51"/>
      <c r="DCN44" s="51"/>
      <c r="DCO44" s="51"/>
      <c r="DCP44" s="51"/>
      <c r="DCQ44" s="51"/>
      <c r="DCR44" s="51"/>
      <c r="DCS44" s="51"/>
      <c r="DCT44" s="51"/>
      <c r="DCU44" s="51"/>
      <c r="DCV44" s="51"/>
      <c r="DCW44" s="51"/>
      <c r="DCX44" s="51"/>
      <c r="DCY44" s="51"/>
      <c r="DCZ44" s="51"/>
      <c r="DDA44" s="51"/>
      <c r="DDB44" s="51"/>
      <c r="DDC44" s="51"/>
      <c r="DDD44" s="51"/>
      <c r="DDE44" s="51"/>
      <c r="DDF44" s="51"/>
      <c r="DDG44" s="51"/>
      <c r="DDH44" s="51"/>
      <c r="DDI44" s="51"/>
      <c r="DDJ44" s="51"/>
      <c r="DDK44" s="51"/>
      <c r="DDL44" s="51"/>
      <c r="DDM44" s="51"/>
      <c r="DDN44" s="51"/>
      <c r="DDO44" s="51"/>
      <c r="DDP44" s="51"/>
      <c r="DDQ44" s="51"/>
      <c r="DDR44" s="51"/>
      <c r="DDS44" s="51"/>
      <c r="DDT44" s="51"/>
      <c r="DDU44" s="51"/>
      <c r="DDV44" s="51"/>
      <c r="DDW44" s="51"/>
      <c r="DDX44" s="51"/>
      <c r="DDY44" s="51"/>
      <c r="DDZ44" s="51"/>
      <c r="DEA44" s="51"/>
      <c r="DEB44" s="51"/>
      <c r="DEC44" s="51"/>
      <c r="DED44" s="51"/>
      <c r="DEE44" s="51"/>
      <c r="DEF44" s="51"/>
      <c r="DEG44" s="51"/>
      <c r="DEH44" s="51"/>
      <c r="DEI44" s="51"/>
      <c r="DEJ44" s="51"/>
      <c r="DEK44" s="51"/>
      <c r="DEL44" s="51"/>
      <c r="DEM44" s="51"/>
      <c r="DEN44" s="51"/>
      <c r="DEO44" s="51"/>
      <c r="DEP44" s="51"/>
      <c r="DEQ44" s="51"/>
      <c r="DER44" s="51"/>
      <c r="DES44" s="51"/>
      <c r="DET44" s="51"/>
      <c r="DEU44" s="51"/>
      <c r="DEV44" s="51"/>
      <c r="DEW44" s="51"/>
      <c r="DEX44" s="51"/>
      <c r="DEY44" s="51"/>
      <c r="DEZ44" s="51"/>
      <c r="DFA44" s="51"/>
      <c r="DFB44" s="51"/>
      <c r="DFC44" s="51"/>
      <c r="DFD44" s="51"/>
      <c r="DFE44" s="51"/>
      <c r="DFF44" s="51"/>
      <c r="DFG44" s="51"/>
      <c r="DFH44" s="51"/>
      <c r="DFI44" s="51"/>
      <c r="DFJ44" s="51"/>
      <c r="DFK44" s="51"/>
      <c r="DFL44" s="51"/>
      <c r="DFM44" s="51"/>
      <c r="DFN44" s="51"/>
      <c r="DFO44" s="51"/>
      <c r="DFP44" s="51"/>
      <c r="DFQ44" s="51"/>
      <c r="DFR44" s="51"/>
      <c r="DFS44" s="51"/>
      <c r="DFT44" s="51"/>
      <c r="DFU44" s="51"/>
      <c r="DFV44" s="51"/>
      <c r="DFW44" s="51"/>
      <c r="DFX44" s="51"/>
      <c r="DFY44" s="51"/>
      <c r="DFZ44" s="51"/>
      <c r="DGA44" s="51"/>
      <c r="DGB44" s="51"/>
      <c r="DGC44" s="51"/>
      <c r="DGD44" s="51"/>
      <c r="DGE44" s="51"/>
      <c r="DGF44" s="51"/>
      <c r="DGG44" s="51"/>
      <c r="DGH44" s="51"/>
      <c r="DGI44" s="51"/>
      <c r="DGJ44" s="51"/>
      <c r="DGK44" s="51"/>
      <c r="DGL44" s="51"/>
      <c r="DGM44" s="51"/>
      <c r="DGN44" s="51"/>
      <c r="DGO44" s="51"/>
      <c r="DGP44" s="51"/>
      <c r="DGQ44" s="51"/>
      <c r="DGR44" s="51"/>
      <c r="DGS44" s="51"/>
      <c r="DGT44" s="51"/>
      <c r="DGU44" s="51"/>
      <c r="DGV44" s="51"/>
      <c r="DGW44" s="51"/>
      <c r="DGX44" s="51"/>
      <c r="DGY44" s="51"/>
      <c r="DGZ44" s="51"/>
      <c r="DHA44" s="51"/>
      <c r="DHB44" s="51"/>
      <c r="DHC44" s="51"/>
      <c r="DHD44" s="51"/>
      <c r="DHE44" s="51"/>
      <c r="DHF44" s="51"/>
      <c r="DHG44" s="51"/>
      <c r="DHH44" s="51"/>
      <c r="DHI44" s="51"/>
      <c r="DHJ44" s="51"/>
      <c r="DHK44" s="51"/>
      <c r="DHL44" s="51"/>
      <c r="DHM44" s="51"/>
      <c r="DHN44" s="51"/>
      <c r="DHO44" s="51"/>
      <c r="DHP44" s="51"/>
      <c r="DHQ44" s="51"/>
      <c r="DHR44" s="51"/>
      <c r="DHS44" s="51"/>
      <c r="DHT44" s="51"/>
      <c r="DHU44" s="51"/>
      <c r="DHV44" s="51"/>
      <c r="DHW44" s="51"/>
      <c r="DHX44" s="51"/>
      <c r="DHY44" s="51"/>
      <c r="DHZ44" s="51"/>
      <c r="DIA44" s="51"/>
      <c r="DIB44" s="51"/>
      <c r="DIC44" s="51"/>
      <c r="DID44" s="51"/>
      <c r="DIE44" s="51"/>
      <c r="DIF44" s="51"/>
      <c r="DIG44" s="51"/>
      <c r="DIH44" s="51"/>
      <c r="DII44" s="51"/>
      <c r="DIJ44" s="51"/>
      <c r="DIK44" s="51"/>
      <c r="DIL44" s="51"/>
      <c r="DIM44" s="51"/>
      <c r="DIN44" s="51"/>
      <c r="DIO44" s="51"/>
      <c r="DIP44" s="51"/>
      <c r="DIQ44" s="51"/>
      <c r="DIR44" s="51"/>
      <c r="DIS44" s="51"/>
      <c r="DIT44" s="51"/>
      <c r="DIU44" s="51"/>
      <c r="DIV44" s="51"/>
      <c r="DIW44" s="51"/>
      <c r="DIX44" s="51"/>
      <c r="DIY44" s="51"/>
      <c r="DIZ44" s="51"/>
      <c r="DJA44" s="51"/>
      <c r="DJB44" s="51"/>
      <c r="DJC44" s="51"/>
      <c r="DJD44" s="51"/>
      <c r="DJE44" s="51"/>
      <c r="DJF44" s="51"/>
      <c r="DJG44" s="51"/>
      <c r="DJH44" s="51"/>
      <c r="DJI44" s="51"/>
      <c r="DJJ44" s="51"/>
      <c r="DJK44" s="51"/>
      <c r="DJL44" s="51"/>
      <c r="DJM44" s="51"/>
      <c r="DJN44" s="51"/>
      <c r="DJO44" s="51"/>
      <c r="DJP44" s="51"/>
      <c r="DJQ44" s="51"/>
      <c r="DJR44" s="51"/>
      <c r="DJS44" s="51"/>
      <c r="DJT44" s="51"/>
      <c r="DJU44" s="51"/>
      <c r="DJV44" s="51"/>
      <c r="DJW44" s="51"/>
      <c r="DJX44" s="51"/>
      <c r="DJY44" s="51"/>
      <c r="DJZ44" s="51"/>
      <c r="DKA44" s="51"/>
      <c r="DKB44" s="51"/>
      <c r="DKC44" s="51"/>
      <c r="DKD44" s="51"/>
      <c r="DKE44" s="51"/>
      <c r="DKF44" s="51"/>
      <c r="DKG44" s="51"/>
      <c r="DKH44" s="51"/>
      <c r="DKI44" s="51"/>
      <c r="DKJ44" s="51"/>
      <c r="DKK44" s="51"/>
      <c r="DKL44" s="51"/>
      <c r="DKM44" s="51"/>
      <c r="DKN44" s="51"/>
      <c r="DKO44" s="51"/>
      <c r="DKP44" s="51"/>
      <c r="DKQ44" s="51"/>
      <c r="DKR44" s="51"/>
      <c r="DKS44" s="51"/>
      <c r="DKT44" s="51"/>
      <c r="DKU44" s="51"/>
      <c r="DKV44" s="51"/>
      <c r="DKW44" s="51"/>
      <c r="DKX44" s="51"/>
      <c r="DKY44" s="51"/>
      <c r="DKZ44" s="51"/>
      <c r="DLA44" s="51"/>
      <c r="DLB44" s="51"/>
      <c r="DLC44" s="51"/>
      <c r="DLD44" s="51"/>
      <c r="DLE44" s="51"/>
      <c r="DLF44" s="51"/>
      <c r="DLG44" s="51"/>
      <c r="DLH44" s="51"/>
      <c r="DLI44" s="51"/>
      <c r="DLJ44" s="51"/>
      <c r="DLK44" s="51"/>
      <c r="DLL44" s="51"/>
      <c r="DLM44" s="51"/>
      <c r="DLN44" s="51"/>
      <c r="DLO44" s="51"/>
      <c r="DLP44" s="51"/>
      <c r="DLQ44" s="51"/>
      <c r="DLR44" s="51"/>
      <c r="DLS44" s="51"/>
      <c r="DLT44" s="51"/>
      <c r="DLU44" s="51"/>
      <c r="DLV44" s="51"/>
      <c r="DLW44" s="51"/>
      <c r="DLX44" s="51"/>
      <c r="DLY44" s="51"/>
      <c r="DLZ44" s="51"/>
      <c r="DMA44" s="51"/>
      <c r="DMB44" s="51"/>
      <c r="DMC44" s="51"/>
      <c r="DMD44" s="51"/>
      <c r="DME44" s="51"/>
      <c r="DMF44" s="51"/>
      <c r="DMG44" s="51"/>
      <c r="DMH44" s="51"/>
      <c r="DMI44" s="51"/>
      <c r="DMJ44" s="51"/>
      <c r="DMK44" s="51"/>
      <c r="DML44" s="51"/>
      <c r="DMM44" s="51"/>
      <c r="DMN44" s="51"/>
      <c r="DMO44" s="51"/>
      <c r="DMP44" s="51"/>
      <c r="DMQ44" s="51"/>
      <c r="DMR44" s="51"/>
      <c r="DMS44" s="51"/>
      <c r="DMT44" s="51"/>
      <c r="DMU44" s="51"/>
      <c r="DMV44" s="51"/>
      <c r="DMW44" s="51"/>
      <c r="DMX44" s="51"/>
      <c r="DMY44" s="51"/>
      <c r="DMZ44" s="51"/>
      <c r="DNA44" s="51"/>
      <c r="DNB44" s="51"/>
      <c r="DNC44" s="51"/>
      <c r="DND44" s="51"/>
      <c r="DNE44" s="51"/>
      <c r="DNF44" s="51"/>
      <c r="DNG44" s="51"/>
      <c r="DNH44" s="51"/>
      <c r="DNI44" s="51"/>
      <c r="DNJ44" s="51"/>
      <c r="DNK44" s="51"/>
      <c r="DNL44" s="51"/>
      <c r="DNM44" s="51"/>
      <c r="DNN44" s="51"/>
      <c r="DNO44" s="51"/>
      <c r="DNP44" s="51"/>
      <c r="DNQ44" s="51"/>
      <c r="DNR44" s="51"/>
      <c r="DNS44" s="51"/>
      <c r="DNT44" s="51"/>
      <c r="DNU44" s="51"/>
      <c r="DNV44" s="51"/>
      <c r="DNW44" s="51"/>
      <c r="DNX44" s="51"/>
      <c r="DNY44" s="51"/>
      <c r="DNZ44" s="51"/>
      <c r="DOA44" s="51"/>
      <c r="DOB44" s="51"/>
      <c r="DOC44" s="51"/>
      <c r="DOD44" s="51"/>
      <c r="DOE44" s="51"/>
      <c r="DOF44" s="51"/>
      <c r="DOG44" s="51"/>
      <c r="DOH44" s="51"/>
      <c r="DOI44" s="51"/>
      <c r="DOJ44" s="51"/>
      <c r="DOK44" s="51"/>
      <c r="DOL44" s="51"/>
      <c r="DOM44" s="51"/>
      <c r="DON44" s="51"/>
      <c r="DOO44" s="51"/>
      <c r="DOP44" s="51"/>
      <c r="DOQ44" s="51"/>
      <c r="DOR44" s="51"/>
      <c r="DOS44" s="51"/>
      <c r="DOT44" s="51"/>
      <c r="DOU44" s="51"/>
      <c r="DOV44" s="51"/>
      <c r="DOW44" s="51"/>
      <c r="DOX44" s="51"/>
      <c r="DOY44" s="51"/>
      <c r="DOZ44" s="51"/>
      <c r="DPA44" s="51"/>
      <c r="DPB44" s="51"/>
      <c r="DPC44" s="51"/>
      <c r="DPD44" s="51"/>
      <c r="DPE44" s="51"/>
      <c r="DPF44" s="51"/>
      <c r="DPG44" s="51"/>
      <c r="DPH44" s="51"/>
      <c r="DPI44" s="51"/>
      <c r="DPJ44" s="51"/>
      <c r="DPK44" s="51"/>
      <c r="DPL44" s="51"/>
      <c r="DPM44" s="51"/>
      <c r="DPN44" s="51"/>
      <c r="DPO44" s="51"/>
      <c r="DPP44" s="51"/>
      <c r="DPQ44" s="51"/>
      <c r="DPR44" s="51"/>
      <c r="DPS44" s="51"/>
      <c r="DPT44" s="51"/>
      <c r="DPU44" s="51"/>
      <c r="DPV44" s="51"/>
      <c r="DPW44" s="51"/>
      <c r="DPX44" s="51"/>
      <c r="DPY44" s="51"/>
      <c r="DPZ44" s="51"/>
      <c r="DQA44" s="51"/>
      <c r="DQB44" s="51"/>
      <c r="DQC44" s="51"/>
      <c r="DQD44" s="51"/>
      <c r="DQE44" s="51"/>
      <c r="DQF44" s="51"/>
      <c r="DQG44" s="51"/>
      <c r="DQH44" s="51"/>
      <c r="DQI44" s="51"/>
      <c r="DQJ44" s="51"/>
      <c r="DQK44" s="51"/>
      <c r="DQL44" s="51"/>
      <c r="DQM44" s="51"/>
      <c r="DQN44" s="51"/>
      <c r="DQO44" s="51"/>
      <c r="DQP44" s="51"/>
      <c r="DQQ44" s="51"/>
      <c r="DQR44" s="51"/>
      <c r="DQS44" s="51"/>
      <c r="DQT44" s="51"/>
      <c r="DQU44" s="51"/>
      <c r="DQV44" s="51"/>
      <c r="DQW44" s="51"/>
      <c r="DQX44" s="51"/>
      <c r="DQY44" s="51"/>
      <c r="DQZ44" s="51"/>
      <c r="DRA44" s="51"/>
      <c r="DRB44" s="51"/>
      <c r="DRC44" s="51"/>
      <c r="DRD44" s="51"/>
      <c r="DRE44" s="51"/>
      <c r="DRF44" s="51"/>
      <c r="DRG44" s="51"/>
      <c r="DRH44" s="51"/>
      <c r="DRI44" s="51"/>
      <c r="DRJ44" s="51"/>
      <c r="DRK44" s="51"/>
      <c r="DRL44" s="51"/>
      <c r="DRM44" s="51"/>
      <c r="DRN44" s="51"/>
      <c r="DRO44" s="51"/>
      <c r="DRP44" s="51"/>
      <c r="DRQ44" s="51"/>
      <c r="DRR44" s="51"/>
      <c r="DRS44" s="51"/>
      <c r="DRT44" s="51"/>
      <c r="DRU44" s="51"/>
      <c r="DRV44" s="51"/>
      <c r="DRW44" s="51"/>
      <c r="DRX44" s="51"/>
      <c r="DRY44" s="51"/>
      <c r="DRZ44" s="51"/>
      <c r="DSA44" s="51"/>
      <c r="DSB44" s="51"/>
      <c r="DSC44" s="51"/>
      <c r="DSD44" s="51"/>
      <c r="DSE44" s="51"/>
      <c r="DSF44" s="51"/>
      <c r="DSG44" s="51"/>
      <c r="DSH44" s="51"/>
      <c r="DSI44" s="51"/>
      <c r="DSJ44" s="51"/>
      <c r="DSK44" s="51"/>
      <c r="DSL44" s="51"/>
      <c r="DSM44" s="51"/>
      <c r="DSN44" s="51"/>
      <c r="DSO44" s="51"/>
      <c r="DSP44" s="51"/>
      <c r="DSQ44" s="51"/>
      <c r="DSR44" s="51"/>
      <c r="DSS44" s="51"/>
      <c r="DST44" s="51"/>
      <c r="DSU44" s="51"/>
      <c r="DSV44" s="51"/>
      <c r="DSW44" s="51"/>
      <c r="DSX44" s="51"/>
      <c r="DSY44" s="51"/>
      <c r="DSZ44" s="51"/>
      <c r="DTA44" s="51"/>
      <c r="DTB44" s="51"/>
      <c r="DTC44" s="51"/>
      <c r="DTD44" s="51"/>
      <c r="DTE44" s="51"/>
      <c r="DTF44" s="51"/>
      <c r="DTG44" s="51"/>
      <c r="DTH44" s="51"/>
      <c r="DTI44" s="51"/>
      <c r="DTJ44" s="51"/>
      <c r="DTK44" s="51"/>
      <c r="DTL44" s="51"/>
      <c r="DTM44" s="51"/>
      <c r="DTN44" s="51"/>
      <c r="DTO44" s="51"/>
      <c r="DTP44" s="51"/>
      <c r="DTQ44" s="51"/>
      <c r="DTR44" s="51"/>
      <c r="DTS44" s="51"/>
      <c r="DTT44" s="51"/>
      <c r="DTU44" s="51"/>
      <c r="DTV44" s="51"/>
      <c r="DTW44" s="51"/>
      <c r="DTX44" s="51"/>
      <c r="DTY44" s="51"/>
      <c r="DTZ44" s="51"/>
      <c r="DUA44" s="51"/>
      <c r="DUB44" s="51"/>
      <c r="DUC44" s="51"/>
      <c r="DUD44" s="51"/>
      <c r="DUE44" s="51"/>
      <c r="DUF44" s="51"/>
      <c r="DUG44" s="51"/>
      <c r="DUH44" s="51"/>
      <c r="DUI44" s="51"/>
      <c r="DUJ44" s="51"/>
      <c r="DUK44" s="51"/>
      <c r="DUL44" s="51"/>
      <c r="DUM44" s="51"/>
      <c r="DUN44" s="51"/>
      <c r="DUO44" s="51"/>
      <c r="DUP44" s="51"/>
      <c r="DUQ44" s="51"/>
      <c r="DUR44" s="51"/>
      <c r="DUS44" s="51"/>
      <c r="DUT44" s="51"/>
      <c r="DUU44" s="51"/>
      <c r="DUV44" s="51"/>
      <c r="DUW44" s="51"/>
      <c r="DUX44" s="51"/>
      <c r="DUY44" s="51"/>
      <c r="DUZ44" s="51"/>
      <c r="DVA44" s="51"/>
      <c r="DVB44" s="51"/>
      <c r="DVC44" s="51"/>
      <c r="DVD44" s="51"/>
      <c r="DVE44" s="51"/>
      <c r="DVF44" s="51"/>
      <c r="DVG44" s="51"/>
      <c r="DVH44" s="51"/>
      <c r="DVI44" s="51"/>
      <c r="DVJ44" s="51"/>
      <c r="DVK44" s="51"/>
      <c r="DVL44" s="51"/>
      <c r="DVM44" s="51"/>
      <c r="DVN44" s="51"/>
      <c r="DVO44" s="51"/>
      <c r="DVP44" s="51"/>
      <c r="DVQ44" s="51"/>
      <c r="DVR44" s="51"/>
      <c r="DVS44" s="51"/>
      <c r="DVT44" s="51"/>
      <c r="DVU44" s="51"/>
      <c r="DVV44" s="51"/>
      <c r="DVW44" s="51"/>
      <c r="DVX44" s="51"/>
      <c r="DVY44" s="51"/>
      <c r="DVZ44" s="51"/>
      <c r="DWA44" s="51"/>
      <c r="DWB44" s="51"/>
      <c r="DWC44" s="51"/>
      <c r="DWD44" s="51"/>
      <c r="DWE44" s="51"/>
      <c r="DWF44" s="51"/>
      <c r="DWG44" s="51"/>
      <c r="DWH44" s="51"/>
      <c r="DWI44" s="51"/>
      <c r="DWJ44" s="51"/>
      <c r="DWK44" s="51"/>
      <c r="DWL44" s="51"/>
      <c r="DWM44" s="51"/>
      <c r="DWN44" s="51"/>
      <c r="DWO44" s="51"/>
      <c r="DWP44" s="51"/>
      <c r="DWQ44" s="51"/>
      <c r="DWR44" s="51"/>
      <c r="DWS44" s="51"/>
      <c r="DWT44" s="51"/>
      <c r="DWU44" s="51"/>
      <c r="DWV44" s="51"/>
      <c r="DWW44" s="51"/>
      <c r="DWX44" s="51"/>
      <c r="DWY44" s="51"/>
      <c r="DWZ44" s="51"/>
      <c r="DXA44" s="51"/>
      <c r="DXB44" s="51"/>
      <c r="DXC44" s="51"/>
      <c r="DXD44" s="51"/>
      <c r="DXE44" s="51"/>
      <c r="DXF44" s="51"/>
      <c r="DXG44" s="51"/>
      <c r="DXH44" s="51"/>
      <c r="DXI44" s="51"/>
      <c r="DXJ44" s="51"/>
      <c r="DXK44" s="51"/>
      <c r="DXL44" s="51"/>
      <c r="DXM44" s="51"/>
      <c r="DXN44" s="51"/>
      <c r="DXO44" s="51"/>
      <c r="DXP44" s="51"/>
      <c r="DXQ44" s="51"/>
      <c r="DXR44" s="51"/>
      <c r="DXS44" s="51"/>
      <c r="DXT44" s="51"/>
      <c r="DXU44" s="51"/>
      <c r="DXV44" s="51"/>
      <c r="DXW44" s="51"/>
      <c r="DXX44" s="51"/>
      <c r="DXY44" s="51"/>
      <c r="DXZ44" s="51"/>
      <c r="DYA44" s="51"/>
      <c r="DYB44" s="51"/>
      <c r="DYC44" s="51"/>
      <c r="DYD44" s="51"/>
      <c r="DYE44" s="51"/>
      <c r="DYF44" s="51"/>
      <c r="DYG44" s="51"/>
      <c r="DYH44" s="51"/>
      <c r="DYI44" s="51"/>
      <c r="DYJ44" s="51"/>
      <c r="DYK44" s="51"/>
      <c r="DYL44" s="51"/>
      <c r="DYM44" s="51"/>
      <c r="DYN44" s="51"/>
      <c r="DYO44" s="51"/>
      <c r="DYP44" s="51"/>
      <c r="DYQ44" s="51"/>
      <c r="DYR44" s="51"/>
      <c r="DYS44" s="51"/>
      <c r="DYT44" s="51"/>
      <c r="DYU44" s="51"/>
      <c r="DYV44" s="51"/>
      <c r="DYW44" s="51"/>
      <c r="DYX44" s="51"/>
      <c r="DYY44" s="51"/>
      <c r="DYZ44" s="51"/>
      <c r="DZA44" s="51"/>
      <c r="DZB44" s="51"/>
      <c r="DZC44" s="51"/>
      <c r="DZD44" s="51"/>
      <c r="DZE44" s="51"/>
      <c r="DZF44" s="51"/>
      <c r="DZG44" s="51"/>
      <c r="DZH44" s="51"/>
      <c r="DZI44" s="51"/>
      <c r="DZJ44" s="51"/>
      <c r="DZK44" s="51"/>
      <c r="DZL44" s="51"/>
      <c r="DZM44" s="51"/>
      <c r="DZN44" s="51"/>
      <c r="DZO44" s="51"/>
      <c r="DZP44" s="51"/>
      <c r="DZQ44" s="51"/>
      <c r="DZR44" s="51"/>
      <c r="DZS44" s="51"/>
      <c r="DZT44" s="51"/>
      <c r="DZU44" s="51"/>
      <c r="DZV44" s="51"/>
      <c r="DZW44" s="51"/>
      <c r="DZX44" s="51"/>
      <c r="DZY44" s="51"/>
      <c r="DZZ44" s="51"/>
      <c r="EAA44" s="51"/>
      <c r="EAB44" s="51"/>
      <c r="EAC44" s="51"/>
      <c r="EAD44" s="51"/>
      <c r="EAE44" s="51"/>
      <c r="EAF44" s="51"/>
      <c r="EAG44" s="51"/>
      <c r="EAH44" s="51"/>
      <c r="EAI44" s="51"/>
      <c r="EAJ44" s="51"/>
      <c r="EAK44" s="51"/>
      <c r="EAL44" s="51"/>
      <c r="EAM44" s="51"/>
      <c r="EAN44" s="51"/>
      <c r="EAO44" s="51"/>
      <c r="EAP44" s="51"/>
      <c r="EAQ44" s="51"/>
      <c r="EAR44" s="51"/>
      <c r="EAS44" s="51"/>
      <c r="EAT44" s="51"/>
      <c r="EAU44" s="51"/>
      <c r="EAV44" s="51"/>
      <c r="EAW44" s="51"/>
      <c r="EAX44" s="51"/>
      <c r="EAY44" s="51"/>
      <c r="EAZ44" s="51"/>
      <c r="EBA44" s="51"/>
      <c r="EBB44" s="51"/>
      <c r="EBC44" s="51"/>
      <c r="EBD44" s="51"/>
      <c r="EBE44" s="51"/>
      <c r="EBF44" s="51"/>
      <c r="EBG44" s="51"/>
      <c r="EBH44" s="51"/>
      <c r="EBI44" s="51"/>
      <c r="EBJ44" s="51"/>
      <c r="EBK44" s="51"/>
      <c r="EBL44" s="51"/>
      <c r="EBM44" s="51"/>
      <c r="EBN44" s="51"/>
      <c r="EBO44" s="51"/>
      <c r="EBP44" s="51"/>
      <c r="EBQ44" s="51"/>
      <c r="EBR44" s="51"/>
      <c r="EBS44" s="51"/>
      <c r="EBT44" s="51"/>
      <c r="EBU44" s="51"/>
      <c r="EBV44" s="51"/>
      <c r="EBW44" s="51"/>
      <c r="EBX44" s="51"/>
      <c r="EBY44" s="51"/>
      <c r="EBZ44" s="51"/>
      <c r="ECA44" s="51"/>
      <c r="ECB44" s="51"/>
      <c r="ECC44" s="51"/>
      <c r="ECD44" s="51"/>
      <c r="ECE44" s="51"/>
      <c r="ECF44" s="51"/>
      <c r="ECG44" s="51"/>
      <c r="ECH44" s="51"/>
      <c r="ECI44" s="51"/>
      <c r="ECJ44" s="51"/>
      <c r="ECK44" s="51"/>
      <c r="ECL44" s="51"/>
      <c r="ECM44" s="51"/>
      <c r="ECN44" s="51"/>
      <c r="ECO44" s="51"/>
      <c r="ECP44" s="51"/>
      <c r="ECQ44" s="51"/>
      <c r="ECR44" s="51"/>
      <c r="ECS44" s="51"/>
      <c r="ECT44" s="51"/>
      <c r="ECU44" s="51"/>
      <c r="ECV44" s="51"/>
      <c r="ECW44" s="51"/>
      <c r="ECX44" s="51"/>
      <c r="ECY44" s="51"/>
      <c r="ECZ44" s="51"/>
      <c r="EDA44" s="51"/>
      <c r="EDB44" s="51"/>
      <c r="EDC44" s="51"/>
      <c r="EDD44" s="51"/>
      <c r="EDE44" s="51"/>
      <c r="EDF44" s="51"/>
      <c r="EDG44" s="51"/>
      <c r="EDH44" s="51"/>
      <c r="EDI44" s="51"/>
      <c r="EDJ44" s="51"/>
      <c r="EDK44" s="51"/>
      <c r="EDL44" s="51"/>
      <c r="EDM44" s="51"/>
      <c r="EDN44" s="51"/>
      <c r="EDO44" s="51"/>
      <c r="EDP44" s="51"/>
      <c r="EDQ44" s="51"/>
      <c r="EDR44" s="51"/>
      <c r="EDS44" s="51"/>
      <c r="EDT44" s="51"/>
      <c r="EDU44" s="51"/>
      <c r="EDV44" s="51"/>
      <c r="EDW44" s="51"/>
      <c r="EDX44" s="51"/>
      <c r="EDY44" s="51"/>
      <c r="EDZ44" s="51"/>
      <c r="EEA44" s="51"/>
      <c r="EEB44" s="51"/>
      <c r="EEC44" s="51"/>
      <c r="EED44" s="51"/>
      <c r="EEE44" s="51"/>
      <c r="EEF44" s="51"/>
      <c r="EEG44" s="51"/>
      <c r="EEH44" s="51"/>
      <c r="EEI44" s="51"/>
      <c r="EEJ44" s="51"/>
      <c r="EEK44" s="51"/>
      <c r="EEL44" s="51"/>
      <c r="EEM44" s="51"/>
      <c r="EEN44" s="51"/>
      <c r="EEO44" s="51"/>
      <c r="EEP44" s="51"/>
      <c r="EEQ44" s="51"/>
      <c r="EER44" s="51"/>
      <c r="EES44" s="51"/>
      <c r="EET44" s="51"/>
      <c r="EEU44" s="51"/>
      <c r="EEV44" s="51"/>
      <c r="EEW44" s="51"/>
      <c r="EEX44" s="51"/>
      <c r="EEY44" s="51"/>
      <c r="EEZ44" s="51"/>
      <c r="EFA44" s="51"/>
      <c r="EFB44" s="51"/>
      <c r="EFC44" s="51"/>
      <c r="EFD44" s="51"/>
      <c r="EFE44" s="51"/>
      <c r="EFF44" s="51"/>
      <c r="EFG44" s="51"/>
      <c r="EFH44" s="51"/>
      <c r="EFI44" s="51"/>
      <c r="EFJ44" s="51"/>
      <c r="EFK44" s="51"/>
      <c r="EFL44" s="51"/>
      <c r="EFM44" s="51"/>
      <c r="EFN44" s="51"/>
      <c r="EFO44" s="51"/>
      <c r="EFP44" s="51"/>
      <c r="EFQ44" s="51"/>
      <c r="EFR44" s="51"/>
      <c r="EFS44" s="51"/>
      <c r="EFT44" s="51"/>
      <c r="EFU44" s="51"/>
      <c r="EFV44" s="51"/>
      <c r="EFW44" s="51"/>
      <c r="EFX44" s="51"/>
      <c r="EFY44" s="51"/>
      <c r="EFZ44" s="51"/>
      <c r="EGA44" s="51"/>
      <c r="EGB44" s="51"/>
      <c r="EGC44" s="51"/>
      <c r="EGD44" s="51"/>
      <c r="EGE44" s="51"/>
      <c r="EGF44" s="51"/>
      <c r="EGG44" s="51"/>
      <c r="EGH44" s="51"/>
      <c r="EGI44" s="51"/>
      <c r="EGJ44" s="51"/>
      <c r="EGK44" s="51"/>
      <c r="EGL44" s="51"/>
      <c r="EGM44" s="51"/>
      <c r="EGN44" s="51"/>
      <c r="EGO44" s="51"/>
      <c r="EGP44" s="51"/>
      <c r="EGQ44" s="51"/>
      <c r="EGR44" s="51"/>
      <c r="EGS44" s="51"/>
      <c r="EGT44" s="51"/>
      <c r="EGU44" s="51"/>
      <c r="EGV44" s="51"/>
      <c r="EGW44" s="51"/>
      <c r="EGX44" s="51"/>
      <c r="EGY44" s="51"/>
      <c r="EGZ44" s="51"/>
      <c r="EHA44" s="51"/>
      <c r="EHB44" s="51"/>
      <c r="EHC44" s="51"/>
      <c r="EHD44" s="51"/>
      <c r="EHE44" s="51"/>
      <c r="EHF44" s="51"/>
      <c r="EHG44" s="51"/>
      <c r="EHH44" s="51"/>
      <c r="EHI44" s="51"/>
      <c r="EHJ44" s="51"/>
      <c r="EHK44" s="51"/>
      <c r="EHL44" s="51"/>
      <c r="EHM44" s="51"/>
      <c r="EHN44" s="51"/>
      <c r="EHO44" s="51"/>
      <c r="EHP44" s="51"/>
      <c r="EHQ44" s="51"/>
      <c r="EHR44" s="51"/>
      <c r="EHS44" s="51"/>
      <c r="EHT44" s="51"/>
      <c r="EHU44" s="51"/>
      <c r="EHV44" s="51"/>
      <c r="EHW44" s="51"/>
      <c r="EHX44" s="51"/>
      <c r="EHY44" s="51"/>
      <c r="EHZ44" s="51"/>
      <c r="EIA44" s="51"/>
      <c r="EIB44" s="51"/>
      <c r="EIC44" s="51"/>
      <c r="EID44" s="51"/>
      <c r="EIE44" s="51"/>
      <c r="EIF44" s="51"/>
      <c r="EIG44" s="51"/>
      <c r="EIH44" s="51"/>
      <c r="EII44" s="51"/>
      <c r="EIJ44" s="51"/>
      <c r="EIK44" s="51"/>
      <c r="EIL44" s="51"/>
      <c r="EIM44" s="51"/>
      <c r="EIN44" s="51"/>
      <c r="EIO44" s="51"/>
      <c r="EIP44" s="51"/>
      <c r="EIQ44" s="51"/>
      <c r="EIR44" s="51"/>
      <c r="EIS44" s="51"/>
      <c r="EIT44" s="51"/>
      <c r="EIU44" s="51"/>
      <c r="EIV44" s="51"/>
      <c r="EIW44" s="51"/>
      <c r="EIX44" s="51"/>
      <c r="EIY44" s="51"/>
      <c r="EIZ44" s="51"/>
      <c r="EJA44" s="51"/>
      <c r="EJB44" s="51"/>
      <c r="EJC44" s="51"/>
      <c r="EJD44" s="51"/>
      <c r="EJE44" s="51"/>
      <c r="EJF44" s="51"/>
      <c r="EJG44" s="51"/>
      <c r="EJH44" s="51"/>
      <c r="EJI44" s="51"/>
      <c r="EJJ44" s="51"/>
      <c r="EJK44" s="51"/>
      <c r="EJL44" s="51"/>
      <c r="EJM44" s="51"/>
      <c r="EJN44" s="51"/>
      <c r="EJO44" s="51"/>
      <c r="EJP44" s="51"/>
      <c r="EJQ44" s="51"/>
      <c r="EJR44" s="51"/>
      <c r="EJS44" s="51"/>
      <c r="EJT44" s="51"/>
      <c r="EJU44" s="51"/>
      <c r="EJV44" s="51"/>
      <c r="EJW44" s="51"/>
      <c r="EJX44" s="51"/>
      <c r="EJY44" s="51"/>
      <c r="EJZ44" s="51"/>
      <c r="EKA44" s="51"/>
      <c r="EKB44" s="51"/>
      <c r="EKC44" s="51"/>
      <c r="EKD44" s="51"/>
      <c r="EKE44" s="51"/>
      <c r="EKF44" s="51"/>
      <c r="EKG44" s="51"/>
      <c r="EKH44" s="51"/>
      <c r="EKI44" s="51"/>
      <c r="EKJ44" s="51"/>
      <c r="EKK44" s="51"/>
      <c r="EKL44" s="51"/>
      <c r="EKM44" s="51"/>
      <c r="EKN44" s="51"/>
      <c r="EKO44" s="51"/>
      <c r="EKP44" s="51"/>
      <c r="EKQ44" s="51"/>
      <c r="EKR44" s="51"/>
      <c r="EKS44" s="51"/>
      <c r="EKT44" s="51"/>
      <c r="EKU44" s="51"/>
      <c r="EKV44" s="51"/>
      <c r="EKW44" s="51"/>
      <c r="EKX44" s="51"/>
      <c r="EKY44" s="51"/>
      <c r="EKZ44" s="51"/>
      <c r="ELA44" s="51"/>
      <c r="ELB44" s="51"/>
      <c r="ELC44" s="51"/>
      <c r="ELD44" s="51"/>
      <c r="ELE44" s="51"/>
      <c r="ELF44" s="51"/>
      <c r="ELG44" s="51"/>
      <c r="ELH44" s="51"/>
      <c r="ELI44" s="51"/>
      <c r="ELJ44" s="51"/>
      <c r="ELK44" s="51"/>
      <c r="ELL44" s="51"/>
      <c r="ELM44" s="51"/>
      <c r="ELN44" s="51"/>
      <c r="ELO44" s="51"/>
      <c r="ELP44" s="51"/>
      <c r="ELQ44" s="51"/>
      <c r="ELR44" s="51"/>
      <c r="ELS44" s="51"/>
      <c r="ELT44" s="51"/>
      <c r="ELU44" s="51"/>
      <c r="ELV44" s="51"/>
      <c r="ELW44" s="51"/>
      <c r="ELX44" s="51"/>
      <c r="ELY44" s="51"/>
      <c r="ELZ44" s="51"/>
      <c r="EMA44" s="51"/>
      <c r="EMB44" s="51"/>
      <c r="EMC44" s="51"/>
      <c r="EMD44" s="51"/>
      <c r="EME44" s="51"/>
      <c r="EMF44" s="51"/>
      <c r="EMG44" s="51"/>
      <c r="EMH44" s="51"/>
      <c r="EMI44" s="51"/>
      <c r="EMJ44" s="51"/>
      <c r="EMK44" s="51"/>
      <c r="EML44" s="51"/>
      <c r="EMM44" s="51"/>
      <c r="EMN44" s="51"/>
      <c r="EMO44" s="51"/>
      <c r="EMP44" s="51"/>
      <c r="EMQ44" s="51"/>
      <c r="EMR44" s="51"/>
      <c r="EMS44" s="51"/>
      <c r="EMT44" s="51"/>
      <c r="EMU44" s="51"/>
      <c r="EMV44" s="51"/>
      <c r="EMW44" s="51"/>
      <c r="EMX44" s="51"/>
      <c r="EMY44" s="51"/>
      <c r="EMZ44" s="51"/>
      <c r="ENA44" s="51"/>
      <c r="ENB44" s="51"/>
      <c r="ENC44" s="51"/>
      <c r="END44" s="51"/>
      <c r="ENE44" s="51"/>
      <c r="ENF44" s="51"/>
      <c r="ENG44" s="51"/>
      <c r="ENH44" s="51"/>
      <c r="ENI44" s="51"/>
      <c r="ENJ44" s="51"/>
      <c r="ENK44" s="51"/>
      <c r="ENL44" s="51"/>
      <c r="ENM44" s="51"/>
      <c r="ENN44" s="51"/>
      <c r="ENO44" s="51"/>
      <c r="ENP44" s="51"/>
      <c r="ENQ44" s="51"/>
      <c r="ENR44" s="51"/>
      <c r="ENS44" s="51"/>
      <c r="ENT44" s="51"/>
      <c r="ENU44" s="51"/>
      <c r="ENV44" s="51"/>
      <c r="ENW44" s="51"/>
      <c r="ENX44" s="51"/>
      <c r="ENY44" s="51"/>
      <c r="ENZ44" s="51"/>
      <c r="EOA44" s="51"/>
      <c r="EOB44" s="51"/>
      <c r="EOC44" s="51"/>
      <c r="EOD44" s="51"/>
      <c r="EOE44" s="51"/>
      <c r="EOF44" s="51"/>
      <c r="EOG44" s="51"/>
      <c r="EOH44" s="51"/>
      <c r="EOI44" s="51"/>
      <c r="EOJ44" s="51"/>
      <c r="EOK44" s="51"/>
      <c r="EOL44" s="51"/>
      <c r="EOM44" s="51"/>
      <c r="EON44" s="51"/>
      <c r="EOO44" s="51"/>
      <c r="EOP44" s="51"/>
      <c r="EOQ44" s="51"/>
      <c r="EOR44" s="51"/>
      <c r="EOS44" s="51"/>
      <c r="EOT44" s="51"/>
      <c r="EOU44" s="51"/>
      <c r="EOV44" s="51"/>
      <c r="EOW44" s="51"/>
      <c r="EOX44" s="51"/>
      <c r="EOY44" s="51"/>
      <c r="EOZ44" s="51"/>
      <c r="EPA44" s="51"/>
      <c r="EPB44" s="51"/>
      <c r="EPC44" s="51"/>
      <c r="EPD44" s="51"/>
      <c r="EPE44" s="51"/>
      <c r="EPF44" s="51"/>
      <c r="EPG44" s="51"/>
      <c r="EPH44" s="51"/>
      <c r="EPI44" s="51"/>
      <c r="EPJ44" s="51"/>
      <c r="EPK44" s="51"/>
      <c r="EPL44" s="51"/>
      <c r="EPM44" s="51"/>
      <c r="EPN44" s="51"/>
      <c r="EPO44" s="51"/>
      <c r="EPP44" s="51"/>
      <c r="EPQ44" s="51"/>
      <c r="EPR44" s="51"/>
      <c r="EPS44" s="51"/>
      <c r="EPT44" s="51"/>
      <c r="EPU44" s="51"/>
      <c r="EPV44" s="51"/>
      <c r="EPW44" s="51"/>
      <c r="EPX44" s="51"/>
      <c r="EPY44" s="51"/>
      <c r="EPZ44" s="51"/>
      <c r="EQA44" s="51"/>
      <c r="EQB44" s="51"/>
      <c r="EQC44" s="51"/>
      <c r="EQD44" s="51"/>
      <c r="EQE44" s="51"/>
      <c r="EQF44" s="51"/>
      <c r="EQG44" s="51"/>
      <c r="EQH44" s="51"/>
      <c r="EQI44" s="51"/>
      <c r="EQJ44" s="51"/>
      <c r="EQK44" s="51"/>
      <c r="EQL44" s="51"/>
      <c r="EQM44" s="51"/>
      <c r="EQN44" s="51"/>
      <c r="EQO44" s="51"/>
      <c r="EQP44" s="51"/>
      <c r="EQQ44" s="51"/>
      <c r="EQR44" s="51"/>
      <c r="EQS44" s="51"/>
      <c r="EQT44" s="51"/>
      <c r="EQU44" s="51"/>
      <c r="EQV44" s="51"/>
      <c r="EQW44" s="51"/>
      <c r="EQX44" s="51"/>
      <c r="EQY44" s="51"/>
      <c r="EQZ44" s="51"/>
      <c r="ERA44" s="51"/>
      <c r="ERB44" s="51"/>
      <c r="ERC44" s="51"/>
      <c r="ERD44" s="51"/>
      <c r="ERE44" s="51"/>
      <c r="ERF44" s="51"/>
      <c r="ERG44" s="51"/>
      <c r="ERH44" s="51"/>
      <c r="ERI44" s="51"/>
      <c r="ERJ44" s="51"/>
      <c r="ERK44" s="51"/>
      <c r="ERL44" s="51"/>
      <c r="ERM44" s="51"/>
      <c r="ERN44" s="51"/>
      <c r="ERO44" s="51"/>
      <c r="ERP44" s="51"/>
      <c r="ERQ44" s="51"/>
      <c r="ERR44" s="51"/>
      <c r="ERS44" s="51"/>
      <c r="ERT44" s="51"/>
      <c r="ERU44" s="51"/>
      <c r="ERV44" s="51"/>
      <c r="ERW44" s="51"/>
      <c r="ERX44" s="51"/>
      <c r="ERY44" s="51"/>
      <c r="ERZ44" s="51"/>
      <c r="ESA44" s="51"/>
      <c r="ESB44" s="51"/>
      <c r="ESC44" s="51"/>
      <c r="ESD44" s="51"/>
      <c r="ESE44" s="51"/>
      <c r="ESF44" s="51"/>
      <c r="ESG44" s="51"/>
      <c r="ESH44" s="51"/>
      <c r="ESI44" s="51"/>
      <c r="ESJ44" s="51"/>
      <c r="ESK44" s="51"/>
      <c r="ESL44" s="51"/>
      <c r="ESM44" s="51"/>
      <c r="ESN44" s="51"/>
      <c r="ESO44" s="51"/>
      <c r="ESP44" s="51"/>
      <c r="ESQ44" s="51"/>
      <c r="ESR44" s="51"/>
      <c r="ESS44" s="51"/>
      <c r="EST44" s="51"/>
      <c r="ESU44" s="51"/>
      <c r="ESV44" s="51"/>
      <c r="ESW44" s="51"/>
      <c r="ESX44" s="51"/>
      <c r="ESY44" s="51"/>
      <c r="ESZ44" s="51"/>
      <c r="ETA44" s="51"/>
      <c r="ETB44" s="51"/>
      <c r="ETC44" s="51"/>
      <c r="ETD44" s="51"/>
      <c r="ETE44" s="51"/>
      <c r="ETF44" s="51"/>
      <c r="ETG44" s="51"/>
      <c r="ETH44" s="51"/>
      <c r="ETI44" s="51"/>
      <c r="ETJ44" s="51"/>
      <c r="ETK44" s="51"/>
      <c r="ETL44" s="51"/>
      <c r="ETM44" s="51"/>
      <c r="ETN44" s="51"/>
      <c r="ETO44" s="51"/>
      <c r="ETP44" s="51"/>
      <c r="ETQ44" s="51"/>
      <c r="ETR44" s="51"/>
      <c r="ETS44" s="51"/>
      <c r="ETT44" s="51"/>
      <c r="ETU44" s="51"/>
      <c r="ETV44" s="51"/>
      <c r="ETW44" s="51"/>
      <c r="ETX44" s="51"/>
      <c r="ETY44" s="51"/>
      <c r="ETZ44" s="51"/>
      <c r="EUA44" s="51"/>
      <c r="EUB44" s="51"/>
      <c r="EUC44" s="51"/>
      <c r="EUD44" s="51"/>
      <c r="EUE44" s="51"/>
      <c r="EUF44" s="51"/>
      <c r="EUG44" s="51"/>
      <c r="EUH44" s="51"/>
      <c r="EUI44" s="51"/>
      <c r="EUJ44" s="51"/>
      <c r="EUK44" s="51"/>
      <c r="EUL44" s="51"/>
      <c r="EUM44" s="51"/>
      <c r="EUN44" s="51"/>
      <c r="EUO44" s="51"/>
      <c r="EUP44" s="51"/>
      <c r="EUQ44" s="51"/>
      <c r="EUR44" s="51"/>
      <c r="EUS44" s="51"/>
      <c r="EUT44" s="51"/>
      <c r="EUU44" s="51"/>
      <c r="EUV44" s="51"/>
      <c r="EUW44" s="51"/>
      <c r="EUX44" s="51"/>
      <c r="EUY44" s="51"/>
      <c r="EUZ44" s="51"/>
      <c r="EVA44" s="51"/>
      <c r="EVB44" s="51"/>
      <c r="EVC44" s="51"/>
      <c r="EVD44" s="51"/>
      <c r="EVE44" s="51"/>
      <c r="EVF44" s="51"/>
      <c r="EVG44" s="51"/>
      <c r="EVH44" s="51"/>
      <c r="EVI44" s="51"/>
      <c r="EVJ44" s="51"/>
      <c r="EVK44" s="51"/>
      <c r="EVL44" s="51"/>
      <c r="EVM44" s="51"/>
      <c r="EVN44" s="51"/>
      <c r="EVO44" s="51"/>
      <c r="EVP44" s="51"/>
      <c r="EVQ44" s="51"/>
      <c r="EVR44" s="51"/>
      <c r="EVS44" s="51"/>
      <c r="EVT44" s="51"/>
      <c r="EVU44" s="51"/>
      <c r="EVV44" s="51"/>
      <c r="EVW44" s="51"/>
      <c r="EVX44" s="51"/>
      <c r="EVY44" s="51"/>
      <c r="EVZ44" s="51"/>
      <c r="EWA44" s="51"/>
      <c r="EWB44" s="51"/>
      <c r="EWC44" s="51"/>
      <c r="EWD44" s="51"/>
      <c r="EWE44" s="51"/>
      <c r="EWF44" s="51"/>
      <c r="EWG44" s="51"/>
      <c r="EWH44" s="51"/>
      <c r="EWI44" s="51"/>
      <c r="EWJ44" s="51"/>
      <c r="EWK44" s="51"/>
      <c r="EWL44" s="51"/>
      <c r="EWM44" s="51"/>
      <c r="EWN44" s="51"/>
      <c r="EWO44" s="51"/>
      <c r="EWP44" s="51"/>
      <c r="EWQ44" s="51"/>
      <c r="EWR44" s="51"/>
      <c r="EWS44" s="51"/>
      <c r="EWT44" s="51"/>
      <c r="EWU44" s="51"/>
      <c r="EWV44" s="51"/>
      <c r="EWW44" s="51"/>
      <c r="EWX44" s="51"/>
      <c r="EWY44" s="51"/>
      <c r="EWZ44" s="51"/>
      <c r="EXA44" s="51"/>
      <c r="EXB44" s="51"/>
      <c r="EXC44" s="51"/>
      <c r="EXD44" s="51"/>
      <c r="EXE44" s="51"/>
      <c r="EXF44" s="51"/>
      <c r="EXG44" s="51"/>
      <c r="EXH44" s="51"/>
      <c r="EXI44" s="51"/>
      <c r="EXJ44" s="51"/>
      <c r="EXK44" s="51"/>
      <c r="EXL44" s="51"/>
      <c r="EXM44" s="51"/>
      <c r="EXN44" s="51"/>
      <c r="EXO44" s="51"/>
      <c r="EXP44" s="51"/>
      <c r="EXQ44" s="51"/>
      <c r="EXR44" s="51"/>
      <c r="EXS44" s="51"/>
      <c r="EXT44" s="51"/>
      <c r="EXU44" s="51"/>
      <c r="EXV44" s="51"/>
      <c r="EXW44" s="51"/>
      <c r="EXX44" s="51"/>
      <c r="EXY44" s="51"/>
      <c r="EXZ44" s="51"/>
      <c r="EYA44" s="51"/>
      <c r="EYB44" s="51"/>
      <c r="EYC44" s="51"/>
      <c r="EYD44" s="51"/>
      <c r="EYE44" s="51"/>
      <c r="EYF44" s="51"/>
      <c r="EYG44" s="51"/>
      <c r="EYH44" s="51"/>
      <c r="EYI44" s="51"/>
      <c r="EYJ44" s="51"/>
      <c r="EYK44" s="51"/>
      <c r="EYL44" s="51"/>
      <c r="EYM44" s="51"/>
      <c r="EYN44" s="51"/>
      <c r="EYO44" s="51"/>
      <c r="EYP44" s="51"/>
      <c r="EYQ44" s="51"/>
      <c r="EYR44" s="51"/>
      <c r="EYS44" s="51"/>
      <c r="EYT44" s="51"/>
      <c r="EYU44" s="51"/>
      <c r="EYV44" s="51"/>
      <c r="EYW44" s="51"/>
      <c r="EYX44" s="51"/>
      <c r="EYY44" s="51"/>
      <c r="EYZ44" s="51"/>
      <c r="EZA44" s="51"/>
      <c r="EZB44" s="51"/>
      <c r="EZC44" s="51"/>
      <c r="EZD44" s="51"/>
      <c r="EZE44" s="51"/>
      <c r="EZF44" s="51"/>
      <c r="EZG44" s="51"/>
      <c r="EZH44" s="51"/>
      <c r="EZI44" s="51"/>
      <c r="EZJ44" s="51"/>
      <c r="EZK44" s="51"/>
      <c r="EZL44" s="51"/>
      <c r="EZM44" s="51"/>
      <c r="EZN44" s="51"/>
      <c r="EZO44" s="51"/>
      <c r="EZP44" s="51"/>
      <c r="EZQ44" s="51"/>
      <c r="EZR44" s="51"/>
      <c r="EZS44" s="51"/>
      <c r="EZT44" s="51"/>
      <c r="EZU44" s="51"/>
      <c r="EZV44" s="51"/>
      <c r="EZW44" s="51"/>
      <c r="EZX44" s="51"/>
      <c r="EZY44" s="51"/>
      <c r="EZZ44" s="51"/>
      <c r="FAA44" s="51"/>
      <c r="FAB44" s="51"/>
      <c r="FAC44" s="51"/>
      <c r="FAD44" s="51"/>
      <c r="FAE44" s="51"/>
      <c r="FAF44" s="51"/>
      <c r="FAG44" s="51"/>
      <c r="FAH44" s="51"/>
      <c r="FAI44" s="51"/>
      <c r="FAJ44" s="51"/>
      <c r="FAK44" s="51"/>
      <c r="FAL44" s="51"/>
      <c r="FAM44" s="51"/>
      <c r="FAN44" s="51"/>
      <c r="FAO44" s="51"/>
      <c r="FAP44" s="51"/>
      <c r="FAQ44" s="51"/>
      <c r="FAR44" s="51"/>
      <c r="FAS44" s="51"/>
      <c r="FAT44" s="51"/>
      <c r="FAU44" s="51"/>
      <c r="FAV44" s="51"/>
      <c r="FAW44" s="51"/>
      <c r="FAX44" s="51"/>
      <c r="FAY44" s="51"/>
      <c r="FAZ44" s="51"/>
      <c r="FBA44" s="51"/>
      <c r="FBB44" s="51"/>
      <c r="FBC44" s="51"/>
      <c r="FBD44" s="51"/>
      <c r="FBE44" s="51"/>
      <c r="FBF44" s="51"/>
      <c r="FBG44" s="51"/>
      <c r="FBH44" s="51"/>
      <c r="FBI44" s="51"/>
      <c r="FBJ44" s="51"/>
      <c r="FBK44" s="51"/>
      <c r="FBL44" s="51"/>
      <c r="FBM44" s="51"/>
      <c r="FBN44" s="51"/>
      <c r="FBO44" s="51"/>
      <c r="FBP44" s="51"/>
      <c r="FBQ44" s="51"/>
      <c r="FBR44" s="51"/>
      <c r="FBS44" s="51"/>
      <c r="FBT44" s="51"/>
      <c r="FBU44" s="51"/>
      <c r="FBV44" s="51"/>
      <c r="FBW44" s="51"/>
      <c r="FBX44" s="51"/>
      <c r="FBY44" s="51"/>
      <c r="FBZ44" s="51"/>
      <c r="FCA44" s="51"/>
      <c r="FCB44" s="51"/>
      <c r="FCC44" s="51"/>
      <c r="FCD44" s="51"/>
      <c r="FCE44" s="51"/>
      <c r="FCF44" s="51"/>
      <c r="FCG44" s="51"/>
      <c r="FCH44" s="51"/>
      <c r="FCI44" s="51"/>
      <c r="FCJ44" s="51"/>
      <c r="FCK44" s="51"/>
      <c r="FCL44" s="51"/>
      <c r="FCM44" s="51"/>
      <c r="FCN44" s="51"/>
      <c r="FCO44" s="51"/>
      <c r="FCP44" s="51"/>
      <c r="FCQ44" s="51"/>
      <c r="FCR44" s="51"/>
      <c r="FCS44" s="51"/>
      <c r="FCT44" s="51"/>
      <c r="FCU44" s="51"/>
      <c r="FCV44" s="51"/>
      <c r="FCW44" s="51"/>
      <c r="FCX44" s="51"/>
      <c r="FCY44" s="51"/>
      <c r="FCZ44" s="51"/>
      <c r="FDA44" s="51"/>
      <c r="FDB44" s="51"/>
      <c r="FDC44" s="51"/>
      <c r="FDD44" s="51"/>
      <c r="FDE44" s="51"/>
      <c r="FDF44" s="51"/>
      <c r="FDG44" s="51"/>
      <c r="FDH44" s="51"/>
      <c r="FDI44" s="51"/>
      <c r="FDJ44" s="51"/>
      <c r="FDK44" s="51"/>
      <c r="FDL44" s="51"/>
      <c r="FDM44" s="51"/>
      <c r="FDN44" s="51"/>
      <c r="FDO44" s="51"/>
      <c r="FDP44" s="51"/>
      <c r="FDQ44" s="51"/>
      <c r="FDR44" s="51"/>
      <c r="FDS44" s="51"/>
      <c r="FDT44" s="51"/>
      <c r="FDU44" s="51"/>
      <c r="FDV44" s="51"/>
      <c r="FDW44" s="51"/>
      <c r="FDX44" s="51"/>
      <c r="FDY44" s="51"/>
      <c r="FDZ44" s="51"/>
      <c r="FEA44" s="51"/>
      <c r="FEB44" s="51"/>
      <c r="FEC44" s="51"/>
      <c r="FED44" s="51"/>
      <c r="FEE44" s="51"/>
      <c r="FEF44" s="51"/>
      <c r="FEG44" s="51"/>
      <c r="FEH44" s="51"/>
      <c r="FEI44" s="51"/>
      <c r="FEJ44" s="51"/>
      <c r="FEK44" s="51"/>
      <c r="FEL44" s="51"/>
      <c r="FEM44" s="51"/>
      <c r="FEN44" s="51"/>
      <c r="FEO44" s="51"/>
      <c r="FEP44" s="51"/>
      <c r="FEQ44" s="51"/>
      <c r="FER44" s="51"/>
      <c r="FES44" s="51"/>
      <c r="FET44" s="51"/>
      <c r="FEU44" s="51"/>
      <c r="FEV44" s="51"/>
      <c r="FEW44" s="51"/>
      <c r="FEX44" s="51"/>
      <c r="FEY44" s="51"/>
      <c r="FEZ44" s="51"/>
      <c r="FFA44" s="51"/>
      <c r="FFB44" s="51"/>
      <c r="FFC44" s="51"/>
      <c r="FFD44" s="51"/>
      <c r="FFE44" s="51"/>
      <c r="FFF44" s="51"/>
      <c r="FFG44" s="51"/>
      <c r="FFH44" s="51"/>
      <c r="FFI44" s="51"/>
      <c r="FFJ44" s="51"/>
      <c r="FFK44" s="51"/>
      <c r="FFL44" s="51"/>
      <c r="FFM44" s="51"/>
      <c r="FFN44" s="51"/>
      <c r="FFO44" s="51"/>
      <c r="FFP44" s="51"/>
      <c r="FFQ44" s="51"/>
      <c r="FFR44" s="51"/>
      <c r="FFS44" s="51"/>
      <c r="FFT44" s="51"/>
      <c r="FFU44" s="51"/>
      <c r="FFV44" s="51"/>
      <c r="FFW44" s="51"/>
      <c r="FFX44" s="51"/>
      <c r="FFY44" s="51"/>
      <c r="FFZ44" s="51"/>
      <c r="FGA44" s="51"/>
      <c r="FGB44" s="51"/>
      <c r="FGC44" s="51"/>
      <c r="FGD44" s="51"/>
      <c r="FGE44" s="51"/>
      <c r="FGF44" s="51"/>
      <c r="FGG44" s="51"/>
      <c r="FGH44" s="51"/>
      <c r="FGI44" s="51"/>
      <c r="FGJ44" s="51"/>
      <c r="FGK44" s="51"/>
      <c r="FGL44" s="51"/>
      <c r="FGM44" s="51"/>
      <c r="FGN44" s="51"/>
      <c r="FGO44" s="51"/>
      <c r="FGP44" s="51"/>
      <c r="FGQ44" s="51"/>
      <c r="FGR44" s="51"/>
      <c r="FGS44" s="51"/>
      <c r="FGT44" s="51"/>
      <c r="FGU44" s="51"/>
      <c r="FGV44" s="51"/>
      <c r="FGW44" s="51"/>
      <c r="FGX44" s="51"/>
      <c r="FGY44" s="51"/>
      <c r="FGZ44" s="51"/>
      <c r="FHA44" s="51"/>
      <c r="FHB44" s="51"/>
      <c r="FHC44" s="51"/>
      <c r="FHD44" s="51"/>
      <c r="FHE44" s="51"/>
      <c r="FHF44" s="51"/>
      <c r="FHG44" s="51"/>
      <c r="FHH44" s="51"/>
      <c r="FHI44" s="51"/>
      <c r="FHJ44" s="51"/>
      <c r="FHK44" s="51"/>
      <c r="FHL44" s="51"/>
      <c r="FHM44" s="51"/>
      <c r="FHN44" s="51"/>
      <c r="FHO44" s="51"/>
      <c r="FHP44" s="51"/>
      <c r="FHQ44" s="51"/>
      <c r="FHR44" s="51"/>
      <c r="FHS44" s="51"/>
      <c r="FHT44" s="51"/>
      <c r="FHU44" s="51"/>
      <c r="FHV44" s="51"/>
      <c r="FHW44" s="51"/>
      <c r="FHX44" s="51"/>
      <c r="FHY44" s="51"/>
      <c r="FHZ44" s="51"/>
      <c r="FIA44" s="51"/>
      <c r="FIB44" s="51"/>
      <c r="FIC44" s="51"/>
      <c r="FID44" s="51"/>
      <c r="FIE44" s="51"/>
      <c r="FIF44" s="51"/>
      <c r="FIG44" s="51"/>
      <c r="FIH44" s="51"/>
      <c r="FII44" s="51"/>
      <c r="FIJ44" s="51"/>
      <c r="FIK44" s="51"/>
      <c r="FIL44" s="51"/>
      <c r="FIM44" s="51"/>
      <c r="FIN44" s="51"/>
      <c r="FIO44" s="51"/>
      <c r="FIP44" s="51"/>
      <c r="FIQ44" s="51"/>
      <c r="FIR44" s="51"/>
      <c r="FIS44" s="51"/>
      <c r="FIT44" s="51"/>
      <c r="FIU44" s="51"/>
      <c r="FIV44" s="51"/>
      <c r="FIW44" s="51"/>
      <c r="FIX44" s="51"/>
      <c r="FIY44" s="51"/>
      <c r="FIZ44" s="51"/>
      <c r="FJA44" s="51"/>
      <c r="FJB44" s="51"/>
      <c r="FJC44" s="51"/>
      <c r="FJD44" s="51"/>
      <c r="FJE44" s="51"/>
      <c r="FJF44" s="51"/>
      <c r="FJG44" s="51"/>
      <c r="FJH44" s="51"/>
      <c r="FJI44" s="51"/>
      <c r="FJJ44" s="51"/>
      <c r="FJK44" s="51"/>
      <c r="FJL44" s="51"/>
      <c r="FJM44" s="51"/>
      <c r="FJN44" s="51"/>
      <c r="FJO44" s="51"/>
      <c r="FJP44" s="51"/>
      <c r="FJQ44" s="51"/>
      <c r="FJR44" s="51"/>
      <c r="FJS44" s="51"/>
      <c r="FJT44" s="51"/>
      <c r="FJU44" s="51"/>
      <c r="FJV44" s="51"/>
      <c r="FJW44" s="51"/>
      <c r="FJX44" s="51"/>
      <c r="FJY44" s="51"/>
      <c r="FJZ44" s="51"/>
      <c r="FKA44" s="51"/>
      <c r="FKB44" s="51"/>
      <c r="FKC44" s="51"/>
      <c r="FKD44" s="51"/>
      <c r="FKE44" s="51"/>
      <c r="FKF44" s="51"/>
      <c r="FKG44" s="51"/>
      <c r="FKH44" s="51"/>
      <c r="FKI44" s="51"/>
      <c r="FKJ44" s="51"/>
      <c r="FKK44" s="51"/>
      <c r="FKL44" s="51"/>
      <c r="FKM44" s="51"/>
      <c r="FKN44" s="51"/>
      <c r="FKO44" s="51"/>
      <c r="FKP44" s="51"/>
      <c r="FKQ44" s="51"/>
      <c r="FKR44" s="51"/>
      <c r="FKS44" s="51"/>
      <c r="FKT44" s="51"/>
      <c r="FKU44" s="51"/>
      <c r="FKV44" s="51"/>
      <c r="FKW44" s="51"/>
      <c r="FKX44" s="51"/>
      <c r="FKY44" s="51"/>
      <c r="FKZ44" s="51"/>
      <c r="FLA44" s="51"/>
      <c r="FLB44" s="51"/>
      <c r="FLC44" s="51"/>
      <c r="FLD44" s="51"/>
      <c r="FLE44" s="51"/>
      <c r="FLF44" s="51"/>
      <c r="FLG44" s="51"/>
      <c r="FLH44" s="51"/>
      <c r="FLI44" s="51"/>
      <c r="FLJ44" s="51"/>
      <c r="FLK44" s="51"/>
      <c r="FLL44" s="51"/>
      <c r="FLM44" s="51"/>
      <c r="FLN44" s="51"/>
      <c r="FLO44" s="51"/>
      <c r="FLP44" s="51"/>
      <c r="FLQ44" s="51"/>
      <c r="FLR44" s="51"/>
      <c r="FLS44" s="51"/>
      <c r="FLT44" s="51"/>
      <c r="FLU44" s="51"/>
      <c r="FLV44" s="51"/>
      <c r="FLW44" s="51"/>
      <c r="FLX44" s="51"/>
      <c r="FLY44" s="51"/>
      <c r="FLZ44" s="51"/>
      <c r="FMA44" s="51"/>
      <c r="FMB44" s="51"/>
      <c r="FMC44" s="51"/>
      <c r="FMD44" s="51"/>
      <c r="FME44" s="51"/>
      <c r="FMF44" s="51"/>
      <c r="FMG44" s="51"/>
      <c r="FMH44" s="51"/>
      <c r="FMI44" s="51"/>
      <c r="FMJ44" s="51"/>
      <c r="FMK44" s="51"/>
      <c r="FML44" s="51"/>
      <c r="FMM44" s="51"/>
      <c r="FMN44" s="51"/>
      <c r="FMO44" s="51"/>
      <c r="FMP44" s="51"/>
      <c r="FMQ44" s="51"/>
      <c r="FMR44" s="51"/>
      <c r="FMS44" s="51"/>
      <c r="FMT44" s="51"/>
      <c r="FMU44" s="51"/>
      <c r="FMV44" s="51"/>
      <c r="FMW44" s="51"/>
      <c r="FMX44" s="51"/>
      <c r="FMY44" s="51"/>
      <c r="FMZ44" s="51"/>
      <c r="FNA44" s="51"/>
      <c r="FNB44" s="51"/>
      <c r="FNC44" s="51"/>
      <c r="FND44" s="51"/>
      <c r="FNE44" s="51"/>
      <c r="FNF44" s="51"/>
      <c r="FNG44" s="51"/>
      <c r="FNH44" s="51"/>
      <c r="FNI44" s="51"/>
      <c r="FNJ44" s="51"/>
      <c r="FNK44" s="51"/>
      <c r="FNL44" s="51"/>
      <c r="FNM44" s="51"/>
      <c r="FNN44" s="51"/>
      <c r="FNO44" s="51"/>
      <c r="FNP44" s="51"/>
      <c r="FNQ44" s="51"/>
      <c r="FNR44" s="51"/>
      <c r="FNS44" s="51"/>
      <c r="FNT44" s="51"/>
      <c r="FNU44" s="51"/>
      <c r="FNV44" s="51"/>
      <c r="FNW44" s="51"/>
      <c r="FNX44" s="51"/>
      <c r="FNY44" s="51"/>
      <c r="FNZ44" s="51"/>
      <c r="FOA44" s="51"/>
      <c r="FOB44" s="51"/>
      <c r="FOC44" s="51"/>
      <c r="FOD44" s="51"/>
      <c r="FOE44" s="51"/>
      <c r="FOF44" s="51"/>
      <c r="FOG44" s="51"/>
      <c r="FOH44" s="51"/>
      <c r="FOI44" s="51"/>
      <c r="FOJ44" s="51"/>
      <c r="FOK44" s="51"/>
      <c r="FOL44" s="51"/>
      <c r="FOM44" s="51"/>
      <c r="FON44" s="51"/>
      <c r="FOO44" s="51"/>
      <c r="FOP44" s="51"/>
      <c r="FOQ44" s="51"/>
      <c r="FOR44" s="51"/>
      <c r="FOS44" s="51"/>
      <c r="FOT44" s="51"/>
      <c r="FOU44" s="51"/>
      <c r="FOV44" s="51"/>
      <c r="FOW44" s="51"/>
      <c r="FOX44" s="51"/>
      <c r="FOY44" s="51"/>
      <c r="FOZ44" s="51"/>
      <c r="FPA44" s="51"/>
      <c r="FPB44" s="51"/>
      <c r="FPC44" s="51"/>
      <c r="FPD44" s="51"/>
      <c r="FPE44" s="51"/>
      <c r="FPF44" s="51"/>
      <c r="FPG44" s="51"/>
      <c r="FPH44" s="51"/>
      <c r="FPI44" s="51"/>
      <c r="FPJ44" s="51"/>
      <c r="FPK44" s="51"/>
      <c r="FPL44" s="51"/>
      <c r="FPM44" s="51"/>
      <c r="FPN44" s="51"/>
      <c r="FPO44" s="51"/>
      <c r="FPP44" s="51"/>
      <c r="FPQ44" s="51"/>
      <c r="FPR44" s="51"/>
      <c r="FPS44" s="51"/>
      <c r="FPT44" s="51"/>
      <c r="FPU44" s="51"/>
      <c r="FPV44" s="51"/>
      <c r="FPW44" s="51"/>
      <c r="FPX44" s="51"/>
      <c r="FPY44" s="51"/>
      <c r="FPZ44" s="51"/>
      <c r="FQA44" s="51"/>
      <c r="FQB44" s="51"/>
      <c r="FQC44" s="51"/>
      <c r="FQD44" s="51"/>
      <c r="FQE44" s="51"/>
      <c r="FQF44" s="51"/>
      <c r="FQG44" s="51"/>
      <c r="FQH44" s="51"/>
      <c r="FQI44" s="51"/>
      <c r="FQJ44" s="51"/>
      <c r="FQK44" s="51"/>
      <c r="FQL44" s="51"/>
      <c r="FQM44" s="51"/>
      <c r="FQN44" s="51"/>
      <c r="FQO44" s="51"/>
      <c r="FQP44" s="51"/>
      <c r="FQQ44" s="51"/>
      <c r="FQR44" s="51"/>
      <c r="FQS44" s="51"/>
      <c r="FQT44" s="51"/>
      <c r="FQU44" s="51"/>
      <c r="FQV44" s="51"/>
      <c r="FQW44" s="51"/>
      <c r="FQX44" s="51"/>
      <c r="FQY44" s="51"/>
      <c r="FQZ44" s="51"/>
      <c r="FRA44" s="51"/>
      <c r="FRB44" s="51"/>
      <c r="FRC44" s="51"/>
      <c r="FRD44" s="51"/>
      <c r="FRE44" s="51"/>
      <c r="FRF44" s="51"/>
      <c r="FRG44" s="51"/>
      <c r="FRH44" s="51"/>
      <c r="FRI44" s="51"/>
      <c r="FRJ44" s="51"/>
      <c r="FRK44" s="51"/>
      <c r="FRL44" s="51"/>
      <c r="FRM44" s="51"/>
      <c r="FRN44" s="51"/>
      <c r="FRO44" s="51"/>
      <c r="FRP44" s="51"/>
      <c r="FRQ44" s="51"/>
      <c r="FRR44" s="51"/>
      <c r="FRS44" s="51"/>
      <c r="FRT44" s="51"/>
      <c r="FRU44" s="51"/>
      <c r="FRV44" s="51"/>
      <c r="FRW44" s="51"/>
      <c r="FRX44" s="51"/>
      <c r="FRY44" s="51"/>
      <c r="FRZ44" s="51"/>
      <c r="FSA44" s="51"/>
      <c r="FSB44" s="51"/>
      <c r="FSC44" s="51"/>
      <c r="FSD44" s="51"/>
      <c r="FSE44" s="51"/>
      <c r="FSF44" s="51"/>
      <c r="FSG44" s="51"/>
      <c r="FSH44" s="51"/>
      <c r="FSI44" s="51"/>
      <c r="FSJ44" s="51"/>
      <c r="FSK44" s="51"/>
      <c r="FSL44" s="51"/>
      <c r="FSM44" s="51"/>
      <c r="FSN44" s="51"/>
      <c r="FSO44" s="51"/>
      <c r="FSP44" s="51"/>
      <c r="FSQ44" s="51"/>
      <c r="FSR44" s="51"/>
      <c r="FSS44" s="51"/>
      <c r="FST44" s="51"/>
      <c r="FSU44" s="51"/>
      <c r="FSV44" s="51"/>
      <c r="FSW44" s="51"/>
      <c r="FSX44" s="51"/>
      <c r="FSY44" s="51"/>
      <c r="FSZ44" s="51"/>
      <c r="FTA44" s="51"/>
      <c r="FTB44" s="51"/>
      <c r="FTC44" s="51"/>
      <c r="FTD44" s="51"/>
      <c r="FTE44" s="51"/>
      <c r="FTF44" s="51"/>
      <c r="FTG44" s="51"/>
      <c r="FTH44" s="51"/>
      <c r="FTI44" s="51"/>
      <c r="FTJ44" s="51"/>
      <c r="FTK44" s="51"/>
      <c r="FTL44" s="51"/>
      <c r="FTM44" s="51"/>
      <c r="FTN44" s="51"/>
      <c r="FTO44" s="51"/>
      <c r="FTP44" s="51"/>
      <c r="FTQ44" s="51"/>
      <c r="FTR44" s="51"/>
      <c r="FTS44" s="51"/>
      <c r="FTT44" s="51"/>
      <c r="FTU44" s="51"/>
      <c r="FTV44" s="51"/>
      <c r="FTW44" s="51"/>
      <c r="FTX44" s="51"/>
      <c r="FTY44" s="51"/>
      <c r="FTZ44" s="51"/>
      <c r="FUA44" s="51"/>
      <c r="FUB44" s="51"/>
      <c r="FUC44" s="51"/>
      <c r="FUD44" s="51"/>
      <c r="FUE44" s="51"/>
      <c r="FUF44" s="51"/>
      <c r="FUG44" s="51"/>
      <c r="FUH44" s="51"/>
      <c r="FUI44" s="51"/>
      <c r="FUJ44" s="51"/>
      <c r="FUK44" s="51"/>
      <c r="FUL44" s="51"/>
      <c r="FUM44" s="51"/>
      <c r="FUN44" s="51"/>
      <c r="FUO44" s="51"/>
      <c r="FUP44" s="51"/>
      <c r="FUQ44" s="51"/>
      <c r="FUR44" s="51"/>
      <c r="FUS44" s="51"/>
      <c r="FUT44" s="51"/>
      <c r="FUU44" s="51"/>
      <c r="FUV44" s="51"/>
      <c r="FUW44" s="51"/>
      <c r="FUX44" s="51"/>
      <c r="FUY44" s="51"/>
      <c r="FUZ44" s="51"/>
      <c r="FVA44" s="51"/>
      <c r="FVB44" s="51"/>
      <c r="FVC44" s="51"/>
      <c r="FVD44" s="51"/>
      <c r="FVE44" s="51"/>
      <c r="FVF44" s="51"/>
      <c r="FVG44" s="51"/>
      <c r="FVH44" s="51"/>
      <c r="FVI44" s="51"/>
      <c r="FVJ44" s="51"/>
      <c r="FVK44" s="51"/>
      <c r="FVL44" s="51"/>
      <c r="FVM44" s="51"/>
      <c r="FVN44" s="51"/>
      <c r="FVO44" s="51"/>
      <c r="FVP44" s="51"/>
      <c r="FVQ44" s="51"/>
      <c r="FVR44" s="51"/>
      <c r="FVS44" s="51"/>
      <c r="FVT44" s="51"/>
      <c r="FVU44" s="51"/>
      <c r="FVV44" s="51"/>
      <c r="FVW44" s="51"/>
      <c r="FVX44" s="51"/>
      <c r="FVY44" s="51"/>
      <c r="FVZ44" s="51"/>
      <c r="FWA44" s="51"/>
      <c r="FWB44" s="51"/>
      <c r="FWC44" s="51"/>
      <c r="FWD44" s="51"/>
      <c r="FWE44" s="51"/>
      <c r="FWF44" s="51"/>
      <c r="FWG44" s="51"/>
      <c r="FWH44" s="51"/>
      <c r="FWI44" s="51"/>
      <c r="FWJ44" s="51"/>
      <c r="FWK44" s="51"/>
      <c r="FWL44" s="51"/>
      <c r="FWM44" s="51"/>
      <c r="FWN44" s="51"/>
      <c r="FWO44" s="51"/>
      <c r="FWP44" s="51"/>
      <c r="FWQ44" s="51"/>
      <c r="FWR44" s="51"/>
      <c r="FWS44" s="51"/>
      <c r="FWT44" s="51"/>
      <c r="FWU44" s="51"/>
      <c r="FWV44" s="51"/>
      <c r="FWW44" s="51"/>
      <c r="FWX44" s="51"/>
      <c r="FWY44" s="51"/>
      <c r="FWZ44" s="51"/>
      <c r="FXA44" s="51"/>
      <c r="FXB44" s="51"/>
      <c r="FXC44" s="51"/>
      <c r="FXD44" s="51"/>
      <c r="FXE44" s="51"/>
      <c r="FXF44" s="51"/>
      <c r="FXG44" s="51"/>
      <c r="FXH44" s="51"/>
      <c r="FXI44" s="51"/>
      <c r="FXJ44" s="51"/>
      <c r="FXK44" s="51"/>
      <c r="FXL44" s="51"/>
      <c r="FXM44" s="51"/>
      <c r="FXN44" s="51"/>
      <c r="FXO44" s="51"/>
      <c r="FXP44" s="51"/>
      <c r="FXQ44" s="51"/>
      <c r="FXR44" s="51"/>
      <c r="FXS44" s="51"/>
      <c r="FXT44" s="51"/>
      <c r="FXU44" s="51"/>
      <c r="FXV44" s="51"/>
      <c r="FXW44" s="51"/>
      <c r="FXX44" s="51"/>
      <c r="FXY44" s="51"/>
      <c r="FXZ44" s="51"/>
      <c r="FYA44" s="51"/>
      <c r="FYB44" s="51"/>
      <c r="FYC44" s="51"/>
      <c r="FYD44" s="51"/>
      <c r="FYE44" s="51"/>
      <c r="FYF44" s="51"/>
      <c r="FYG44" s="51"/>
      <c r="FYH44" s="51"/>
      <c r="FYI44" s="51"/>
      <c r="FYJ44" s="51"/>
      <c r="FYK44" s="51"/>
      <c r="FYL44" s="51"/>
      <c r="FYM44" s="51"/>
      <c r="FYN44" s="51"/>
      <c r="FYO44" s="51"/>
      <c r="FYP44" s="51"/>
      <c r="FYQ44" s="51"/>
      <c r="FYR44" s="51"/>
      <c r="FYS44" s="51"/>
      <c r="FYT44" s="51"/>
      <c r="FYU44" s="51"/>
      <c r="FYV44" s="51"/>
      <c r="FYW44" s="51"/>
      <c r="FYX44" s="51"/>
      <c r="FYY44" s="51"/>
      <c r="FYZ44" s="51"/>
      <c r="FZA44" s="51"/>
      <c r="FZB44" s="51"/>
      <c r="FZC44" s="51"/>
      <c r="FZD44" s="51"/>
      <c r="FZE44" s="51"/>
      <c r="FZF44" s="51"/>
      <c r="FZG44" s="51"/>
      <c r="FZH44" s="51"/>
      <c r="FZI44" s="51"/>
      <c r="FZJ44" s="51"/>
      <c r="FZK44" s="51"/>
      <c r="FZL44" s="51"/>
      <c r="FZM44" s="51"/>
      <c r="FZN44" s="51"/>
      <c r="FZO44" s="51"/>
      <c r="FZP44" s="51"/>
      <c r="FZQ44" s="51"/>
      <c r="FZR44" s="51"/>
      <c r="FZS44" s="51"/>
      <c r="FZT44" s="51"/>
      <c r="FZU44" s="51"/>
      <c r="FZV44" s="51"/>
      <c r="FZW44" s="51"/>
      <c r="FZX44" s="51"/>
      <c r="FZY44" s="51"/>
      <c r="FZZ44" s="51"/>
      <c r="GAA44" s="51"/>
      <c r="GAB44" s="51"/>
      <c r="GAC44" s="51"/>
      <c r="GAD44" s="51"/>
      <c r="GAE44" s="51"/>
      <c r="GAF44" s="51"/>
      <c r="GAG44" s="51"/>
      <c r="GAH44" s="51"/>
      <c r="GAI44" s="51"/>
      <c r="GAJ44" s="51"/>
      <c r="GAK44" s="51"/>
      <c r="GAL44" s="51"/>
      <c r="GAM44" s="51"/>
      <c r="GAN44" s="51"/>
      <c r="GAO44" s="51"/>
      <c r="GAP44" s="51"/>
      <c r="GAQ44" s="51"/>
      <c r="GAR44" s="51"/>
      <c r="GAS44" s="51"/>
      <c r="GAT44" s="51"/>
      <c r="GAU44" s="51"/>
      <c r="GAV44" s="51"/>
      <c r="GAW44" s="51"/>
      <c r="GAX44" s="51"/>
      <c r="GAY44" s="51"/>
      <c r="GAZ44" s="51"/>
      <c r="GBA44" s="51"/>
      <c r="GBB44" s="51"/>
      <c r="GBC44" s="51"/>
      <c r="GBD44" s="51"/>
      <c r="GBE44" s="51"/>
      <c r="GBF44" s="51"/>
      <c r="GBG44" s="51"/>
      <c r="GBH44" s="51"/>
      <c r="GBI44" s="51"/>
      <c r="GBJ44" s="51"/>
      <c r="GBK44" s="51"/>
      <c r="GBL44" s="51"/>
      <c r="GBM44" s="51"/>
      <c r="GBN44" s="51"/>
      <c r="GBO44" s="51"/>
      <c r="GBP44" s="51"/>
      <c r="GBQ44" s="51"/>
      <c r="GBR44" s="51"/>
      <c r="GBS44" s="51"/>
      <c r="GBT44" s="51"/>
      <c r="GBU44" s="51"/>
      <c r="GBV44" s="51"/>
      <c r="GBW44" s="51"/>
      <c r="GBX44" s="51"/>
      <c r="GBY44" s="51"/>
      <c r="GBZ44" s="51"/>
      <c r="GCA44" s="51"/>
      <c r="GCB44" s="51"/>
      <c r="GCC44" s="51"/>
      <c r="GCD44" s="51"/>
      <c r="GCE44" s="51"/>
      <c r="GCF44" s="51"/>
      <c r="GCG44" s="51"/>
      <c r="GCH44" s="51"/>
      <c r="GCI44" s="51"/>
      <c r="GCJ44" s="51"/>
      <c r="GCK44" s="51"/>
      <c r="GCL44" s="51"/>
      <c r="GCM44" s="51"/>
      <c r="GCN44" s="51"/>
      <c r="GCO44" s="51"/>
      <c r="GCP44" s="51"/>
      <c r="GCQ44" s="51"/>
      <c r="GCR44" s="51"/>
      <c r="GCS44" s="51"/>
      <c r="GCT44" s="51"/>
      <c r="GCU44" s="51"/>
      <c r="GCV44" s="51"/>
      <c r="GCW44" s="51"/>
      <c r="GCX44" s="51"/>
      <c r="GCY44" s="51"/>
      <c r="GCZ44" s="51"/>
      <c r="GDA44" s="51"/>
      <c r="GDB44" s="51"/>
      <c r="GDC44" s="51"/>
      <c r="GDD44" s="51"/>
      <c r="GDE44" s="51"/>
      <c r="GDF44" s="51"/>
      <c r="GDG44" s="51"/>
      <c r="GDH44" s="51"/>
      <c r="GDI44" s="51"/>
      <c r="GDJ44" s="51"/>
      <c r="GDK44" s="51"/>
      <c r="GDL44" s="51"/>
      <c r="GDM44" s="51"/>
      <c r="GDN44" s="51"/>
      <c r="GDO44" s="51"/>
      <c r="GDP44" s="51"/>
      <c r="GDQ44" s="51"/>
      <c r="GDR44" s="51"/>
      <c r="GDS44" s="51"/>
      <c r="GDT44" s="51"/>
      <c r="GDU44" s="51"/>
      <c r="GDV44" s="51"/>
      <c r="GDW44" s="51"/>
      <c r="GDX44" s="51"/>
      <c r="GDY44" s="51"/>
      <c r="GDZ44" s="51"/>
      <c r="GEA44" s="51"/>
      <c r="GEB44" s="51"/>
      <c r="GEC44" s="51"/>
      <c r="GED44" s="51"/>
      <c r="GEE44" s="51"/>
      <c r="GEF44" s="51"/>
      <c r="GEG44" s="51"/>
      <c r="GEH44" s="51"/>
      <c r="GEI44" s="51"/>
      <c r="GEJ44" s="51"/>
      <c r="GEK44" s="51"/>
      <c r="GEL44" s="51"/>
      <c r="GEM44" s="51"/>
      <c r="GEN44" s="51"/>
      <c r="GEO44" s="51"/>
      <c r="GEP44" s="51"/>
      <c r="GEQ44" s="51"/>
      <c r="GER44" s="51"/>
      <c r="GES44" s="51"/>
      <c r="GET44" s="51"/>
      <c r="GEU44" s="51"/>
      <c r="GEV44" s="51"/>
      <c r="GEW44" s="51"/>
      <c r="GEX44" s="51"/>
      <c r="GEY44" s="51"/>
      <c r="GEZ44" s="51"/>
      <c r="GFA44" s="51"/>
      <c r="GFB44" s="51"/>
      <c r="GFC44" s="51"/>
      <c r="GFD44" s="51"/>
      <c r="GFE44" s="51"/>
      <c r="GFF44" s="51"/>
      <c r="GFG44" s="51"/>
      <c r="GFH44" s="51"/>
      <c r="GFI44" s="51"/>
      <c r="GFJ44" s="51"/>
      <c r="GFK44" s="51"/>
      <c r="GFL44" s="51"/>
      <c r="GFM44" s="51"/>
      <c r="GFN44" s="51"/>
      <c r="GFO44" s="51"/>
      <c r="GFP44" s="51"/>
      <c r="GFQ44" s="51"/>
      <c r="GFR44" s="51"/>
      <c r="GFS44" s="51"/>
      <c r="GFT44" s="51"/>
      <c r="GFU44" s="51"/>
      <c r="GFV44" s="51"/>
      <c r="GFW44" s="51"/>
      <c r="GFX44" s="51"/>
      <c r="GFY44" s="51"/>
      <c r="GFZ44" s="51"/>
      <c r="GGA44" s="51"/>
      <c r="GGB44" s="51"/>
      <c r="GGC44" s="51"/>
      <c r="GGD44" s="51"/>
      <c r="GGE44" s="51"/>
      <c r="GGF44" s="51"/>
      <c r="GGG44" s="51"/>
      <c r="GGH44" s="51"/>
      <c r="GGI44" s="51"/>
      <c r="GGJ44" s="51"/>
      <c r="GGK44" s="51"/>
      <c r="GGL44" s="51"/>
      <c r="GGM44" s="51"/>
      <c r="GGN44" s="51"/>
      <c r="GGO44" s="51"/>
      <c r="GGP44" s="51"/>
      <c r="GGQ44" s="51"/>
      <c r="GGR44" s="51"/>
      <c r="GGS44" s="51"/>
      <c r="GGT44" s="51"/>
      <c r="GGU44" s="51"/>
      <c r="GGV44" s="51"/>
      <c r="GGW44" s="51"/>
      <c r="GGX44" s="51"/>
      <c r="GGY44" s="51"/>
      <c r="GGZ44" s="51"/>
      <c r="GHA44" s="51"/>
      <c r="GHB44" s="51"/>
      <c r="GHC44" s="51"/>
      <c r="GHD44" s="51"/>
      <c r="GHE44" s="51"/>
      <c r="GHF44" s="51"/>
      <c r="GHG44" s="51"/>
      <c r="GHH44" s="51"/>
      <c r="GHI44" s="51"/>
      <c r="GHJ44" s="51"/>
      <c r="GHK44" s="51"/>
      <c r="GHL44" s="51"/>
      <c r="GHM44" s="51"/>
      <c r="GHN44" s="51"/>
      <c r="GHO44" s="51"/>
      <c r="GHP44" s="51"/>
      <c r="GHQ44" s="51"/>
      <c r="GHR44" s="51"/>
      <c r="GHS44" s="51"/>
      <c r="GHT44" s="51"/>
      <c r="GHU44" s="51"/>
      <c r="GHV44" s="51"/>
      <c r="GHW44" s="51"/>
      <c r="GHX44" s="51"/>
      <c r="GHY44" s="51"/>
      <c r="GHZ44" s="51"/>
      <c r="GIA44" s="51"/>
      <c r="GIB44" s="51"/>
      <c r="GIC44" s="51"/>
      <c r="GID44" s="51"/>
      <c r="GIE44" s="51"/>
      <c r="GIF44" s="51"/>
      <c r="GIG44" s="51"/>
      <c r="GIH44" s="51"/>
      <c r="GII44" s="51"/>
      <c r="GIJ44" s="51"/>
      <c r="GIK44" s="51"/>
      <c r="GIL44" s="51"/>
      <c r="GIM44" s="51"/>
      <c r="GIN44" s="51"/>
      <c r="GIO44" s="51"/>
      <c r="GIP44" s="51"/>
      <c r="GIQ44" s="51"/>
      <c r="GIR44" s="51"/>
      <c r="GIS44" s="51"/>
      <c r="GIT44" s="51"/>
      <c r="GIU44" s="51"/>
      <c r="GIV44" s="51"/>
      <c r="GIW44" s="51"/>
      <c r="GIX44" s="51"/>
      <c r="GIY44" s="51"/>
      <c r="GIZ44" s="51"/>
      <c r="GJA44" s="51"/>
      <c r="GJB44" s="51"/>
      <c r="GJC44" s="51"/>
      <c r="GJD44" s="51"/>
      <c r="GJE44" s="51"/>
      <c r="GJF44" s="51"/>
      <c r="GJG44" s="51"/>
      <c r="GJH44" s="51"/>
      <c r="GJI44" s="51"/>
      <c r="GJJ44" s="51"/>
      <c r="GJK44" s="51"/>
      <c r="GJL44" s="51"/>
      <c r="GJM44" s="51"/>
      <c r="GJN44" s="51"/>
      <c r="GJO44" s="51"/>
      <c r="GJP44" s="51"/>
      <c r="GJQ44" s="51"/>
      <c r="GJR44" s="51"/>
      <c r="GJS44" s="51"/>
      <c r="GJT44" s="51"/>
      <c r="GJU44" s="51"/>
      <c r="GJV44" s="51"/>
      <c r="GJW44" s="51"/>
      <c r="GJX44" s="51"/>
      <c r="GJY44" s="51"/>
      <c r="GJZ44" s="51"/>
      <c r="GKA44" s="51"/>
      <c r="GKB44" s="51"/>
      <c r="GKC44" s="51"/>
      <c r="GKD44" s="51"/>
      <c r="GKE44" s="51"/>
      <c r="GKF44" s="51"/>
      <c r="GKG44" s="51"/>
      <c r="GKH44" s="51"/>
      <c r="GKI44" s="51"/>
      <c r="GKJ44" s="51"/>
      <c r="GKK44" s="51"/>
      <c r="GKL44" s="51"/>
      <c r="GKM44" s="51"/>
      <c r="GKN44" s="51"/>
      <c r="GKO44" s="51"/>
      <c r="GKP44" s="51"/>
      <c r="GKQ44" s="51"/>
      <c r="GKR44" s="51"/>
      <c r="GKS44" s="51"/>
      <c r="GKT44" s="51"/>
      <c r="GKU44" s="51"/>
      <c r="GKV44" s="51"/>
      <c r="GKW44" s="51"/>
      <c r="GKX44" s="51"/>
      <c r="GKY44" s="51"/>
      <c r="GKZ44" s="51"/>
      <c r="GLA44" s="51"/>
      <c r="GLB44" s="51"/>
      <c r="GLC44" s="51"/>
      <c r="GLD44" s="51"/>
      <c r="GLE44" s="51"/>
      <c r="GLF44" s="51"/>
      <c r="GLG44" s="51"/>
      <c r="GLH44" s="51"/>
      <c r="GLI44" s="51"/>
      <c r="GLJ44" s="51"/>
      <c r="GLK44" s="51"/>
      <c r="GLL44" s="51"/>
      <c r="GLM44" s="51"/>
      <c r="GLN44" s="51"/>
      <c r="GLO44" s="51"/>
      <c r="GLP44" s="51"/>
      <c r="GLQ44" s="51"/>
      <c r="GLR44" s="51"/>
      <c r="GLS44" s="51"/>
      <c r="GLT44" s="51"/>
      <c r="GLU44" s="51"/>
      <c r="GLV44" s="51"/>
      <c r="GLW44" s="51"/>
      <c r="GLX44" s="51"/>
      <c r="GLY44" s="51"/>
      <c r="GLZ44" s="51"/>
      <c r="GMA44" s="51"/>
      <c r="GMB44" s="51"/>
      <c r="GMC44" s="51"/>
      <c r="GMD44" s="51"/>
      <c r="GME44" s="51"/>
      <c r="GMF44" s="51"/>
      <c r="GMG44" s="51"/>
      <c r="GMH44" s="51"/>
      <c r="GMI44" s="51"/>
      <c r="GMJ44" s="51"/>
      <c r="GMK44" s="51"/>
      <c r="GML44" s="51"/>
      <c r="GMM44" s="51"/>
      <c r="GMN44" s="51"/>
      <c r="GMO44" s="51"/>
      <c r="GMP44" s="51"/>
      <c r="GMQ44" s="51"/>
      <c r="GMR44" s="51"/>
      <c r="GMS44" s="51"/>
      <c r="GMT44" s="51"/>
      <c r="GMU44" s="51"/>
      <c r="GMV44" s="51"/>
      <c r="GMW44" s="51"/>
      <c r="GMX44" s="51"/>
      <c r="GMY44" s="51"/>
      <c r="GMZ44" s="51"/>
      <c r="GNA44" s="51"/>
      <c r="GNB44" s="51"/>
      <c r="GNC44" s="51"/>
      <c r="GND44" s="51"/>
      <c r="GNE44" s="51"/>
      <c r="GNF44" s="51"/>
      <c r="GNG44" s="51"/>
      <c r="GNH44" s="51"/>
      <c r="GNI44" s="51"/>
      <c r="GNJ44" s="51"/>
      <c r="GNK44" s="51"/>
      <c r="GNL44" s="51"/>
      <c r="GNM44" s="51"/>
      <c r="GNN44" s="51"/>
      <c r="GNO44" s="51"/>
      <c r="GNP44" s="51"/>
      <c r="GNQ44" s="51"/>
      <c r="GNR44" s="51"/>
      <c r="GNS44" s="51"/>
      <c r="GNT44" s="51"/>
      <c r="GNU44" s="51"/>
      <c r="GNV44" s="51"/>
      <c r="GNW44" s="51"/>
      <c r="GNX44" s="51"/>
      <c r="GNY44" s="51"/>
      <c r="GNZ44" s="51"/>
      <c r="GOA44" s="51"/>
      <c r="GOB44" s="51"/>
      <c r="GOC44" s="51"/>
      <c r="GOD44" s="51"/>
      <c r="GOE44" s="51"/>
      <c r="GOF44" s="51"/>
      <c r="GOG44" s="51"/>
      <c r="GOH44" s="51"/>
      <c r="GOI44" s="51"/>
      <c r="GOJ44" s="51"/>
      <c r="GOK44" s="51"/>
      <c r="GOL44" s="51"/>
      <c r="GOM44" s="51"/>
      <c r="GON44" s="51"/>
      <c r="GOO44" s="51"/>
      <c r="GOP44" s="51"/>
      <c r="GOQ44" s="51"/>
      <c r="GOR44" s="51"/>
      <c r="GOS44" s="51"/>
      <c r="GOT44" s="51"/>
      <c r="GOU44" s="51"/>
      <c r="GOV44" s="51"/>
      <c r="GOW44" s="51"/>
      <c r="GOX44" s="51"/>
      <c r="GOY44" s="51"/>
      <c r="GOZ44" s="51"/>
      <c r="GPA44" s="51"/>
      <c r="GPB44" s="51"/>
      <c r="GPC44" s="51"/>
      <c r="GPD44" s="51"/>
      <c r="GPE44" s="51"/>
      <c r="GPF44" s="51"/>
      <c r="GPG44" s="51"/>
      <c r="GPH44" s="51"/>
      <c r="GPI44" s="51"/>
      <c r="GPJ44" s="51"/>
      <c r="GPK44" s="51"/>
      <c r="GPL44" s="51"/>
      <c r="GPM44" s="51"/>
      <c r="GPN44" s="51"/>
      <c r="GPO44" s="51"/>
      <c r="GPP44" s="51"/>
      <c r="GPQ44" s="51"/>
      <c r="GPR44" s="51"/>
      <c r="GPS44" s="51"/>
      <c r="GPT44" s="51"/>
      <c r="GPU44" s="51"/>
      <c r="GPV44" s="51"/>
      <c r="GPW44" s="51"/>
      <c r="GPX44" s="51"/>
      <c r="GPY44" s="51"/>
      <c r="GPZ44" s="51"/>
      <c r="GQA44" s="51"/>
      <c r="GQB44" s="51"/>
      <c r="GQC44" s="51"/>
      <c r="GQD44" s="51"/>
      <c r="GQE44" s="51"/>
      <c r="GQF44" s="51"/>
      <c r="GQG44" s="51"/>
      <c r="GQH44" s="51"/>
      <c r="GQI44" s="51"/>
      <c r="GQJ44" s="51"/>
      <c r="GQK44" s="51"/>
      <c r="GQL44" s="51"/>
      <c r="GQM44" s="51"/>
      <c r="GQN44" s="51"/>
      <c r="GQO44" s="51"/>
      <c r="GQP44" s="51"/>
      <c r="GQQ44" s="51"/>
      <c r="GQR44" s="51"/>
      <c r="GQS44" s="51"/>
      <c r="GQT44" s="51"/>
      <c r="GQU44" s="51"/>
      <c r="GQV44" s="51"/>
      <c r="GQW44" s="51"/>
      <c r="GQX44" s="51"/>
      <c r="GQY44" s="51"/>
      <c r="GQZ44" s="51"/>
      <c r="GRA44" s="51"/>
      <c r="GRB44" s="51"/>
      <c r="GRC44" s="51"/>
      <c r="GRD44" s="51"/>
      <c r="GRE44" s="51"/>
      <c r="GRF44" s="51"/>
      <c r="GRG44" s="51"/>
      <c r="GRH44" s="51"/>
      <c r="GRI44" s="51"/>
      <c r="GRJ44" s="51"/>
      <c r="GRK44" s="51"/>
      <c r="GRL44" s="51"/>
      <c r="GRM44" s="51"/>
      <c r="GRN44" s="51"/>
      <c r="GRO44" s="51"/>
      <c r="GRP44" s="51"/>
      <c r="GRQ44" s="51"/>
      <c r="GRR44" s="51"/>
      <c r="GRS44" s="51"/>
      <c r="GRT44" s="51"/>
      <c r="GRU44" s="51"/>
      <c r="GRV44" s="51"/>
      <c r="GRW44" s="51"/>
      <c r="GRX44" s="51"/>
      <c r="GRY44" s="51"/>
      <c r="GRZ44" s="51"/>
      <c r="GSA44" s="51"/>
      <c r="GSB44" s="51"/>
      <c r="GSC44" s="51"/>
      <c r="GSD44" s="51"/>
      <c r="GSE44" s="51"/>
      <c r="GSF44" s="51"/>
      <c r="GSG44" s="51"/>
      <c r="GSH44" s="51"/>
      <c r="GSI44" s="51"/>
      <c r="GSJ44" s="51"/>
      <c r="GSK44" s="51"/>
      <c r="GSL44" s="51"/>
      <c r="GSM44" s="51"/>
      <c r="GSN44" s="51"/>
      <c r="GSO44" s="51"/>
      <c r="GSP44" s="51"/>
      <c r="GSQ44" s="51"/>
      <c r="GSR44" s="51"/>
      <c r="GSS44" s="51"/>
      <c r="GST44" s="51"/>
      <c r="GSU44" s="51"/>
      <c r="GSV44" s="51"/>
      <c r="GSW44" s="51"/>
      <c r="GSX44" s="51"/>
      <c r="GSY44" s="51"/>
      <c r="GSZ44" s="51"/>
      <c r="GTA44" s="51"/>
      <c r="GTB44" s="51"/>
      <c r="GTC44" s="51"/>
      <c r="GTD44" s="51"/>
      <c r="GTE44" s="51"/>
      <c r="GTF44" s="51"/>
      <c r="GTG44" s="51"/>
      <c r="GTH44" s="51"/>
      <c r="GTI44" s="51"/>
      <c r="GTJ44" s="51"/>
      <c r="GTK44" s="51"/>
      <c r="GTL44" s="51"/>
      <c r="GTM44" s="51"/>
      <c r="GTN44" s="51"/>
      <c r="GTO44" s="51"/>
      <c r="GTP44" s="51"/>
      <c r="GTQ44" s="51"/>
      <c r="GTR44" s="51"/>
      <c r="GTS44" s="51"/>
      <c r="GTT44" s="51"/>
      <c r="GTU44" s="51"/>
      <c r="GTV44" s="51"/>
      <c r="GTW44" s="51"/>
      <c r="GTX44" s="51"/>
      <c r="GTY44" s="51"/>
      <c r="GTZ44" s="51"/>
      <c r="GUA44" s="51"/>
      <c r="GUB44" s="51"/>
      <c r="GUC44" s="51"/>
      <c r="GUD44" s="51"/>
      <c r="GUE44" s="51"/>
      <c r="GUF44" s="51"/>
      <c r="GUG44" s="51"/>
      <c r="GUH44" s="51"/>
      <c r="GUI44" s="51"/>
      <c r="GUJ44" s="51"/>
      <c r="GUK44" s="51"/>
      <c r="GUL44" s="51"/>
      <c r="GUM44" s="51"/>
      <c r="GUN44" s="51"/>
      <c r="GUO44" s="51"/>
      <c r="GUP44" s="51"/>
      <c r="GUQ44" s="51"/>
      <c r="GUR44" s="51"/>
      <c r="GUS44" s="51"/>
      <c r="GUT44" s="51"/>
      <c r="GUU44" s="51"/>
      <c r="GUV44" s="51"/>
      <c r="GUW44" s="51"/>
      <c r="GUX44" s="51"/>
      <c r="GUY44" s="51"/>
      <c r="GUZ44" s="51"/>
      <c r="GVA44" s="51"/>
      <c r="GVB44" s="51"/>
      <c r="GVC44" s="51"/>
      <c r="GVD44" s="51"/>
      <c r="GVE44" s="51"/>
      <c r="GVF44" s="51"/>
      <c r="GVG44" s="51"/>
      <c r="GVH44" s="51"/>
      <c r="GVI44" s="51"/>
      <c r="GVJ44" s="51"/>
      <c r="GVK44" s="51"/>
      <c r="GVL44" s="51"/>
      <c r="GVM44" s="51"/>
      <c r="GVN44" s="51"/>
      <c r="GVO44" s="51"/>
      <c r="GVP44" s="51"/>
      <c r="GVQ44" s="51"/>
      <c r="GVR44" s="51"/>
      <c r="GVS44" s="51"/>
      <c r="GVT44" s="51"/>
      <c r="GVU44" s="51"/>
      <c r="GVV44" s="51"/>
      <c r="GVW44" s="51"/>
      <c r="GVX44" s="51"/>
      <c r="GVY44" s="51"/>
      <c r="GVZ44" s="51"/>
      <c r="GWA44" s="51"/>
      <c r="GWB44" s="51"/>
      <c r="GWC44" s="51"/>
      <c r="GWD44" s="51"/>
      <c r="GWE44" s="51"/>
      <c r="GWF44" s="51"/>
      <c r="GWG44" s="51"/>
      <c r="GWH44" s="51"/>
      <c r="GWI44" s="51"/>
      <c r="GWJ44" s="51"/>
      <c r="GWK44" s="51"/>
      <c r="GWL44" s="51"/>
      <c r="GWM44" s="51"/>
      <c r="GWN44" s="51"/>
      <c r="GWO44" s="51"/>
      <c r="GWP44" s="51"/>
      <c r="GWQ44" s="51"/>
      <c r="GWR44" s="51"/>
      <c r="GWS44" s="51"/>
      <c r="GWT44" s="51"/>
      <c r="GWU44" s="51"/>
      <c r="GWV44" s="51"/>
      <c r="GWW44" s="51"/>
      <c r="GWX44" s="51"/>
      <c r="GWY44" s="51"/>
      <c r="GWZ44" s="51"/>
      <c r="GXA44" s="51"/>
      <c r="GXB44" s="51"/>
      <c r="GXC44" s="51"/>
      <c r="GXD44" s="51"/>
      <c r="GXE44" s="51"/>
      <c r="GXF44" s="51"/>
      <c r="GXG44" s="51"/>
      <c r="GXH44" s="51"/>
      <c r="GXI44" s="51"/>
      <c r="GXJ44" s="51"/>
      <c r="GXK44" s="51"/>
      <c r="GXL44" s="51"/>
      <c r="GXM44" s="51"/>
      <c r="GXN44" s="51"/>
      <c r="GXO44" s="51"/>
      <c r="GXP44" s="51"/>
      <c r="GXQ44" s="51"/>
      <c r="GXR44" s="51"/>
      <c r="GXS44" s="51"/>
      <c r="GXT44" s="51"/>
      <c r="GXU44" s="51"/>
      <c r="GXV44" s="51"/>
      <c r="GXW44" s="51"/>
      <c r="GXX44" s="51"/>
      <c r="GXY44" s="51"/>
      <c r="GXZ44" s="51"/>
      <c r="GYA44" s="51"/>
      <c r="GYB44" s="51"/>
      <c r="GYC44" s="51"/>
      <c r="GYD44" s="51"/>
      <c r="GYE44" s="51"/>
      <c r="GYF44" s="51"/>
      <c r="GYG44" s="51"/>
      <c r="GYH44" s="51"/>
      <c r="GYI44" s="51"/>
      <c r="GYJ44" s="51"/>
      <c r="GYK44" s="51"/>
      <c r="GYL44" s="51"/>
      <c r="GYM44" s="51"/>
      <c r="GYN44" s="51"/>
      <c r="GYO44" s="51"/>
      <c r="GYP44" s="51"/>
      <c r="GYQ44" s="51"/>
      <c r="GYR44" s="51"/>
      <c r="GYS44" s="51"/>
      <c r="GYT44" s="51"/>
      <c r="GYU44" s="51"/>
      <c r="GYV44" s="51"/>
      <c r="GYW44" s="51"/>
      <c r="GYX44" s="51"/>
      <c r="GYY44" s="51"/>
      <c r="GYZ44" s="51"/>
      <c r="GZA44" s="51"/>
      <c r="GZB44" s="51"/>
      <c r="GZC44" s="51"/>
      <c r="GZD44" s="51"/>
      <c r="GZE44" s="51"/>
      <c r="GZF44" s="51"/>
      <c r="GZG44" s="51"/>
      <c r="GZH44" s="51"/>
      <c r="GZI44" s="51"/>
      <c r="GZJ44" s="51"/>
      <c r="GZK44" s="51"/>
      <c r="GZL44" s="51"/>
      <c r="GZM44" s="51"/>
      <c r="GZN44" s="51"/>
      <c r="GZO44" s="51"/>
      <c r="GZP44" s="51"/>
      <c r="GZQ44" s="51"/>
      <c r="GZR44" s="51"/>
      <c r="GZS44" s="51"/>
      <c r="GZT44" s="51"/>
      <c r="GZU44" s="51"/>
      <c r="GZV44" s="51"/>
      <c r="GZW44" s="51"/>
      <c r="GZX44" s="51"/>
      <c r="GZY44" s="51"/>
      <c r="GZZ44" s="51"/>
      <c r="HAA44" s="51"/>
      <c r="HAB44" s="51"/>
      <c r="HAC44" s="51"/>
      <c r="HAD44" s="51"/>
      <c r="HAE44" s="51"/>
      <c r="HAF44" s="51"/>
      <c r="HAG44" s="51"/>
      <c r="HAH44" s="51"/>
      <c r="HAI44" s="51"/>
      <c r="HAJ44" s="51"/>
      <c r="HAK44" s="51"/>
      <c r="HAL44" s="51"/>
      <c r="HAM44" s="51"/>
      <c r="HAN44" s="51"/>
      <c r="HAO44" s="51"/>
      <c r="HAP44" s="51"/>
      <c r="HAQ44" s="51"/>
      <c r="HAR44" s="51"/>
      <c r="HAS44" s="51"/>
      <c r="HAT44" s="51"/>
      <c r="HAU44" s="51"/>
      <c r="HAV44" s="51"/>
      <c r="HAW44" s="51"/>
      <c r="HAX44" s="51"/>
      <c r="HAY44" s="51"/>
      <c r="HAZ44" s="51"/>
      <c r="HBA44" s="51"/>
      <c r="HBB44" s="51"/>
      <c r="HBC44" s="51"/>
      <c r="HBD44" s="51"/>
      <c r="HBE44" s="51"/>
      <c r="HBF44" s="51"/>
      <c r="HBG44" s="51"/>
      <c r="HBH44" s="51"/>
      <c r="HBI44" s="51"/>
      <c r="HBJ44" s="51"/>
      <c r="HBK44" s="51"/>
      <c r="HBL44" s="51"/>
      <c r="HBM44" s="51"/>
      <c r="HBN44" s="51"/>
      <c r="HBO44" s="51"/>
      <c r="HBP44" s="51"/>
      <c r="HBQ44" s="51"/>
      <c r="HBR44" s="51"/>
      <c r="HBS44" s="51"/>
      <c r="HBT44" s="51"/>
      <c r="HBU44" s="51"/>
      <c r="HBV44" s="51"/>
      <c r="HBW44" s="51"/>
      <c r="HBX44" s="51"/>
      <c r="HBY44" s="51"/>
      <c r="HBZ44" s="51"/>
      <c r="HCA44" s="51"/>
      <c r="HCB44" s="51"/>
      <c r="HCC44" s="51"/>
      <c r="HCD44" s="51"/>
      <c r="HCE44" s="51"/>
      <c r="HCF44" s="51"/>
      <c r="HCG44" s="51"/>
      <c r="HCH44" s="51"/>
      <c r="HCI44" s="51"/>
      <c r="HCJ44" s="51"/>
      <c r="HCK44" s="51"/>
      <c r="HCL44" s="51"/>
      <c r="HCM44" s="51"/>
      <c r="HCN44" s="51"/>
      <c r="HCO44" s="51"/>
      <c r="HCP44" s="51"/>
      <c r="HCQ44" s="51"/>
      <c r="HCR44" s="51"/>
      <c r="HCS44" s="51"/>
      <c r="HCT44" s="51"/>
      <c r="HCU44" s="51"/>
      <c r="HCV44" s="51"/>
      <c r="HCW44" s="51"/>
      <c r="HCX44" s="51"/>
      <c r="HCY44" s="51"/>
      <c r="HCZ44" s="51"/>
      <c r="HDA44" s="51"/>
      <c r="HDB44" s="51"/>
      <c r="HDC44" s="51"/>
      <c r="HDD44" s="51"/>
      <c r="HDE44" s="51"/>
      <c r="HDF44" s="51"/>
      <c r="HDG44" s="51"/>
      <c r="HDH44" s="51"/>
      <c r="HDI44" s="51"/>
      <c r="HDJ44" s="51"/>
      <c r="HDK44" s="51"/>
      <c r="HDL44" s="51"/>
      <c r="HDM44" s="51"/>
      <c r="HDN44" s="51"/>
      <c r="HDO44" s="51"/>
      <c r="HDP44" s="51"/>
      <c r="HDQ44" s="51"/>
      <c r="HDR44" s="51"/>
      <c r="HDS44" s="51"/>
      <c r="HDT44" s="51"/>
      <c r="HDU44" s="51"/>
      <c r="HDV44" s="51"/>
      <c r="HDW44" s="51"/>
      <c r="HDX44" s="51"/>
      <c r="HDY44" s="51"/>
      <c r="HDZ44" s="51"/>
      <c r="HEA44" s="51"/>
      <c r="HEB44" s="51"/>
      <c r="HEC44" s="51"/>
      <c r="HED44" s="51"/>
      <c r="HEE44" s="51"/>
      <c r="HEF44" s="51"/>
      <c r="HEG44" s="51"/>
      <c r="HEH44" s="51"/>
      <c r="HEI44" s="51"/>
      <c r="HEJ44" s="51"/>
      <c r="HEK44" s="51"/>
      <c r="HEL44" s="51"/>
      <c r="HEM44" s="51"/>
      <c r="HEN44" s="51"/>
      <c r="HEO44" s="51"/>
      <c r="HEP44" s="51"/>
      <c r="HEQ44" s="51"/>
      <c r="HER44" s="51"/>
      <c r="HES44" s="51"/>
      <c r="HET44" s="51"/>
      <c r="HEU44" s="51"/>
      <c r="HEV44" s="51"/>
      <c r="HEW44" s="51"/>
      <c r="HEX44" s="51"/>
      <c r="HEY44" s="51"/>
      <c r="HEZ44" s="51"/>
      <c r="HFA44" s="51"/>
      <c r="HFB44" s="51"/>
      <c r="HFC44" s="51"/>
      <c r="HFD44" s="51"/>
      <c r="HFE44" s="51"/>
      <c r="HFF44" s="51"/>
      <c r="HFG44" s="51"/>
      <c r="HFH44" s="51"/>
      <c r="HFI44" s="51"/>
      <c r="HFJ44" s="51"/>
      <c r="HFK44" s="51"/>
      <c r="HFL44" s="51"/>
      <c r="HFM44" s="51"/>
      <c r="HFN44" s="51"/>
      <c r="HFO44" s="51"/>
      <c r="HFP44" s="51"/>
      <c r="HFQ44" s="51"/>
      <c r="HFR44" s="51"/>
      <c r="HFS44" s="51"/>
      <c r="HFT44" s="51"/>
      <c r="HFU44" s="51"/>
      <c r="HFV44" s="51"/>
      <c r="HFW44" s="51"/>
      <c r="HFX44" s="51"/>
      <c r="HFY44" s="51"/>
      <c r="HFZ44" s="51"/>
      <c r="HGA44" s="51"/>
      <c r="HGB44" s="51"/>
      <c r="HGC44" s="51"/>
      <c r="HGD44" s="51"/>
      <c r="HGE44" s="51"/>
      <c r="HGF44" s="51"/>
      <c r="HGG44" s="51"/>
      <c r="HGH44" s="51"/>
      <c r="HGI44" s="51"/>
      <c r="HGJ44" s="51"/>
      <c r="HGK44" s="51"/>
      <c r="HGL44" s="51"/>
      <c r="HGM44" s="51"/>
      <c r="HGN44" s="51"/>
      <c r="HGO44" s="51"/>
      <c r="HGP44" s="51"/>
      <c r="HGQ44" s="51"/>
      <c r="HGR44" s="51"/>
      <c r="HGS44" s="51"/>
      <c r="HGT44" s="51"/>
      <c r="HGU44" s="51"/>
      <c r="HGV44" s="51"/>
      <c r="HGW44" s="51"/>
      <c r="HGX44" s="51"/>
      <c r="HGY44" s="51"/>
      <c r="HGZ44" s="51"/>
      <c r="HHA44" s="51"/>
      <c r="HHB44" s="51"/>
      <c r="HHC44" s="51"/>
      <c r="HHD44" s="51"/>
      <c r="HHE44" s="51"/>
      <c r="HHF44" s="51"/>
      <c r="HHG44" s="51"/>
      <c r="HHH44" s="51"/>
      <c r="HHI44" s="51"/>
      <c r="HHJ44" s="51"/>
      <c r="HHK44" s="51"/>
      <c r="HHL44" s="51"/>
      <c r="HHM44" s="51"/>
      <c r="HHN44" s="51"/>
      <c r="HHO44" s="51"/>
      <c r="HHP44" s="51"/>
      <c r="HHQ44" s="51"/>
      <c r="HHR44" s="51"/>
      <c r="HHS44" s="51"/>
      <c r="HHT44" s="51"/>
      <c r="HHU44" s="51"/>
      <c r="HHV44" s="51"/>
      <c r="HHW44" s="51"/>
      <c r="HHX44" s="51"/>
      <c r="HHY44" s="51"/>
      <c r="HHZ44" s="51"/>
      <c r="HIA44" s="51"/>
      <c r="HIB44" s="51"/>
      <c r="HIC44" s="51"/>
      <c r="HID44" s="51"/>
      <c r="HIE44" s="51"/>
      <c r="HIF44" s="51"/>
      <c r="HIG44" s="51"/>
      <c r="HIH44" s="51"/>
      <c r="HII44" s="51"/>
      <c r="HIJ44" s="51"/>
      <c r="HIK44" s="51"/>
      <c r="HIL44" s="51"/>
      <c r="HIM44" s="51"/>
      <c r="HIN44" s="51"/>
      <c r="HIO44" s="51"/>
      <c r="HIP44" s="51"/>
      <c r="HIQ44" s="51"/>
      <c r="HIR44" s="51"/>
      <c r="HIS44" s="51"/>
      <c r="HIT44" s="51"/>
      <c r="HIU44" s="51"/>
      <c r="HIV44" s="51"/>
      <c r="HIW44" s="51"/>
      <c r="HIX44" s="51"/>
      <c r="HIY44" s="51"/>
      <c r="HIZ44" s="51"/>
      <c r="HJA44" s="51"/>
      <c r="HJB44" s="51"/>
      <c r="HJC44" s="51"/>
      <c r="HJD44" s="51"/>
      <c r="HJE44" s="51"/>
      <c r="HJF44" s="51"/>
      <c r="HJG44" s="51"/>
      <c r="HJH44" s="51"/>
      <c r="HJI44" s="51"/>
      <c r="HJJ44" s="51"/>
      <c r="HJK44" s="51"/>
      <c r="HJL44" s="51"/>
      <c r="HJM44" s="51"/>
      <c r="HJN44" s="51"/>
      <c r="HJO44" s="51"/>
      <c r="HJP44" s="51"/>
      <c r="HJQ44" s="51"/>
      <c r="HJR44" s="51"/>
      <c r="HJS44" s="51"/>
      <c r="HJT44" s="51"/>
      <c r="HJU44" s="51"/>
      <c r="HJV44" s="51"/>
      <c r="HJW44" s="51"/>
      <c r="HJX44" s="51"/>
      <c r="HJY44" s="51"/>
      <c r="HJZ44" s="51"/>
      <c r="HKA44" s="51"/>
      <c r="HKB44" s="51"/>
      <c r="HKC44" s="51"/>
      <c r="HKD44" s="51"/>
      <c r="HKE44" s="51"/>
      <c r="HKF44" s="51"/>
      <c r="HKG44" s="51"/>
      <c r="HKH44" s="51"/>
      <c r="HKI44" s="51"/>
      <c r="HKJ44" s="51"/>
      <c r="HKK44" s="51"/>
      <c r="HKL44" s="51"/>
      <c r="HKM44" s="51"/>
      <c r="HKN44" s="51"/>
      <c r="HKO44" s="51"/>
      <c r="HKP44" s="51"/>
      <c r="HKQ44" s="51"/>
      <c r="HKR44" s="51"/>
      <c r="HKS44" s="51"/>
      <c r="HKT44" s="51"/>
      <c r="HKU44" s="51"/>
      <c r="HKV44" s="51"/>
      <c r="HKW44" s="51"/>
      <c r="HKX44" s="51"/>
      <c r="HKY44" s="51"/>
      <c r="HKZ44" s="51"/>
      <c r="HLA44" s="51"/>
      <c r="HLB44" s="51"/>
      <c r="HLC44" s="51"/>
      <c r="HLD44" s="51"/>
      <c r="HLE44" s="51"/>
      <c r="HLF44" s="51"/>
      <c r="HLG44" s="51"/>
      <c r="HLH44" s="51"/>
      <c r="HLI44" s="51"/>
      <c r="HLJ44" s="51"/>
      <c r="HLK44" s="51"/>
      <c r="HLL44" s="51"/>
      <c r="HLM44" s="51"/>
      <c r="HLN44" s="51"/>
      <c r="HLO44" s="51"/>
      <c r="HLP44" s="51"/>
      <c r="HLQ44" s="51"/>
      <c r="HLR44" s="51"/>
      <c r="HLS44" s="51"/>
      <c r="HLT44" s="51"/>
      <c r="HLU44" s="51"/>
      <c r="HLV44" s="51"/>
      <c r="HLW44" s="51"/>
      <c r="HLX44" s="51"/>
      <c r="HLY44" s="51"/>
      <c r="HLZ44" s="51"/>
      <c r="HMA44" s="51"/>
      <c r="HMB44" s="51"/>
      <c r="HMC44" s="51"/>
      <c r="HMD44" s="51"/>
      <c r="HME44" s="51"/>
      <c r="HMF44" s="51"/>
      <c r="HMG44" s="51"/>
      <c r="HMH44" s="51"/>
      <c r="HMI44" s="51"/>
      <c r="HMJ44" s="51"/>
      <c r="HMK44" s="51"/>
      <c r="HML44" s="51"/>
      <c r="HMM44" s="51"/>
      <c r="HMN44" s="51"/>
      <c r="HMO44" s="51"/>
      <c r="HMP44" s="51"/>
      <c r="HMQ44" s="51"/>
      <c r="HMR44" s="51"/>
      <c r="HMS44" s="51"/>
      <c r="HMT44" s="51"/>
      <c r="HMU44" s="51"/>
      <c r="HMV44" s="51"/>
      <c r="HMW44" s="51"/>
      <c r="HMX44" s="51"/>
      <c r="HMY44" s="51"/>
      <c r="HMZ44" s="51"/>
      <c r="HNA44" s="51"/>
      <c r="HNB44" s="51"/>
      <c r="HNC44" s="51"/>
      <c r="HND44" s="51"/>
      <c r="HNE44" s="51"/>
      <c r="HNF44" s="51"/>
      <c r="HNG44" s="51"/>
      <c r="HNH44" s="51"/>
      <c r="HNI44" s="51"/>
      <c r="HNJ44" s="51"/>
      <c r="HNK44" s="51"/>
      <c r="HNL44" s="51"/>
      <c r="HNM44" s="51"/>
      <c r="HNN44" s="51"/>
      <c r="HNO44" s="51"/>
      <c r="HNP44" s="51"/>
      <c r="HNQ44" s="51"/>
      <c r="HNR44" s="51"/>
      <c r="HNS44" s="51"/>
      <c r="HNT44" s="51"/>
      <c r="HNU44" s="51"/>
      <c r="HNV44" s="51"/>
      <c r="HNW44" s="51"/>
      <c r="HNX44" s="51"/>
      <c r="HNY44" s="51"/>
      <c r="HNZ44" s="51"/>
      <c r="HOA44" s="51"/>
      <c r="HOB44" s="51"/>
      <c r="HOC44" s="51"/>
      <c r="HOD44" s="51"/>
      <c r="HOE44" s="51"/>
      <c r="HOF44" s="51"/>
      <c r="HOG44" s="51"/>
      <c r="HOH44" s="51"/>
      <c r="HOI44" s="51"/>
      <c r="HOJ44" s="51"/>
      <c r="HOK44" s="51"/>
      <c r="HOL44" s="51"/>
      <c r="HOM44" s="51"/>
      <c r="HON44" s="51"/>
      <c r="HOO44" s="51"/>
      <c r="HOP44" s="51"/>
      <c r="HOQ44" s="51"/>
      <c r="HOR44" s="51"/>
      <c r="HOS44" s="51"/>
      <c r="HOT44" s="51"/>
      <c r="HOU44" s="51"/>
      <c r="HOV44" s="51"/>
      <c r="HOW44" s="51"/>
      <c r="HOX44" s="51"/>
      <c r="HOY44" s="51"/>
      <c r="HOZ44" s="51"/>
      <c r="HPA44" s="51"/>
      <c r="HPB44" s="51"/>
      <c r="HPC44" s="51"/>
      <c r="HPD44" s="51"/>
      <c r="HPE44" s="51"/>
      <c r="HPF44" s="51"/>
      <c r="HPG44" s="51"/>
      <c r="HPH44" s="51"/>
      <c r="HPI44" s="51"/>
      <c r="HPJ44" s="51"/>
      <c r="HPK44" s="51"/>
      <c r="HPL44" s="51"/>
      <c r="HPM44" s="51"/>
      <c r="HPN44" s="51"/>
      <c r="HPO44" s="51"/>
      <c r="HPP44" s="51"/>
      <c r="HPQ44" s="51"/>
      <c r="HPR44" s="51"/>
      <c r="HPS44" s="51"/>
      <c r="HPT44" s="51"/>
      <c r="HPU44" s="51"/>
      <c r="HPV44" s="51"/>
      <c r="HPW44" s="51"/>
      <c r="HPX44" s="51"/>
      <c r="HPY44" s="51"/>
      <c r="HPZ44" s="51"/>
      <c r="HQA44" s="51"/>
      <c r="HQB44" s="51"/>
      <c r="HQC44" s="51"/>
      <c r="HQD44" s="51"/>
      <c r="HQE44" s="51"/>
      <c r="HQF44" s="51"/>
      <c r="HQG44" s="51"/>
      <c r="HQH44" s="51"/>
      <c r="HQI44" s="51"/>
      <c r="HQJ44" s="51"/>
      <c r="HQK44" s="51"/>
      <c r="HQL44" s="51"/>
      <c r="HQM44" s="51"/>
      <c r="HQN44" s="51"/>
      <c r="HQO44" s="51"/>
      <c r="HQP44" s="51"/>
      <c r="HQQ44" s="51"/>
      <c r="HQR44" s="51"/>
      <c r="HQS44" s="51"/>
      <c r="HQT44" s="51"/>
      <c r="HQU44" s="51"/>
      <c r="HQV44" s="51"/>
      <c r="HQW44" s="51"/>
      <c r="HQX44" s="51"/>
      <c r="HQY44" s="51"/>
      <c r="HQZ44" s="51"/>
      <c r="HRA44" s="51"/>
      <c r="HRB44" s="51"/>
      <c r="HRC44" s="51"/>
      <c r="HRD44" s="51"/>
      <c r="HRE44" s="51"/>
      <c r="HRF44" s="51"/>
      <c r="HRG44" s="51"/>
      <c r="HRH44" s="51"/>
      <c r="HRI44" s="51"/>
      <c r="HRJ44" s="51"/>
      <c r="HRK44" s="51"/>
      <c r="HRL44" s="51"/>
      <c r="HRM44" s="51"/>
      <c r="HRN44" s="51"/>
      <c r="HRO44" s="51"/>
      <c r="HRP44" s="51"/>
      <c r="HRQ44" s="51"/>
      <c r="HRR44" s="51"/>
      <c r="HRS44" s="51"/>
      <c r="HRT44" s="51"/>
      <c r="HRU44" s="51"/>
      <c r="HRV44" s="51"/>
      <c r="HRW44" s="51"/>
      <c r="HRX44" s="51"/>
      <c r="HRY44" s="51"/>
      <c r="HRZ44" s="51"/>
      <c r="HSA44" s="51"/>
      <c r="HSB44" s="51"/>
      <c r="HSC44" s="51"/>
      <c r="HSD44" s="51"/>
      <c r="HSE44" s="51"/>
      <c r="HSF44" s="51"/>
      <c r="HSG44" s="51"/>
      <c r="HSH44" s="51"/>
      <c r="HSI44" s="51"/>
      <c r="HSJ44" s="51"/>
      <c r="HSK44" s="51"/>
      <c r="HSL44" s="51"/>
      <c r="HSM44" s="51"/>
      <c r="HSN44" s="51"/>
      <c r="HSO44" s="51"/>
      <c r="HSP44" s="51"/>
      <c r="HSQ44" s="51"/>
      <c r="HSR44" s="51"/>
      <c r="HSS44" s="51"/>
      <c r="HST44" s="51"/>
      <c r="HSU44" s="51"/>
      <c r="HSV44" s="51"/>
      <c r="HSW44" s="51"/>
      <c r="HSX44" s="51"/>
      <c r="HSY44" s="51"/>
      <c r="HSZ44" s="51"/>
      <c r="HTA44" s="51"/>
      <c r="HTB44" s="51"/>
      <c r="HTC44" s="51"/>
      <c r="HTD44" s="51"/>
      <c r="HTE44" s="51"/>
      <c r="HTF44" s="51"/>
      <c r="HTG44" s="51"/>
      <c r="HTH44" s="51"/>
      <c r="HTI44" s="51"/>
      <c r="HTJ44" s="51"/>
      <c r="HTK44" s="51"/>
      <c r="HTL44" s="51"/>
      <c r="HTM44" s="51"/>
      <c r="HTN44" s="51"/>
      <c r="HTO44" s="51"/>
      <c r="HTP44" s="51"/>
      <c r="HTQ44" s="51"/>
      <c r="HTR44" s="51"/>
      <c r="HTS44" s="51"/>
      <c r="HTT44" s="51"/>
      <c r="HTU44" s="51"/>
      <c r="HTV44" s="51"/>
      <c r="HTW44" s="51"/>
      <c r="HTX44" s="51"/>
      <c r="HTY44" s="51"/>
      <c r="HTZ44" s="51"/>
      <c r="HUA44" s="51"/>
      <c r="HUB44" s="51"/>
      <c r="HUC44" s="51"/>
      <c r="HUD44" s="51"/>
      <c r="HUE44" s="51"/>
      <c r="HUF44" s="51"/>
      <c r="HUG44" s="51"/>
      <c r="HUH44" s="51"/>
      <c r="HUI44" s="51"/>
      <c r="HUJ44" s="51"/>
      <c r="HUK44" s="51"/>
      <c r="HUL44" s="51"/>
      <c r="HUM44" s="51"/>
      <c r="HUN44" s="51"/>
      <c r="HUO44" s="51"/>
      <c r="HUP44" s="51"/>
      <c r="HUQ44" s="51"/>
      <c r="HUR44" s="51"/>
      <c r="HUS44" s="51"/>
      <c r="HUT44" s="51"/>
      <c r="HUU44" s="51"/>
      <c r="HUV44" s="51"/>
      <c r="HUW44" s="51"/>
      <c r="HUX44" s="51"/>
      <c r="HUY44" s="51"/>
      <c r="HUZ44" s="51"/>
      <c r="HVA44" s="51"/>
      <c r="HVB44" s="51"/>
      <c r="HVC44" s="51"/>
      <c r="HVD44" s="51"/>
      <c r="HVE44" s="51"/>
      <c r="HVF44" s="51"/>
      <c r="HVG44" s="51"/>
      <c r="HVH44" s="51"/>
      <c r="HVI44" s="51"/>
      <c r="HVJ44" s="51"/>
      <c r="HVK44" s="51"/>
      <c r="HVL44" s="51"/>
      <c r="HVM44" s="51"/>
      <c r="HVN44" s="51"/>
      <c r="HVO44" s="51"/>
      <c r="HVP44" s="51"/>
      <c r="HVQ44" s="51"/>
      <c r="HVR44" s="51"/>
      <c r="HVS44" s="51"/>
      <c r="HVT44" s="51"/>
      <c r="HVU44" s="51"/>
      <c r="HVV44" s="51"/>
      <c r="HVW44" s="51"/>
      <c r="HVX44" s="51"/>
      <c r="HVY44" s="51"/>
      <c r="HVZ44" s="51"/>
      <c r="HWA44" s="51"/>
      <c r="HWB44" s="51"/>
      <c r="HWC44" s="51"/>
      <c r="HWD44" s="51"/>
      <c r="HWE44" s="51"/>
      <c r="HWF44" s="51"/>
      <c r="HWG44" s="51"/>
      <c r="HWH44" s="51"/>
      <c r="HWI44" s="51"/>
      <c r="HWJ44" s="51"/>
      <c r="HWK44" s="51"/>
      <c r="HWL44" s="51"/>
      <c r="HWM44" s="51"/>
      <c r="HWN44" s="51"/>
      <c r="HWO44" s="51"/>
      <c r="HWP44" s="51"/>
      <c r="HWQ44" s="51"/>
      <c r="HWR44" s="51"/>
      <c r="HWS44" s="51"/>
      <c r="HWT44" s="51"/>
      <c r="HWU44" s="51"/>
      <c r="HWV44" s="51"/>
      <c r="HWW44" s="51"/>
      <c r="HWX44" s="51"/>
      <c r="HWY44" s="51"/>
      <c r="HWZ44" s="51"/>
      <c r="HXA44" s="51"/>
      <c r="HXB44" s="51"/>
      <c r="HXC44" s="51"/>
      <c r="HXD44" s="51"/>
      <c r="HXE44" s="51"/>
      <c r="HXF44" s="51"/>
      <c r="HXG44" s="51"/>
      <c r="HXH44" s="51"/>
      <c r="HXI44" s="51"/>
      <c r="HXJ44" s="51"/>
      <c r="HXK44" s="51"/>
      <c r="HXL44" s="51"/>
      <c r="HXM44" s="51"/>
      <c r="HXN44" s="51"/>
      <c r="HXO44" s="51"/>
      <c r="HXP44" s="51"/>
      <c r="HXQ44" s="51"/>
      <c r="HXR44" s="51"/>
      <c r="HXS44" s="51"/>
      <c r="HXT44" s="51"/>
      <c r="HXU44" s="51"/>
      <c r="HXV44" s="51"/>
      <c r="HXW44" s="51"/>
      <c r="HXX44" s="51"/>
      <c r="HXY44" s="51"/>
      <c r="HXZ44" s="51"/>
      <c r="HYA44" s="51"/>
      <c r="HYB44" s="51"/>
      <c r="HYC44" s="51"/>
      <c r="HYD44" s="51"/>
      <c r="HYE44" s="51"/>
      <c r="HYF44" s="51"/>
      <c r="HYG44" s="51"/>
      <c r="HYH44" s="51"/>
      <c r="HYI44" s="51"/>
      <c r="HYJ44" s="51"/>
      <c r="HYK44" s="51"/>
      <c r="HYL44" s="51"/>
      <c r="HYM44" s="51"/>
      <c r="HYN44" s="51"/>
      <c r="HYO44" s="51"/>
      <c r="HYP44" s="51"/>
      <c r="HYQ44" s="51"/>
      <c r="HYR44" s="51"/>
      <c r="HYS44" s="51"/>
      <c r="HYT44" s="51"/>
      <c r="HYU44" s="51"/>
      <c r="HYV44" s="51"/>
      <c r="HYW44" s="51"/>
      <c r="HYX44" s="51"/>
      <c r="HYY44" s="51"/>
      <c r="HYZ44" s="51"/>
      <c r="HZA44" s="51"/>
      <c r="HZB44" s="51"/>
      <c r="HZC44" s="51"/>
      <c r="HZD44" s="51"/>
      <c r="HZE44" s="51"/>
      <c r="HZF44" s="51"/>
      <c r="HZG44" s="51"/>
      <c r="HZH44" s="51"/>
      <c r="HZI44" s="51"/>
      <c r="HZJ44" s="51"/>
      <c r="HZK44" s="51"/>
      <c r="HZL44" s="51"/>
      <c r="HZM44" s="51"/>
      <c r="HZN44" s="51"/>
      <c r="HZO44" s="51"/>
      <c r="HZP44" s="51"/>
      <c r="HZQ44" s="51"/>
      <c r="HZR44" s="51"/>
      <c r="HZS44" s="51"/>
      <c r="HZT44" s="51"/>
      <c r="HZU44" s="51"/>
      <c r="HZV44" s="51"/>
      <c r="HZW44" s="51"/>
      <c r="HZX44" s="51"/>
      <c r="HZY44" s="51"/>
      <c r="HZZ44" s="51"/>
      <c r="IAA44" s="51"/>
      <c r="IAB44" s="51"/>
      <c r="IAC44" s="51"/>
      <c r="IAD44" s="51"/>
      <c r="IAE44" s="51"/>
      <c r="IAF44" s="51"/>
      <c r="IAG44" s="51"/>
      <c r="IAH44" s="51"/>
      <c r="IAI44" s="51"/>
      <c r="IAJ44" s="51"/>
      <c r="IAK44" s="51"/>
      <c r="IAL44" s="51"/>
      <c r="IAM44" s="51"/>
      <c r="IAN44" s="51"/>
      <c r="IAO44" s="51"/>
      <c r="IAP44" s="51"/>
      <c r="IAQ44" s="51"/>
      <c r="IAR44" s="51"/>
      <c r="IAS44" s="51"/>
      <c r="IAT44" s="51"/>
      <c r="IAU44" s="51"/>
      <c r="IAV44" s="51"/>
      <c r="IAW44" s="51"/>
      <c r="IAX44" s="51"/>
      <c r="IAY44" s="51"/>
      <c r="IAZ44" s="51"/>
      <c r="IBA44" s="51"/>
      <c r="IBB44" s="51"/>
      <c r="IBC44" s="51"/>
      <c r="IBD44" s="51"/>
      <c r="IBE44" s="51"/>
      <c r="IBF44" s="51"/>
      <c r="IBG44" s="51"/>
      <c r="IBH44" s="51"/>
      <c r="IBI44" s="51"/>
      <c r="IBJ44" s="51"/>
      <c r="IBK44" s="51"/>
      <c r="IBL44" s="51"/>
      <c r="IBM44" s="51"/>
      <c r="IBN44" s="51"/>
      <c r="IBO44" s="51"/>
      <c r="IBP44" s="51"/>
      <c r="IBQ44" s="51"/>
      <c r="IBR44" s="51"/>
      <c r="IBS44" s="51"/>
      <c r="IBT44" s="51"/>
      <c r="IBU44" s="51"/>
      <c r="IBV44" s="51"/>
      <c r="IBW44" s="51"/>
      <c r="IBX44" s="51"/>
      <c r="IBY44" s="51"/>
      <c r="IBZ44" s="51"/>
      <c r="ICA44" s="51"/>
      <c r="ICB44" s="51"/>
      <c r="ICC44" s="51"/>
      <c r="ICD44" s="51"/>
      <c r="ICE44" s="51"/>
      <c r="ICF44" s="51"/>
      <c r="ICG44" s="51"/>
      <c r="ICH44" s="51"/>
      <c r="ICI44" s="51"/>
      <c r="ICJ44" s="51"/>
      <c r="ICK44" s="51"/>
      <c r="ICL44" s="51"/>
      <c r="ICM44" s="51"/>
      <c r="ICN44" s="51"/>
      <c r="ICO44" s="51"/>
      <c r="ICP44" s="51"/>
      <c r="ICQ44" s="51"/>
      <c r="ICR44" s="51"/>
      <c r="ICS44" s="51"/>
      <c r="ICT44" s="51"/>
      <c r="ICU44" s="51"/>
      <c r="ICV44" s="51"/>
      <c r="ICW44" s="51"/>
      <c r="ICX44" s="51"/>
      <c r="ICY44" s="51"/>
      <c r="ICZ44" s="51"/>
      <c r="IDA44" s="51"/>
      <c r="IDB44" s="51"/>
      <c r="IDC44" s="51"/>
      <c r="IDD44" s="51"/>
      <c r="IDE44" s="51"/>
      <c r="IDF44" s="51"/>
      <c r="IDG44" s="51"/>
      <c r="IDH44" s="51"/>
      <c r="IDI44" s="51"/>
      <c r="IDJ44" s="51"/>
      <c r="IDK44" s="51"/>
      <c r="IDL44" s="51"/>
      <c r="IDM44" s="51"/>
      <c r="IDN44" s="51"/>
      <c r="IDO44" s="51"/>
      <c r="IDP44" s="51"/>
      <c r="IDQ44" s="51"/>
      <c r="IDR44" s="51"/>
      <c r="IDS44" s="51"/>
      <c r="IDT44" s="51"/>
      <c r="IDU44" s="51"/>
      <c r="IDV44" s="51"/>
      <c r="IDW44" s="51"/>
      <c r="IDX44" s="51"/>
      <c r="IDY44" s="51"/>
      <c r="IDZ44" s="51"/>
      <c r="IEA44" s="51"/>
      <c r="IEB44" s="51"/>
      <c r="IEC44" s="51"/>
      <c r="IED44" s="51"/>
      <c r="IEE44" s="51"/>
      <c r="IEF44" s="51"/>
      <c r="IEG44" s="51"/>
      <c r="IEH44" s="51"/>
      <c r="IEI44" s="51"/>
      <c r="IEJ44" s="51"/>
      <c r="IEK44" s="51"/>
      <c r="IEL44" s="51"/>
      <c r="IEM44" s="51"/>
      <c r="IEN44" s="51"/>
      <c r="IEO44" s="51"/>
      <c r="IEP44" s="51"/>
      <c r="IEQ44" s="51"/>
      <c r="IER44" s="51"/>
      <c r="IES44" s="51"/>
      <c r="IET44" s="51"/>
      <c r="IEU44" s="51"/>
      <c r="IEV44" s="51"/>
      <c r="IEW44" s="51"/>
      <c r="IEX44" s="51"/>
      <c r="IEY44" s="51"/>
      <c r="IEZ44" s="51"/>
      <c r="IFA44" s="51"/>
      <c r="IFB44" s="51"/>
      <c r="IFC44" s="51"/>
      <c r="IFD44" s="51"/>
      <c r="IFE44" s="51"/>
      <c r="IFF44" s="51"/>
      <c r="IFG44" s="51"/>
      <c r="IFH44" s="51"/>
      <c r="IFI44" s="51"/>
      <c r="IFJ44" s="51"/>
      <c r="IFK44" s="51"/>
      <c r="IFL44" s="51"/>
      <c r="IFM44" s="51"/>
      <c r="IFN44" s="51"/>
      <c r="IFO44" s="51"/>
      <c r="IFP44" s="51"/>
      <c r="IFQ44" s="51"/>
      <c r="IFR44" s="51"/>
      <c r="IFS44" s="51"/>
      <c r="IFT44" s="51"/>
      <c r="IFU44" s="51"/>
      <c r="IFV44" s="51"/>
      <c r="IFW44" s="51"/>
      <c r="IFX44" s="51"/>
      <c r="IFY44" s="51"/>
      <c r="IFZ44" s="51"/>
      <c r="IGA44" s="51"/>
      <c r="IGB44" s="51"/>
      <c r="IGC44" s="51"/>
      <c r="IGD44" s="51"/>
      <c r="IGE44" s="51"/>
      <c r="IGF44" s="51"/>
      <c r="IGG44" s="51"/>
      <c r="IGH44" s="51"/>
      <c r="IGI44" s="51"/>
      <c r="IGJ44" s="51"/>
      <c r="IGK44" s="51"/>
      <c r="IGL44" s="51"/>
      <c r="IGM44" s="51"/>
      <c r="IGN44" s="51"/>
      <c r="IGO44" s="51"/>
      <c r="IGP44" s="51"/>
      <c r="IGQ44" s="51"/>
      <c r="IGR44" s="51"/>
      <c r="IGS44" s="51"/>
      <c r="IGT44" s="51"/>
      <c r="IGU44" s="51"/>
      <c r="IGV44" s="51"/>
      <c r="IGW44" s="51"/>
      <c r="IGX44" s="51"/>
      <c r="IGY44" s="51"/>
      <c r="IGZ44" s="51"/>
      <c r="IHA44" s="51"/>
      <c r="IHB44" s="51"/>
      <c r="IHC44" s="51"/>
      <c r="IHD44" s="51"/>
      <c r="IHE44" s="51"/>
      <c r="IHF44" s="51"/>
      <c r="IHG44" s="51"/>
      <c r="IHH44" s="51"/>
      <c r="IHI44" s="51"/>
      <c r="IHJ44" s="51"/>
      <c r="IHK44" s="51"/>
      <c r="IHL44" s="51"/>
      <c r="IHM44" s="51"/>
      <c r="IHN44" s="51"/>
      <c r="IHO44" s="51"/>
      <c r="IHP44" s="51"/>
      <c r="IHQ44" s="51"/>
      <c r="IHR44" s="51"/>
      <c r="IHS44" s="51"/>
      <c r="IHT44" s="51"/>
      <c r="IHU44" s="51"/>
      <c r="IHV44" s="51"/>
      <c r="IHW44" s="51"/>
      <c r="IHX44" s="51"/>
      <c r="IHY44" s="51"/>
      <c r="IHZ44" s="51"/>
      <c r="IIA44" s="51"/>
      <c r="IIB44" s="51"/>
      <c r="IIC44" s="51"/>
      <c r="IID44" s="51"/>
      <c r="IIE44" s="51"/>
      <c r="IIF44" s="51"/>
      <c r="IIG44" s="51"/>
      <c r="IIH44" s="51"/>
      <c r="III44" s="51"/>
      <c r="IIJ44" s="51"/>
      <c r="IIK44" s="51"/>
      <c r="IIL44" s="51"/>
      <c r="IIM44" s="51"/>
      <c r="IIN44" s="51"/>
      <c r="IIO44" s="51"/>
      <c r="IIP44" s="51"/>
      <c r="IIQ44" s="51"/>
      <c r="IIR44" s="51"/>
      <c r="IIS44" s="51"/>
      <c r="IIT44" s="51"/>
      <c r="IIU44" s="51"/>
      <c r="IIV44" s="51"/>
      <c r="IIW44" s="51"/>
      <c r="IIX44" s="51"/>
      <c r="IIY44" s="51"/>
      <c r="IIZ44" s="51"/>
      <c r="IJA44" s="51"/>
      <c r="IJB44" s="51"/>
      <c r="IJC44" s="51"/>
      <c r="IJD44" s="51"/>
      <c r="IJE44" s="51"/>
      <c r="IJF44" s="51"/>
      <c r="IJG44" s="51"/>
      <c r="IJH44" s="51"/>
      <c r="IJI44" s="51"/>
      <c r="IJJ44" s="51"/>
      <c r="IJK44" s="51"/>
      <c r="IJL44" s="51"/>
      <c r="IJM44" s="51"/>
      <c r="IJN44" s="51"/>
      <c r="IJO44" s="51"/>
      <c r="IJP44" s="51"/>
      <c r="IJQ44" s="51"/>
      <c r="IJR44" s="51"/>
      <c r="IJS44" s="51"/>
      <c r="IJT44" s="51"/>
      <c r="IJU44" s="51"/>
      <c r="IJV44" s="51"/>
      <c r="IJW44" s="51"/>
      <c r="IJX44" s="51"/>
      <c r="IJY44" s="51"/>
      <c r="IJZ44" s="51"/>
      <c r="IKA44" s="51"/>
      <c r="IKB44" s="51"/>
      <c r="IKC44" s="51"/>
      <c r="IKD44" s="51"/>
      <c r="IKE44" s="51"/>
      <c r="IKF44" s="51"/>
      <c r="IKG44" s="51"/>
      <c r="IKH44" s="51"/>
      <c r="IKI44" s="51"/>
      <c r="IKJ44" s="51"/>
      <c r="IKK44" s="51"/>
      <c r="IKL44" s="51"/>
      <c r="IKM44" s="51"/>
      <c r="IKN44" s="51"/>
      <c r="IKO44" s="51"/>
      <c r="IKP44" s="51"/>
      <c r="IKQ44" s="51"/>
      <c r="IKR44" s="51"/>
      <c r="IKS44" s="51"/>
      <c r="IKT44" s="51"/>
      <c r="IKU44" s="51"/>
      <c r="IKV44" s="51"/>
      <c r="IKW44" s="51"/>
      <c r="IKX44" s="51"/>
      <c r="IKY44" s="51"/>
      <c r="IKZ44" s="51"/>
      <c r="ILA44" s="51"/>
      <c r="ILB44" s="51"/>
      <c r="ILC44" s="51"/>
      <c r="ILD44" s="51"/>
      <c r="ILE44" s="51"/>
      <c r="ILF44" s="51"/>
      <c r="ILG44" s="51"/>
      <c r="ILH44" s="51"/>
      <c r="ILI44" s="51"/>
      <c r="ILJ44" s="51"/>
      <c r="ILK44" s="51"/>
      <c r="ILL44" s="51"/>
      <c r="ILM44" s="51"/>
      <c r="ILN44" s="51"/>
      <c r="ILO44" s="51"/>
      <c r="ILP44" s="51"/>
      <c r="ILQ44" s="51"/>
      <c r="ILR44" s="51"/>
      <c r="ILS44" s="51"/>
      <c r="ILT44" s="51"/>
      <c r="ILU44" s="51"/>
      <c r="ILV44" s="51"/>
      <c r="ILW44" s="51"/>
      <c r="ILX44" s="51"/>
      <c r="ILY44" s="51"/>
      <c r="ILZ44" s="51"/>
      <c r="IMA44" s="51"/>
      <c r="IMB44" s="51"/>
      <c r="IMC44" s="51"/>
      <c r="IMD44" s="51"/>
      <c r="IME44" s="51"/>
      <c r="IMF44" s="51"/>
      <c r="IMG44" s="51"/>
      <c r="IMH44" s="51"/>
      <c r="IMI44" s="51"/>
      <c r="IMJ44" s="51"/>
      <c r="IMK44" s="51"/>
      <c r="IML44" s="51"/>
      <c r="IMM44" s="51"/>
      <c r="IMN44" s="51"/>
      <c r="IMO44" s="51"/>
      <c r="IMP44" s="51"/>
      <c r="IMQ44" s="51"/>
      <c r="IMR44" s="51"/>
      <c r="IMS44" s="51"/>
      <c r="IMT44" s="51"/>
      <c r="IMU44" s="51"/>
      <c r="IMV44" s="51"/>
      <c r="IMW44" s="51"/>
      <c r="IMX44" s="51"/>
      <c r="IMY44" s="51"/>
      <c r="IMZ44" s="51"/>
      <c r="INA44" s="51"/>
      <c r="INB44" s="51"/>
      <c r="INC44" s="51"/>
      <c r="IND44" s="51"/>
      <c r="INE44" s="51"/>
      <c r="INF44" s="51"/>
      <c r="ING44" s="51"/>
      <c r="INH44" s="51"/>
      <c r="INI44" s="51"/>
      <c r="INJ44" s="51"/>
      <c r="INK44" s="51"/>
      <c r="INL44" s="51"/>
      <c r="INM44" s="51"/>
      <c r="INN44" s="51"/>
      <c r="INO44" s="51"/>
      <c r="INP44" s="51"/>
      <c r="INQ44" s="51"/>
      <c r="INR44" s="51"/>
      <c r="INS44" s="51"/>
      <c r="INT44" s="51"/>
      <c r="INU44" s="51"/>
      <c r="INV44" s="51"/>
      <c r="INW44" s="51"/>
      <c r="INX44" s="51"/>
      <c r="INY44" s="51"/>
      <c r="INZ44" s="51"/>
      <c r="IOA44" s="51"/>
      <c r="IOB44" s="51"/>
      <c r="IOC44" s="51"/>
      <c r="IOD44" s="51"/>
      <c r="IOE44" s="51"/>
      <c r="IOF44" s="51"/>
      <c r="IOG44" s="51"/>
      <c r="IOH44" s="51"/>
      <c r="IOI44" s="51"/>
      <c r="IOJ44" s="51"/>
      <c r="IOK44" s="51"/>
      <c r="IOL44" s="51"/>
      <c r="IOM44" s="51"/>
      <c r="ION44" s="51"/>
      <c r="IOO44" s="51"/>
      <c r="IOP44" s="51"/>
      <c r="IOQ44" s="51"/>
      <c r="IOR44" s="51"/>
      <c r="IOS44" s="51"/>
      <c r="IOT44" s="51"/>
      <c r="IOU44" s="51"/>
      <c r="IOV44" s="51"/>
      <c r="IOW44" s="51"/>
      <c r="IOX44" s="51"/>
      <c r="IOY44" s="51"/>
      <c r="IOZ44" s="51"/>
      <c r="IPA44" s="51"/>
      <c r="IPB44" s="51"/>
      <c r="IPC44" s="51"/>
      <c r="IPD44" s="51"/>
      <c r="IPE44" s="51"/>
      <c r="IPF44" s="51"/>
      <c r="IPG44" s="51"/>
      <c r="IPH44" s="51"/>
      <c r="IPI44" s="51"/>
      <c r="IPJ44" s="51"/>
      <c r="IPK44" s="51"/>
      <c r="IPL44" s="51"/>
      <c r="IPM44" s="51"/>
      <c r="IPN44" s="51"/>
      <c r="IPO44" s="51"/>
      <c r="IPP44" s="51"/>
      <c r="IPQ44" s="51"/>
      <c r="IPR44" s="51"/>
      <c r="IPS44" s="51"/>
      <c r="IPT44" s="51"/>
      <c r="IPU44" s="51"/>
      <c r="IPV44" s="51"/>
      <c r="IPW44" s="51"/>
      <c r="IPX44" s="51"/>
      <c r="IPY44" s="51"/>
      <c r="IPZ44" s="51"/>
      <c r="IQA44" s="51"/>
      <c r="IQB44" s="51"/>
      <c r="IQC44" s="51"/>
      <c r="IQD44" s="51"/>
      <c r="IQE44" s="51"/>
      <c r="IQF44" s="51"/>
      <c r="IQG44" s="51"/>
      <c r="IQH44" s="51"/>
      <c r="IQI44" s="51"/>
      <c r="IQJ44" s="51"/>
      <c r="IQK44" s="51"/>
      <c r="IQL44" s="51"/>
      <c r="IQM44" s="51"/>
      <c r="IQN44" s="51"/>
      <c r="IQO44" s="51"/>
      <c r="IQP44" s="51"/>
      <c r="IQQ44" s="51"/>
      <c r="IQR44" s="51"/>
      <c r="IQS44" s="51"/>
      <c r="IQT44" s="51"/>
      <c r="IQU44" s="51"/>
      <c r="IQV44" s="51"/>
      <c r="IQW44" s="51"/>
      <c r="IQX44" s="51"/>
      <c r="IQY44" s="51"/>
      <c r="IQZ44" s="51"/>
      <c r="IRA44" s="51"/>
      <c r="IRB44" s="51"/>
      <c r="IRC44" s="51"/>
      <c r="IRD44" s="51"/>
      <c r="IRE44" s="51"/>
      <c r="IRF44" s="51"/>
      <c r="IRG44" s="51"/>
      <c r="IRH44" s="51"/>
      <c r="IRI44" s="51"/>
      <c r="IRJ44" s="51"/>
      <c r="IRK44" s="51"/>
      <c r="IRL44" s="51"/>
      <c r="IRM44" s="51"/>
      <c r="IRN44" s="51"/>
      <c r="IRO44" s="51"/>
      <c r="IRP44" s="51"/>
      <c r="IRQ44" s="51"/>
      <c r="IRR44" s="51"/>
      <c r="IRS44" s="51"/>
      <c r="IRT44" s="51"/>
      <c r="IRU44" s="51"/>
      <c r="IRV44" s="51"/>
      <c r="IRW44" s="51"/>
      <c r="IRX44" s="51"/>
      <c r="IRY44" s="51"/>
      <c r="IRZ44" s="51"/>
      <c r="ISA44" s="51"/>
      <c r="ISB44" s="51"/>
      <c r="ISC44" s="51"/>
      <c r="ISD44" s="51"/>
      <c r="ISE44" s="51"/>
      <c r="ISF44" s="51"/>
      <c r="ISG44" s="51"/>
      <c r="ISH44" s="51"/>
      <c r="ISI44" s="51"/>
      <c r="ISJ44" s="51"/>
      <c r="ISK44" s="51"/>
      <c r="ISL44" s="51"/>
      <c r="ISM44" s="51"/>
      <c r="ISN44" s="51"/>
      <c r="ISO44" s="51"/>
      <c r="ISP44" s="51"/>
      <c r="ISQ44" s="51"/>
      <c r="ISR44" s="51"/>
      <c r="ISS44" s="51"/>
      <c r="IST44" s="51"/>
      <c r="ISU44" s="51"/>
      <c r="ISV44" s="51"/>
      <c r="ISW44" s="51"/>
      <c r="ISX44" s="51"/>
      <c r="ISY44" s="51"/>
      <c r="ISZ44" s="51"/>
      <c r="ITA44" s="51"/>
      <c r="ITB44" s="51"/>
      <c r="ITC44" s="51"/>
      <c r="ITD44" s="51"/>
      <c r="ITE44" s="51"/>
      <c r="ITF44" s="51"/>
      <c r="ITG44" s="51"/>
      <c r="ITH44" s="51"/>
      <c r="ITI44" s="51"/>
      <c r="ITJ44" s="51"/>
      <c r="ITK44" s="51"/>
      <c r="ITL44" s="51"/>
      <c r="ITM44" s="51"/>
      <c r="ITN44" s="51"/>
      <c r="ITO44" s="51"/>
      <c r="ITP44" s="51"/>
      <c r="ITQ44" s="51"/>
      <c r="ITR44" s="51"/>
      <c r="ITS44" s="51"/>
      <c r="ITT44" s="51"/>
      <c r="ITU44" s="51"/>
      <c r="ITV44" s="51"/>
      <c r="ITW44" s="51"/>
      <c r="ITX44" s="51"/>
      <c r="ITY44" s="51"/>
      <c r="ITZ44" s="51"/>
      <c r="IUA44" s="51"/>
      <c r="IUB44" s="51"/>
      <c r="IUC44" s="51"/>
      <c r="IUD44" s="51"/>
      <c r="IUE44" s="51"/>
      <c r="IUF44" s="51"/>
      <c r="IUG44" s="51"/>
      <c r="IUH44" s="51"/>
      <c r="IUI44" s="51"/>
      <c r="IUJ44" s="51"/>
      <c r="IUK44" s="51"/>
      <c r="IUL44" s="51"/>
      <c r="IUM44" s="51"/>
      <c r="IUN44" s="51"/>
      <c r="IUO44" s="51"/>
      <c r="IUP44" s="51"/>
      <c r="IUQ44" s="51"/>
      <c r="IUR44" s="51"/>
      <c r="IUS44" s="51"/>
      <c r="IUT44" s="51"/>
      <c r="IUU44" s="51"/>
      <c r="IUV44" s="51"/>
      <c r="IUW44" s="51"/>
      <c r="IUX44" s="51"/>
      <c r="IUY44" s="51"/>
      <c r="IUZ44" s="51"/>
      <c r="IVA44" s="51"/>
      <c r="IVB44" s="51"/>
      <c r="IVC44" s="51"/>
      <c r="IVD44" s="51"/>
      <c r="IVE44" s="51"/>
      <c r="IVF44" s="51"/>
      <c r="IVG44" s="51"/>
      <c r="IVH44" s="51"/>
      <c r="IVI44" s="51"/>
      <c r="IVJ44" s="51"/>
      <c r="IVK44" s="51"/>
      <c r="IVL44" s="51"/>
      <c r="IVM44" s="51"/>
      <c r="IVN44" s="51"/>
      <c r="IVO44" s="51"/>
      <c r="IVP44" s="51"/>
      <c r="IVQ44" s="51"/>
      <c r="IVR44" s="51"/>
      <c r="IVS44" s="51"/>
      <c r="IVT44" s="51"/>
      <c r="IVU44" s="51"/>
      <c r="IVV44" s="51"/>
      <c r="IVW44" s="51"/>
      <c r="IVX44" s="51"/>
      <c r="IVY44" s="51"/>
      <c r="IVZ44" s="51"/>
      <c r="IWA44" s="51"/>
      <c r="IWB44" s="51"/>
      <c r="IWC44" s="51"/>
      <c r="IWD44" s="51"/>
      <c r="IWE44" s="51"/>
      <c r="IWF44" s="51"/>
      <c r="IWG44" s="51"/>
      <c r="IWH44" s="51"/>
      <c r="IWI44" s="51"/>
      <c r="IWJ44" s="51"/>
      <c r="IWK44" s="51"/>
      <c r="IWL44" s="51"/>
      <c r="IWM44" s="51"/>
      <c r="IWN44" s="51"/>
      <c r="IWO44" s="51"/>
      <c r="IWP44" s="51"/>
      <c r="IWQ44" s="51"/>
      <c r="IWR44" s="51"/>
      <c r="IWS44" s="51"/>
      <c r="IWT44" s="51"/>
      <c r="IWU44" s="51"/>
      <c r="IWV44" s="51"/>
      <c r="IWW44" s="51"/>
      <c r="IWX44" s="51"/>
      <c r="IWY44" s="51"/>
      <c r="IWZ44" s="51"/>
      <c r="IXA44" s="51"/>
      <c r="IXB44" s="51"/>
      <c r="IXC44" s="51"/>
      <c r="IXD44" s="51"/>
      <c r="IXE44" s="51"/>
      <c r="IXF44" s="51"/>
      <c r="IXG44" s="51"/>
      <c r="IXH44" s="51"/>
      <c r="IXI44" s="51"/>
      <c r="IXJ44" s="51"/>
      <c r="IXK44" s="51"/>
      <c r="IXL44" s="51"/>
      <c r="IXM44" s="51"/>
      <c r="IXN44" s="51"/>
      <c r="IXO44" s="51"/>
      <c r="IXP44" s="51"/>
      <c r="IXQ44" s="51"/>
      <c r="IXR44" s="51"/>
      <c r="IXS44" s="51"/>
      <c r="IXT44" s="51"/>
      <c r="IXU44" s="51"/>
      <c r="IXV44" s="51"/>
      <c r="IXW44" s="51"/>
      <c r="IXX44" s="51"/>
      <c r="IXY44" s="51"/>
      <c r="IXZ44" s="51"/>
      <c r="IYA44" s="51"/>
      <c r="IYB44" s="51"/>
      <c r="IYC44" s="51"/>
      <c r="IYD44" s="51"/>
      <c r="IYE44" s="51"/>
      <c r="IYF44" s="51"/>
      <c r="IYG44" s="51"/>
      <c r="IYH44" s="51"/>
      <c r="IYI44" s="51"/>
      <c r="IYJ44" s="51"/>
      <c r="IYK44" s="51"/>
      <c r="IYL44" s="51"/>
      <c r="IYM44" s="51"/>
      <c r="IYN44" s="51"/>
      <c r="IYO44" s="51"/>
      <c r="IYP44" s="51"/>
      <c r="IYQ44" s="51"/>
      <c r="IYR44" s="51"/>
      <c r="IYS44" s="51"/>
      <c r="IYT44" s="51"/>
      <c r="IYU44" s="51"/>
      <c r="IYV44" s="51"/>
      <c r="IYW44" s="51"/>
      <c r="IYX44" s="51"/>
      <c r="IYY44" s="51"/>
      <c r="IYZ44" s="51"/>
      <c r="IZA44" s="51"/>
      <c r="IZB44" s="51"/>
      <c r="IZC44" s="51"/>
      <c r="IZD44" s="51"/>
      <c r="IZE44" s="51"/>
      <c r="IZF44" s="51"/>
      <c r="IZG44" s="51"/>
      <c r="IZH44" s="51"/>
      <c r="IZI44" s="51"/>
      <c r="IZJ44" s="51"/>
      <c r="IZK44" s="51"/>
      <c r="IZL44" s="51"/>
      <c r="IZM44" s="51"/>
      <c r="IZN44" s="51"/>
      <c r="IZO44" s="51"/>
      <c r="IZP44" s="51"/>
      <c r="IZQ44" s="51"/>
      <c r="IZR44" s="51"/>
      <c r="IZS44" s="51"/>
      <c r="IZT44" s="51"/>
      <c r="IZU44" s="51"/>
      <c r="IZV44" s="51"/>
      <c r="IZW44" s="51"/>
      <c r="IZX44" s="51"/>
      <c r="IZY44" s="51"/>
      <c r="IZZ44" s="51"/>
      <c r="JAA44" s="51"/>
      <c r="JAB44" s="51"/>
      <c r="JAC44" s="51"/>
      <c r="JAD44" s="51"/>
      <c r="JAE44" s="51"/>
      <c r="JAF44" s="51"/>
      <c r="JAG44" s="51"/>
      <c r="JAH44" s="51"/>
      <c r="JAI44" s="51"/>
      <c r="JAJ44" s="51"/>
      <c r="JAK44" s="51"/>
      <c r="JAL44" s="51"/>
      <c r="JAM44" s="51"/>
      <c r="JAN44" s="51"/>
      <c r="JAO44" s="51"/>
      <c r="JAP44" s="51"/>
      <c r="JAQ44" s="51"/>
      <c r="JAR44" s="51"/>
      <c r="JAS44" s="51"/>
      <c r="JAT44" s="51"/>
      <c r="JAU44" s="51"/>
      <c r="JAV44" s="51"/>
      <c r="JAW44" s="51"/>
      <c r="JAX44" s="51"/>
      <c r="JAY44" s="51"/>
      <c r="JAZ44" s="51"/>
      <c r="JBA44" s="51"/>
      <c r="JBB44" s="51"/>
      <c r="JBC44" s="51"/>
      <c r="JBD44" s="51"/>
      <c r="JBE44" s="51"/>
      <c r="JBF44" s="51"/>
      <c r="JBG44" s="51"/>
      <c r="JBH44" s="51"/>
      <c r="JBI44" s="51"/>
      <c r="JBJ44" s="51"/>
      <c r="JBK44" s="51"/>
      <c r="JBL44" s="51"/>
      <c r="JBM44" s="51"/>
      <c r="JBN44" s="51"/>
      <c r="JBO44" s="51"/>
      <c r="JBP44" s="51"/>
      <c r="JBQ44" s="51"/>
      <c r="JBR44" s="51"/>
      <c r="JBS44" s="51"/>
      <c r="JBT44" s="51"/>
      <c r="JBU44" s="51"/>
      <c r="JBV44" s="51"/>
      <c r="JBW44" s="51"/>
      <c r="JBX44" s="51"/>
      <c r="JBY44" s="51"/>
      <c r="JBZ44" s="51"/>
      <c r="JCA44" s="51"/>
      <c r="JCB44" s="51"/>
      <c r="JCC44" s="51"/>
      <c r="JCD44" s="51"/>
      <c r="JCE44" s="51"/>
      <c r="JCF44" s="51"/>
      <c r="JCG44" s="51"/>
      <c r="JCH44" s="51"/>
      <c r="JCI44" s="51"/>
      <c r="JCJ44" s="51"/>
      <c r="JCK44" s="51"/>
      <c r="JCL44" s="51"/>
      <c r="JCM44" s="51"/>
      <c r="JCN44" s="51"/>
      <c r="JCO44" s="51"/>
      <c r="JCP44" s="51"/>
      <c r="JCQ44" s="51"/>
      <c r="JCR44" s="51"/>
      <c r="JCS44" s="51"/>
      <c r="JCT44" s="51"/>
      <c r="JCU44" s="51"/>
      <c r="JCV44" s="51"/>
      <c r="JCW44" s="51"/>
      <c r="JCX44" s="51"/>
      <c r="JCY44" s="51"/>
      <c r="JCZ44" s="51"/>
      <c r="JDA44" s="51"/>
      <c r="JDB44" s="51"/>
      <c r="JDC44" s="51"/>
      <c r="JDD44" s="51"/>
      <c r="JDE44" s="51"/>
      <c r="JDF44" s="51"/>
      <c r="JDG44" s="51"/>
      <c r="JDH44" s="51"/>
      <c r="JDI44" s="51"/>
      <c r="JDJ44" s="51"/>
      <c r="JDK44" s="51"/>
      <c r="JDL44" s="51"/>
      <c r="JDM44" s="51"/>
      <c r="JDN44" s="51"/>
      <c r="JDO44" s="51"/>
      <c r="JDP44" s="51"/>
      <c r="JDQ44" s="51"/>
      <c r="JDR44" s="51"/>
      <c r="JDS44" s="51"/>
      <c r="JDT44" s="51"/>
      <c r="JDU44" s="51"/>
      <c r="JDV44" s="51"/>
      <c r="JDW44" s="51"/>
      <c r="JDX44" s="51"/>
      <c r="JDY44" s="51"/>
      <c r="JDZ44" s="51"/>
      <c r="JEA44" s="51"/>
      <c r="JEB44" s="51"/>
      <c r="JEC44" s="51"/>
      <c r="JED44" s="51"/>
      <c r="JEE44" s="51"/>
      <c r="JEF44" s="51"/>
      <c r="JEG44" s="51"/>
      <c r="JEH44" s="51"/>
      <c r="JEI44" s="51"/>
      <c r="JEJ44" s="51"/>
      <c r="JEK44" s="51"/>
      <c r="JEL44" s="51"/>
      <c r="JEM44" s="51"/>
      <c r="JEN44" s="51"/>
      <c r="JEO44" s="51"/>
      <c r="JEP44" s="51"/>
      <c r="JEQ44" s="51"/>
      <c r="JER44" s="51"/>
      <c r="JES44" s="51"/>
      <c r="JET44" s="51"/>
      <c r="JEU44" s="51"/>
      <c r="JEV44" s="51"/>
      <c r="JEW44" s="51"/>
      <c r="JEX44" s="51"/>
      <c r="JEY44" s="51"/>
      <c r="JEZ44" s="51"/>
      <c r="JFA44" s="51"/>
      <c r="JFB44" s="51"/>
      <c r="JFC44" s="51"/>
      <c r="JFD44" s="51"/>
      <c r="JFE44" s="51"/>
      <c r="JFF44" s="51"/>
      <c r="JFG44" s="51"/>
      <c r="JFH44" s="51"/>
      <c r="JFI44" s="51"/>
      <c r="JFJ44" s="51"/>
      <c r="JFK44" s="51"/>
      <c r="JFL44" s="51"/>
      <c r="JFM44" s="51"/>
      <c r="JFN44" s="51"/>
      <c r="JFO44" s="51"/>
      <c r="JFP44" s="51"/>
      <c r="JFQ44" s="51"/>
      <c r="JFR44" s="51"/>
      <c r="JFS44" s="51"/>
      <c r="JFT44" s="51"/>
      <c r="JFU44" s="51"/>
      <c r="JFV44" s="51"/>
      <c r="JFW44" s="51"/>
      <c r="JFX44" s="51"/>
      <c r="JFY44" s="51"/>
      <c r="JFZ44" s="51"/>
      <c r="JGA44" s="51"/>
      <c r="JGB44" s="51"/>
      <c r="JGC44" s="51"/>
      <c r="JGD44" s="51"/>
      <c r="JGE44" s="51"/>
      <c r="JGF44" s="51"/>
      <c r="JGG44" s="51"/>
      <c r="JGH44" s="51"/>
      <c r="JGI44" s="51"/>
      <c r="JGJ44" s="51"/>
      <c r="JGK44" s="51"/>
      <c r="JGL44" s="51"/>
      <c r="JGM44" s="51"/>
      <c r="JGN44" s="51"/>
      <c r="JGO44" s="51"/>
      <c r="JGP44" s="51"/>
      <c r="JGQ44" s="51"/>
      <c r="JGR44" s="51"/>
      <c r="JGS44" s="51"/>
      <c r="JGT44" s="51"/>
      <c r="JGU44" s="51"/>
      <c r="JGV44" s="51"/>
      <c r="JGW44" s="51"/>
      <c r="JGX44" s="51"/>
      <c r="JGY44" s="51"/>
      <c r="JGZ44" s="51"/>
      <c r="JHA44" s="51"/>
      <c r="JHB44" s="51"/>
      <c r="JHC44" s="51"/>
      <c r="JHD44" s="51"/>
      <c r="JHE44" s="51"/>
      <c r="JHF44" s="51"/>
      <c r="JHG44" s="51"/>
      <c r="JHH44" s="51"/>
      <c r="JHI44" s="51"/>
      <c r="JHJ44" s="51"/>
      <c r="JHK44" s="51"/>
      <c r="JHL44" s="51"/>
      <c r="JHM44" s="51"/>
      <c r="JHN44" s="51"/>
      <c r="JHO44" s="51"/>
      <c r="JHP44" s="51"/>
      <c r="JHQ44" s="51"/>
      <c r="JHR44" s="51"/>
      <c r="JHS44" s="51"/>
      <c r="JHT44" s="51"/>
      <c r="JHU44" s="51"/>
      <c r="JHV44" s="51"/>
      <c r="JHW44" s="51"/>
      <c r="JHX44" s="51"/>
      <c r="JHY44" s="51"/>
      <c r="JHZ44" s="51"/>
      <c r="JIA44" s="51"/>
      <c r="JIB44" s="51"/>
      <c r="JIC44" s="51"/>
      <c r="JID44" s="51"/>
      <c r="JIE44" s="51"/>
      <c r="JIF44" s="51"/>
      <c r="JIG44" s="51"/>
      <c r="JIH44" s="51"/>
      <c r="JII44" s="51"/>
      <c r="JIJ44" s="51"/>
      <c r="JIK44" s="51"/>
      <c r="JIL44" s="51"/>
      <c r="JIM44" s="51"/>
      <c r="JIN44" s="51"/>
      <c r="JIO44" s="51"/>
      <c r="JIP44" s="51"/>
      <c r="JIQ44" s="51"/>
      <c r="JIR44" s="51"/>
      <c r="JIS44" s="51"/>
      <c r="JIT44" s="51"/>
      <c r="JIU44" s="51"/>
      <c r="JIV44" s="51"/>
      <c r="JIW44" s="51"/>
      <c r="JIX44" s="51"/>
      <c r="JIY44" s="51"/>
      <c r="JIZ44" s="51"/>
      <c r="JJA44" s="51"/>
      <c r="JJB44" s="51"/>
      <c r="JJC44" s="51"/>
      <c r="JJD44" s="51"/>
      <c r="JJE44" s="51"/>
      <c r="JJF44" s="51"/>
      <c r="JJG44" s="51"/>
      <c r="JJH44" s="51"/>
      <c r="JJI44" s="51"/>
      <c r="JJJ44" s="51"/>
      <c r="JJK44" s="51"/>
      <c r="JJL44" s="51"/>
      <c r="JJM44" s="51"/>
      <c r="JJN44" s="51"/>
      <c r="JJO44" s="51"/>
      <c r="JJP44" s="51"/>
      <c r="JJQ44" s="51"/>
      <c r="JJR44" s="51"/>
      <c r="JJS44" s="51"/>
      <c r="JJT44" s="51"/>
      <c r="JJU44" s="51"/>
      <c r="JJV44" s="51"/>
      <c r="JJW44" s="51"/>
      <c r="JJX44" s="51"/>
      <c r="JJY44" s="51"/>
      <c r="JJZ44" s="51"/>
      <c r="JKA44" s="51"/>
      <c r="JKB44" s="51"/>
      <c r="JKC44" s="51"/>
      <c r="JKD44" s="51"/>
      <c r="JKE44" s="51"/>
      <c r="JKF44" s="51"/>
      <c r="JKG44" s="51"/>
      <c r="JKH44" s="51"/>
      <c r="JKI44" s="51"/>
      <c r="JKJ44" s="51"/>
      <c r="JKK44" s="51"/>
      <c r="JKL44" s="51"/>
      <c r="JKM44" s="51"/>
      <c r="JKN44" s="51"/>
      <c r="JKO44" s="51"/>
      <c r="JKP44" s="51"/>
      <c r="JKQ44" s="51"/>
      <c r="JKR44" s="51"/>
      <c r="JKS44" s="51"/>
      <c r="JKT44" s="51"/>
      <c r="JKU44" s="51"/>
      <c r="JKV44" s="51"/>
      <c r="JKW44" s="51"/>
      <c r="JKX44" s="51"/>
      <c r="JKY44" s="51"/>
      <c r="JKZ44" s="51"/>
      <c r="JLA44" s="51"/>
      <c r="JLB44" s="51"/>
      <c r="JLC44" s="51"/>
      <c r="JLD44" s="51"/>
      <c r="JLE44" s="51"/>
      <c r="JLF44" s="51"/>
      <c r="JLG44" s="51"/>
      <c r="JLH44" s="51"/>
      <c r="JLI44" s="51"/>
      <c r="JLJ44" s="51"/>
      <c r="JLK44" s="51"/>
      <c r="JLL44" s="51"/>
      <c r="JLM44" s="51"/>
      <c r="JLN44" s="51"/>
      <c r="JLO44" s="51"/>
      <c r="JLP44" s="51"/>
      <c r="JLQ44" s="51"/>
      <c r="JLR44" s="51"/>
      <c r="JLS44" s="51"/>
      <c r="JLT44" s="51"/>
      <c r="JLU44" s="51"/>
      <c r="JLV44" s="51"/>
      <c r="JLW44" s="51"/>
      <c r="JLX44" s="51"/>
      <c r="JLY44" s="51"/>
      <c r="JLZ44" s="51"/>
      <c r="JMA44" s="51"/>
      <c r="JMB44" s="51"/>
      <c r="JMC44" s="51"/>
      <c r="JMD44" s="51"/>
      <c r="JME44" s="51"/>
      <c r="JMF44" s="51"/>
      <c r="JMG44" s="51"/>
      <c r="JMH44" s="51"/>
      <c r="JMI44" s="51"/>
      <c r="JMJ44" s="51"/>
      <c r="JMK44" s="51"/>
      <c r="JML44" s="51"/>
      <c r="JMM44" s="51"/>
      <c r="JMN44" s="51"/>
      <c r="JMO44" s="51"/>
      <c r="JMP44" s="51"/>
      <c r="JMQ44" s="51"/>
      <c r="JMR44" s="51"/>
      <c r="JMS44" s="51"/>
      <c r="JMT44" s="51"/>
      <c r="JMU44" s="51"/>
      <c r="JMV44" s="51"/>
      <c r="JMW44" s="51"/>
      <c r="JMX44" s="51"/>
      <c r="JMY44" s="51"/>
      <c r="JMZ44" s="51"/>
      <c r="JNA44" s="51"/>
      <c r="JNB44" s="51"/>
      <c r="JNC44" s="51"/>
      <c r="JND44" s="51"/>
      <c r="JNE44" s="51"/>
      <c r="JNF44" s="51"/>
      <c r="JNG44" s="51"/>
      <c r="JNH44" s="51"/>
      <c r="JNI44" s="51"/>
      <c r="JNJ44" s="51"/>
      <c r="JNK44" s="51"/>
      <c r="JNL44" s="51"/>
      <c r="JNM44" s="51"/>
      <c r="JNN44" s="51"/>
      <c r="JNO44" s="51"/>
      <c r="JNP44" s="51"/>
      <c r="JNQ44" s="51"/>
      <c r="JNR44" s="51"/>
      <c r="JNS44" s="51"/>
      <c r="JNT44" s="51"/>
      <c r="JNU44" s="51"/>
      <c r="JNV44" s="51"/>
      <c r="JNW44" s="51"/>
      <c r="JNX44" s="51"/>
      <c r="JNY44" s="51"/>
      <c r="JNZ44" s="51"/>
      <c r="JOA44" s="51"/>
      <c r="JOB44" s="51"/>
      <c r="JOC44" s="51"/>
      <c r="JOD44" s="51"/>
      <c r="JOE44" s="51"/>
      <c r="JOF44" s="51"/>
      <c r="JOG44" s="51"/>
      <c r="JOH44" s="51"/>
      <c r="JOI44" s="51"/>
      <c r="JOJ44" s="51"/>
      <c r="JOK44" s="51"/>
      <c r="JOL44" s="51"/>
      <c r="JOM44" s="51"/>
      <c r="JON44" s="51"/>
      <c r="JOO44" s="51"/>
      <c r="JOP44" s="51"/>
      <c r="JOQ44" s="51"/>
      <c r="JOR44" s="51"/>
      <c r="JOS44" s="51"/>
      <c r="JOT44" s="51"/>
      <c r="JOU44" s="51"/>
      <c r="JOV44" s="51"/>
      <c r="JOW44" s="51"/>
      <c r="JOX44" s="51"/>
      <c r="JOY44" s="51"/>
      <c r="JOZ44" s="51"/>
      <c r="JPA44" s="51"/>
      <c r="JPB44" s="51"/>
      <c r="JPC44" s="51"/>
      <c r="JPD44" s="51"/>
      <c r="JPE44" s="51"/>
      <c r="JPF44" s="51"/>
      <c r="JPG44" s="51"/>
      <c r="JPH44" s="51"/>
      <c r="JPI44" s="51"/>
      <c r="JPJ44" s="51"/>
      <c r="JPK44" s="51"/>
      <c r="JPL44" s="51"/>
      <c r="JPM44" s="51"/>
      <c r="JPN44" s="51"/>
      <c r="JPO44" s="51"/>
      <c r="JPP44" s="51"/>
      <c r="JPQ44" s="51"/>
      <c r="JPR44" s="51"/>
      <c r="JPS44" s="51"/>
      <c r="JPT44" s="51"/>
      <c r="JPU44" s="51"/>
      <c r="JPV44" s="51"/>
      <c r="JPW44" s="51"/>
      <c r="JPX44" s="51"/>
      <c r="JPY44" s="51"/>
      <c r="JPZ44" s="51"/>
      <c r="JQA44" s="51"/>
      <c r="JQB44" s="51"/>
      <c r="JQC44" s="51"/>
      <c r="JQD44" s="51"/>
      <c r="JQE44" s="51"/>
      <c r="JQF44" s="51"/>
      <c r="JQG44" s="51"/>
      <c r="JQH44" s="51"/>
      <c r="JQI44" s="51"/>
      <c r="JQJ44" s="51"/>
      <c r="JQK44" s="51"/>
      <c r="JQL44" s="51"/>
      <c r="JQM44" s="51"/>
      <c r="JQN44" s="51"/>
      <c r="JQO44" s="51"/>
      <c r="JQP44" s="51"/>
      <c r="JQQ44" s="51"/>
      <c r="JQR44" s="51"/>
      <c r="JQS44" s="51"/>
      <c r="JQT44" s="51"/>
      <c r="JQU44" s="51"/>
      <c r="JQV44" s="51"/>
      <c r="JQW44" s="51"/>
      <c r="JQX44" s="51"/>
      <c r="JQY44" s="51"/>
      <c r="JQZ44" s="51"/>
      <c r="JRA44" s="51"/>
      <c r="JRB44" s="51"/>
      <c r="JRC44" s="51"/>
      <c r="JRD44" s="51"/>
      <c r="JRE44" s="51"/>
      <c r="JRF44" s="51"/>
      <c r="JRG44" s="51"/>
      <c r="JRH44" s="51"/>
      <c r="JRI44" s="51"/>
      <c r="JRJ44" s="51"/>
      <c r="JRK44" s="51"/>
      <c r="JRL44" s="51"/>
      <c r="JRM44" s="51"/>
      <c r="JRN44" s="51"/>
      <c r="JRO44" s="51"/>
      <c r="JRP44" s="51"/>
      <c r="JRQ44" s="51"/>
      <c r="JRR44" s="51"/>
      <c r="JRS44" s="51"/>
      <c r="JRT44" s="51"/>
      <c r="JRU44" s="51"/>
      <c r="JRV44" s="51"/>
      <c r="JRW44" s="51"/>
      <c r="JRX44" s="51"/>
      <c r="JRY44" s="51"/>
      <c r="JRZ44" s="51"/>
      <c r="JSA44" s="51"/>
      <c r="JSB44" s="51"/>
      <c r="JSC44" s="51"/>
      <c r="JSD44" s="51"/>
      <c r="JSE44" s="51"/>
      <c r="JSF44" s="51"/>
      <c r="JSG44" s="51"/>
      <c r="JSH44" s="51"/>
      <c r="JSI44" s="51"/>
      <c r="JSJ44" s="51"/>
      <c r="JSK44" s="51"/>
      <c r="JSL44" s="51"/>
      <c r="JSM44" s="51"/>
      <c r="JSN44" s="51"/>
      <c r="JSO44" s="51"/>
      <c r="JSP44" s="51"/>
      <c r="JSQ44" s="51"/>
      <c r="JSR44" s="51"/>
      <c r="JSS44" s="51"/>
      <c r="JST44" s="51"/>
      <c r="JSU44" s="51"/>
      <c r="JSV44" s="51"/>
      <c r="JSW44" s="51"/>
      <c r="JSX44" s="51"/>
      <c r="JSY44" s="51"/>
      <c r="JSZ44" s="51"/>
      <c r="JTA44" s="51"/>
      <c r="JTB44" s="51"/>
      <c r="JTC44" s="51"/>
      <c r="JTD44" s="51"/>
      <c r="JTE44" s="51"/>
      <c r="JTF44" s="51"/>
      <c r="JTG44" s="51"/>
      <c r="JTH44" s="51"/>
      <c r="JTI44" s="51"/>
      <c r="JTJ44" s="51"/>
      <c r="JTK44" s="51"/>
      <c r="JTL44" s="51"/>
      <c r="JTM44" s="51"/>
      <c r="JTN44" s="51"/>
      <c r="JTO44" s="51"/>
      <c r="JTP44" s="51"/>
      <c r="JTQ44" s="51"/>
      <c r="JTR44" s="51"/>
      <c r="JTS44" s="51"/>
      <c r="JTT44" s="51"/>
      <c r="JTU44" s="51"/>
      <c r="JTV44" s="51"/>
      <c r="JTW44" s="51"/>
      <c r="JTX44" s="51"/>
      <c r="JTY44" s="51"/>
      <c r="JTZ44" s="51"/>
      <c r="JUA44" s="51"/>
      <c r="JUB44" s="51"/>
      <c r="JUC44" s="51"/>
      <c r="JUD44" s="51"/>
      <c r="JUE44" s="51"/>
      <c r="JUF44" s="51"/>
      <c r="JUG44" s="51"/>
      <c r="JUH44" s="51"/>
      <c r="JUI44" s="51"/>
      <c r="JUJ44" s="51"/>
      <c r="JUK44" s="51"/>
      <c r="JUL44" s="51"/>
      <c r="JUM44" s="51"/>
      <c r="JUN44" s="51"/>
      <c r="JUO44" s="51"/>
      <c r="JUP44" s="51"/>
      <c r="JUQ44" s="51"/>
      <c r="JUR44" s="51"/>
      <c r="JUS44" s="51"/>
      <c r="JUT44" s="51"/>
      <c r="JUU44" s="51"/>
      <c r="JUV44" s="51"/>
      <c r="JUW44" s="51"/>
      <c r="JUX44" s="51"/>
      <c r="JUY44" s="51"/>
      <c r="JUZ44" s="51"/>
      <c r="JVA44" s="51"/>
      <c r="JVB44" s="51"/>
      <c r="JVC44" s="51"/>
      <c r="JVD44" s="51"/>
      <c r="JVE44" s="51"/>
      <c r="JVF44" s="51"/>
      <c r="JVG44" s="51"/>
      <c r="JVH44" s="51"/>
      <c r="JVI44" s="51"/>
      <c r="JVJ44" s="51"/>
      <c r="JVK44" s="51"/>
      <c r="JVL44" s="51"/>
      <c r="JVM44" s="51"/>
      <c r="JVN44" s="51"/>
      <c r="JVO44" s="51"/>
      <c r="JVP44" s="51"/>
      <c r="JVQ44" s="51"/>
      <c r="JVR44" s="51"/>
      <c r="JVS44" s="51"/>
      <c r="JVT44" s="51"/>
      <c r="JVU44" s="51"/>
      <c r="JVV44" s="51"/>
      <c r="JVW44" s="51"/>
      <c r="JVX44" s="51"/>
      <c r="JVY44" s="51"/>
      <c r="JVZ44" s="51"/>
      <c r="JWA44" s="51"/>
      <c r="JWB44" s="51"/>
      <c r="JWC44" s="51"/>
      <c r="JWD44" s="51"/>
      <c r="JWE44" s="51"/>
      <c r="JWF44" s="51"/>
      <c r="JWG44" s="51"/>
      <c r="JWH44" s="51"/>
      <c r="JWI44" s="51"/>
      <c r="JWJ44" s="51"/>
      <c r="JWK44" s="51"/>
      <c r="JWL44" s="51"/>
      <c r="JWM44" s="51"/>
      <c r="JWN44" s="51"/>
      <c r="JWO44" s="51"/>
      <c r="JWP44" s="51"/>
      <c r="JWQ44" s="51"/>
      <c r="JWR44" s="51"/>
      <c r="JWS44" s="51"/>
      <c r="JWT44" s="51"/>
      <c r="JWU44" s="51"/>
      <c r="JWV44" s="51"/>
      <c r="JWW44" s="51"/>
      <c r="JWX44" s="51"/>
      <c r="JWY44" s="51"/>
      <c r="JWZ44" s="51"/>
      <c r="JXA44" s="51"/>
      <c r="JXB44" s="51"/>
      <c r="JXC44" s="51"/>
      <c r="JXD44" s="51"/>
      <c r="JXE44" s="51"/>
      <c r="JXF44" s="51"/>
      <c r="JXG44" s="51"/>
      <c r="JXH44" s="51"/>
      <c r="JXI44" s="51"/>
      <c r="JXJ44" s="51"/>
      <c r="JXK44" s="51"/>
      <c r="JXL44" s="51"/>
      <c r="JXM44" s="51"/>
      <c r="JXN44" s="51"/>
      <c r="JXO44" s="51"/>
      <c r="JXP44" s="51"/>
      <c r="JXQ44" s="51"/>
      <c r="JXR44" s="51"/>
      <c r="JXS44" s="51"/>
      <c r="JXT44" s="51"/>
      <c r="JXU44" s="51"/>
      <c r="JXV44" s="51"/>
      <c r="JXW44" s="51"/>
      <c r="JXX44" s="51"/>
      <c r="JXY44" s="51"/>
      <c r="JXZ44" s="51"/>
      <c r="JYA44" s="51"/>
      <c r="JYB44" s="51"/>
      <c r="JYC44" s="51"/>
      <c r="JYD44" s="51"/>
      <c r="JYE44" s="51"/>
      <c r="JYF44" s="51"/>
      <c r="JYG44" s="51"/>
      <c r="JYH44" s="51"/>
      <c r="JYI44" s="51"/>
      <c r="JYJ44" s="51"/>
      <c r="JYK44" s="51"/>
      <c r="JYL44" s="51"/>
      <c r="JYM44" s="51"/>
      <c r="JYN44" s="51"/>
      <c r="JYO44" s="51"/>
      <c r="JYP44" s="51"/>
      <c r="JYQ44" s="51"/>
      <c r="JYR44" s="51"/>
      <c r="JYS44" s="51"/>
      <c r="JYT44" s="51"/>
      <c r="JYU44" s="51"/>
      <c r="JYV44" s="51"/>
      <c r="JYW44" s="51"/>
      <c r="JYX44" s="51"/>
      <c r="JYY44" s="51"/>
      <c r="JYZ44" s="51"/>
      <c r="JZA44" s="51"/>
      <c r="JZB44" s="51"/>
      <c r="JZC44" s="51"/>
      <c r="JZD44" s="51"/>
      <c r="JZE44" s="51"/>
      <c r="JZF44" s="51"/>
      <c r="JZG44" s="51"/>
      <c r="JZH44" s="51"/>
      <c r="JZI44" s="51"/>
      <c r="JZJ44" s="51"/>
      <c r="JZK44" s="51"/>
      <c r="JZL44" s="51"/>
      <c r="JZM44" s="51"/>
      <c r="JZN44" s="51"/>
      <c r="JZO44" s="51"/>
      <c r="JZP44" s="51"/>
      <c r="JZQ44" s="51"/>
      <c r="JZR44" s="51"/>
      <c r="JZS44" s="51"/>
      <c r="JZT44" s="51"/>
      <c r="JZU44" s="51"/>
      <c r="JZV44" s="51"/>
      <c r="JZW44" s="51"/>
      <c r="JZX44" s="51"/>
      <c r="JZY44" s="51"/>
      <c r="JZZ44" s="51"/>
      <c r="KAA44" s="51"/>
      <c r="KAB44" s="51"/>
      <c r="KAC44" s="51"/>
      <c r="KAD44" s="51"/>
      <c r="KAE44" s="51"/>
      <c r="KAF44" s="51"/>
      <c r="KAG44" s="51"/>
      <c r="KAH44" s="51"/>
      <c r="KAI44" s="51"/>
      <c r="KAJ44" s="51"/>
      <c r="KAK44" s="51"/>
      <c r="KAL44" s="51"/>
      <c r="KAM44" s="51"/>
      <c r="KAN44" s="51"/>
      <c r="KAO44" s="51"/>
      <c r="KAP44" s="51"/>
      <c r="KAQ44" s="51"/>
      <c r="KAR44" s="51"/>
      <c r="KAS44" s="51"/>
      <c r="KAT44" s="51"/>
      <c r="KAU44" s="51"/>
      <c r="KAV44" s="51"/>
      <c r="KAW44" s="51"/>
      <c r="KAX44" s="51"/>
      <c r="KAY44" s="51"/>
      <c r="KAZ44" s="51"/>
      <c r="KBA44" s="51"/>
      <c r="KBB44" s="51"/>
      <c r="KBC44" s="51"/>
      <c r="KBD44" s="51"/>
      <c r="KBE44" s="51"/>
      <c r="KBF44" s="51"/>
      <c r="KBG44" s="51"/>
      <c r="KBH44" s="51"/>
      <c r="KBI44" s="51"/>
      <c r="KBJ44" s="51"/>
      <c r="KBK44" s="51"/>
      <c r="KBL44" s="51"/>
      <c r="KBM44" s="51"/>
      <c r="KBN44" s="51"/>
      <c r="KBO44" s="51"/>
      <c r="KBP44" s="51"/>
      <c r="KBQ44" s="51"/>
      <c r="KBR44" s="51"/>
      <c r="KBS44" s="51"/>
      <c r="KBT44" s="51"/>
      <c r="KBU44" s="51"/>
      <c r="KBV44" s="51"/>
      <c r="KBW44" s="51"/>
      <c r="KBX44" s="51"/>
      <c r="KBY44" s="51"/>
      <c r="KBZ44" s="51"/>
      <c r="KCA44" s="51"/>
      <c r="KCB44" s="51"/>
      <c r="KCC44" s="51"/>
      <c r="KCD44" s="51"/>
      <c r="KCE44" s="51"/>
      <c r="KCF44" s="51"/>
      <c r="KCG44" s="51"/>
      <c r="KCH44" s="51"/>
      <c r="KCI44" s="51"/>
      <c r="KCJ44" s="51"/>
      <c r="KCK44" s="51"/>
      <c r="KCL44" s="51"/>
      <c r="KCM44" s="51"/>
      <c r="KCN44" s="51"/>
      <c r="KCO44" s="51"/>
      <c r="KCP44" s="51"/>
      <c r="KCQ44" s="51"/>
      <c r="KCR44" s="51"/>
      <c r="KCS44" s="51"/>
      <c r="KCT44" s="51"/>
      <c r="KCU44" s="51"/>
      <c r="KCV44" s="51"/>
      <c r="KCW44" s="51"/>
      <c r="KCX44" s="51"/>
      <c r="KCY44" s="51"/>
      <c r="KCZ44" s="51"/>
      <c r="KDA44" s="51"/>
      <c r="KDB44" s="51"/>
      <c r="KDC44" s="51"/>
      <c r="KDD44" s="51"/>
      <c r="KDE44" s="51"/>
      <c r="KDF44" s="51"/>
      <c r="KDG44" s="51"/>
      <c r="KDH44" s="51"/>
      <c r="KDI44" s="51"/>
      <c r="KDJ44" s="51"/>
      <c r="KDK44" s="51"/>
      <c r="KDL44" s="51"/>
      <c r="KDM44" s="51"/>
      <c r="KDN44" s="51"/>
      <c r="KDO44" s="51"/>
      <c r="KDP44" s="51"/>
      <c r="KDQ44" s="51"/>
      <c r="KDR44" s="51"/>
      <c r="KDS44" s="51"/>
      <c r="KDT44" s="51"/>
      <c r="KDU44" s="51"/>
      <c r="KDV44" s="51"/>
      <c r="KDW44" s="51"/>
      <c r="KDX44" s="51"/>
      <c r="KDY44" s="51"/>
      <c r="KDZ44" s="51"/>
      <c r="KEA44" s="51"/>
      <c r="KEB44" s="51"/>
      <c r="KEC44" s="51"/>
      <c r="KED44" s="51"/>
      <c r="KEE44" s="51"/>
      <c r="KEF44" s="51"/>
      <c r="KEG44" s="51"/>
      <c r="KEH44" s="51"/>
      <c r="KEI44" s="51"/>
      <c r="KEJ44" s="51"/>
      <c r="KEK44" s="51"/>
      <c r="KEL44" s="51"/>
      <c r="KEM44" s="51"/>
      <c r="KEN44" s="51"/>
      <c r="KEO44" s="51"/>
      <c r="KEP44" s="51"/>
      <c r="KEQ44" s="51"/>
      <c r="KER44" s="51"/>
      <c r="KES44" s="51"/>
      <c r="KET44" s="51"/>
      <c r="KEU44" s="51"/>
      <c r="KEV44" s="51"/>
      <c r="KEW44" s="51"/>
      <c r="KEX44" s="51"/>
      <c r="KEY44" s="51"/>
      <c r="KEZ44" s="51"/>
      <c r="KFA44" s="51"/>
      <c r="KFB44" s="51"/>
      <c r="KFC44" s="51"/>
      <c r="KFD44" s="51"/>
      <c r="KFE44" s="51"/>
      <c r="KFF44" s="51"/>
      <c r="KFG44" s="51"/>
      <c r="KFH44" s="51"/>
      <c r="KFI44" s="51"/>
      <c r="KFJ44" s="51"/>
      <c r="KFK44" s="51"/>
      <c r="KFL44" s="51"/>
      <c r="KFM44" s="51"/>
      <c r="KFN44" s="51"/>
      <c r="KFO44" s="51"/>
      <c r="KFP44" s="51"/>
      <c r="KFQ44" s="51"/>
      <c r="KFR44" s="51"/>
      <c r="KFS44" s="51"/>
      <c r="KFT44" s="51"/>
      <c r="KFU44" s="51"/>
      <c r="KFV44" s="51"/>
      <c r="KFW44" s="51"/>
      <c r="KFX44" s="51"/>
      <c r="KFY44" s="51"/>
      <c r="KFZ44" s="51"/>
      <c r="KGA44" s="51"/>
      <c r="KGB44" s="51"/>
      <c r="KGC44" s="51"/>
      <c r="KGD44" s="51"/>
      <c r="KGE44" s="51"/>
      <c r="KGF44" s="51"/>
      <c r="KGG44" s="51"/>
      <c r="KGH44" s="51"/>
      <c r="KGI44" s="51"/>
      <c r="KGJ44" s="51"/>
      <c r="KGK44" s="51"/>
      <c r="KGL44" s="51"/>
      <c r="KGM44" s="51"/>
      <c r="KGN44" s="51"/>
      <c r="KGO44" s="51"/>
      <c r="KGP44" s="51"/>
      <c r="KGQ44" s="51"/>
      <c r="KGR44" s="51"/>
      <c r="KGS44" s="51"/>
      <c r="KGT44" s="51"/>
      <c r="KGU44" s="51"/>
      <c r="KGV44" s="51"/>
      <c r="KGW44" s="51"/>
      <c r="KGX44" s="51"/>
      <c r="KGY44" s="51"/>
      <c r="KGZ44" s="51"/>
      <c r="KHA44" s="51"/>
      <c r="KHB44" s="51"/>
      <c r="KHC44" s="51"/>
      <c r="KHD44" s="51"/>
      <c r="KHE44" s="51"/>
      <c r="KHF44" s="51"/>
      <c r="KHG44" s="51"/>
      <c r="KHH44" s="51"/>
      <c r="KHI44" s="51"/>
      <c r="KHJ44" s="51"/>
      <c r="KHK44" s="51"/>
      <c r="KHL44" s="51"/>
      <c r="KHM44" s="51"/>
      <c r="KHN44" s="51"/>
      <c r="KHO44" s="51"/>
      <c r="KHP44" s="51"/>
      <c r="KHQ44" s="51"/>
      <c r="KHR44" s="51"/>
      <c r="KHS44" s="51"/>
      <c r="KHT44" s="51"/>
      <c r="KHU44" s="51"/>
      <c r="KHV44" s="51"/>
      <c r="KHW44" s="51"/>
      <c r="KHX44" s="51"/>
      <c r="KHY44" s="51"/>
      <c r="KHZ44" s="51"/>
      <c r="KIA44" s="51"/>
      <c r="KIB44" s="51"/>
      <c r="KIC44" s="51"/>
      <c r="KID44" s="51"/>
      <c r="KIE44" s="51"/>
      <c r="KIF44" s="51"/>
      <c r="KIG44" s="51"/>
      <c r="KIH44" s="51"/>
      <c r="KII44" s="51"/>
      <c r="KIJ44" s="51"/>
      <c r="KIK44" s="51"/>
      <c r="KIL44" s="51"/>
      <c r="KIM44" s="51"/>
      <c r="KIN44" s="51"/>
      <c r="KIO44" s="51"/>
      <c r="KIP44" s="51"/>
      <c r="KIQ44" s="51"/>
      <c r="KIR44" s="51"/>
      <c r="KIS44" s="51"/>
      <c r="KIT44" s="51"/>
      <c r="KIU44" s="51"/>
      <c r="KIV44" s="51"/>
      <c r="KIW44" s="51"/>
      <c r="KIX44" s="51"/>
      <c r="KIY44" s="51"/>
      <c r="KIZ44" s="51"/>
      <c r="KJA44" s="51"/>
      <c r="KJB44" s="51"/>
      <c r="KJC44" s="51"/>
      <c r="KJD44" s="51"/>
      <c r="KJE44" s="51"/>
      <c r="KJF44" s="51"/>
      <c r="KJG44" s="51"/>
      <c r="KJH44" s="51"/>
      <c r="KJI44" s="51"/>
      <c r="KJJ44" s="51"/>
      <c r="KJK44" s="51"/>
      <c r="KJL44" s="51"/>
      <c r="KJM44" s="51"/>
      <c r="KJN44" s="51"/>
      <c r="KJO44" s="51"/>
      <c r="KJP44" s="51"/>
      <c r="KJQ44" s="51"/>
      <c r="KJR44" s="51"/>
      <c r="KJS44" s="51"/>
      <c r="KJT44" s="51"/>
      <c r="KJU44" s="51"/>
      <c r="KJV44" s="51"/>
      <c r="KJW44" s="51"/>
      <c r="KJX44" s="51"/>
      <c r="KJY44" s="51"/>
      <c r="KJZ44" s="51"/>
      <c r="KKA44" s="51"/>
      <c r="KKB44" s="51"/>
      <c r="KKC44" s="51"/>
      <c r="KKD44" s="51"/>
      <c r="KKE44" s="51"/>
      <c r="KKF44" s="51"/>
      <c r="KKG44" s="51"/>
      <c r="KKH44" s="51"/>
      <c r="KKI44" s="51"/>
      <c r="KKJ44" s="51"/>
      <c r="KKK44" s="51"/>
      <c r="KKL44" s="51"/>
      <c r="KKM44" s="51"/>
      <c r="KKN44" s="51"/>
      <c r="KKO44" s="51"/>
      <c r="KKP44" s="51"/>
      <c r="KKQ44" s="51"/>
      <c r="KKR44" s="51"/>
      <c r="KKS44" s="51"/>
      <c r="KKT44" s="51"/>
      <c r="KKU44" s="51"/>
      <c r="KKV44" s="51"/>
      <c r="KKW44" s="51"/>
      <c r="KKX44" s="51"/>
      <c r="KKY44" s="51"/>
      <c r="KKZ44" s="51"/>
      <c r="KLA44" s="51"/>
      <c r="KLB44" s="51"/>
      <c r="KLC44" s="51"/>
      <c r="KLD44" s="51"/>
      <c r="KLE44" s="51"/>
      <c r="KLF44" s="51"/>
      <c r="KLG44" s="51"/>
      <c r="KLH44" s="51"/>
      <c r="KLI44" s="51"/>
      <c r="KLJ44" s="51"/>
      <c r="KLK44" s="51"/>
      <c r="KLL44" s="51"/>
      <c r="KLM44" s="51"/>
      <c r="KLN44" s="51"/>
      <c r="KLO44" s="51"/>
      <c r="KLP44" s="51"/>
      <c r="KLQ44" s="51"/>
      <c r="KLR44" s="51"/>
      <c r="KLS44" s="51"/>
      <c r="KLT44" s="51"/>
      <c r="KLU44" s="51"/>
      <c r="KLV44" s="51"/>
      <c r="KLW44" s="51"/>
      <c r="KLX44" s="51"/>
      <c r="KLY44" s="51"/>
      <c r="KLZ44" s="51"/>
      <c r="KMA44" s="51"/>
      <c r="KMB44" s="51"/>
      <c r="KMC44" s="51"/>
      <c r="KMD44" s="51"/>
      <c r="KME44" s="51"/>
      <c r="KMF44" s="51"/>
      <c r="KMG44" s="51"/>
      <c r="KMH44" s="51"/>
      <c r="KMI44" s="51"/>
      <c r="KMJ44" s="51"/>
      <c r="KMK44" s="51"/>
      <c r="KML44" s="51"/>
      <c r="KMM44" s="51"/>
      <c r="KMN44" s="51"/>
      <c r="KMO44" s="51"/>
      <c r="KMP44" s="51"/>
      <c r="KMQ44" s="51"/>
      <c r="KMR44" s="51"/>
      <c r="KMS44" s="51"/>
      <c r="KMT44" s="51"/>
      <c r="KMU44" s="51"/>
      <c r="KMV44" s="51"/>
      <c r="KMW44" s="51"/>
      <c r="KMX44" s="51"/>
      <c r="KMY44" s="51"/>
      <c r="KMZ44" s="51"/>
      <c r="KNA44" s="51"/>
      <c r="KNB44" s="51"/>
      <c r="KNC44" s="51"/>
      <c r="KND44" s="51"/>
      <c r="KNE44" s="51"/>
      <c r="KNF44" s="51"/>
      <c r="KNG44" s="51"/>
      <c r="KNH44" s="51"/>
      <c r="KNI44" s="51"/>
      <c r="KNJ44" s="51"/>
      <c r="KNK44" s="51"/>
      <c r="KNL44" s="51"/>
      <c r="KNM44" s="51"/>
      <c r="KNN44" s="51"/>
      <c r="KNO44" s="51"/>
      <c r="KNP44" s="51"/>
      <c r="KNQ44" s="51"/>
      <c r="KNR44" s="51"/>
      <c r="KNS44" s="51"/>
      <c r="KNT44" s="51"/>
      <c r="KNU44" s="51"/>
      <c r="KNV44" s="51"/>
      <c r="KNW44" s="51"/>
      <c r="KNX44" s="51"/>
      <c r="KNY44" s="51"/>
      <c r="KNZ44" s="51"/>
      <c r="KOA44" s="51"/>
      <c r="KOB44" s="51"/>
      <c r="KOC44" s="51"/>
      <c r="KOD44" s="51"/>
      <c r="KOE44" s="51"/>
      <c r="KOF44" s="51"/>
      <c r="KOG44" s="51"/>
      <c r="KOH44" s="51"/>
      <c r="KOI44" s="51"/>
      <c r="KOJ44" s="51"/>
      <c r="KOK44" s="51"/>
      <c r="KOL44" s="51"/>
      <c r="KOM44" s="51"/>
      <c r="KON44" s="51"/>
      <c r="KOO44" s="51"/>
      <c r="KOP44" s="51"/>
      <c r="KOQ44" s="51"/>
      <c r="KOR44" s="51"/>
      <c r="KOS44" s="51"/>
      <c r="KOT44" s="51"/>
      <c r="KOU44" s="51"/>
      <c r="KOV44" s="51"/>
      <c r="KOW44" s="51"/>
      <c r="KOX44" s="51"/>
      <c r="KOY44" s="51"/>
      <c r="KOZ44" s="51"/>
      <c r="KPA44" s="51"/>
      <c r="KPB44" s="51"/>
      <c r="KPC44" s="51"/>
      <c r="KPD44" s="51"/>
      <c r="KPE44" s="51"/>
      <c r="KPF44" s="51"/>
      <c r="KPG44" s="51"/>
      <c r="KPH44" s="51"/>
      <c r="KPI44" s="51"/>
      <c r="KPJ44" s="51"/>
      <c r="KPK44" s="51"/>
      <c r="KPL44" s="51"/>
      <c r="KPM44" s="51"/>
      <c r="KPN44" s="51"/>
      <c r="KPO44" s="51"/>
      <c r="KPP44" s="51"/>
      <c r="KPQ44" s="51"/>
      <c r="KPR44" s="51"/>
      <c r="KPS44" s="51"/>
      <c r="KPT44" s="51"/>
      <c r="KPU44" s="51"/>
      <c r="KPV44" s="51"/>
      <c r="KPW44" s="51"/>
      <c r="KPX44" s="51"/>
      <c r="KPY44" s="51"/>
      <c r="KPZ44" s="51"/>
      <c r="KQA44" s="51"/>
      <c r="KQB44" s="51"/>
      <c r="KQC44" s="51"/>
      <c r="KQD44" s="51"/>
      <c r="KQE44" s="51"/>
      <c r="KQF44" s="51"/>
      <c r="KQG44" s="51"/>
      <c r="KQH44" s="51"/>
      <c r="KQI44" s="51"/>
      <c r="KQJ44" s="51"/>
      <c r="KQK44" s="51"/>
      <c r="KQL44" s="51"/>
      <c r="KQM44" s="51"/>
      <c r="KQN44" s="51"/>
      <c r="KQO44" s="51"/>
      <c r="KQP44" s="51"/>
      <c r="KQQ44" s="51"/>
      <c r="KQR44" s="51"/>
      <c r="KQS44" s="51"/>
      <c r="KQT44" s="51"/>
      <c r="KQU44" s="51"/>
      <c r="KQV44" s="51"/>
      <c r="KQW44" s="51"/>
      <c r="KQX44" s="51"/>
      <c r="KQY44" s="51"/>
      <c r="KQZ44" s="51"/>
      <c r="KRA44" s="51"/>
      <c r="KRB44" s="51"/>
      <c r="KRC44" s="51"/>
      <c r="KRD44" s="51"/>
      <c r="KRE44" s="51"/>
      <c r="KRF44" s="51"/>
      <c r="KRG44" s="51"/>
      <c r="KRH44" s="51"/>
      <c r="KRI44" s="51"/>
      <c r="KRJ44" s="51"/>
      <c r="KRK44" s="51"/>
      <c r="KRL44" s="51"/>
      <c r="KRM44" s="51"/>
      <c r="KRN44" s="51"/>
      <c r="KRO44" s="51"/>
      <c r="KRP44" s="51"/>
      <c r="KRQ44" s="51"/>
      <c r="KRR44" s="51"/>
      <c r="KRS44" s="51"/>
      <c r="KRT44" s="51"/>
      <c r="KRU44" s="51"/>
      <c r="KRV44" s="51"/>
      <c r="KRW44" s="51"/>
      <c r="KRX44" s="51"/>
      <c r="KRY44" s="51"/>
      <c r="KRZ44" s="51"/>
      <c r="KSA44" s="51"/>
      <c r="KSB44" s="51"/>
      <c r="KSC44" s="51"/>
      <c r="KSD44" s="51"/>
      <c r="KSE44" s="51"/>
      <c r="KSF44" s="51"/>
      <c r="KSG44" s="51"/>
      <c r="KSH44" s="51"/>
      <c r="KSI44" s="51"/>
      <c r="KSJ44" s="51"/>
      <c r="KSK44" s="51"/>
      <c r="KSL44" s="51"/>
      <c r="KSM44" s="51"/>
      <c r="KSN44" s="51"/>
      <c r="KSO44" s="51"/>
      <c r="KSP44" s="51"/>
      <c r="KSQ44" s="51"/>
      <c r="KSR44" s="51"/>
      <c r="KSS44" s="51"/>
      <c r="KST44" s="51"/>
      <c r="KSU44" s="51"/>
      <c r="KSV44" s="51"/>
      <c r="KSW44" s="51"/>
      <c r="KSX44" s="51"/>
      <c r="KSY44" s="51"/>
      <c r="KSZ44" s="51"/>
      <c r="KTA44" s="51"/>
      <c r="KTB44" s="51"/>
      <c r="KTC44" s="51"/>
      <c r="KTD44" s="51"/>
      <c r="KTE44" s="51"/>
      <c r="KTF44" s="51"/>
      <c r="KTG44" s="51"/>
      <c r="KTH44" s="51"/>
      <c r="KTI44" s="51"/>
      <c r="KTJ44" s="51"/>
      <c r="KTK44" s="51"/>
      <c r="KTL44" s="51"/>
      <c r="KTM44" s="51"/>
      <c r="KTN44" s="51"/>
      <c r="KTO44" s="51"/>
      <c r="KTP44" s="51"/>
      <c r="KTQ44" s="51"/>
      <c r="KTR44" s="51"/>
      <c r="KTS44" s="51"/>
      <c r="KTT44" s="51"/>
      <c r="KTU44" s="51"/>
      <c r="KTV44" s="51"/>
      <c r="KTW44" s="51"/>
      <c r="KTX44" s="51"/>
      <c r="KTY44" s="51"/>
      <c r="KTZ44" s="51"/>
      <c r="KUA44" s="51"/>
      <c r="KUB44" s="51"/>
      <c r="KUC44" s="51"/>
      <c r="KUD44" s="51"/>
      <c r="KUE44" s="51"/>
      <c r="KUF44" s="51"/>
      <c r="KUG44" s="51"/>
      <c r="KUH44" s="51"/>
      <c r="KUI44" s="51"/>
      <c r="KUJ44" s="51"/>
      <c r="KUK44" s="51"/>
      <c r="KUL44" s="51"/>
      <c r="KUM44" s="51"/>
      <c r="KUN44" s="51"/>
      <c r="KUO44" s="51"/>
      <c r="KUP44" s="51"/>
      <c r="KUQ44" s="51"/>
      <c r="KUR44" s="51"/>
      <c r="KUS44" s="51"/>
      <c r="KUT44" s="51"/>
      <c r="KUU44" s="51"/>
      <c r="KUV44" s="51"/>
      <c r="KUW44" s="51"/>
      <c r="KUX44" s="51"/>
      <c r="KUY44" s="51"/>
      <c r="KUZ44" s="51"/>
      <c r="KVA44" s="51"/>
      <c r="KVB44" s="51"/>
      <c r="KVC44" s="51"/>
      <c r="KVD44" s="51"/>
      <c r="KVE44" s="51"/>
      <c r="KVF44" s="51"/>
      <c r="KVG44" s="51"/>
      <c r="KVH44" s="51"/>
      <c r="KVI44" s="51"/>
      <c r="KVJ44" s="51"/>
      <c r="KVK44" s="51"/>
      <c r="KVL44" s="51"/>
      <c r="KVM44" s="51"/>
      <c r="KVN44" s="51"/>
      <c r="KVO44" s="51"/>
      <c r="KVP44" s="51"/>
      <c r="KVQ44" s="51"/>
      <c r="KVR44" s="51"/>
      <c r="KVS44" s="51"/>
      <c r="KVT44" s="51"/>
      <c r="KVU44" s="51"/>
      <c r="KVV44" s="51"/>
      <c r="KVW44" s="51"/>
      <c r="KVX44" s="51"/>
      <c r="KVY44" s="51"/>
      <c r="KVZ44" s="51"/>
      <c r="KWA44" s="51"/>
      <c r="KWB44" s="51"/>
      <c r="KWC44" s="51"/>
      <c r="KWD44" s="51"/>
      <c r="KWE44" s="51"/>
      <c r="KWF44" s="51"/>
      <c r="KWG44" s="51"/>
      <c r="KWH44" s="51"/>
      <c r="KWI44" s="51"/>
      <c r="KWJ44" s="51"/>
      <c r="KWK44" s="51"/>
      <c r="KWL44" s="51"/>
      <c r="KWM44" s="51"/>
      <c r="KWN44" s="51"/>
      <c r="KWO44" s="51"/>
      <c r="KWP44" s="51"/>
      <c r="KWQ44" s="51"/>
      <c r="KWR44" s="51"/>
      <c r="KWS44" s="51"/>
      <c r="KWT44" s="51"/>
      <c r="KWU44" s="51"/>
      <c r="KWV44" s="51"/>
      <c r="KWW44" s="51"/>
      <c r="KWX44" s="51"/>
      <c r="KWY44" s="51"/>
      <c r="KWZ44" s="51"/>
      <c r="KXA44" s="51"/>
      <c r="KXB44" s="51"/>
      <c r="KXC44" s="51"/>
      <c r="KXD44" s="51"/>
      <c r="KXE44" s="51"/>
      <c r="KXF44" s="51"/>
      <c r="KXG44" s="51"/>
      <c r="KXH44" s="51"/>
      <c r="KXI44" s="51"/>
      <c r="KXJ44" s="51"/>
      <c r="KXK44" s="51"/>
      <c r="KXL44" s="51"/>
      <c r="KXM44" s="51"/>
      <c r="KXN44" s="51"/>
      <c r="KXO44" s="51"/>
      <c r="KXP44" s="51"/>
      <c r="KXQ44" s="51"/>
      <c r="KXR44" s="51"/>
      <c r="KXS44" s="51"/>
      <c r="KXT44" s="51"/>
      <c r="KXU44" s="51"/>
      <c r="KXV44" s="51"/>
      <c r="KXW44" s="51"/>
      <c r="KXX44" s="51"/>
      <c r="KXY44" s="51"/>
      <c r="KXZ44" s="51"/>
      <c r="KYA44" s="51"/>
      <c r="KYB44" s="51"/>
      <c r="KYC44" s="51"/>
      <c r="KYD44" s="51"/>
      <c r="KYE44" s="51"/>
      <c r="KYF44" s="51"/>
      <c r="KYG44" s="51"/>
      <c r="KYH44" s="51"/>
      <c r="KYI44" s="51"/>
      <c r="KYJ44" s="51"/>
      <c r="KYK44" s="51"/>
      <c r="KYL44" s="51"/>
      <c r="KYM44" s="51"/>
      <c r="KYN44" s="51"/>
      <c r="KYO44" s="51"/>
      <c r="KYP44" s="51"/>
      <c r="KYQ44" s="51"/>
      <c r="KYR44" s="51"/>
      <c r="KYS44" s="51"/>
      <c r="KYT44" s="51"/>
      <c r="KYU44" s="51"/>
      <c r="KYV44" s="51"/>
      <c r="KYW44" s="51"/>
      <c r="KYX44" s="51"/>
      <c r="KYY44" s="51"/>
      <c r="KYZ44" s="51"/>
      <c r="KZA44" s="51"/>
      <c r="KZB44" s="51"/>
      <c r="KZC44" s="51"/>
      <c r="KZD44" s="51"/>
      <c r="KZE44" s="51"/>
      <c r="KZF44" s="51"/>
      <c r="KZG44" s="51"/>
      <c r="KZH44" s="51"/>
      <c r="KZI44" s="51"/>
      <c r="KZJ44" s="51"/>
      <c r="KZK44" s="51"/>
      <c r="KZL44" s="51"/>
      <c r="KZM44" s="51"/>
      <c r="KZN44" s="51"/>
      <c r="KZO44" s="51"/>
      <c r="KZP44" s="51"/>
      <c r="KZQ44" s="51"/>
      <c r="KZR44" s="51"/>
      <c r="KZS44" s="51"/>
      <c r="KZT44" s="51"/>
      <c r="KZU44" s="51"/>
      <c r="KZV44" s="51"/>
      <c r="KZW44" s="51"/>
      <c r="KZX44" s="51"/>
      <c r="KZY44" s="51"/>
      <c r="KZZ44" s="51"/>
      <c r="LAA44" s="51"/>
      <c r="LAB44" s="51"/>
      <c r="LAC44" s="51"/>
      <c r="LAD44" s="51"/>
      <c r="LAE44" s="51"/>
      <c r="LAF44" s="51"/>
      <c r="LAG44" s="51"/>
      <c r="LAH44" s="51"/>
      <c r="LAI44" s="51"/>
      <c r="LAJ44" s="51"/>
      <c r="LAK44" s="51"/>
      <c r="LAL44" s="51"/>
      <c r="LAM44" s="51"/>
      <c r="LAN44" s="51"/>
      <c r="LAO44" s="51"/>
      <c r="LAP44" s="51"/>
      <c r="LAQ44" s="51"/>
      <c r="LAR44" s="51"/>
      <c r="LAS44" s="51"/>
      <c r="LAT44" s="51"/>
      <c r="LAU44" s="51"/>
      <c r="LAV44" s="51"/>
      <c r="LAW44" s="51"/>
      <c r="LAX44" s="51"/>
      <c r="LAY44" s="51"/>
      <c r="LAZ44" s="51"/>
      <c r="LBA44" s="51"/>
      <c r="LBB44" s="51"/>
      <c r="LBC44" s="51"/>
      <c r="LBD44" s="51"/>
      <c r="LBE44" s="51"/>
      <c r="LBF44" s="51"/>
      <c r="LBG44" s="51"/>
      <c r="LBH44" s="51"/>
      <c r="LBI44" s="51"/>
      <c r="LBJ44" s="51"/>
      <c r="LBK44" s="51"/>
      <c r="LBL44" s="51"/>
      <c r="LBM44" s="51"/>
      <c r="LBN44" s="51"/>
      <c r="LBO44" s="51"/>
      <c r="LBP44" s="51"/>
      <c r="LBQ44" s="51"/>
      <c r="LBR44" s="51"/>
      <c r="LBS44" s="51"/>
      <c r="LBT44" s="51"/>
      <c r="LBU44" s="51"/>
      <c r="LBV44" s="51"/>
      <c r="LBW44" s="51"/>
      <c r="LBX44" s="51"/>
      <c r="LBY44" s="51"/>
      <c r="LBZ44" s="51"/>
      <c r="LCA44" s="51"/>
      <c r="LCB44" s="51"/>
      <c r="LCC44" s="51"/>
      <c r="LCD44" s="51"/>
      <c r="LCE44" s="51"/>
      <c r="LCF44" s="51"/>
      <c r="LCG44" s="51"/>
      <c r="LCH44" s="51"/>
      <c r="LCI44" s="51"/>
      <c r="LCJ44" s="51"/>
      <c r="LCK44" s="51"/>
      <c r="LCL44" s="51"/>
      <c r="LCM44" s="51"/>
      <c r="LCN44" s="51"/>
      <c r="LCO44" s="51"/>
      <c r="LCP44" s="51"/>
      <c r="LCQ44" s="51"/>
      <c r="LCR44" s="51"/>
      <c r="LCS44" s="51"/>
      <c r="LCT44" s="51"/>
      <c r="LCU44" s="51"/>
      <c r="LCV44" s="51"/>
      <c r="LCW44" s="51"/>
      <c r="LCX44" s="51"/>
      <c r="LCY44" s="51"/>
      <c r="LCZ44" s="51"/>
      <c r="LDA44" s="51"/>
      <c r="LDB44" s="51"/>
      <c r="LDC44" s="51"/>
      <c r="LDD44" s="51"/>
      <c r="LDE44" s="51"/>
      <c r="LDF44" s="51"/>
      <c r="LDG44" s="51"/>
      <c r="LDH44" s="51"/>
      <c r="LDI44" s="51"/>
      <c r="LDJ44" s="51"/>
      <c r="LDK44" s="51"/>
      <c r="LDL44" s="51"/>
      <c r="LDM44" s="51"/>
      <c r="LDN44" s="51"/>
      <c r="LDO44" s="51"/>
      <c r="LDP44" s="51"/>
      <c r="LDQ44" s="51"/>
      <c r="LDR44" s="51"/>
      <c r="LDS44" s="51"/>
      <c r="LDT44" s="51"/>
      <c r="LDU44" s="51"/>
      <c r="LDV44" s="51"/>
      <c r="LDW44" s="51"/>
      <c r="LDX44" s="51"/>
      <c r="LDY44" s="51"/>
      <c r="LDZ44" s="51"/>
      <c r="LEA44" s="51"/>
      <c r="LEB44" s="51"/>
      <c r="LEC44" s="51"/>
      <c r="LED44" s="51"/>
      <c r="LEE44" s="51"/>
      <c r="LEF44" s="51"/>
      <c r="LEG44" s="51"/>
      <c r="LEH44" s="51"/>
      <c r="LEI44" s="51"/>
      <c r="LEJ44" s="51"/>
      <c r="LEK44" s="51"/>
      <c r="LEL44" s="51"/>
      <c r="LEM44" s="51"/>
      <c r="LEN44" s="51"/>
      <c r="LEO44" s="51"/>
      <c r="LEP44" s="51"/>
      <c r="LEQ44" s="51"/>
      <c r="LER44" s="51"/>
      <c r="LES44" s="51"/>
      <c r="LET44" s="51"/>
      <c r="LEU44" s="51"/>
      <c r="LEV44" s="51"/>
      <c r="LEW44" s="51"/>
      <c r="LEX44" s="51"/>
      <c r="LEY44" s="51"/>
      <c r="LEZ44" s="51"/>
      <c r="LFA44" s="51"/>
      <c r="LFB44" s="51"/>
      <c r="LFC44" s="51"/>
      <c r="LFD44" s="51"/>
      <c r="LFE44" s="51"/>
      <c r="LFF44" s="51"/>
      <c r="LFG44" s="51"/>
      <c r="LFH44" s="51"/>
      <c r="LFI44" s="51"/>
      <c r="LFJ44" s="51"/>
      <c r="LFK44" s="51"/>
      <c r="LFL44" s="51"/>
      <c r="LFM44" s="51"/>
      <c r="LFN44" s="51"/>
      <c r="LFO44" s="51"/>
      <c r="LFP44" s="51"/>
      <c r="LFQ44" s="51"/>
      <c r="LFR44" s="51"/>
      <c r="LFS44" s="51"/>
      <c r="LFT44" s="51"/>
      <c r="LFU44" s="51"/>
      <c r="LFV44" s="51"/>
      <c r="LFW44" s="51"/>
      <c r="LFX44" s="51"/>
      <c r="LFY44" s="51"/>
      <c r="LFZ44" s="51"/>
      <c r="LGA44" s="51"/>
      <c r="LGB44" s="51"/>
      <c r="LGC44" s="51"/>
      <c r="LGD44" s="51"/>
      <c r="LGE44" s="51"/>
      <c r="LGF44" s="51"/>
      <c r="LGG44" s="51"/>
      <c r="LGH44" s="51"/>
      <c r="LGI44" s="51"/>
      <c r="LGJ44" s="51"/>
      <c r="LGK44" s="51"/>
      <c r="LGL44" s="51"/>
      <c r="LGM44" s="51"/>
      <c r="LGN44" s="51"/>
      <c r="LGO44" s="51"/>
      <c r="LGP44" s="51"/>
      <c r="LGQ44" s="51"/>
      <c r="LGR44" s="51"/>
      <c r="LGS44" s="51"/>
      <c r="LGT44" s="51"/>
      <c r="LGU44" s="51"/>
      <c r="LGV44" s="51"/>
      <c r="LGW44" s="51"/>
      <c r="LGX44" s="51"/>
      <c r="LGY44" s="51"/>
      <c r="LGZ44" s="51"/>
      <c r="LHA44" s="51"/>
      <c r="LHB44" s="51"/>
      <c r="LHC44" s="51"/>
      <c r="LHD44" s="51"/>
      <c r="LHE44" s="51"/>
      <c r="LHF44" s="51"/>
      <c r="LHG44" s="51"/>
      <c r="LHH44" s="51"/>
      <c r="LHI44" s="51"/>
      <c r="LHJ44" s="51"/>
      <c r="LHK44" s="51"/>
      <c r="LHL44" s="51"/>
      <c r="LHM44" s="51"/>
      <c r="LHN44" s="51"/>
      <c r="LHO44" s="51"/>
      <c r="LHP44" s="51"/>
      <c r="LHQ44" s="51"/>
      <c r="LHR44" s="51"/>
      <c r="LHS44" s="51"/>
      <c r="LHT44" s="51"/>
      <c r="LHU44" s="51"/>
      <c r="LHV44" s="51"/>
      <c r="LHW44" s="51"/>
      <c r="LHX44" s="51"/>
      <c r="LHY44" s="51"/>
      <c r="LHZ44" s="51"/>
      <c r="LIA44" s="51"/>
      <c r="LIB44" s="51"/>
      <c r="LIC44" s="51"/>
      <c r="LID44" s="51"/>
      <c r="LIE44" s="51"/>
      <c r="LIF44" s="51"/>
      <c r="LIG44" s="51"/>
      <c r="LIH44" s="51"/>
      <c r="LII44" s="51"/>
      <c r="LIJ44" s="51"/>
      <c r="LIK44" s="51"/>
      <c r="LIL44" s="51"/>
      <c r="LIM44" s="51"/>
      <c r="LIN44" s="51"/>
      <c r="LIO44" s="51"/>
      <c r="LIP44" s="51"/>
      <c r="LIQ44" s="51"/>
      <c r="LIR44" s="51"/>
      <c r="LIS44" s="51"/>
      <c r="LIT44" s="51"/>
      <c r="LIU44" s="51"/>
      <c r="LIV44" s="51"/>
      <c r="LIW44" s="51"/>
      <c r="LIX44" s="51"/>
      <c r="LIY44" s="51"/>
      <c r="LIZ44" s="51"/>
      <c r="LJA44" s="51"/>
      <c r="LJB44" s="51"/>
      <c r="LJC44" s="51"/>
      <c r="LJD44" s="51"/>
      <c r="LJE44" s="51"/>
      <c r="LJF44" s="51"/>
      <c r="LJG44" s="51"/>
      <c r="LJH44" s="51"/>
      <c r="LJI44" s="51"/>
      <c r="LJJ44" s="51"/>
      <c r="LJK44" s="51"/>
      <c r="LJL44" s="51"/>
      <c r="LJM44" s="51"/>
      <c r="LJN44" s="51"/>
      <c r="LJO44" s="51"/>
      <c r="LJP44" s="51"/>
      <c r="LJQ44" s="51"/>
      <c r="LJR44" s="51"/>
      <c r="LJS44" s="51"/>
      <c r="LJT44" s="51"/>
      <c r="LJU44" s="51"/>
      <c r="LJV44" s="51"/>
      <c r="LJW44" s="51"/>
      <c r="LJX44" s="51"/>
      <c r="LJY44" s="51"/>
      <c r="LJZ44" s="51"/>
      <c r="LKA44" s="51"/>
      <c r="LKB44" s="51"/>
      <c r="LKC44" s="51"/>
      <c r="LKD44" s="51"/>
      <c r="LKE44" s="51"/>
      <c r="LKF44" s="51"/>
      <c r="LKG44" s="51"/>
      <c r="LKH44" s="51"/>
      <c r="LKI44" s="51"/>
      <c r="LKJ44" s="51"/>
      <c r="LKK44" s="51"/>
      <c r="LKL44" s="51"/>
      <c r="LKM44" s="51"/>
      <c r="LKN44" s="51"/>
      <c r="LKO44" s="51"/>
      <c r="LKP44" s="51"/>
      <c r="LKQ44" s="51"/>
      <c r="LKR44" s="51"/>
      <c r="LKS44" s="51"/>
      <c r="LKT44" s="51"/>
      <c r="LKU44" s="51"/>
      <c r="LKV44" s="51"/>
      <c r="LKW44" s="51"/>
      <c r="LKX44" s="51"/>
      <c r="LKY44" s="51"/>
      <c r="LKZ44" s="51"/>
      <c r="LLA44" s="51"/>
      <c r="LLB44" s="51"/>
      <c r="LLC44" s="51"/>
      <c r="LLD44" s="51"/>
      <c r="LLE44" s="51"/>
      <c r="LLF44" s="51"/>
      <c r="LLG44" s="51"/>
      <c r="LLH44" s="51"/>
      <c r="LLI44" s="51"/>
      <c r="LLJ44" s="51"/>
      <c r="LLK44" s="51"/>
      <c r="LLL44" s="51"/>
      <c r="LLM44" s="51"/>
      <c r="LLN44" s="51"/>
      <c r="LLO44" s="51"/>
      <c r="LLP44" s="51"/>
      <c r="LLQ44" s="51"/>
      <c r="LLR44" s="51"/>
      <c r="LLS44" s="51"/>
      <c r="LLT44" s="51"/>
      <c r="LLU44" s="51"/>
      <c r="LLV44" s="51"/>
      <c r="LLW44" s="51"/>
      <c r="LLX44" s="51"/>
      <c r="LLY44" s="51"/>
      <c r="LLZ44" s="51"/>
      <c r="LMA44" s="51"/>
      <c r="LMB44" s="51"/>
      <c r="LMC44" s="51"/>
      <c r="LMD44" s="51"/>
      <c r="LME44" s="51"/>
      <c r="LMF44" s="51"/>
      <c r="LMG44" s="51"/>
      <c r="LMH44" s="51"/>
      <c r="LMI44" s="51"/>
      <c r="LMJ44" s="51"/>
      <c r="LMK44" s="51"/>
      <c r="LML44" s="51"/>
      <c r="LMM44" s="51"/>
      <c r="LMN44" s="51"/>
      <c r="LMO44" s="51"/>
      <c r="LMP44" s="51"/>
      <c r="LMQ44" s="51"/>
      <c r="LMR44" s="51"/>
      <c r="LMS44" s="51"/>
      <c r="LMT44" s="51"/>
      <c r="LMU44" s="51"/>
      <c r="LMV44" s="51"/>
      <c r="LMW44" s="51"/>
      <c r="LMX44" s="51"/>
      <c r="LMY44" s="51"/>
      <c r="LMZ44" s="51"/>
      <c r="LNA44" s="51"/>
      <c r="LNB44" s="51"/>
      <c r="LNC44" s="51"/>
      <c r="LND44" s="51"/>
      <c r="LNE44" s="51"/>
      <c r="LNF44" s="51"/>
      <c r="LNG44" s="51"/>
      <c r="LNH44" s="51"/>
      <c r="LNI44" s="51"/>
      <c r="LNJ44" s="51"/>
      <c r="LNK44" s="51"/>
      <c r="LNL44" s="51"/>
      <c r="LNM44" s="51"/>
      <c r="LNN44" s="51"/>
      <c r="LNO44" s="51"/>
      <c r="LNP44" s="51"/>
      <c r="LNQ44" s="51"/>
      <c r="LNR44" s="51"/>
      <c r="LNS44" s="51"/>
      <c r="LNT44" s="51"/>
      <c r="LNU44" s="51"/>
      <c r="LNV44" s="51"/>
      <c r="LNW44" s="51"/>
      <c r="LNX44" s="51"/>
      <c r="LNY44" s="51"/>
      <c r="LNZ44" s="51"/>
      <c r="LOA44" s="51"/>
      <c r="LOB44" s="51"/>
      <c r="LOC44" s="51"/>
      <c r="LOD44" s="51"/>
      <c r="LOE44" s="51"/>
      <c r="LOF44" s="51"/>
      <c r="LOG44" s="51"/>
      <c r="LOH44" s="51"/>
      <c r="LOI44" s="51"/>
      <c r="LOJ44" s="51"/>
      <c r="LOK44" s="51"/>
      <c r="LOL44" s="51"/>
      <c r="LOM44" s="51"/>
      <c r="LON44" s="51"/>
      <c r="LOO44" s="51"/>
      <c r="LOP44" s="51"/>
      <c r="LOQ44" s="51"/>
      <c r="LOR44" s="51"/>
      <c r="LOS44" s="51"/>
      <c r="LOT44" s="51"/>
      <c r="LOU44" s="51"/>
      <c r="LOV44" s="51"/>
      <c r="LOW44" s="51"/>
      <c r="LOX44" s="51"/>
      <c r="LOY44" s="51"/>
      <c r="LOZ44" s="51"/>
      <c r="LPA44" s="51"/>
      <c r="LPB44" s="51"/>
      <c r="LPC44" s="51"/>
      <c r="LPD44" s="51"/>
      <c r="LPE44" s="51"/>
      <c r="LPF44" s="51"/>
      <c r="LPG44" s="51"/>
      <c r="LPH44" s="51"/>
      <c r="LPI44" s="51"/>
      <c r="LPJ44" s="51"/>
      <c r="LPK44" s="51"/>
      <c r="LPL44" s="51"/>
      <c r="LPM44" s="51"/>
      <c r="LPN44" s="51"/>
      <c r="LPO44" s="51"/>
      <c r="LPP44" s="51"/>
      <c r="LPQ44" s="51"/>
      <c r="LPR44" s="51"/>
      <c r="LPS44" s="51"/>
      <c r="LPT44" s="51"/>
      <c r="LPU44" s="51"/>
      <c r="LPV44" s="51"/>
      <c r="LPW44" s="51"/>
      <c r="LPX44" s="51"/>
      <c r="LPY44" s="51"/>
      <c r="LPZ44" s="51"/>
      <c r="LQA44" s="51"/>
      <c r="LQB44" s="51"/>
      <c r="LQC44" s="51"/>
      <c r="LQD44" s="51"/>
      <c r="LQE44" s="51"/>
      <c r="LQF44" s="51"/>
      <c r="LQG44" s="51"/>
      <c r="LQH44" s="51"/>
      <c r="LQI44" s="51"/>
      <c r="LQJ44" s="51"/>
      <c r="LQK44" s="51"/>
      <c r="LQL44" s="51"/>
      <c r="LQM44" s="51"/>
      <c r="LQN44" s="51"/>
      <c r="LQO44" s="51"/>
      <c r="LQP44" s="51"/>
      <c r="LQQ44" s="51"/>
      <c r="LQR44" s="51"/>
      <c r="LQS44" s="51"/>
      <c r="LQT44" s="51"/>
      <c r="LQU44" s="51"/>
      <c r="LQV44" s="51"/>
      <c r="LQW44" s="51"/>
      <c r="LQX44" s="51"/>
      <c r="LQY44" s="51"/>
      <c r="LQZ44" s="51"/>
      <c r="LRA44" s="51"/>
      <c r="LRB44" s="51"/>
      <c r="LRC44" s="51"/>
      <c r="LRD44" s="51"/>
      <c r="LRE44" s="51"/>
      <c r="LRF44" s="51"/>
      <c r="LRG44" s="51"/>
      <c r="LRH44" s="51"/>
      <c r="LRI44" s="51"/>
      <c r="LRJ44" s="51"/>
      <c r="LRK44" s="51"/>
      <c r="LRL44" s="51"/>
      <c r="LRM44" s="51"/>
      <c r="LRN44" s="51"/>
      <c r="LRO44" s="51"/>
      <c r="LRP44" s="51"/>
      <c r="LRQ44" s="51"/>
      <c r="LRR44" s="51"/>
      <c r="LRS44" s="51"/>
      <c r="LRT44" s="51"/>
      <c r="LRU44" s="51"/>
      <c r="LRV44" s="51"/>
      <c r="LRW44" s="51"/>
      <c r="LRX44" s="51"/>
      <c r="LRY44" s="51"/>
      <c r="LRZ44" s="51"/>
      <c r="LSA44" s="51"/>
      <c r="LSB44" s="51"/>
      <c r="LSC44" s="51"/>
      <c r="LSD44" s="51"/>
      <c r="LSE44" s="51"/>
      <c r="LSF44" s="51"/>
      <c r="LSG44" s="51"/>
      <c r="LSH44" s="51"/>
      <c r="LSI44" s="51"/>
      <c r="LSJ44" s="51"/>
      <c r="LSK44" s="51"/>
      <c r="LSL44" s="51"/>
      <c r="LSM44" s="51"/>
      <c r="LSN44" s="51"/>
      <c r="LSO44" s="51"/>
      <c r="LSP44" s="51"/>
      <c r="LSQ44" s="51"/>
      <c r="LSR44" s="51"/>
      <c r="LSS44" s="51"/>
      <c r="LST44" s="51"/>
      <c r="LSU44" s="51"/>
      <c r="LSV44" s="51"/>
      <c r="LSW44" s="51"/>
      <c r="LSX44" s="51"/>
      <c r="LSY44" s="51"/>
      <c r="LSZ44" s="51"/>
      <c r="LTA44" s="51"/>
      <c r="LTB44" s="51"/>
      <c r="LTC44" s="51"/>
      <c r="LTD44" s="51"/>
      <c r="LTE44" s="51"/>
      <c r="LTF44" s="51"/>
      <c r="LTG44" s="51"/>
      <c r="LTH44" s="51"/>
      <c r="LTI44" s="51"/>
      <c r="LTJ44" s="51"/>
      <c r="LTK44" s="51"/>
      <c r="LTL44" s="51"/>
      <c r="LTM44" s="51"/>
      <c r="LTN44" s="51"/>
      <c r="LTO44" s="51"/>
      <c r="LTP44" s="51"/>
      <c r="LTQ44" s="51"/>
      <c r="LTR44" s="51"/>
      <c r="LTS44" s="51"/>
      <c r="LTT44" s="51"/>
      <c r="LTU44" s="51"/>
      <c r="LTV44" s="51"/>
      <c r="LTW44" s="51"/>
      <c r="LTX44" s="51"/>
      <c r="LTY44" s="51"/>
      <c r="LTZ44" s="51"/>
      <c r="LUA44" s="51"/>
      <c r="LUB44" s="51"/>
      <c r="LUC44" s="51"/>
      <c r="LUD44" s="51"/>
      <c r="LUE44" s="51"/>
      <c r="LUF44" s="51"/>
      <c r="LUG44" s="51"/>
      <c r="LUH44" s="51"/>
      <c r="LUI44" s="51"/>
      <c r="LUJ44" s="51"/>
      <c r="LUK44" s="51"/>
      <c r="LUL44" s="51"/>
      <c r="LUM44" s="51"/>
      <c r="LUN44" s="51"/>
      <c r="LUO44" s="51"/>
      <c r="LUP44" s="51"/>
      <c r="LUQ44" s="51"/>
      <c r="LUR44" s="51"/>
      <c r="LUS44" s="51"/>
      <c r="LUT44" s="51"/>
      <c r="LUU44" s="51"/>
      <c r="LUV44" s="51"/>
      <c r="LUW44" s="51"/>
      <c r="LUX44" s="51"/>
      <c r="LUY44" s="51"/>
      <c r="LUZ44" s="51"/>
      <c r="LVA44" s="51"/>
      <c r="LVB44" s="51"/>
      <c r="LVC44" s="51"/>
      <c r="LVD44" s="51"/>
      <c r="LVE44" s="51"/>
      <c r="LVF44" s="51"/>
      <c r="LVG44" s="51"/>
      <c r="LVH44" s="51"/>
      <c r="LVI44" s="51"/>
      <c r="LVJ44" s="51"/>
      <c r="LVK44" s="51"/>
      <c r="LVL44" s="51"/>
      <c r="LVM44" s="51"/>
      <c r="LVN44" s="51"/>
      <c r="LVO44" s="51"/>
      <c r="LVP44" s="51"/>
      <c r="LVQ44" s="51"/>
      <c r="LVR44" s="51"/>
      <c r="LVS44" s="51"/>
      <c r="LVT44" s="51"/>
      <c r="LVU44" s="51"/>
      <c r="LVV44" s="51"/>
      <c r="LVW44" s="51"/>
      <c r="LVX44" s="51"/>
      <c r="LVY44" s="51"/>
      <c r="LVZ44" s="51"/>
      <c r="LWA44" s="51"/>
      <c r="LWB44" s="51"/>
      <c r="LWC44" s="51"/>
      <c r="LWD44" s="51"/>
      <c r="LWE44" s="51"/>
      <c r="LWF44" s="51"/>
      <c r="LWG44" s="51"/>
      <c r="LWH44" s="51"/>
      <c r="LWI44" s="51"/>
      <c r="LWJ44" s="51"/>
      <c r="LWK44" s="51"/>
      <c r="LWL44" s="51"/>
      <c r="LWM44" s="51"/>
      <c r="LWN44" s="51"/>
      <c r="LWO44" s="51"/>
      <c r="LWP44" s="51"/>
      <c r="LWQ44" s="51"/>
      <c r="LWR44" s="51"/>
      <c r="LWS44" s="51"/>
      <c r="LWT44" s="51"/>
      <c r="LWU44" s="51"/>
      <c r="LWV44" s="51"/>
      <c r="LWW44" s="51"/>
      <c r="LWX44" s="51"/>
      <c r="LWY44" s="51"/>
      <c r="LWZ44" s="51"/>
      <c r="LXA44" s="51"/>
      <c r="LXB44" s="51"/>
      <c r="LXC44" s="51"/>
      <c r="LXD44" s="51"/>
      <c r="LXE44" s="51"/>
      <c r="LXF44" s="51"/>
      <c r="LXG44" s="51"/>
      <c r="LXH44" s="51"/>
      <c r="LXI44" s="51"/>
      <c r="LXJ44" s="51"/>
      <c r="LXK44" s="51"/>
      <c r="LXL44" s="51"/>
      <c r="LXM44" s="51"/>
      <c r="LXN44" s="51"/>
      <c r="LXO44" s="51"/>
      <c r="LXP44" s="51"/>
      <c r="LXQ44" s="51"/>
      <c r="LXR44" s="51"/>
      <c r="LXS44" s="51"/>
      <c r="LXT44" s="51"/>
      <c r="LXU44" s="51"/>
      <c r="LXV44" s="51"/>
      <c r="LXW44" s="51"/>
      <c r="LXX44" s="51"/>
      <c r="LXY44" s="51"/>
      <c r="LXZ44" s="51"/>
      <c r="LYA44" s="51"/>
      <c r="LYB44" s="51"/>
      <c r="LYC44" s="51"/>
      <c r="LYD44" s="51"/>
      <c r="LYE44" s="51"/>
      <c r="LYF44" s="51"/>
      <c r="LYG44" s="51"/>
      <c r="LYH44" s="51"/>
      <c r="LYI44" s="51"/>
      <c r="LYJ44" s="51"/>
      <c r="LYK44" s="51"/>
      <c r="LYL44" s="51"/>
      <c r="LYM44" s="51"/>
      <c r="LYN44" s="51"/>
      <c r="LYO44" s="51"/>
      <c r="LYP44" s="51"/>
      <c r="LYQ44" s="51"/>
      <c r="LYR44" s="51"/>
      <c r="LYS44" s="51"/>
      <c r="LYT44" s="51"/>
      <c r="LYU44" s="51"/>
      <c r="LYV44" s="51"/>
      <c r="LYW44" s="51"/>
      <c r="LYX44" s="51"/>
      <c r="LYY44" s="51"/>
      <c r="LYZ44" s="51"/>
      <c r="LZA44" s="51"/>
      <c r="LZB44" s="51"/>
      <c r="LZC44" s="51"/>
      <c r="LZD44" s="51"/>
      <c r="LZE44" s="51"/>
      <c r="LZF44" s="51"/>
      <c r="LZG44" s="51"/>
      <c r="LZH44" s="51"/>
      <c r="LZI44" s="51"/>
      <c r="LZJ44" s="51"/>
      <c r="LZK44" s="51"/>
      <c r="LZL44" s="51"/>
      <c r="LZM44" s="51"/>
      <c r="LZN44" s="51"/>
      <c r="LZO44" s="51"/>
      <c r="LZP44" s="51"/>
      <c r="LZQ44" s="51"/>
      <c r="LZR44" s="51"/>
      <c r="LZS44" s="51"/>
      <c r="LZT44" s="51"/>
      <c r="LZU44" s="51"/>
      <c r="LZV44" s="51"/>
      <c r="LZW44" s="51"/>
      <c r="LZX44" s="51"/>
      <c r="LZY44" s="51"/>
      <c r="LZZ44" s="51"/>
      <c r="MAA44" s="51"/>
      <c r="MAB44" s="51"/>
      <c r="MAC44" s="51"/>
      <c r="MAD44" s="51"/>
      <c r="MAE44" s="51"/>
      <c r="MAF44" s="51"/>
      <c r="MAG44" s="51"/>
      <c r="MAH44" s="51"/>
      <c r="MAI44" s="51"/>
      <c r="MAJ44" s="51"/>
      <c r="MAK44" s="51"/>
      <c r="MAL44" s="51"/>
      <c r="MAM44" s="51"/>
      <c r="MAN44" s="51"/>
      <c r="MAO44" s="51"/>
      <c r="MAP44" s="51"/>
      <c r="MAQ44" s="51"/>
      <c r="MAR44" s="51"/>
      <c r="MAS44" s="51"/>
      <c r="MAT44" s="51"/>
      <c r="MAU44" s="51"/>
      <c r="MAV44" s="51"/>
      <c r="MAW44" s="51"/>
      <c r="MAX44" s="51"/>
      <c r="MAY44" s="51"/>
      <c r="MAZ44" s="51"/>
      <c r="MBA44" s="51"/>
      <c r="MBB44" s="51"/>
      <c r="MBC44" s="51"/>
      <c r="MBD44" s="51"/>
      <c r="MBE44" s="51"/>
      <c r="MBF44" s="51"/>
      <c r="MBG44" s="51"/>
      <c r="MBH44" s="51"/>
      <c r="MBI44" s="51"/>
      <c r="MBJ44" s="51"/>
      <c r="MBK44" s="51"/>
      <c r="MBL44" s="51"/>
      <c r="MBM44" s="51"/>
      <c r="MBN44" s="51"/>
      <c r="MBO44" s="51"/>
      <c r="MBP44" s="51"/>
      <c r="MBQ44" s="51"/>
      <c r="MBR44" s="51"/>
      <c r="MBS44" s="51"/>
      <c r="MBT44" s="51"/>
      <c r="MBU44" s="51"/>
      <c r="MBV44" s="51"/>
      <c r="MBW44" s="51"/>
      <c r="MBX44" s="51"/>
      <c r="MBY44" s="51"/>
      <c r="MBZ44" s="51"/>
      <c r="MCA44" s="51"/>
      <c r="MCB44" s="51"/>
      <c r="MCC44" s="51"/>
      <c r="MCD44" s="51"/>
      <c r="MCE44" s="51"/>
      <c r="MCF44" s="51"/>
      <c r="MCG44" s="51"/>
      <c r="MCH44" s="51"/>
      <c r="MCI44" s="51"/>
      <c r="MCJ44" s="51"/>
      <c r="MCK44" s="51"/>
      <c r="MCL44" s="51"/>
      <c r="MCM44" s="51"/>
      <c r="MCN44" s="51"/>
      <c r="MCO44" s="51"/>
      <c r="MCP44" s="51"/>
      <c r="MCQ44" s="51"/>
      <c r="MCR44" s="51"/>
      <c r="MCS44" s="51"/>
      <c r="MCT44" s="51"/>
      <c r="MCU44" s="51"/>
      <c r="MCV44" s="51"/>
      <c r="MCW44" s="51"/>
      <c r="MCX44" s="51"/>
      <c r="MCY44" s="51"/>
      <c r="MCZ44" s="51"/>
      <c r="MDA44" s="51"/>
      <c r="MDB44" s="51"/>
      <c r="MDC44" s="51"/>
      <c r="MDD44" s="51"/>
      <c r="MDE44" s="51"/>
      <c r="MDF44" s="51"/>
      <c r="MDG44" s="51"/>
      <c r="MDH44" s="51"/>
      <c r="MDI44" s="51"/>
      <c r="MDJ44" s="51"/>
      <c r="MDK44" s="51"/>
      <c r="MDL44" s="51"/>
      <c r="MDM44" s="51"/>
      <c r="MDN44" s="51"/>
      <c r="MDO44" s="51"/>
      <c r="MDP44" s="51"/>
      <c r="MDQ44" s="51"/>
      <c r="MDR44" s="51"/>
      <c r="MDS44" s="51"/>
      <c r="MDT44" s="51"/>
      <c r="MDU44" s="51"/>
      <c r="MDV44" s="51"/>
      <c r="MDW44" s="51"/>
      <c r="MDX44" s="51"/>
      <c r="MDY44" s="51"/>
      <c r="MDZ44" s="51"/>
      <c r="MEA44" s="51"/>
      <c r="MEB44" s="51"/>
      <c r="MEC44" s="51"/>
      <c r="MED44" s="51"/>
      <c r="MEE44" s="51"/>
      <c r="MEF44" s="51"/>
      <c r="MEG44" s="51"/>
      <c r="MEH44" s="51"/>
      <c r="MEI44" s="51"/>
      <c r="MEJ44" s="51"/>
      <c r="MEK44" s="51"/>
      <c r="MEL44" s="51"/>
      <c r="MEM44" s="51"/>
      <c r="MEN44" s="51"/>
      <c r="MEO44" s="51"/>
      <c r="MEP44" s="51"/>
      <c r="MEQ44" s="51"/>
      <c r="MER44" s="51"/>
      <c r="MES44" s="51"/>
      <c r="MET44" s="51"/>
      <c r="MEU44" s="51"/>
      <c r="MEV44" s="51"/>
      <c r="MEW44" s="51"/>
      <c r="MEX44" s="51"/>
      <c r="MEY44" s="51"/>
      <c r="MEZ44" s="51"/>
      <c r="MFA44" s="51"/>
      <c r="MFB44" s="51"/>
      <c r="MFC44" s="51"/>
      <c r="MFD44" s="51"/>
      <c r="MFE44" s="51"/>
      <c r="MFF44" s="51"/>
      <c r="MFG44" s="51"/>
      <c r="MFH44" s="51"/>
      <c r="MFI44" s="51"/>
      <c r="MFJ44" s="51"/>
      <c r="MFK44" s="51"/>
      <c r="MFL44" s="51"/>
      <c r="MFM44" s="51"/>
      <c r="MFN44" s="51"/>
      <c r="MFO44" s="51"/>
      <c r="MFP44" s="51"/>
      <c r="MFQ44" s="51"/>
      <c r="MFR44" s="51"/>
      <c r="MFS44" s="51"/>
      <c r="MFT44" s="51"/>
      <c r="MFU44" s="51"/>
      <c r="MFV44" s="51"/>
      <c r="MFW44" s="51"/>
      <c r="MFX44" s="51"/>
      <c r="MFY44" s="51"/>
      <c r="MFZ44" s="51"/>
      <c r="MGA44" s="51"/>
      <c r="MGB44" s="51"/>
      <c r="MGC44" s="51"/>
      <c r="MGD44" s="51"/>
      <c r="MGE44" s="51"/>
      <c r="MGF44" s="51"/>
      <c r="MGG44" s="51"/>
      <c r="MGH44" s="51"/>
      <c r="MGI44" s="51"/>
      <c r="MGJ44" s="51"/>
      <c r="MGK44" s="51"/>
      <c r="MGL44" s="51"/>
      <c r="MGM44" s="51"/>
      <c r="MGN44" s="51"/>
      <c r="MGO44" s="51"/>
      <c r="MGP44" s="51"/>
      <c r="MGQ44" s="51"/>
      <c r="MGR44" s="51"/>
      <c r="MGS44" s="51"/>
      <c r="MGT44" s="51"/>
      <c r="MGU44" s="51"/>
      <c r="MGV44" s="51"/>
      <c r="MGW44" s="51"/>
      <c r="MGX44" s="51"/>
      <c r="MGY44" s="51"/>
      <c r="MGZ44" s="51"/>
      <c r="MHA44" s="51"/>
      <c r="MHB44" s="51"/>
      <c r="MHC44" s="51"/>
      <c r="MHD44" s="51"/>
      <c r="MHE44" s="51"/>
      <c r="MHF44" s="51"/>
      <c r="MHG44" s="51"/>
      <c r="MHH44" s="51"/>
      <c r="MHI44" s="51"/>
      <c r="MHJ44" s="51"/>
      <c r="MHK44" s="51"/>
      <c r="MHL44" s="51"/>
      <c r="MHM44" s="51"/>
      <c r="MHN44" s="51"/>
      <c r="MHO44" s="51"/>
      <c r="MHP44" s="51"/>
      <c r="MHQ44" s="51"/>
      <c r="MHR44" s="51"/>
      <c r="MHS44" s="51"/>
      <c r="MHT44" s="51"/>
      <c r="MHU44" s="51"/>
      <c r="MHV44" s="51"/>
      <c r="MHW44" s="51"/>
      <c r="MHX44" s="51"/>
      <c r="MHY44" s="51"/>
      <c r="MHZ44" s="51"/>
      <c r="MIA44" s="51"/>
      <c r="MIB44" s="51"/>
      <c r="MIC44" s="51"/>
      <c r="MID44" s="51"/>
      <c r="MIE44" s="51"/>
      <c r="MIF44" s="51"/>
      <c r="MIG44" s="51"/>
      <c r="MIH44" s="51"/>
      <c r="MII44" s="51"/>
      <c r="MIJ44" s="51"/>
      <c r="MIK44" s="51"/>
      <c r="MIL44" s="51"/>
      <c r="MIM44" s="51"/>
      <c r="MIN44" s="51"/>
      <c r="MIO44" s="51"/>
      <c r="MIP44" s="51"/>
      <c r="MIQ44" s="51"/>
      <c r="MIR44" s="51"/>
      <c r="MIS44" s="51"/>
      <c r="MIT44" s="51"/>
      <c r="MIU44" s="51"/>
      <c r="MIV44" s="51"/>
      <c r="MIW44" s="51"/>
      <c r="MIX44" s="51"/>
      <c r="MIY44" s="51"/>
      <c r="MIZ44" s="51"/>
      <c r="MJA44" s="51"/>
      <c r="MJB44" s="51"/>
      <c r="MJC44" s="51"/>
      <c r="MJD44" s="51"/>
      <c r="MJE44" s="51"/>
      <c r="MJF44" s="51"/>
      <c r="MJG44" s="51"/>
      <c r="MJH44" s="51"/>
      <c r="MJI44" s="51"/>
      <c r="MJJ44" s="51"/>
      <c r="MJK44" s="51"/>
      <c r="MJL44" s="51"/>
      <c r="MJM44" s="51"/>
      <c r="MJN44" s="51"/>
      <c r="MJO44" s="51"/>
      <c r="MJP44" s="51"/>
      <c r="MJQ44" s="51"/>
      <c r="MJR44" s="51"/>
      <c r="MJS44" s="51"/>
      <c r="MJT44" s="51"/>
      <c r="MJU44" s="51"/>
      <c r="MJV44" s="51"/>
      <c r="MJW44" s="51"/>
      <c r="MJX44" s="51"/>
      <c r="MJY44" s="51"/>
      <c r="MJZ44" s="51"/>
      <c r="MKA44" s="51"/>
      <c r="MKB44" s="51"/>
      <c r="MKC44" s="51"/>
      <c r="MKD44" s="51"/>
      <c r="MKE44" s="51"/>
      <c r="MKF44" s="51"/>
      <c r="MKG44" s="51"/>
      <c r="MKH44" s="51"/>
      <c r="MKI44" s="51"/>
      <c r="MKJ44" s="51"/>
      <c r="MKK44" s="51"/>
      <c r="MKL44" s="51"/>
      <c r="MKM44" s="51"/>
      <c r="MKN44" s="51"/>
      <c r="MKO44" s="51"/>
      <c r="MKP44" s="51"/>
      <c r="MKQ44" s="51"/>
      <c r="MKR44" s="51"/>
      <c r="MKS44" s="51"/>
      <c r="MKT44" s="51"/>
      <c r="MKU44" s="51"/>
      <c r="MKV44" s="51"/>
      <c r="MKW44" s="51"/>
      <c r="MKX44" s="51"/>
      <c r="MKY44" s="51"/>
      <c r="MKZ44" s="51"/>
      <c r="MLA44" s="51"/>
      <c r="MLB44" s="51"/>
      <c r="MLC44" s="51"/>
      <c r="MLD44" s="51"/>
      <c r="MLE44" s="51"/>
      <c r="MLF44" s="51"/>
      <c r="MLG44" s="51"/>
      <c r="MLH44" s="51"/>
      <c r="MLI44" s="51"/>
      <c r="MLJ44" s="51"/>
      <c r="MLK44" s="51"/>
      <c r="MLL44" s="51"/>
      <c r="MLM44" s="51"/>
      <c r="MLN44" s="51"/>
      <c r="MLO44" s="51"/>
      <c r="MLP44" s="51"/>
      <c r="MLQ44" s="51"/>
      <c r="MLR44" s="51"/>
      <c r="MLS44" s="51"/>
      <c r="MLT44" s="51"/>
      <c r="MLU44" s="51"/>
      <c r="MLV44" s="51"/>
      <c r="MLW44" s="51"/>
      <c r="MLX44" s="51"/>
      <c r="MLY44" s="51"/>
      <c r="MLZ44" s="51"/>
      <c r="MMA44" s="51"/>
      <c r="MMB44" s="51"/>
      <c r="MMC44" s="51"/>
      <c r="MMD44" s="51"/>
      <c r="MME44" s="51"/>
      <c r="MMF44" s="51"/>
      <c r="MMG44" s="51"/>
      <c r="MMH44" s="51"/>
      <c r="MMI44" s="51"/>
      <c r="MMJ44" s="51"/>
      <c r="MMK44" s="51"/>
      <c r="MML44" s="51"/>
      <c r="MMM44" s="51"/>
      <c r="MMN44" s="51"/>
      <c r="MMO44" s="51"/>
      <c r="MMP44" s="51"/>
      <c r="MMQ44" s="51"/>
      <c r="MMR44" s="51"/>
      <c r="MMS44" s="51"/>
      <c r="MMT44" s="51"/>
      <c r="MMU44" s="51"/>
      <c r="MMV44" s="51"/>
      <c r="MMW44" s="51"/>
      <c r="MMX44" s="51"/>
      <c r="MMY44" s="51"/>
      <c r="MMZ44" s="51"/>
      <c r="MNA44" s="51"/>
      <c r="MNB44" s="51"/>
      <c r="MNC44" s="51"/>
      <c r="MND44" s="51"/>
      <c r="MNE44" s="51"/>
      <c r="MNF44" s="51"/>
      <c r="MNG44" s="51"/>
      <c r="MNH44" s="51"/>
      <c r="MNI44" s="51"/>
      <c r="MNJ44" s="51"/>
      <c r="MNK44" s="51"/>
      <c r="MNL44" s="51"/>
      <c r="MNM44" s="51"/>
      <c r="MNN44" s="51"/>
      <c r="MNO44" s="51"/>
      <c r="MNP44" s="51"/>
      <c r="MNQ44" s="51"/>
      <c r="MNR44" s="51"/>
      <c r="MNS44" s="51"/>
      <c r="MNT44" s="51"/>
      <c r="MNU44" s="51"/>
      <c r="MNV44" s="51"/>
      <c r="MNW44" s="51"/>
      <c r="MNX44" s="51"/>
      <c r="MNY44" s="51"/>
      <c r="MNZ44" s="51"/>
      <c r="MOA44" s="51"/>
      <c r="MOB44" s="51"/>
      <c r="MOC44" s="51"/>
      <c r="MOD44" s="51"/>
      <c r="MOE44" s="51"/>
      <c r="MOF44" s="51"/>
      <c r="MOG44" s="51"/>
      <c r="MOH44" s="51"/>
      <c r="MOI44" s="51"/>
      <c r="MOJ44" s="51"/>
      <c r="MOK44" s="51"/>
      <c r="MOL44" s="51"/>
      <c r="MOM44" s="51"/>
      <c r="MON44" s="51"/>
      <c r="MOO44" s="51"/>
      <c r="MOP44" s="51"/>
      <c r="MOQ44" s="51"/>
      <c r="MOR44" s="51"/>
      <c r="MOS44" s="51"/>
      <c r="MOT44" s="51"/>
      <c r="MOU44" s="51"/>
      <c r="MOV44" s="51"/>
      <c r="MOW44" s="51"/>
      <c r="MOX44" s="51"/>
      <c r="MOY44" s="51"/>
      <c r="MOZ44" s="51"/>
      <c r="MPA44" s="51"/>
      <c r="MPB44" s="51"/>
      <c r="MPC44" s="51"/>
      <c r="MPD44" s="51"/>
      <c r="MPE44" s="51"/>
      <c r="MPF44" s="51"/>
      <c r="MPG44" s="51"/>
      <c r="MPH44" s="51"/>
      <c r="MPI44" s="51"/>
      <c r="MPJ44" s="51"/>
      <c r="MPK44" s="51"/>
      <c r="MPL44" s="51"/>
      <c r="MPM44" s="51"/>
      <c r="MPN44" s="51"/>
      <c r="MPO44" s="51"/>
      <c r="MPP44" s="51"/>
      <c r="MPQ44" s="51"/>
      <c r="MPR44" s="51"/>
      <c r="MPS44" s="51"/>
      <c r="MPT44" s="51"/>
      <c r="MPU44" s="51"/>
      <c r="MPV44" s="51"/>
      <c r="MPW44" s="51"/>
      <c r="MPX44" s="51"/>
      <c r="MPY44" s="51"/>
      <c r="MPZ44" s="51"/>
      <c r="MQA44" s="51"/>
      <c r="MQB44" s="51"/>
      <c r="MQC44" s="51"/>
      <c r="MQD44" s="51"/>
      <c r="MQE44" s="51"/>
      <c r="MQF44" s="51"/>
      <c r="MQG44" s="51"/>
      <c r="MQH44" s="51"/>
      <c r="MQI44" s="51"/>
      <c r="MQJ44" s="51"/>
      <c r="MQK44" s="51"/>
      <c r="MQL44" s="51"/>
      <c r="MQM44" s="51"/>
      <c r="MQN44" s="51"/>
      <c r="MQO44" s="51"/>
      <c r="MQP44" s="51"/>
      <c r="MQQ44" s="51"/>
      <c r="MQR44" s="51"/>
      <c r="MQS44" s="51"/>
      <c r="MQT44" s="51"/>
      <c r="MQU44" s="51"/>
      <c r="MQV44" s="51"/>
      <c r="MQW44" s="51"/>
      <c r="MQX44" s="51"/>
      <c r="MQY44" s="51"/>
      <c r="MQZ44" s="51"/>
      <c r="MRA44" s="51"/>
      <c r="MRB44" s="51"/>
      <c r="MRC44" s="51"/>
      <c r="MRD44" s="51"/>
      <c r="MRE44" s="51"/>
      <c r="MRF44" s="51"/>
      <c r="MRG44" s="51"/>
      <c r="MRH44" s="51"/>
      <c r="MRI44" s="51"/>
      <c r="MRJ44" s="51"/>
      <c r="MRK44" s="51"/>
      <c r="MRL44" s="51"/>
      <c r="MRM44" s="51"/>
      <c r="MRN44" s="51"/>
      <c r="MRO44" s="51"/>
      <c r="MRP44" s="51"/>
      <c r="MRQ44" s="51"/>
      <c r="MRR44" s="51"/>
      <c r="MRS44" s="51"/>
      <c r="MRT44" s="51"/>
      <c r="MRU44" s="51"/>
      <c r="MRV44" s="51"/>
      <c r="MRW44" s="51"/>
      <c r="MRX44" s="51"/>
      <c r="MRY44" s="51"/>
      <c r="MRZ44" s="51"/>
      <c r="MSA44" s="51"/>
      <c r="MSB44" s="51"/>
      <c r="MSC44" s="51"/>
      <c r="MSD44" s="51"/>
      <c r="MSE44" s="51"/>
      <c r="MSF44" s="51"/>
      <c r="MSG44" s="51"/>
      <c r="MSH44" s="51"/>
      <c r="MSI44" s="51"/>
      <c r="MSJ44" s="51"/>
      <c r="MSK44" s="51"/>
      <c r="MSL44" s="51"/>
      <c r="MSM44" s="51"/>
      <c r="MSN44" s="51"/>
      <c r="MSO44" s="51"/>
      <c r="MSP44" s="51"/>
      <c r="MSQ44" s="51"/>
      <c r="MSR44" s="51"/>
      <c r="MSS44" s="51"/>
      <c r="MST44" s="51"/>
      <c r="MSU44" s="51"/>
      <c r="MSV44" s="51"/>
      <c r="MSW44" s="51"/>
      <c r="MSX44" s="51"/>
      <c r="MSY44" s="51"/>
      <c r="MSZ44" s="51"/>
      <c r="MTA44" s="51"/>
      <c r="MTB44" s="51"/>
      <c r="MTC44" s="51"/>
      <c r="MTD44" s="51"/>
      <c r="MTE44" s="51"/>
      <c r="MTF44" s="51"/>
      <c r="MTG44" s="51"/>
      <c r="MTH44" s="51"/>
      <c r="MTI44" s="51"/>
      <c r="MTJ44" s="51"/>
      <c r="MTK44" s="51"/>
      <c r="MTL44" s="51"/>
      <c r="MTM44" s="51"/>
      <c r="MTN44" s="51"/>
      <c r="MTO44" s="51"/>
      <c r="MTP44" s="51"/>
      <c r="MTQ44" s="51"/>
      <c r="MTR44" s="51"/>
      <c r="MTS44" s="51"/>
      <c r="MTT44" s="51"/>
      <c r="MTU44" s="51"/>
      <c r="MTV44" s="51"/>
      <c r="MTW44" s="51"/>
      <c r="MTX44" s="51"/>
      <c r="MTY44" s="51"/>
      <c r="MTZ44" s="51"/>
      <c r="MUA44" s="51"/>
      <c r="MUB44" s="51"/>
      <c r="MUC44" s="51"/>
      <c r="MUD44" s="51"/>
      <c r="MUE44" s="51"/>
      <c r="MUF44" s="51"/>
      <c r="MUG44" s="51"/>
      <c r="MUH44" s="51"/>
      <c r="MUI44" s="51"/>
      <c r="MUJ44" s="51"/>
      <c r="MUK44" s="51"/>
      <c r="MUL44" s="51"/>
      <c r="MUM44" s="51"/>
      <c r="MUN44" s="51"/>
      <c r="MUO44" s="51"/>
      <c r="MUP44" s="51"/>
      <c r="MUQ44" s="51"/>
      <c r="MUR44" s="51"/>
      <c r="MUS44" s="51"/>
      <c r="MUT44" s="51"/>
      <c r="MUU44" s="51"/>
      <c r="MUV44" s="51"/>
      <c r="MUW44" s="51"/>
      <c r="MUX44" s="51"/>
      <c r="MUY44" s="51"/>
      <c r="MUZ44" s="51"/>
      <c r="MVA44" s="51"/>
      <c r="MVB44" s="51"/>
      <c r="MVC44" s="51"/>
      <c r="MVD44" s="51"/>
      <c r="MVE44" s="51"/>
      <c r="MVF44" s="51"/>
      <c r="MVG44" s="51"/>
      <c r="MVH44" s="51"/>
      <c r="MVI44" s="51"/>
      <c r="MVJ44" s="51"/>
      <c r="MVK44" s="51"/>
      <c r="MVL44" s="51"/>
      <c r="MVM44" s="51"/>
      <c r="MVN44" s="51"/>
      <c r="MVO44" s="51"/>
      <c r="MVP44" s="51"/>
      <c r="MVQ44" s="51"/>
      <c r="MVR44" s="51"/>
      <c r="MVS44" s="51"/>
      <c r="MVT44" s="51"/>
      <c r="MVU44" s="51"/>
      <c r="MVV44" s="51"/>
      <c r="MVW44" s="51"/>
      <c r="MVX44" s="51"/>
      <c r="MVY44" s="51"/>
      <c r="MVZ44" s="51"/>
      <c r="MWA44" s="51"/>
      <c r="MWB44" s="51"/>
      <c r="MWC44" s="51"/>
      <c r="MWD44" s="51"/>
      <c r="MWE44" s="51"/>
      <c r="MWF44" s="51"/>
      <c r="MWG44" s="51"/>
      <c r="MWH44" s="51"/>
      <c r="MWI44" s="51"/>
      <c r="MWJ44" s="51"/>
      <c r="MWK44" s="51"/>
      <c r="MWL44" s="51"/>
      <c r="MWM44" s="51"/>
      <c r="MWN44" s="51"/>
      <c r="MWO44" s="51"/>
      <c r="MWP44" s="51"/>
      <c r="MWQ44" s="51"/>
      <c r="MWR44" s="51"/>
      <c r="MWS44" s="51"/>
      <c r="MWT44" s="51"/>
      <c r="MWU44" s="51"/>
      <c r="MWV44" s="51"/>
      <c r="MWW44" s="51"/>
      <c r="MWX44" s="51"/>
      <c r="MWY44" s="51"/>
      <c r="MWZ44" s="51"/>
      <c r="MXA44" s="51"/>
      <c r="MXB44" s="51"/>
      <c r="MXC44" s="51"/>
      <c r="MXD44" s="51"/>
      <c r="MXE44" s="51"/>
      <c r="MXF44" s="51"/>
      <c r="MXG44" s="51"/>
      <c r="MXH44" s="51"/>
      <c r="MXI44" s="51"/>
      <c r="MXJ44" s="51"/>
      <c r="MXK44" s="51"/>
      <c r="MXL44" s="51"/>
      <c r="MXM44" s="51"/>
      <c r="MXN44" s="51"/>
      <c r="MXO44" s="51"/>
      <c r="MXP44" s="51"/>
      <c r="MXQ44" s="51"/>
      <c r="MXR44" s="51"/>
      <c r="MXS44" s="51"/>
      <c r="MXT44" s="51"/>
      <c r="MXU44" s="51"/>
      <c r="MXV44" s="51"/>
      <c r="MXW44" s="51"/>
      <c r="MXX44" s="51"/>
      <c r="MXY44" s="51"/>
      <c r="MXZ44" s="51"/>
      <c r="MYA44" s="51"/>
      <c r="MYB44" s="51"/>
      <c r="MYC44" s="51"/>
      <c r="MYD44" s="51"/>
      <c r="MYE44" s="51"/>
      <c r="MYF44" s="51"/>
      <c r="MYG44" s="51"/>
      <c r="MYH44" s="51"/>
      <c r="MYI44" s="51"/>
      <c r="MYJ44" s="51"/>
      <c r="MYK44" s="51"/>
      <c r="MYL44" s="51"/>
      <c r="MYM44" s="51"/>
      <c r="MYN44" s="51"/>
      <c r="MYO44" s="51"/>
      <c r="MYP44" s="51"/>
      <c r="MYQ44" s="51"/>
      <c r="MYR44" s="51"/>
      <c r="MYS44" s="51"/>
      <c r="MYT44" s="51"/>
      <c r="MYU44" s="51"/>
      <c r="MYV44" s="51"/>
      <c r="MYW44" s="51"/>
      <c r="MYX44" s="51"/>
      <c r="MYY44" s="51"/>
      <c r="MYZ44" s="51"/>
      <c r="MZA44" s="51"/>
      <c r="MZB44" s="51"/>
      <c r="MZC44" s="51"/>
      <c r="MZD44" s="51"/>
      <c r="MZE44" s="51"/>
      <c r="MZF44" s="51"/>
      <c r="MZG44" s="51"/>
      <c r="MZH44" s="51"/>
      <c r="MZI44" s="51"/>
      <c r="MZJ44" s="51"/>
      <c r="MZK44" s="51"/>
      <c r="MZL44" s="51"/>
      <c r="MZM44" s="51"/>
      <c r="MZN44" s="51"/>
      <c r="MZO44" s="51"/>
      <c r="MZP44" s="51"/>
      <c r="MZQ44" s="51"/>
      <c r="MZR44" s="51"/>
      <c r="MZS44" s="51"/>
      <c r="MZT44" s="51"/>
      <c r="MZU44" s="51"/>
      <c r="MZV44" s="51"/>
      <c r="MZW44" s="51"/>
      <c r="MZX44" s="51"/>
      <c r="MZY44" s="51"/>
      <c r="MZZ44" s="51"/>
      <c r="NAA44" s="51"/>
      <c r="NAB44" s="51"/>
      <c r="NAC44" s="51"/>
      <c r="NAD44" s="51"/>
      <c r="NAE44" s="51"/>
      <c r="NAF44" s="51"/>
      <c r="NAG44" s="51"/>
      <c r="NAH44" s="51"/>
      <c r="NAI44" s="51"/>
      <c r="NAJ44" s="51"/>
      <c r="NAK44" s="51"/>
      <c r="NAL44" s="51"/>
      <c r="NAM44" s="51"/>
      <c r="NAN44" s="51"/>
      <c r="NAO44" s="51"/>
      <c r="NAP44" s="51"/>
      <c r="NAQ44" s="51"/>
      <c r="NAR44" s="51"/>
      <c r="NAS44" s="51"/>
      <c r="NAT44" s="51"/>
      <c r="NAU44" s="51"/>
      <c r="NAV44" s="51"/>
      <c r="NAW44" s="51"/>
      <c r="NAX44" s="51"/>
      <c r="NAY44" s="51"/>
      <c r="NAZ44" s="51"/>
      <c r="NBA44" s="51"/>
      <c r="NBB44" s="51"/>
      <c r="NBC44" s="51"/>
      <c r="NBD44" s="51"/>
      <c r="NBE44" s="51"/>
      <c r="NBF44" s="51"/>
      <c r="NBG44" s="51"/>
      <c r="NBH44" s="51"/>
      <c r="NBI44" s="51"/>
      <c r="NBJ44" s="51"/>
      <c r="NBK44" s="51"/>
      <c r="NBL44" s="51"/>
      <c r="NBM44" s="51"/>
      <c r="NBN44" s="51"/>
      <c r="NBO44" s="51"/>
      <c r="NBP44" s="51"/>
      <c r="NBQ44" s="51"/>
      <c r="NBR44" s="51"/>
      <c r="NBS44" s="51"/>
      <c r="NBT44" s="51"/>
      <c r="NBU44" s="51"/>
      <c r="NBV44" s="51"/>
      <c r="NBW44" s="51"/>
      <c r="NBX44" s="51"/>
      <c r="NBY44" s="51"/>
      <c r="NBZ44" s="51"/>
      <c r="NCA44" s="51"/>
      <c r="NCB44" s="51"/>
      <c r="NCC44" s="51"/>
      <c r="NCD44" s="51"/>
      <c r="NCE44" s="51"/>
      <c r="NCF44" s="51"/>
      <c r="NCG44" s="51"/>
      <c r="NCH44" s="51"/>
      <c r="NCI44" s="51"/>
      <c r="NCJ44" s="51"/>
      <c r="NCK44" s="51"/>
      <c r="NCL44" s="51"/>
      <c r="NCM44" s="51"/>
      <c r="NCN44" s="51"/>
      <c r="NCO44" s="51"/>
      <c r="NCP44" s="51"/>
      <c r="NCQ44" s="51"/>
      <c r="NCR44" s="51"/>
      <c r="NCS44" s="51"/>
      <c r="NCT44" s="51"/>
      <c r="NCU44" s="51"/>
      <c r="NCV44" s="51"/>
      <c r="NCW44" s="51"/>
      <c r="NCX44" s="51"/>
      <c r="NCY44" s="51"/>
      <c r="NCZ44" s="51"/>
      <c r="NDA44" s="51"/>
      <c r="NDB44" s="51"/>
      <c r="NDC44" s="51"/>
      <c r="NDD44" s="51"/>
      <c r="NDE44" s="51"/>
      <c r="NDF44" s="51"/>
      <c r="NDG44" s="51"/>
      <c r="NDH44" s="51"/>
      <c r="NDI44" s="51"/>
      <c r="NDJ44" s="51"/>
      <c r="NDK44" s="51"/>
      <c r="NDL44" s="51"/>
      <c r="NDM44" s="51"/>
      <c r="NDN44" s="51"/>
      <c r="NDO44" s="51"/>
      <c r="NDP44" s="51"/>
      <c r="NDQ44" s="51"/>
      <c r="NDR44" s="51"/>
      <c r="NDS44" s="51"/>
      <c r="NDT44" s="51"/>
      <c r="NDU44" s="51"/>
      <c r="NDV44" s="51"/>
      <c r="NDW44" s="51"/>
      <c r="NDX44" s="51"/>
      <c r="NDY44" s="51"/>
      <c r="NDZ44" s="51"/>
      <c r="NEA44" s="51"/>
      <c r="NEB44" s="51"/>
      <c r="NEC44" s="51"/>
      <c r="NED44" s="51"/>
      <c r="NEE44" s="51"/>
      <c r="NEF44" s="51"/>
      <c r="NEG44" s="51"/>
      <c r="NEH44" s="51"/>
      <c r="NEI44" s="51"/>
      <c r="NEJ44" s="51"/>
      <c r="NEK44" s="51"/>
      <c r="NEL44" s="51"/>
      <c r="NEM44" s="51"/>
      <c r="NEN44" s="51"/>
      <c r="NEO44" s="51"/>
      <c r="NEP44" s="51"/>
      <c r="NEQ44" s="51"/>
      <c r="NER44" s="51"/>
      <c r="NES44" s="51"/>
      <c r="NET44" s="51"/>
      <c r="NEU44" s="51"/>
      <c r="NEV44" s="51"/>
      <c r="NEW44" s="51"/>
      <c r="NEX44" s="51"/>
      <c r="NEY44" s="51"/>
      <c r="NEZ44" s="51"/>
      <c r="NFA44" s="51"/>
      <c r="NFB44" s="51"/>
      <c r="NFC44" s="51"/>
      <c r="NFD44" s="51"/>
      <c r="NFE44" s="51"/>
      <c r="NFF44" s="51"/>
      <c r="NFG44" s="51"/>
      <c r="NFH44" s="51"/>
      <c r="NFI44" s="51"/>
      <c r="NFJ44" s="51"/>
      <c r="NFK44" s="51"/>
      <c r="NFL44" s="51"/>
      <c r="NFM44" s="51"/>
      <c r="NFN44" s="51"/>
      <c r="NFO44" s="51"/>
      <c r="NFP44" s="51"/>
      <c r="NFQ44" s="51"/>
      <c r="NFR44" s="51"/>
      <c r="NFS44" s="51"/>
      <c r="NFT44" s="51"/>
      <c r="NFU44" s="51"/>
      <c r="NFV44" s="51"/>
      <c r="NFW44" s="51"/>
      <c r="NFX44" s="51"/>
      <c r="NFY44" s="51"/>
      <c r="NFZ44" s="51"/>
      <c r="NGA44" s="51"/>
      <c r="NGB44" s="51"/>
      <c r="NGC44" s="51"/>
      <c r="NGD44" s="51"/>
      <c r="NGE44" s="51"/>
      <c r="NGF44" s="51"/>
      <c r="NGG44" s="51"/>
      <c r="NGH44" s="51"/>
      <c r="NGI44" s="51"/>
      <c r="NGJ44" s="51"/>
      <c r="NGK44" s="51"/>
      <c r="NGL44" s="51"/>
      <c r="NGM44" s="51"/>
      <c r="NGN44" s="51"/>
      <c r="NGO44" s="51"/>
      <c r="NGP44" s="51"/>
      <c r="NGQ44" s="51"/>
      <c r="NGR44" s="51"/>
      <c r="NGS44" s="51"/>
      <c r="NGT44" s="51"/>
      <c r="NGU44" s="51"/>
      <c r="NGV44" s="51"/>
      <c r="NGW44" s="51"/>
      <c r="NGX44" s="51"/>
      <c r="NGY44" s="51"/>
      <c r="NGZ44" s="51"/>
      <c r="NHA44" s="51"/>
      <c r="NHB44" s="51"/>
      <c r="NHC44" s="51"/>
      <c r="NHD44" s="51"/>
      <c r="NHE44" s="51"/>
      <c r="NHF44" s="51"/>
      <c r="NHG44" s="51"/>
      <c r="NHH44" s="51"/>
      <c r="NHI44" s="51"/>
      <c r="NHJ44" s="51"/>
      <c r="NHK44" s="51"/>
      <c r="NHL44" s="51"/>
      <c r="NHM44" s="51"/>
      <c r="NHN44" s="51"/>
      <c r="NHO44" s="51"/>
      <c r="NHP44" s="51"/>
      <c r="NHQ44" s="51"/>
      <c r="NHR44" s="51"/>
      <c r="NHS44" s="51"/>
      <c r="NHT44" s="51"/>
      <c r="NHU44" s="51"/>
      <c r="NHV44" s="51"/>
      <c r="NHW44" s="51"/>
      <c r="NHX44" s="51"/>
      <c r="NHY44" s="51"/>
      <c r="NHZ44" s="51"/>
      <c r="NIA44" s="51"/>
      <c r="NIB44" s="51"/>
      <c r="NIC44" s="51"/>
      <c r="NID44" s="51"/>
      <c r="NIE44" s="51"/>
      <c r="NIF44" s="51"/>
      <c r="NIG44" s="51"/>
      <c r="NIH44" s="51"/>
      <c r="NII44" s="51"/>
      <c r="NIJ44" s="51"/>
      <c r="NIK44" s="51"/>
      <c r="NIL44" s="51"/>
      <c r="NIM44" s="51"/>
      <c r="NIN44" s="51"/>
      <c r="NIO44" s="51"/>
      <c r="NIP44" s="51"/>
      <c r="NIQ44" s="51"/>
      <c r="NIR44" s="51"/>
      <c r="NIS44" s="51"/>
      <c r="NIT44" s="51"/>
      <c r="NIU44" s="51"/>
      <c r="NIV44" s="51"/>
      <c r="NIW44" s="51"/>
      <c r="NIX44" s="51"/>
      <c r="NIY44" s="51"/>
      <c r="NIZ44" s="51"/>
      <c r="NJA44" s="51"/>
      <c r="NJB44" s="51"/>
      <c r="NJC44" s="51"/>
      <c r="NJD44" s="51"/>
      <c r="NJE44" s="51"/>
      <c r="NJF44" s="51"/>
      <c r="NJG44" s="51"/>
      <c r="NJH44" s="51"/>
      <c r="NJI44" s="51"/>
      <c r="NJJ44" s="51"/>
      <c r="NJK44" s="51"/>
      <c r="NJL44" s="51"/>
      <c r="NJM44" s="51"/>
      <c r="NJN44" s="51"/>
      <c r="NJO44" s="51"/>
      <c r="NJP44" s="51"/>
      <c r="NJQ44" s="51"/>
      <c r="NJR44" s="51"/>
      <c r="NJS44" s="51"/>
      <c r="NJT44" s="51"/>
      <c r="NJU44" s="51"/>
      <c r="NJV44" s="51"/>
      <c r="NJW44" s="51"/>
      <c r="NJX44" s="51"/>
      <c r="NJY44" s="51"/>
      <c r="NJZ44" s="51"/>
      <c r="NKA44" s="51"/>
      <c r="NKB44" s="51"/>
      <c r="NKC44" s="51"/>
      <c r="NKD44" s="51"/>
      <c r="NKE44" s="51"/>
      <c r="NKF44" s="51"/>
      <c r="NKG44" s="51"/>
      <c r="NKH44" s="51"/>
      <c r="NKI44" s="51"/>
      <c r="NKJ44" s="51"/>
      <c r="NKK44" s="51"/>
      <c r="NKL44" s="51"/>
      <c r="NKM44" s="51"/>
      <c r="NKN44" s="51"/>
      <c r="NKO44" s="51"/>
      <c r="NKP44" s="51"/>
      <c r="NKQ44" s="51"/>
      <c r="NKR44" s="51"/>
      <c r="NKS44" s="51"/>
      <c r="NKT44" s="51"/>
      <c r="NKU44" s="51"/>
      <c r="NKV44" s="51"/>
      <c r="NKW44" s="51"/>
      <c r="NKX44" s="51"/>
      <c r="NKY44" s="51"/>
      <c r="NKZ44" s="51"/>
      <c r="NLA44" s="51"/>
      <c r="NLB44" s="51"/>
      <c r="NLC44" s="51"/>
      <c r="NLD44" s="51"/>
      <c r="NLE44" s="51"/>
      <c r="NLF44" s="51"/>
      <c r="NLG44" s="51"/>
      <c r="NLH44" s="51"/>
      <c r="NLI44" s="51"/>
      <c r="NLJ44" s="51"/>
      <c r="NLK44" s="51"/>
      <c r="NLL44" s="51"/>
      <c r="NLM44" s="51"/>
      <c r="NLN44" s="51"/>
      <c r="NLO44" s="51"/>
      <c r="NLP44" s="51"/>
      <c r="NLQ44" s="51"/>
      <c r="NLR44" s="51"/>
      <c r="NLS44" s="51"/>
      <c r="NLT44" s="51"/>
      <c r="NLU44" s="51"/>
      <c r="NLV44" s="51"/>
      <c r="NLW44" s="51"/>
      <c r="NLX44" s="51"/>
      <c r="NLY44" s="51"/>
      <c r="NLZ44" s="51"/>
      <c r="NMA44" s="51"/>
      <c r="NMB44" s="51"/>
      <c r="NMC44" s="51"/>
      <c r="NMD44" s="51"/>
      <c r="NME44" s="51"/>
      <c r="NMF44" s="51"/>
      <c r="NMG44" s="51"/>
      <c r="NMH44" s="51"/>
      <c r="NMI44" s="51"/>
      <c r="NMJ44" s="51"/>
      <c r="NMK44" s="51"/>
      <c r="NML44" s="51"/>
      <c r="NMM44" s="51"/>
      <c r="NMN44" s="51"/>
      <c r="NMO44" s="51"/>
      <c r="NMP44" s="51"/>
      <c r="NMQ44" s="51"/>
      <c r="NMR44" s="51"/>
      <c r="NMS44" s="51"/>
      <c r="NMT44" s="51"/>
      <c r="NMU44" s="51"/>
      <c r="NMV44" s="51"/>
      <c r="NMW44" s="51"/>
      <c r="NMX44" s="51"/>
      <c r="NMY44" s="51"/>
      <c r="NMZ44" s="51"/>
      <c r="NNA44" s="51"/>
      <c r="NNB44" s="51"/>
      <c r="NNC44" s="51"/>
      <c r="NND44" s="51"/>
      <c r="NNE44" s="51"/>
      <c r="NNF44" s="51"/>
      <c r="NNG44" s="51"/>
      <c r="NNH44" s="51"/>
      <c r="NNI44" s="51"/>
      <c r="NNJ44" s="51"/>
      <c r="NNK44" s="51"/>
      <c r="NNL44" s="51"/>
      <c r="NNM44" s="51"/>
      <c r="NNN44" s="51"/>
      <c r="NNO44" s="51"/>
      <c r="NNP44" s="51"/>
      <c r="NNQ44" s="51"/>
      <c r="NNR44" s="51"/>
      <c r="NNS44" s="51"/>
      <c r="NNT44" s="51"/>
      <c r="NNU44" s="51"/>
      <c r="NNV44" s="51"/>
      <c r="NNW44" s="51"/>
      <c r="NNX44" s="51"/>
      <c r="NNY44" s="51"/>
      <c r="NNZ44" s="51"/>
      <c r="NOA44" s="51"/>
      <c r="NOB44" s="51"/>
      <c r="NOC44" s="51"/>
      <c r="NOD44" s="51"/>
      <c r="NOE44" s="51"/>
      <c r="NOF44" s="51"/>
      <c r="NOG44" s="51"/>
      <c r="NOH44" s="51"/>
      <c r="NOI44" s="51"/>
      <c r="NOJ44" s="51"/>
      <c r="NOK44" s="51"/>
      <c r="NOL44" s="51"/>
      <c r="NOM44" s="51"/>
      <c r="NON44" s="51"/>
      <c r="NOO44" s="51"/>
      <c r="NOP44" s="51"/>
      <c r="NOQ44" s="51"/>
      <c r="NOR44" s="51"/>
      <c r="NOS44" s="51"/>
      <c r="NOT44" s="51"/>
      <c r="NOU44" s="51"/>
      <c r="NOV44" s="51"/>
      <c r="NOW44" s="51"/>
      <c r="NOX44" s="51"/>
      <c r="NOY44" s="51"/>
      <c r="NOZ44" s="51"/>
      <c r="NPA44" s="51"/>
      <c r="NPB44" s="51"/>
      <c r="NPC44" s="51"/>
      <c r="NPD44" s="51"/>
      <c r="NPE44" s="51"/>
      <c r="NPF44" s="51"/>
      <c r="NPG44" s="51"/>
      <c r="NPH44" s="51"/>
      <c r="NPI44" s="51"/>
      <c r="NPJ44" s="51"/>
      <c r="NPK44" s="51"/>
      <c r="NPL44" s="51"/>
      <c r="NPM44" s="51"/>
      <c r="NPN44" s="51"/>
      <c r="NPO44" s="51"/>
      <c r="NPP44" s="51"/>
      <c r="NPQ44" s="51"/>
      <c r="NPR44" s="51"/>
      <c r="NPS44" s="51"/>
      <c r="NPT44" s="51"/>
      <c r="NPU44" s="51"/>
      <c r="NPV44" s="51"/>
      <c r="NPW44" s="51"/>
      <c r="NPX44" s="51"/>
      <c r="NPY44" s="51"/>
      <c r="NPZ44" s="51"/>
      <c r="NQA44" s="51"/>
      <c r="NQB44" s="51"/>
      <c r="NQC44" s="51"/>
      <c r="NQD44" s="51"/>
      <c r="NQE44" s="51"/>
      <c r="NQF44" s="51"/>
      <c r="NQG44" s="51"/>
      <c r="NQH44" s="51"/>
      <c r="NQI44" s="51"/>
      <c r="NQJ44" s="51"/>
      <c r="NQK44" s="51"/>
      <c r="NQL44" s="51"/>
      <c r="NQM44" s="51"/>
      <c r="NQN44" s="51"/>
      <c r="NQO44" s="51"/>
      <c r="NQP44" s="51"/>
      <c r="NQQ44" s="51"/>
      <c r="NQR44" s="51"/>
      <c r="NQS44" s="51"/>
      <c r="NQT44" s="51"/>
      <c r="NQU44" s="51"/>
      <c r="NQV44" s="51"/>
      <c r="NQW44" s="51"/>
      <c r="NQX44" s="51"/>
      <c r="NQY44" s="51"/>
      <c r="NQZ44" s="51"/>
      <c r="NRA44" s="51"/>
      <c r="NRB44" s="51"/>
      <c r="NRC44" s="51"/>
      <c r="NRD44" s="51"/>
      <c r="NRE44" s="51"/>
      <c r="NRF44" s="51"/>
      <c r="NRG44" s="51"/>
      <c r="NRH44" s="51"/>
      <c r="NRI44" s="51"/>
      <c r="NRJ44" s="51"/>
      <c r="NRK44" s="51"/>
      <c r="NRL44" s="51"/>
      <c r="NRM44" s="51"/>
      <c r="NRN44" s="51"/>
      <c r="NRO44" s="51"/>
      <c r="NRP44" s="51"/>
      <c r="NRQ44" s="51"/>
      <c r="NRR44" s="51"/>
      <c r="NRS44" s="51"/>
      <c r="NRT44" s="51"/>
      <c r="NRU44" s="51"/>
      <c r="NRV44" s="51"/>
      <c r="NRW44" s="51"/>
      <c r="NRX44" s="51"/>
      <c r="NRY44" s="51"/>
      <c r="NRZ44" s="51"/>
      <c r="NSA44" s="51"/>
      <c r="NSB44" s="51"/>
      <c r="NSC44" s="51"/>
      <c r="NSD44" s="51"/>
      <c r="NSE44" s="51"/>
      <c r="NSF44" s="51"/>
      <c r="NSG44" s="51"/>
      <c r="NSH44" s="51"/>
      <c r="NSI44" s="51"/>
      <c r="NSJ44" s="51"/>
      <c r="NSK44" s="51"/>
      <c r="NSL44" s="51"/>
      <c r="NSM44" s="51"/>
      <c r="NSN44" s="51"/>
      <c r="NSO44" s="51"/>
      <c r="NSP44" s="51"/>
      <c r="NSQ44" s="51"/>
      <c r="NSR44" s="51"/>
      <c r="NSS44" s="51"/>
      <c r="NST44" s="51"/>
      <c r="NSU44" s="51"/>
      <c r="NSV44" s="51"/>
      <c r="NSW44" s="51"/>
      <c r="NSX44" s="51"/>
      <c r="NSY44" s="51"/>
      <c r="NSZ44" s="51"/>
      <c r="NTA44" s="51"/>
      <c r="NTB44" s="51"/>
      <c r="NTC44" s="51"/>
      <c r="NTD44" s="51"/>
      <c r="NTE44" s="51"/>
      <c r="NTF44" s="51"/>
      <c r="NTG44" s="51"/>
      <c r="NTH44" s="51"/>
      <c r="NTI44" s="51"/>
      <c r="NTJ44" s="51"/>
      <c r="NTK44" s="51"/>
      <c r="NTL44" s="51"/>
      <c r="NTM44" s="51"/>
      <c r="NTN44" s="51"/>
      <c r="NTO44" s="51"/>
      <c r="NTP44" s="51"/>
      <c r="NTQ44" s="51"/>
      <c r="NTR44" s="51"/>
      <c r="NTS44" s="51"/>
      <c r="NTT44" s="51"/>
      <c r="NTU44" s="51"/>
      <c r="NTV44" s="51"/>
      <c r="NTW44" s="51"/>
      <c r="NTX44" s="51"/>
      <c r="NTY44" s="51"/>
      <c r="NTZ44" s="51"/>
      <c r="NUA44" s="51"/>
      <c r="NUB44" s="51"/>
      <c r="NUC44" s="51"/>
      <c r="NUD44" s="51"/>
      <c r="NUE44" s="51"/>
      <c r="NUF44" s="51"/>
      <c r="NUG44" s="51"/>
      <c r="NUH44" s="51"/>
      <c r="NUI44" s="51"/>
      <c r="NUJ44" s="51"/>
      <c r="NUK44" s="51"/>
      <c r="NUL44" s="51"/>
      <c r="NUM44" s="51"/>
      <c r="NUN44" s="51"/>
      <c r="NUO44" s="51"/>
      <c r="NUP44" s="51"/>
      <c r="NUQ44" s="51"/>
      <c r="NUR44" s="51"/>
      <c r="NUS44" s="51"/>
      <c r="NUT44" s="51"/>
      <c r="NUU44" s="51"/>
      <c r="NUV44" s="51"/>
      <c r="NUW44" s="51"/>
      <c r="NUX44" s="51"/>
      <c r="NUY44" s="51"/>
      <c r="NUZ44" s="51"/>
      <c r="NVA44" s="51"/>
      <c r="NVB44" s="51"/>
      <c r="NVC44" s="51"/>
      <c r="NVD44" s="51"/>
      <c r="NVE44" s="51"/>
      <c r="NVF44" s="51"/>
      <c r="NVG44" s="51"/>
      <c r="NVH44" s="51"/>
      <c r="NVI44" s="51"/>
      <c r="NVJ44" s="51"/>
      <c r="NVK44" s="51"/>
      <c r="NVL44" s="51"/>
      <c r="NVM44" s="51"/>
      <c r="NVN44" s="51"/>
      <c r="NVO44" s="51"/>
      <c r="NVP44" s="51"/>
      <c r="NVQ44" s="51"/>
      <c r="NVR44" s="51"/>
      <c r="NVS44" s="51"/>
      <c r="NVT44" s="51"/>
      <c r="NVU44" s="51"/>
      <c r="NVV44" s="51"/>
      <c r="NVW44" s="51"/>
      <c r="NVX44" s="51"/>
      <c r="NVY44" s="51"/>
      <c r="NVZ44" s="51"/>
      <c r="NWA44" s="51"/>
      <c r="NWB44" s="51"/>
      <c r="NWC44" s="51"/>
      <c r="NWD44" s="51"/>
      <c r="NWE44" s="51"/>
      <c r="NWF44" s="51"/>
      <c r="NWG44" s="51"/>
      <c r="NWH44" s="51"/>
      <c r="NWI44" s="51"/>
      <c r="NWJ44" s="51"/>
      <c r="NWK44" s="51"/>
      <c r="NWL44" s="51"/>
      <c r="NWM44" s="51"/>
      <c r="NWN44" s="51"/>
      <c r="NWO44" s="51"/>
      <c r="NWP44" s="51"/>
      <c r="NWQ44" s="51"/>
      <c r="NWR44" s="51"/>
      <c r="NWS44" s="51"/>
      <c r="NWT44" s="51"/>
      <c r="NWU44" s="51"/>
      <c r="NWV44" s="51"/>
      <c r="NWW44" s="51"/>
      <c r="NWX44" s="51"/>
      <c r="NWY44" s="51"/>
      <c r="NWZ44" s="51"/>
      <c r="NXA44" s="51"/>
      <c r="NXB44" s="51"/>
      <c r="NXC44" s="51"/>
      <c r="NXD44" s="51"/>
      <c r="NXE44" s="51"/>
      <c r="NXF44" s="51"/>
      <c r="NXG44" s="51"/>
      <c r="NXH44" s="51"/>
      <c r="NXI44" s="51"/>
      <c r="NXJ44" s="51"/>
      <c r="NXK44" s="51"/>
      <c r="NXL44" s="51"/>
      <c r="NXM44" s="51"/>
      <c r="NXN44" s="51"/>
      <c r="NXO44" s="51"/>
      <c r="NXP44" s="51"/>
      <c r="NXQ44" s="51"/>
      <c r="NXR44" s="51"/>
      <c r="NXS44" s="51"/>
      <c r="NXT44" s="51"/>
      <c r="NXU44" s="51"/>
      <c r="NXV44" s="51"/>
      <c r="NXW44" s="51"/>
      <c r="NXX44" s="51"/>
      <c r="NXY44" s="51"/>
      <c r="NXZ44" s="51"/>
      <c r="NYA44" s="51"/>
      <c r="NYB44" s="51"/>
      <c r="NYC44" s="51"/>
      <c r="NYD44" s="51"/>
      <c r="NYE44" s="51"/>
      <c r="NYF44" s="51"/>
      <c r="NYG44" s="51"/>
      <c r="NYH44" s="51"/>
      <c r="NYI44" s="51"/>
      <c r="NYJ44" s="51"/>
      <c r="NYK44" s="51"/>
      <c r="NYL44" s="51"/>
      <c r="NYM44" s="51"/>
      <c r="NYN44" s="51"/>
      <c r="NYO44" s="51"/>
      <c r="NYP44" s="51"/>
      <c r="NYQ44" s="51"/>
      <c r="NYR44" s="51"/>
      <c r="NYS44" s="51"/>
      <c r="NYT44" s="51"/>
      <c r="NYU44" s="51"/>
      <c r="NYV44" s="51"/>
      <c r="NYW44" s="51"/>
      <c r="NYX44" s="51"/>
      <c r="NYY44" s="51"/>
      <c r="NYZ44" s="51"/>
      <c r="NZA44" s="51"/>
      <c r="NZB44" s="51"/>
      <c r="NZC44" s="51"/>
      <c r="NZD44" s="51"/>
      <c r="NZE44" s="51"/>
      <c r="NZF44" s="51"/>
      <c r="NZG44" s="51"/>
      <c r="NZH44" s="51"/>
      <c r="NZI44" s="51"/>
      <c r="NZJ44" s="51"/>
      <c r="NZK44" s="51"/>
      <c r="NZL44" s="51"/>
      <c r="NZM44" s="51"/>
      <c r="NZN44" s="51"/>
      <c r="NZO44" s="51"/>
      <c r="NZP44" s="51"/>
      <c r="NZQ44" s="51"/>
      <c r="NZR44" s="51"/>
      <c r="NZS44" s="51"/>
      <c r="NZT44" s="51"/>
      <c r="NZU44" s="51"/>
      <c r="NZV44" s="51"/>
      <c r="NZW44" s="51"/>
      <c r="NZX44" s="51"/>
      <c r="NZY44" s="51"/>
      <c r="NZZ44" s="51"/>
      <c r="OAA44" s="51"/>
      <c r="OAB44" s="51"/>
      <c r="OAC44" s="51"/>
      <c r="OAD44" s="51"/>
      <c r="OAE44" s="51"/>
      <c r="OAF44" s="51"/>
      <c r="OAG44" s="51"/>
      <c r="OAH44" s="51"/>
      <c r="OAI44" s="51"/>
      <c r="OAJ44" s="51"/>
      <c r="OAK44" s="51"/>
      <c r="OAL44" s="51"/>
      <c r="OAM44" s="51"/>
      <c r="OAN44" s="51"/>
      <c r="OAO44" s="51"/>
      <c r="OAP44" s="51"/>
      <c r="OAQ44" s="51"/>
      <c r="OAR44" s="51"/>
      <c r="OAS44" s="51"/>
      <c r="OAT44" s="51"/>
      <c r="OAU44" s="51"/>
      <c r="OAV44" s="51"/>
      <c r="OAW44" s="51"/>
      <c r="OAX44" s="51"/>
      <c r="OAY44" s="51"/>
      <c r="OAZ44" s="51"/>
      <c r="OBA44" s="51"/>
      <c r="OBB44" s="51"/>
      <c r="OBC44" s="51"/>
      <c r="OBD44" s="51"/>
      <c r="OBE44" s="51"/>
      <c r="OBF44" s="51"/>
      <c r="OBG44" s="51"/>
      <c r="OBH44" s="51"/>
      <c r="OBI44" s="51"/>
      <c r="OBJ44" s="51"/>
      <c r="OBK44" s="51"/>
      <c r="OBL44" s="51"/>
      <c r="OBM44" s="51"/>
      <c r="OBN44" s="51"/>
      <c r="OBO44" s="51"/>
      <c r="OBP44" s="51"/>
      <c r="OBQ44" s="51"/>
      <c r="OBR44" s="51"/>
      <c r="OBS44" s="51"/>
      <c r="OBT44" s="51"/>
      <c r="OBU44" s="51"/>
      <c r="OBV44" s="51"/>
      <c r="OBW44" s="51"/>
      <c r="OBX44" s="51"/>
      <c r="OBY44" s="51"/>
      <c r="OBZ44" s="51"/>
      <c r="OCA44" s="51"/>
      <c r="OCB44" s="51"/>
      <c r="OCC44" s="51"/>
      <c r="OCD44" s="51"/>
      <c r="OCE44" s="51"/>
      <c r="OCF44" s="51"/>
      <c r="OCG44" s="51"/>
      <c r="OCH44" s="51"/>
      <c r="OCI44" s="51"/>
      <c r="OCJ44" s="51"/>
      <c r="OCK44" s="51"/>
      <c r="OCL44" s="51"/>
      <c r="OCM44" s="51"/>
      <c r="OCN44" s="51"/>
      <c r="OCO44" s="51"/>
      <c r="OCP44" s="51"/>
      <c r="OCQ44" s="51"/>
      <c r="OCR44" s="51"/>
      <c r="OCS44" s="51"/>
      <c r="OCT44" s="51"/>
      <c r="OCU44" s="51"/>
      <c r="OCV44" s="51"/>
      <c r="OCW44" s="51"/>
      <c r="OCX44" s="51"/>
      <c r="OCY44" s="51"/>
      <c r="OCZ44" s="51"/>
      <c r="ODA44" s="51"/>
      <c r="ODB44" s="51"/>
      <c r="ODC44" s="51"/>
      <c r="ODD44" s="51"/>
      <c r="ODE44" s="51"/>
      <c r="ODF44" s="51"/>
      <c r="ODG44" s="51"/>
      <c r="ODH44" s="51"/>
      <c r="ODI44" s="51"/>
      <c r="ODJ44" s="51"/>
      <c r="ODK44" s="51"/>
      <c r="ODL44" s="51"/>
      <c r="ODM44" s="51"/>
      <c r="ODN44" s="51"/>
      <c r="ODO44" s="51"/>
      <c r="ODP44" s="51"/>
      <c r="ODQ44" s="51"/>
      <c r="ODR44" s="51"/>
      <c r="ODS44" s="51"/>
      <c r="ODT44" s="51"/>
      <c r="ODU44" s="51"/>
      <c r="ODV44" s="51"/>
      <c r="ODW44" s="51"/>
      <c r="ODX44" s="51"/>
      <c r="ODY44" s="51"/>
      <c r="ODZ44" s="51"/>
      <c r="OEA44" s="51"/>
      <c r="OEB44" s="51"/>
      <c r="OEC44" s="51"/>
      <c r="OED44" s="51"/>
      <c r="OEE44" s="51"/>
      <c r="OEF44" s="51"/>
      <c r="OEG44" s="51"/>
      <c r="OEH44" s="51"/>
      <c r="OEI44" s="51"/>
      <c r="OEJ44" s="51"/>
      <c r="OEK44" s="51"/>
      <c r="OEL44" s="51"/>
      <c r="OEM44" s="51"/>
      <c r="OEN44" s="51"/>
      <c r="OEO44" s="51"/>
      <c r="OEP44" s="51"/>
      <c r="OEQ44" s="51"/>
      <c r="OER44" s="51"/>
      <c r="OES44" s="51"/>
      <c r="OET44" s="51"/>
      <c r="OEU44" s="51"/>
      <c r="OEV44" s="51"/>
      <c r="OEW44" s="51"/>
      <c r="OEX44" s="51"/>
      <c r="OEY44" s="51"/>
      <c r="OEZ44" s="51"/>
      <c r="OFA44" s="51"/>
      <c r="OFB44" s="51"/>
      <c r="OFC44" s="51"/>
      <c r="OFD44" s="51"/>
      <c r="OFE44" s="51"/>
      <c r="OFF44" s="51"/>
      <c r="OFG44" s="51"/>
      <c r="OFH44" s="51"/>
      <c r="OFI44" s="51"/>
      <c r="OFJ44" s="51"/>
      <c r="OFK44" s="51"/>
      <c r="OFL44" s="51"/>
      <c r="OFM44" s="51"/>
      <c r="OFN44" s="51"/>
      <c r="OFO44" s="51"/>
      <c r="OFP44" s="51"/>
      <c r="OFQ44" s="51"/>
      <c r="OFR44" s="51"/>
      <c r="OFS44" s="51"/>
      <c r="OFT44" s="51"/>
      <c r="OFU44" s="51"/>
      <c r="OFV44" s="51"/>
      <c r="OFW44" s="51"/>
      <c r="OFX44" s="51"/>
      <c r="OFY44" s="51"/>
      <c r="OFZ44" s="51"/>
      <c r="OGA44" s="51"/>
      <c r="OGB44" s="51"/>
      <c r="OGC44" s="51"/>
      <c r="OGD44" s="51"/>
      <c r="OGE44" s="51"/>
      <c r="OGF44" s="51"/>
      <c r="OGG44" s="51"/>
      <c r="OGH44" s="51"/>
      <c r="OGI44" s="51"/>
      <c r="OGJ44" s="51"/>
      <c r="OGK44" s="51"/>
      <c r="OGL44" s="51"/>
      <c r="OGM44" s="51"/>
      <c r="OGN44" s="51"/>
      <c r="OGO44" s="51"/>
      <c r="OGP44" s="51"/>
      <c r="OGQ44" s="51"/>
      <c r="OGR44" s="51"/>
      <c r="OGS44" s="51"/>
      <c r="OGT44" s="51"/>
      <c r="OGU44" s="51"/>
      <c r="OGV44" s="51"/>
      <c r="OGW44" s="51"/>
      <c r="OGX44" s="51"/>
      <c r="OGY44" s="51"/>
      <c r="OGZ44" s="51"/>
      <c r="OHA44" s="51"/>
      <c r="OHB44" s="51"/>
      <c r="OHC44" s="51"/>
      <c r="OHD44" s="51"/>
      <c r="OHE44" s="51"/>
      <c r="OHF44" s="51"/>
      <c r="OHG44" s="51"/>
      <c r="OHH44" s="51"/>
      <c r="OHI44" s="51"/>
      <c r="OHJ44" s="51"/>
      <c r="OHK44" s="51"/>
      <c r="OHL44" s="51"/>
      <c r="OHM44" s="51"/>
      <c r="OHN44" s="51"/>
      <c r="OHO44" s="51"/>
      <c r="OHP44" s="51"/>
      <c r="OHQ44" s="51"/>
      <c r="OHR44" s="51"/>
      <c r="OHS44" s="51"/>
      <c r="OHT44" s="51"/>
      <c r="OHU44" s="51"/>
      <c r="OHV44" s="51"/>
      <c r="OHW44" s="51"/>
      <c r="OHX44" s="51"/>
      <c r="OHY44" s="51"/>
      <c r="OHZ44" s="51"/>
      <c r="OIA44" s="51"/>
      <c r="OIB44" s="51"/>
      <c r="OIC44" s="51"/>
      <c r="OID44" s="51"/>
      <c r="OIE44" s="51"/>
      <c r="OIF44" s="51"/>
      <c r="OIG44" s="51"/>
      <c r="OIH44" s="51"/>
      <c r="OII44" s="51"/>
      <c r="OIJ44" s="51"/>
      <c r="OIK44" s="51"/>
      <c r="OIL44" s="51"/>
      <c r="OIM44" s="51"/>
      <c r="OIN44" s="51"/>
      <c r="OIO44" s="51"/>
      <c r="OIP44" s="51"/>
      <c r="OIQ44" s="51"/>
      <c r="OIR44" s="51"/>
      <c r="OIS44" s="51"/>
      <c r="OIT44" s="51"/>
      <c r="OIU44" s="51"/>
      <c r="OIV44" s="51"/>
      <c r="OIW44" s="51"/>
      <c r="OIX44" s="51"/>
      <c r="OIY44" s="51"/>
      <c r="OIZ44" s="51"/>
      <c r="OJA44" s="51"/>
      <c r="OJB44" s="51"/>
      <c r="OJC44" s="51"/>
      <c r="OJD44" s="51"/>
      <c r="OJE44" s="51"/>
      <c r="OJF44" s="51"/>
      <c r="OJG44" s="51"/>
      <c r="OJH44" s="51"/>
      <c r="OJI44" s="51"/>
      <c r="OJJ44" s="51"/>
      <c r="OJK44" s="51"/>
      <c r="OJL44" s="51"/>
      <c r="OJM44" s="51"/>
      <c r="OJN44" s="51"/>
      <c r="OJO44" s="51"/>
      <c r="OJP44" s="51"/>
      <c r="OJQ44" s="51"/>
      <c r="OJR44" s="51"/>
      <c r="OJS44" s="51"/>
      <c r="OJT44" s="51"/>
      <c r="OJU44" s="51"/>
      <c r="OJV44" s="51"/>
      <c r="OJW44" s="51"/>
      <c r="OJX44" s="51"/>
      <c r="OJY44" s="51"/>
      <c r="OJZ44" s="51"/>
      <c r="OKA44" s="51"/>
      <c r="OKB44" s="51"/>
      <c r="OKC44" s="51"/>
      <c r="OKD44" s="51"/>
      <c r="OKE44" s="51"/>
      <c r="OKF44" s="51"/>
      <c r="OKG44" s="51"/>
      <c r="OKH44" s="51"/>
      <c r="OKI44" s="51"/>
      <c r="OKJ44" s="51"/>
      <c r="OKK44" s="51"/>
      <c r="OKL44" s="51"/>
      <c r="OKM44" s="51"/>
      <c r="OKN44" s="51"/>
      <c r="OKO44" s="51"/>
      <c r="OKP44" s="51"/>
      <c r="OKQ44" s="51"/>
      <c r="OKR44" s="51"/>
      <c r="OKS44" s="51"/>
      <c r="OKT44" s="51"/>
      <c r="OKU44" s="51"/>
      <c r="OKV44" s="51"/>
      <c r="OKW44" s="51"/>
      <c r="OKX44" s="51"/>
      <c r="OKY44" s="51"/>
      <c r="OKZ44" s="51"/>
      <c r="OLA44" s="51"/>
      <c r="OLB44" s="51"/>
      <c r="OLC44" s="51"/>
      <c r="OLD44" s="51"/>
      <c r="OLE44" s="51"/>
      <c r="OLF44" s="51"/>
      <c r="OLG44" s="51"/>
      <c r="OLH44" s="51"/>
      <c r="OLI44" s="51"/>
      <c r="OLJ44" s="51"/>
      <c r="OLK44" s="51"/>
      <c r="OLL44" s="51"/>
      <c r="OLM44" s="51"/>
      <c r="OLN44" s="51"/>
      <c r="OLO44" s="51"/>
      <c r="OLP44" s="51"/>
      <c r="OLQ44" s="51"/>
      <c r="OLR44" s="51"/>
      <c r="OLS44" s="51"/>
      <c r="OLT44" s="51"/>
      <c r="OLU44" s="51"/>
      <c r="OLV44" s="51"/>
      <c r="OLW44" s="51"/>
      <c r="OLX44" s="51"/>
      <c r="OLY44" s="51"/>
      <c r="OLZ44" s="51"/>
      <c r="OMA44" s="51"/>
      <c r="OMB44" s="51"/>
      <c r="OMC44" s="51"/>
      <c r="OMD44" s="51"/>
      <c r="OME44" s="51"/>
      <c r="OMF44" s="51"/>
      <c r="OMG44" s="51"/>
      <c r="OMH44" s="51"/>
      <c r="OMI44" s="51"/>
      <c r="OMJ44" s="51"/>
      <c r="OMK44" s="51"/>
      <c r="OML44" s="51"/>
      <c r="OMM44" s="51"/>
      <c r="OMN44" s="51"/>
      <c r="OMO44" s="51"/>
      <c r="OMP44" s="51"/>
      <c r="OMQ44" s="51"/>
      <c r="OMR44" s="51"/>
      <c r="OMS44" s="51"/>
      <c r="OMT44" s="51"/>
      <c r="OMU44" s="51"/>
      <c r="OMV44" s="51"/>
      <c r="OMW44" s="51"/>
      <c r="OMX44" s="51"/>
      <c r="OMY44" s="51"/>
      <c r="OMZ44" s="51"/>
      <c r="ONA44" s="51"/>
      <c r="ONB44" s="51"/>
      <c r="ONC44" s="51"/>
      <c r="OND44" s="51"/>
      <c r="ONE44" s="51"/>
      <c r="ONF44" s="51"/>
      <c r="ONG44" s="51"/>
      <c r="ONH44" s="51"/>
      <c r="ONI44" s="51"/>
      <c r="ONJ44" s="51"/>
      <c r="ONK44" s="51"/>
      <c r="ONL44" s="51"/>
      <c r="ONM44" s="51"/>
      <c r="ONN44" s="51"/>
      <c r="ONO44" s="51"/>
      <c r="ONP44" s="51"/>
      <c r="ONQ44" s="51"/>
      <c r="ONR44" s="51"/>
      <c r="ONS44" s="51"/>
      <c r="ONT44" s="51"/>
      <c r="ONU44" s="51"/>
      <c r="ONV44" s="51"/>
      <c r="ONW44" s="51"/>
      <c r="ONX44" s="51"/>
      <c r="ONY44" s="51"/>
      <c r="ONZ44" s="51"/>
      <c r="OOA44" s="51"/>
      <c r="OOB44" s="51"/>
      <c r="OOC44" s="51"/>
      <c r="OOD44" s="51"/>
      <c r="OOE44" s="51"/>
      <c r="OOF44" s="51"/>
      <c r="OOG44" s="51"/>
      <c r="OOH44" s="51"/>
      <c r="OOI44" s="51"/>
      <c r="OOJ44" s="51"/>
      <c r="OOK44" s="51"/>
      <c r="OOL44" s="51"/>
      <c r="OOM44" s="51"/>
      <c r="OON44" s="51"/>
      <c r="OOO44" s="51"/>
      <c r="OOP44" s="51"/>
      <c r="OOQ44" s="51"/>
      <c r="OOR44" s="51"/>
      <c r="OOS44" s="51"/>
      <c r="OOT44" s="51"/>
      <c r="OOU44" s="51"/>
      <c r="OOV44" s="51"/>
      <c r="OOW44" s="51"/>
      <c r="OOX44" s="51"/>
      <c r="OOY44" s="51"/>
      <c r="OOZ44" s="51"/>
      <c r="OPA44" s="51"/>
      <c r="OPB44" s="51"/>
      <c r="OPC44" s="51"/>
      <c r="OPD44" s="51"/>
      <c r="OPE44" s="51"/>
      <c r="OPF44" s="51"/>
      <c r="OPG44" s="51"/>
      <c r="OPH44" s="51"/>
      <c r="OPI44" s="51"/>
      <c r="OPJ44" s="51"/>
      <c r="OPK44" s="51"/>
      <c r="OPL44" s="51"/>
      <c r="OPM44" s="51"/>
      <c r="OPN44" s="51"/>
      <c r="OPO44" s="51"/>
      <c r="OPP44" s="51"/>
      <c r="OPQ44" s="51"/>
      <c r="OPR44" s="51"/>
      <c r="OPS44" s="51"/>
      <c r="OPT44" s="51"/>
      <c r="OPU44" s="51"/>
      <c r="OPV44" s="51"/>
      <c r="OPW44" s="51"/>
      <c r="OPX44" s="51"/>
      <c r="OPY44" s="51"/>
      <c r="OPZ44" s="51"/>
      <c r="OQA44" s="51"/>
      <c r="OQB44" s="51"/>
      <c r="OQC44" s="51"/>
      <c r="OQD44" s="51"/>
      <c r="OQE44" s="51"/>
      <c r="OQF44" s="51"/>
      <c r="OQG44" s="51"/>
      <c r="OQH44" s="51"/>
      <c r="OQI44" s="51"/>
      <c r="OQJ44" s="51"/>
      <c r="OQK44" s="51"/>
      <c r="OQL44" s="51"/>
      <c r="OQM44" s="51"/>
      <c r="OQN44" s="51"/>
      <c r="OQO44" s="51"/>
      <c r="OQP44" s="51"/>
      <c r="OQQ44" s="51"/>
      <c r="OQR44" s="51"/>
      <c r="OQS44" s="51"/>
      <c r="OQT44" s="51"/>
      <c r="OQU44" s="51"/>
      <c r="OQV44" s="51"/>
      <c r="OQW44" s="51"/>
      <c r="OQX44" s="51"/>
      <c r="OQY44" s="51"/>
      <c r="OQZ44" s="51"/>
      <c r="ORA44" s="51"/>
      <c r="ORB44" s="51"/>
      <c r="ORC44" s="51"/>
      <c r="ORD44" s="51"/>
      <c r="ORE44" s="51"/>
      <c r="ORF44" s="51"/>
      <c r="ORG44" s="51"/>
      <c r="ORH44" s="51"/>
      <c r="ORI44" s="51"/>
      <c r="ORJ44" s="51"/>
      <c r="ORK44" s="51"/>
      <c r="ORL44" s="51"/>
      <c r="ORM44" s="51"/>
      <c r="ORN44" s="51"/>
      <c r="ORO44" s="51"/>
      <c r="ORP44" s="51"/>
      <c r="ORQ44" s="51"/>
      <c r="ORR44" s="51"/>
      <c r="ORS44" s="51"/>
      <c r="ORT44" s="51"/>
      <c r="ORU44" s="51"/>
      <c r="ORV44" s="51"/>
      <c r="ORW44" s="51"/>
      <c r="ORX44" s="51"/>
      <c r="ORY44" s="51"/>
      <c r="ORZ44" s="51"/>
      <c r="OSA44" s="51"/>
      <c r="OSB44" s="51"/>
      <c r="OSC44" s="51"/>
      <c r="OSD44" s="51"/>
      <c r="OSE44" s="51"/>
      <c r="OSF44" s="51"/>
      <c r="OSG44" s="51"/>
      <c r="OSH44" s="51"/>
      <c r="OSI44" s="51"/>
      <c r="OSJ44" s="51"/>
      <c r="OSK44" s="51"/>
      <c r="OSL44" s="51"/>
      <c r="OSM44" s="51"/>
      <c r="OSN44" s="51"/>
      <c r="OSO44" s="51"/>
      <c r="OSP44" s="51"/>
      <c r="OSQ44" s="51"/>
      <c r="OSR44" s="51"/>
      <c r="OSS44" s="51"/>
      <c r="OST44" s="51"/>
      <c r="OSU44" s="51"/>
      <c r="OSV44" s="51"/>
      <c r="OSW44" s="51"/>
      <c r="OSX44" s="51"/>
      <c r="OSY44" s="51"/>
      <c r="OSZ44" s="51"/>
      <c r="OTA44" s="51"/>
      <c r="OTB44" s="51"/>
      <c r="OTC44" s="51"/>
      <c r="OTD44" s="51"/>
      <c r="OTE44" s="51"/>
      <c r="OTF44" s="51"/>
      <c r="OTG44" s="51"/>
      <c r="OTH44" s="51"/>
      <c r="OTI44" s="51"/>
      <c r="OTJ44" s="51"/>
      <c r="OTK44" s="51"/>
      <c r="OTL44" s="51"/>
      <c r="OTM44" s="51"/>
      <c r="OTN44" s="51"/>
      <c r="OTO44" s="51"/>
      <c r="OTP44" s="51"/>
      <c r="OTQ44" s="51"/>
      <c r="OTR44" s="51"/>
      <c r="OTS44" s="51"/>
      <c r="OTT44" s="51"/>
      <c r="OTU44" s="51"/>
      <c r="OTV44" s="51"/>
      <c r="OTW44" s="51"/>
      <c r="OTX44" s="51"/>
      <c r="OTY44" s="51"/>
      <c r="OTZ44" s="51"/>
      <c r="OUA44" s="51"/>
      <c r="OUB44" s="51"/>
      <c r="OUC44" s="51"/>
      <c r="OUD44" s="51"/>
      <c r="OUE44" s="51"/>
      <c r="OUF44" s="51"/>
      <c r="OUG44" s="51"/>
      <c r="OUH44" s="51"/>
      <c r="OUI44" s="51"/>
      <c r="OUJ44" s="51"/>
      <c r="OUK44" s="51"/>
      <c r="OUL44" s="51"/>
      <c r="OUM44" s="51"/>
      <c r="OUN44" s="51"/>
      <c r="OUO44" s="51"/>
      <c r="OUP44" s="51"/>
      <c r="OUQ44" s="51"/>
      <c r="OUR44" s="51"/>
      <c r="OUS44" s="51"/>
      <c r="OUT44" s="51"/>
      <c r="OUU44" s="51"/>
      <c r="OUV44" s="51"/>
      <c r="OUW44" s="51"/>
      <c r="OUX44" s="51"/>
      <c r="OUY44" s="51"/>
      <c r="OUZ44" s="51"/>
      <c r="OVA44" s="51"/>
      <c r="OVB44" s="51"/>
      <c r="OVC44" s="51"/>
      <c r="OVD44" s="51"/>
      <c r="OVE44" s="51"/>
      <c r="OVF44" s="51"/>
      <c r="OVG44" s="51"/>
      <c r="OVH44" s="51"/>
      <c r="OVI44" s="51"/>
      <c r="OVJ44" s="51"/>
      <c r="OVK44" s="51"/>
      <c r="OVL44" s="51"/>
      <c r="OVM44" s="51"/>
      <c r="OVN44" s="51"/>
      <c r="OVO44" s="51"/>
      <c r="OVP44" s="51"/>
      <c r="OVQ44" s="51"/>
      <c r="OVR44" s="51"/>
      <c r="OVS44" s="51"/>
      <c r="OVT44" s="51"/>
      <c r="OVU44" s="51"/>
      <c r="OVV44" s="51"/>
      <c r="OVW44" s="51"/>
      <c r="OVX44" s="51"/>
      <c r="OVY44" s="51"/>
      <c r="OVZ44" s="51"/>
      <c r="OWA44" s="51"/>
      <c r="OWB44" s="51"/>
      <c r="OWC44" s="51"/>
      <c r="OWD44" s="51"/>
      <c r="OWE44" s="51"/>
      <c r="OWF44" s="51"/>
      <c r="OWG44" s="51"/>
      <c r="OWH44" s="51"/>
      <c r="OWI44" s="51"/>
      <c r="OWJ44" s="51"/>
      <c r="OWK44" s="51"/>
      <c r="OWL44" s="51"/>
      <c r="OWM44" s="51"/>
      <c r="OWN44" s="51"/>
      <c r="OWO44" s="51"/>
      <c r="OWP44" s="51"/>
      <c r="OWQ44" s="51"/>
      <c r="OWR44" s="51"/>
      <c r="OWS44" s="51"/>
      <c r="OWT44" s="51"/>
      <c r="OWU44" s="51"/>
      <c r="OWV44" s="51"/>
      <c r="OWW44" s="51"/>
      <c r="OWX44" s="51"/>
      <c r="OWY44" s="51"/>
      <c r="OWZ44" s="51"/>
      <c r="OXA44" s="51"/>
      <c r="OXB44" s="51"/>
      <c r="OXC44" s="51"/>
      <c r="OXD44" s="51"/>
      <c r="OXE44" s="51"/>
      <c r="OXF44" s="51"/>
      <c r="OXG44" s="51"/>
      <c r="OXH44" s="51"/>
      <c r="OXI44" s="51"/>
      <c r="OXJ44" s="51"/>
      <c r="OXK44" s="51"/>
      <c r="OXL44" s="51"/>
      <c r="OXM44" s="51"/>
      <c r="OXN44" s="51"/>
      <c r="OXO44" s="51"/>
      <c r="OXP44" s="51"/>
      <c r="OXQ44" s="51"/>
      <c r="OXR44" s="51"/>
      <c r="OXS44" s="51"/>
      <c r="OXT44" s="51"/>
      <c r="OXU44" s="51"/>
      <c r="OXV44" s="51"/>
      <c r="OXW44" s="51"/>
      <c r="OXX44" s="51"/>
      <c r="OXY44" s="51"/>
      <c r="OXZ44" s="51"/>
      <c r="OYA44" s="51"/>
      <c r="OYB44" s="51"/>
      <c r="OYC44" s="51"/>
      <c r="OYD44" s="51"/>
      <c r="OYE44" s="51"/>
      <c r="OYF44" s="51"/>
      <c r="OYG44" s="51"/>
      <c r="OYH44" s="51"/>
      <c r="OYI44" s="51"/>
      <c r="OYJ44" s="51"/>
      <c r="OYK44" s="51"/>
      <c r="OYL44" s="51"/>
      <c r="OYM44" s="51"/>
      <c r="OYN44" s="51"/>
      <c r="OYO44" s="51"/>
      <c r="OYP44" s="51"/>
      <c r="OYQ44" s="51"/>
      <c r="OYR44" s="51"/>
      <c r="OYS44" s="51"/>
      <c r="OYT44" s="51"/>
      <c r="OYU44" s="51"/>
      <c r="OYV44" s="51"/>
      <c r="OYW44" s="51"/>
      <c r="OYX44" s="51"/>
      <c r="OYY44" s="51"/>
      <c r="OYZ44" s="51"/>
      <c r="OZA44" s="51"/>
      <c r="OZB44" s="51"/>
      <c r="OZC44" s="51"/>
      <c r="OZD44" s="51"/>
      <c r="OZE44" s="51"/>
      <c r="OZF44" s="51"/>
      <c r="OZG44" s="51"/>
      <c r="OZH44" s="51"/>
      <c r="OZI44" s="51"/>
      <c r="OZJ44" s="51"/>
      <c r="OZK44" s="51"/>
      <c r="OZL44" s="51"/>
      <c r="OZM44" s="51"/>
      <c r="OZN44" s="51"/>
      <c r="OZO44" s="51"/>
      <c r="OZP44" s="51"/>
      <c r="OZQ44" s="51"/>
      <c r="OZR44" s="51"/>
      <c r="OZS44" s="51"/>
      <c r="OZT44" s="51"/>
      <c r="OZU44" s="51"/>
      <c r="OZV44" s="51"/>
      <c r="OZW44" s="51"/>
      <c r="OZX44" s="51"/>
      <c r="OZY44" s="51"/>
      <c r="OZZ44" s="51"/>
      <c r="PAA44" s="51"/>
      <c r="PAB44" s="51"/>
      <c r="PAC44" s="51"/>
      <c r="PAD44" s="51"/>
      <c r="PAE44" s="51"/>
      <c r="PAF44" s="51"/>
      <c r="PAG44" s="51"/>
      <c r="PAH44" s="51"/>
      <c r="PAI44" s="51"/>
      <c r="PAJ44" s="51"/>
      <c r="PAK44" s="51"/>
      <c r="PAL44" s="51"/>
      <c r="PAM44" s="51"/>
      <c r="PAN44" s="51"/>
      <c r="PAO44" s="51"/>
      <c r="PAP44" s="51"/>
      <c r="PAQ44" s="51"/>
      <c r="PAR44" s="51"/>
      <c r="PAS44" s="51"/>
      <c r="PAT44" s="51"/>
      <c r="PAU44" s="51"/>
      <c r="PAV44" s="51"/>
      <c r="PAW44" s="51"/>
      <c r="PAX44" s="51"/>
      <c r="PAY44" s="51"/>
      <c r="PAZ44" s="51"/>
      <c r="PBA44" s="51"/>
      <c r="PBB44" s="51"/>
      <c r="PBC44" s="51"/>
      <c r="PBD44" s="51"/>
      <c r="PBE44" s="51"/>
      <c r="PBF44" s="51"/>
      <c r="PBG44" s="51"/>
      <c r="PBH44" s="51"/>
      <c r="PBI44" s="51"/>
      <c r="PBJ44" s="51"/>
      <c r="PBK44" s="51"/>
      <c r="PBL44" s="51"/>
      <c r="PBM44" s="51"/>
      <c r="PBN44" s="51"/>
      <c r="PBO44" s="51"/>
      <c r="PBP44" s="51"/>
      <c r="PBQ44" s="51"/>
      <c r="PBR44" s="51"/>
      <c r="PBS44" s="51"/>
      <c r="PBT44" s="51"/>
      <c r="PBU44" s="51"/>
      <c r="PBV44" s="51"/>
      <c r="PBW44" s="51"/>
      <c r="PBX44" s="51"/>
      <c r="PBY44" s="51"/>
      <c r="PBZ44" s="51"/>
      <c r="PCA44" s="51"/>
      <c r="PCB44" s="51"/>
      <c r="PCC44" s="51"/>
      <c r="PCD44" s="51"/>
      <c r="PCE44" s="51"/>
      <c r="PCF44" s="51"/>
      <c r="PCG44" s="51"/>
      <c r="PCH44" s="51"/>
      <c r="PCI44" s="51"/>
      <c r="PCJ44" s="51"/>
      <c r="PCK44" s="51"/>
      <c r="PCL44" s="51"/>
      <c r="PCM44" s="51"/>
      <c r="PCN44" s="51"/>
      <c r="PCO44" s="51"/>
      <c r="PCP44" s="51"/>
      <c r="PCQ44" s="51"/>
      <c r="PCR44" s="51"/>
      <c r="PCS44" s="51"/>
      <c r="PCT44" s="51"/>
      <c r="PCU44" s="51"/>
      <c r="PCV44" s="51"/>
      <c r="PCW44" s="51"/>
      <c r="PCX44" s="51"/>
      <c r="PCY44" s="51"/>
      <c r="PCZ44" s="51"/>
      <c r="PDA44" s="51"/>
      <c r="PDB44" s="51"/>
      <c r="PDC44" s="51"/>
      <c r="PDD44" s="51"/>
      <c r="PDE44" s="51"/>
      <c r="PDF44" s="51"/>
      <c r="PDG44" s="51"/>
      <c r="PDH44" s="51"/>
      <c r="PDI44" s="51"/>
      <c r="PDJ44" s="51"/>
      <c r="PDK44" s="51"/>
      <c r="PDL44" s="51"/>
      <c r="PDM44" s="51"/>
      <c r="PDN44" s="51"/>
      <c r="PDO44" s="51"/>
      <c r="PDP44" s="51"/>
      <c r="PDQ44" s="51"/>
      <c r="PDR44" s="51"/>
      <c r="PDS44" s="51"/>
      <c r="PDT44" s="51"/>
      <c r="PDU44" s="51"/>
      <c r="PDV44" s="51"/>
      <c r="PDW44" s="51"/>
      <c r="PDX44" s="51"/>
      <c r="PDY44" s="51"/>
      <c r="PDZ44" s="51"/>
      <c r="PEA44" s="51"/>
      <c r="PEB44" s="51"/>
      <c r="PEC44" s="51"/>
      <c r="PED44" s="51"/>
      <c r="PEE44" s="51"/>
      <c r="PEF44" s="51"/>
      <c r="PEG44" s="51"/>
      <c r="PEH44" s="51"/>
      <c r="PEI44" s="51"/>
      <c r="PEJ44" s="51"/>
      <c r="PEK44" s="51"/>
      <c r="PEL44" s="51"/>
      <c r="PEM44" s="51"/>
      <c r="PEN44" s="51"/>
      <c r="PEO44" s="51"/>
      <c r="PEP44" s="51"/>
      <c r="PEQ44" s="51"/>
      <c r="PER44" s="51"/>
      <c r="PES44" s="51"/>
      <c r="PET44" s="51"/>
      <c r="PEU44" s="51"/>
      <c r="PEV44" s="51"/>
      <c r="PEW44" s="51"/>
      <c r="PEX44" s="51"/>
      <c r="PEY44" s="51"/>
      <c r="PEZ44" s="51"/>
      <c r="PFA44" s="51"/>
      <c r="PFB44" s="51"/>
      <c r="PFC44" s="51"/>
      <c r="PFD44" s="51"/>
      <c r="PFE44" s="51"/>
      <c r="PFF44" s="51"/>
      <c r="PFG44" s="51"/>
      <c r="PFH44" s="51"/>
      <c r="PFI44" s="51"/>
      <c r="PFJ44" s="51"/>
      <c r="PFK44" s="51"/>
      <c r="PFL44" s="51"/>
      <c r="PFM44" s="51"/>
      <c r="PFN44" s="51"/>
      <c r="PFO44" s="51"/>
      <c r="PFP44" s="51"/>
      <c r="PFQ44" s="51"/>
      <c r="PFR44" s="51"/>
      <c r="PFS44" s="51"/>
      <c r="PFT44" s="51"/>
      <c r="PFU44" s="51"/>
      <c r="PFV44" s="51"/>
      <c r="PFW44" s="51"/>
      <c r="PFX44" s="51"/>
      <c r="PFY44" s="51"/>
      <c r="PFZ44" s="51"/>
      <c r="PGA44" s="51"/>
      <c r="PGB44" s="51"/>
      <c r="PGC44" s="51"/>
      <c r="PGD44" s="51"/>
      <c r="PGE44" s="51"/>
      <c r="PGF44" s="51"/>
      <c r="PGG44" s="51"/>
      <c r="PGH44" s="51"/>
      <c r="PGI44" s="51"/>
      <c r="PGJ44" s="51"/>
      <c r="PGK44" s="51"/>
      <c r="PGL44" s="51"/>
      <c r="PGM44" s="51"/>
      <c r="PGN44" s="51"/>
      <c r="PGO44" s="51"/>
      <c r="PGP44" s="51"/>
      <c r="PGQ44" s="51"/>
      <c r="PGR44" s="51"/>
      <c r="PGS44" s="51"/>
      <c r="PGT44" s="51"/>
      <c r="PGU44" s="51"/>
      <c r="PGV44" s="51"/>
      <c r="PGW44" s="51"/>
      <c r="PGX44" s="51"/>
      <c r="PGY44" s="51"/>
      <c r="PGZ44" s="51"/>
      <c r="PHA44" s="51"/>
      <c r="PHB44" s="51"/>
      <c r="PHC44" s="51"/>
      <c r="PHD44" s="51"/>
      <c r="PHE44" s="51"/>
      <c r="PHF44" s="51"/>
      <c r="PHG44" s="51"/>
      <c r="PHH44" s="51"/>
      <c r="PHI44" s="51"/>
      <c r="PHJ44" s="51"/>
      <c r="PHK44" s="51"/>
      <c r="PHL44" s="51"/>
      <c r="PHM44" s="51"/>
      <c r="PHN44" s="51"/>
      <c r="PHO44" s="51"/>
      <c r="PHP44" s="51"/>
      <c r="PHQ44" s="51"/>
      <c r="PHR44" s="51"/>
      <c r="PHS44" s="51"/>
      <c r="PHT44" s="51"/>
      <c r="PHU44" s="51"/>
      <c r="PHV44" s="51"/>
      <c r="PHW44" s="51"/>
      <c r="PHX44" s="51"/>
      <c r="PHY44" s="51"/>
      <c r="PHZ44" s="51"/>
      <c r="PIA44" s="51"/>
      <c r="PIB44" s="51"/>
      <c r="PIC44" s="51"/>
      <c r="PID44" s="51"/>
      <c r="PIE44" s="51"/>
      <c r="PIF44" s="51"/>
      <c r="PIG44" s="51"/>
      <c r="PIH44" s="51"/>
      <c r="PII44" s="51"/>
      <c r="PIJ44" s="51"/>
      <c r="PIK44" s="51"/>
      <c r="PIL44" s="51"/>
      <c r="PIM44" s="51"/>
      <c r="PIN44" s="51"/>
      <c r="PIO44" s="51"/>
      <c r="PIP44" s="51"/>
      <c r="PIQ44" s="51"/>
      <c r="PIR44" s="51"/>
      <c r="PIS44" s="51"/>
      <c r="PIT44" s="51"/>
      <c r="PIU44" s="51"/>
      <c r="PIV44" s="51"/>
      <c r="PIW44" s="51"/>
      <c r="PIX44" s="51"/>
      <c r="PIY44" s="51"/>
      <c r="PIZ44" s="51"/>
      <c r="PJA44" s="51"/>
      <c r="PJB44" s="51"/>
      <c r="PJC44" s="51"/>
      <c r="PJD44" s="51"/>
      <c r="PJE44" s="51"/>
      <c r="PJF44" s="51"/>
      <c r="PJG44" s="51"/>
      <c r="PJH44" s="51"/>
      <c r="PJI44" s="51"/>
      <c r="PJJ44" s="51"/>
      <c r="PJK44" s="51"/>
      <c r="PJL44" s="51"/>
      <c r="PJM44" s="51"/>
      <c r="PJN44" s="51"/>
      <c r="PJO44" s="51"/>
      <c r="PJP44" s="51"/>
      <c r="PJQ44" s="51"/>
      <c r="PJR44" s="51"/>
      <c r="PJS44" s="51"/>
      <c r="PJT44" s="51"/>
      <c r="PJU44" s="51"/>
      <c r="PJV44" s="51"/>
      <c r="PJW44" s="51"/>
      <c r="PJX44" s="51"/>
      <c r="PJY44" s="51"/>
      <c r="PJZ44" s="51"/>
      <c r="PKA44" s="51"/>
      <c r="PKB44" s="51"/>
      <c r="PKC44" s="51"/>
      <c r="PKD44" s="51"/>
      <c r="PKE44" s="51"/>
      <c r="PKF44" s="51"/>
      <c r="PKG44" s="51"/>
      <c r="PKH44" s="51"/>
      <c r="PKI44" s="51"/>
      <c r="PKJ44" s="51"/>
      <c r="PKK44" s="51"/>
      <c r="PKL44" s="51"/>
      <c r="PKM44" s="51"/>
      <c r="PKN44" s="51"/>
      <c r="PKO44" s="51"/>
      <c r="PKP44" s="51"/>
      <c r="PKQ44" s="51"/>
      <c r="PKR44" s="51"/>
      <c r="PKS44" s="51"/>
      <c r="PKT44" s="51"/>
      <c r="PKU44" s="51"/>
      <c r="PKV44" s="51"/>
      <c r="PKW44" s="51"/>
      <c r="PKX44" s="51"/>
      <c r="PKY44" s="51"/>
      <c r="PKZ44" s="51"/>
      <c r="PLA44" s="51"/>
      <c r="PLB44" s="51"/>
      <c r="PLC44" s="51"/>
      <c r="PLD44" s="51"/>
      <c r="PLE44" s="51"/>
      <c r="PLF44" s="51"/>
      <c r="PLG44" s="51"/>
      <c r="PLH44" s="51"/>
      <c r="PLI44" s="51"/>
      <c r="PLJ44" s="51"/>
      <c r="PLK44" s="51"/>
      <c r="PLL44" s="51"/>
      <c r="PLM44" s="51"/>
      <c r="PLN44" s="51"/>
      <c r="PLO44" s="51"/>
      <c r="PLP44" s="51"/>
      <c r="PLQ44" s="51"/>
      <c r="PLR44" s="51"/>
      <c r="PLS44" s="51"/>
      <c r="PLT44" s="51"/>
      <c r="PLU44" s="51"/>
      <c r="PLV44" s="51"/>
      <c r="PLW44" s="51"/>
      <c r="PLX44" s="51"/>
      <c r="PLY44" s="51"/>
      <c r="PLZ44" s="51"/>
      <c r="PMA44" s="51"/>
      <c r="PMB44" s="51"/>
      <c r="PMC44" s="51"/>
      <c r="PMD44" s="51"/>
      <c r="PME44" s="51"/>
      <c r="PMF44" s="51"/>
      <c r="PMG44" s="51"/>
      <c r="PMH44" s="51"/>
      <c r="PMI44" s="51"/>
      <c r="PMJ44" s="51"/>
      <c r="PMK44" s="51"/>
      <c r="PML44" s="51"/>
      <c r="PMM44" s="51"/>
      <c r="PMN44" s="51"/>
      <c r="PMO44" s="51"/>
      <c r="PMP44" s="51"/>
      <c r="PMQ44" s="51"/>
      <c r="PMR44" s="51"/>
      <c r="PMS44" s="51"/>
      <c r="PMT44" s="51"/>
      <c r="PMU44" s="51"/>
      <c r="PMV44" s="51"/>
      <c r="PMW44" s="51"/>
      <c r="PMX44" s="51"/>
      <c r="PMY44" s="51"/>
      <c r="PMZ44" s="51"/>
      <c r="PNA44" s="51"/>
      <c r="PNB44" s="51"/>
      <c r="PNC44" s="51"/>
      <c r="PND44" s="51"/>
      <c r="PNE44" s="51"/>
      <c r="PNF44" s="51"/>
      <c r="PNG44" s="51"/>
      <c r="PNH44" s="51"/>
      <c r="PNI44" s="51"/>
      <c r="PNJ44" s="51"/>
      <c r="PNK44" s="51"/>
      <c r="PNL44" s="51"/>
      <c r="PNM44" s="51"/>
      <c r="PNN44" s="51"/>
      <c r="PNO44" s="51"/>
      <c r="PNP44" s="51"/>
      <c r="PNQ44" s="51"/>
      <c r="PNR44" s="51"/>
      <c r="PNS44" s="51"/>
      <c r="PNT44" s="51"/>
      <c r="PNU44" s="51"/>
      <c r="PNV44" s="51"/>
      <c r="PNW44" s="51"/>
      <c r="PNX44" s="51"/>
      <c r="PNY44" s="51"/>
      <c r="PNZ44" s="51"/>
      <c r="POA44" s="51"/>
      <c r="POB44" s="51"/>
      <c r="POC44" s="51"/>
      <c r="POD44" s="51"/>
      <c r="POE44" s="51"/>
      <c r="POF44" s="51"/>
      <c r="POG44" s="51"/>
      <c r="POH44" s="51"/>
      <c r="POI44" s="51"/>
      <c r="POJ44" s="51"/>
      <c r="POK44" s="51"/>
      <c r="POL44" s="51"/>
      <c r="POM44" s="51"/>
      <c r="PON44" s="51"/>
      <c r="POO44" s="51"/>
      <c r="POP44" s="51"/>
      <c r="POQ44" s="51"/>
      <c r="POR44" s="51"/>
      <c r="POS44" s="51"/>
      <c r="POT44" s="51"/>
      <c r="POU44" s="51"/>
      <c r="POV44" s="51"/>
      <c r="POW44" s="51"/>
      <c r="POX44" s="51"/>
      <c r="POY44" s="51"/>
      <c r="POZ44" s="51"/>
      <c r="PPA44" s="51"/>
      <c r="PPB44" s="51"/>
      <c r="PPC44" s="51"/>
      <c r="PPD44" s="51"/>
      <c r="PPE44" s="51"/>
      <c r="PPF44" s="51"/>
      <c r="PPG44" s="51"/>
      <c r="PPH44" s="51"/>
      <c r="PPI44" s="51"/>
      <c r="PPJ44" s="51"/>
      <c r="PPK44" s="51"/>
      <c r="PPL44" s="51"/>
      <c r="PPM44" s="51"/>
      <c r="PPN44" s="51"/>
      <c r="PPO44" s="51"/>
      <c r="PPP44" s="51"/>
      <c r="PPQ44" s="51"/>
      <c r="PPR44" s="51"/>
      <c r="PPS44" s="51"/>
      <c r="PPT44" s="51"/>
      <c r="PPU44" s="51"/>
      <c r="PPV44" s="51"/>
      <c r="PPW44" s="51"/>
      <c r="PPX44" s="51"/>
      <c r="PPY44" s="51"/>
      <c r="PPZ44" s="51"/>
      <c r="PQA44" s="51"/>
      <c r="PQB44" s="51"/>
      <c r="PQC44" s="51"/>
      <c r="PQD44" s="51"/>
      <c r="PQE44" s="51"/>
      <c r="PQF44" s="51"/>
      <c r="PQG44" s="51"/>
      <c r="PQH44" s="51"/>
      <c r="PQI44" s="51"/>
      <c r="PQJ44" s="51"/>
      <c r="PQK44" s="51"/>
      <c r="PQL44" s="51"/>
      <c r="PQM44" s="51"/>
      <c r="PQN44" s="51"/>
      <c r="PQO44" s="51"/>
      <c r="PQP44" s="51"/>
      <c r="PQQ44" s="51"/>
      <c r="PQR44" s="51"/>
      <c r="PQS44" s="51"/>
      <c r="PQT44" s="51"/>
      <c r="PQU44" s="51"/>
      <c r="PQV44" s="51"/>
      <c r="PQW44" s="51"/>
      <c r="PQX44" s="51"/>
      <c r="PQY44" s="51"/>
      <c r="PQZ44" s="51"/>
      <c r="PRA44" s="51"/>
      <c r="PRB44" s="51"/>
      <c r="PRC44" s="51"/>
      <c r="PRD44" s="51"/>
      <c r="PRE44" s="51"/>
      <c r="PRF44" s="51"/>
      <c r="PRG44" s="51"/>
      <c r="PRH44" s="51"/>
      <c r="PRI44" s="51"/>
      <c r="PRJ44" s="51"/>
      <c r="PRK44" s="51"/>
      <c r="PRL44" s="51"/>
      <c r="PRM44" s="51"/>
      <c r="PRN44" s="51"/>
      <c r="PRO44" s="51"/>
      <c r="PRP44" s="51"/>
      <c r="PRQ44" s="51"/>
      <c r="PRR44" s="51"/>
      <c r="PRS44" s="51"/>
      <c r="PRT44" s="51"/>
      <c r="PRU44" s="51"/>
      <c r="PRV44" s="51"/>
      <c r="PRW44" s="51"/>
      <c r="PRX44" s="51"/>
      <c r="PRY44" s="51"/>
      <c r="PRZ44" s="51"/>
      <c r="PSA44" s="51"/>
      <c r="PSB44" s="51"/>
      <c r="PSC44" s="51"/>
      <c r="PSD44" s="51"/>
      <c r="PSE44" s="51"/>
      <c r="PSF44" s="51"/>
      <c r="PSG44" s="51"/>
      <c r="PSH44" s="51"/>
      <c r="PSI44" s="51"/>
      <c r="PSJ44" s="51"/>
      <c r="PSK44" s="51"/>
      <c r="PSL44" s="51"/>
      <c r="PSM44" s="51"/>
      <c r="PSN44" s="51"/>
      <c r="PSO44" s="51"/>
      <c r="PSP44" s="51"/>
      <c r="PSQ44" s="51"/>
      <c r="PSR44" s="51"/>
      <c r="PSS44" s="51"/>
      <c r="PST44" s="51"/>
      <c r="PSU44" s="51"/>
      <c r="PSV44" s="51"/>
      <c r="PSW44" s="51"/>
      <c r="PSX44" s="51"/>
      <c r="PSY44" s="51"/>
      <c r="PSZ44" s="51"/>
      <c r="PTA44" s="51"/>
      <c r="PTB44" s="51"/>
      <c r="PTC44" s="51"/>
      <c r="PTD44" s="51"/>
      <c r="PTE44" s="51"/>
      <c r="PTF44" s="51"/>
      <c r="PTG44" s="51"/>
      <c r="PTH44" s="51"/>
      <c r="PTI44" s="51"/>
      <c r="PTJ44" s="51"/>
      <c r="PTK44" s="51"/>
      <c r="PTL44" s="51"/>
      <c r="PTM44" s="51"/>
      <c r="PTN44" s="51"/>
      <c r="PTO44" s="51"/>
      <c r="PTP44" s="51"/>
      <c r="PTQ44" s="51"/>
      <c r="PTR44" s="51"/>
      <c r="PTS44" s="51"/>
      <c r="PTT44" s="51"/>
      <c r="PTU44" s="51"/>
      <c r="PTV44" s="51"/>
      <c r="PTW44" s="51"/>
      <c r="PTX44" s="51"/>
      <c r="PTY44" s="51"/>
      <c r="PTZ44" s="51"/>
      <c r="PUA44" s="51"/>
      <c r="PUB44" s="51"/>
      <c r="PUC44" s="51"/>
      <c r="PUD44" s="51"/>
      <c r="PUE44" s="51"/>
      <c r="PUF44" s="51"/>
      <c r="PUG44" s="51"/>
      <c r="PUH44" s="51"/>
      <c r="PUI44" s="51"/>
      <c r="PUJ44" s="51"/>
      <c r="PUK44" s="51"/>
      <c r="PUL44" s="51"/>
      <c r="PUM44" s="51"/>
      <c r="PUN44" s="51"/>
      <c r="PUO44" s="51"/>
      <c r="PUP44" s="51"/>
      <c r="PUQ44" s="51"/>
      <c r="PUR44" s="51"/>
      <c r="PUS44" s="51"/>
      <c r="PUT44" s="51"/>
      <c r="PUU44" s="51"/>
      <c r="PUV44" s="51"/>
      <c r="PUW44" s="51"/>
      <c r="PUX44" s="51"/>
      <c r="PUY44" s="51"/>
      <c r="PUZ44" s="51"/>
      <c r="PVA44" s="51"/>
      <c r="PVB44" s="51"/>
      <c r="PVC44" s="51"/>
      <c r="PVD44" s="51"/>
      <c r="PVE44" s="51"/>
      <c r="PVF44" s="51"/>
      <c r="PVG44" s="51"/>
      <c r="PVH44" s="51"/>
      <c r="PVI44" s="51"/>
      <c r="PVJ44" s="51"/>
      <c r="PVK44" s="51"/>
      <c r="PVL44" s="51"/>
      <c r="PVM44" s="51"/>
      <c r="PVN44" s="51"/>
      <c r="PVO44" s="51"/>
      <c r="PVP44" s="51"/>
      <c r="PVQ44" s="51"/>
      <c r="PVR44" s="51"/>
      <c r="PVS44" s="51"/>
      <c r="PVT44" s="51"/>
      <c r="PVU44" s="51"/>
      <c r="PVV44" s="51"/>
      <c r="PVW44" s="51"/>
      <c r="PVX44" s="51"/>
      <c r="PVY44" s="51"/>
      <c r="PVZ44" s="51"/>
      <c r="PWA44" s="51"/>
      <c r="PWB44" s="51"/>
      <c r="PWC44" s="51"/>
      <c r="PWD44" s="51"/>
      <c r="PWE44" s="51"/>
      <c r="PWF44" s="51"/>
      <c r="PWG44" s="51"/>
      <c r="PWH44" s="51"/>
      <c r="PWI44" s="51"/>
      <c r="PWJ44" s="51"/>
      <c r="PWK44" s="51"/>
      <c r="PWL44" s="51"/>
      <c r="PWM44" s="51"/>
      <c r="PWN44" s="51"/>
      <c r="PWO44" s="51"/>
      <c r="PWP44" s="51"/>
      <c r="PWQ44" s="51"/>
      <c r="PWR44" s="51"/>
      <c r="PWS44" s="51"/>
      <c r="PWT44" s="51"/>
      <c r="PWU44" s="51"/>
      <c r="PWV44" s="51"/>
      <c r="PWW44" s="51"/>
      <c r="PWX44" s="51"/>
      <c r="PWY44" s="51"/>
      <c r="PWZ44" s="51"/>
      <c r="PXA44" s="51"/>
      <c r="PXB44" s="51"/>
      <c r="PXC44" s="51"/>
      <c r="PXD44" s="51"/>
      <c r="PXE44" s="51"/>
      <c r="PXF44" s="51"/>
      <c r="PXG44" s="51"/>
      <c r="PXH44" s="51"/>
      <c r="PXI44" s="51"/>
      <c r="PXJ44" s="51"/>
      <c r="PXK44" s="51"/>
      <c r="PXL44" s="51"/>
      <c r="PXM44" s="51"/>
      <c r="PXN44" s="51"/>
      <c r="PXO44" s="51"/>
      <c r="PXP44" s="51"/>
      <c r="PXQ44" s="51"/>
      <c r="PXR44" s="51"/>
      <c r="PXS44" s="51"/>
      <c r="PXT44" s="51"/>
      <c r="PXU44" s="51"/>
      <c r="PXV44" s="51"/>
      <c r="PXW44" s="51"/>
      <c r="PXX44" s="51"/>
      <c r="PXY44" s="51"/>
      <c r="PXZ44" s="51"/>
      <c r="PYA44" s="51"/>
      <c r="PYB44" s="51"/>
      <c r="PYC44" s="51"/>
      <c r="PYD44" s="51"/>
      <c r="PYE44" s="51"/>
      <c r="PYF44" s="51"/>
      <c r="PYG44" s="51"/>
      <c r="PYH44" s="51"/>
      <c r="PYI44" s="51"/>
      <c r="PYJ44" s="51"/>
      <c r="PYK44" s="51"/>
      <c r="PYL44" s="51"/>
      <c r="PYM44" s="51"/>
      <c r="PYN44" s="51"/>
      <c r="PYO44" s="51"/>
      <c r="PYP44" s="51"/>
      <c r="PYQ44" s="51"/>
      <c r="PYR44" s="51"/>
      <c r="PYS44" s="51"/>
      <c r="PYT44" s="51"/>
      <c r="PYU44" s="51"/>
      <c r="PYV44" s="51"/>
      <c r="PYW44" s="51"/>
      <c r="PYX44" s="51"/>
      <c r="PYY44" s="51"/>
      <c r="PYZ44" s="51"/>
      <c r="PZA44" s="51"/>
      <c r="PZB44" s="51"/>
      <c r="PZC44" s="51"/>
      <c r="PZD44" s="51"/>
      <c r="PZE44" s="51"/>
      <c r="PZF44" s="51"/>
      <c r="PZG44" s="51"/>
      <c r="PZH44" s="51"/>
      <c r="PZI44" s="51"/>
      <c r="PZJ44" s="51"/>
      <c r="PZK44" s="51"/>
      <c r="PZL44" s="51"/>
      <c r="PZM44" s="51"/>
      <c r="PZN44" s="51"/>
      <c r="PZO44" s="51"/>
      <c r="PZP44" s="51"/>
      <c r="PZQ44" s="51"/>
      <c r="PZR44" s="51"/>
      <c r="PZS44" s="51"/>
      <c r="PZT44" s="51"/>
      <c r="PZU44" s="51"/>
      <c r="PZV44" s="51"/>
      <c r="PZW44" s="51"/>
      <c r="PZX44" s="51"/>
      <c r="PZY44" s="51"/>
      <c r="PZZ44" s="51"/>
      <c r="QAA44" s="51"/>
      <c r="QAB44" s="51"/>
      <c r="QAC44" s="51"/>
      <c r="QAD44" s="51"/>
      <c r="QAE44" s="51"/>
      <c r="QAF44" s="51"/>
      <c r="QAG44" s="51"/>
      <c r="QAH44" s="51"/>
      <c r="QAI44" s="51"/>
      <c r="QAJ44" s="51"/>
      <c r="QAK44" s="51"/>
      <c r="QAL44" s="51"/>
      <c r="QAM44" s="51"/>
      <c r="QAN44" s="51"/>
      <c r="QAO44" s="51"/>
      <c r="QAP44" s="51"/>
      <c r="QAQ44" s="51"/>
      <c r="QAR44" s="51"/>
      <c r="QAS44" s="51"/>
      <c r="QAT44" s="51"/>
      <c r="QAU44" s="51"/>
      <c r="QAV44" s="51"/>
      <c r="QAW44" s="51"/>
      <c r="QAX44" s="51"/>
      <c r="QAY44" s="51"/>
      <c r="QAZ44" s="51"/>
      <c r="QBA44" s="51"/>
      <c r="QBB44" s="51"/>
      <c r="QBC44" s="51"/>
      <c r="QBD44" s="51"/>
      <c r="QBE44" s="51"/>
      <c r="QBF44" s="51"/>
      <c r="QBG44" s="51"/>
      <c r="QBH44" s="51"/>
      <c r="QBI44" s="51"/>
      <c r="QBJ44" s="51"/>
      <c r="QBK44" s="51"/>
      <c r="QBL44" s="51"/>
      <c r="QBM44" s="51"/>
      <c r="QBN44" s="51"/>
      <c r="QBO44" s="51"/>
      <c r="QBP44" s="51"/>
      <c r="QBQ44" s="51"/>
      <c r="QBR44" s="51"/>
      <c r="QBS44" s="51"/>
      <c r="QBT44" s="51"/>
      <c r="QBU44" s="51"/>
      <c r="QBV44" s="51"/>
      <c r="QBW44" s="51"/>
      <c r="QBX44" s="51"/>
      <c r="QBY44" s="51"/>
      <c r="QBZ44" s="51"/>
      <c r="QCA44" s="51"/>
      <c r="QCB44" s="51"/>
      <c r="QCC44" s="51"/>
      <c r="QCD44" s="51"/>
      <c r="QCE44" s="51"/>
      <c r="QCF44" s="51"/>
      <c r="QCG44" s="51"/>
      <c r="QCH44" s="51"/>
      <c r="QCI44" s="51"/>
      <c r="QCJ44" s="51"/>
      <c r="QCK44" s="51"/>
      <c r="QCL44" s="51"/>
      <c r="QCM44" s="51"/>
      <c r="QCN44" s="51"/>
      <c r="QCO44" s="51"/>
      <c r="QCP44" s="51"/>
      <c r="QCQ44" s="51"/>
      <c r="QCR44" s="51"/>
      <c r="QCS44" s="51"/>
      <c r="QCT44" s="51"/>
      <c r="QCU44" s="51"/>
      <c r="QCV44" s="51"/>
      <c r="QCW44" s="51"/>
      <c r="QCX44" s="51"/>
      <c r="QCY44" s="51"/>
      <c r="QCZ44" s="51"/>
      <c r="QDA44" s="51"/>
      <c r="QDB44" s="51"/>
      <c r="QDC44" s="51"/>
      <c r="QDD44" s="51"/>
      <c r="QDE44" s="51"/>
      <c r="QDF44" s="51"/>
      <c r="QDG44" s="51"/>
      <c r="QDH44" s="51"/>
      <c r="QDI44" s="51"/>
      <c r="QDJ44" s="51"/>
      <c r="QDK44" s="51"/>
      <c r="QDL44" s="51"/>
      <c r="QDM44" s="51"/>
      <c r="QDN44" s="51"/>
      <c r="QDO44" s="51"/>
      <c r="QDP44" s="51"/>
      <c r="QDQ44" s="51"/>
      <c r="QDR44" s="51"/>
      <c r="QDS44" s="51"/>
      <c r="QDT44" s="51"/>
      <c r="QDU44" s="51"/>
      <c r="QDV44" s="51"/>
      <c r="QDW44" s="51"/>
      <c r="QDX44" s="51"/>
      <c r="QDY44" s="51"/>
      <c r="QDZ44" s="51"/>
      <c r="QEA44" s="51"/>
      <c r="QEB44" s="51"/>
      <c r="QEC44" s="51"/>
      <c r="QED44" s="51"/>
      <c r="QEE44" s="51"/>
      <c r="QEF44" s="51"/>
      <c r="QEG44" s="51"/>
      <c r="QEH44" s="51"/>
      <c r="QEI44" s="51"/>
      <c r="QEJ44" s="51"/>
      <c r="QEK44" s="51"/>
      <c r="QEL44" s="51"/>
      <c r="QEM44" s="51"/>
      <c r="QEN44" s="51"/>
      <c r="QEO44" s="51"/>
      <c r="QEP44" s="51"/>
      <c r="QEQ44" s="51"/>
      <c r="QER44" s="51"/>
      <c r="QES44" s="51"/>
      <c r="QET44" s="51"/>
      <c r="QEU44" s="51"/>
      <c r="QEV44" s="51"/>
      <c r="QEW44" s="51"/>
      <c r="QEX44" s="51"/>
      <c r="QEY44" s="51"/>
      <c r="QEZ44" s="51"/>
      <c r="QFA44" s="51"/>
      <c r="QFB44" s="51"/>
      <c r="QFC44" s="51"/>
      <c r="QFD44" s="51"/>
      <c r="QFE44" s="51"/>
      <c r="QFF44" s="51"/>
      <c r="QFG44" s="51"/>
      <c r="QFH44" s="51"/>
      <c r="QFI44" s="51"/>
      <c r="QFJ44" s="51"/>
      <c r="QFK44" s="51"/>
      <c r="QFL44" s="51"/>
      <c r="QFM44" s="51"/>
      <c r="QFN44" s="51"/>
      <c r="QFO44" s="51"/>
      <c r="QFP44" s="51"/>
      <c r="QFQ44" s="51"/>
      <c r="QFR44" s="51"/>
      <c r="QFS44" s="51"/>
      <c r="QFT44" s="51"/>
      <c r="QFU44" s="51"/>
      <c r="QFV44" s="51"/>
      <c r="QFW44" s="51"/>
      <c r="QFX44" s="51"/>
      <c r="QFY44" s="51"/>
      <c r="QFZ44" s="51"/>
      <c r="QGA44" s="51"/>
      <c r="QGB44" s="51"/>
      <c r="QGC44" s="51"/>
      <c r="QGD44" s="51"/>
      <c r="QGE44" s="51"/>
      <c r="QGF44" s="51"/>
      <c r="QGG44" s="51"/>
      <c r="QGH44" s="51"/>
      <c r="QGI44" s="51"/>
      <c r="QGJ44" s="51"/>
      <c r="QGK44" s="51"/>
      <c r="QGL44" s="51"/>
      <c r="QGM44" s="51"/>
      <c r="QGN44" s="51"/>
      <c r="QGO44" s="51"/>
      <c r="QGP44" s="51"/>
      <c r="QGQ44" s="51"/>
      <c r="QGR44" s="51"/>
      <c r="QGS44" s="51"/>
      <c r="QGT44" s="51"/>
      <c r="QGU44" s="51"/>
      <c r="QGV44" s="51"/>
      <c r="QGW44" s="51"/>
      <c r="QGX44" s="51"/>
      <c r="QGY44" s="51"/>
      <c r="QGZ44" s="51"/>
      <c r="QHA44" s="51"/>
      <c r="QHB44" s="51"/>
      <c r="QHC44" s="51"/>
      <c r="QHD44" s="51"/>
      <c r="QHE44" s="51"/>
      <c r="QHF44" s="51"/>
      <c r="QHG44" s="51"/>
      <c r="QHH44" s="51"/>
      <c r="QHI44" s="51"/>
      <c r="QHJ44" s="51"/>
      <c r="QHK44" s="51"/>
      <c r="QHL44" s="51"/>
      <c r="QHM44" s="51"/>
      <c r="QHN44" s="51"/>
      <c r="QHO44" s="51"/>
      <c r="QHP44" s="51"/>
      <c r="QHQ44" s="51"/>
      <c r="QHR44" s="51"/>
      <c r="QHS44" s="51"/>
      <c r="QHT44" s="51"/>
      <c r="QHU44" s="51"/>
      <c r="QHV44" s="51"/>
      <c r="QHW44" s="51"/>
      <c r="QHX44" s="51"/>
      <c r="QHY44" s="51"/>
      <c r="QHZ44" s="51"/>
      <c r="QIA44" s="51"/>
      <c r="QIB44" s="51"/>
      <c r="QIC44" s="51"/>
      <c r="QID44" s="51"/>
      <c r="QIE44" s="51"/>
      <c r="QIF44" s="51"/>
      <c r="QIG44" s="51"/>
      <c r="QIH44" s="51"/>
      <c r="QII44" s="51"/>
      <c r="QIJ44" s="51"/>
      <c r="QIK44" s="51"/>
      <c r="QIL44" s="51"/>
      <c r="QIM44" s="51"/>
      <c r="QIN44" s="51"/>
      <c r="QIO44" s="51"/>
      <c r="QIP44" s="51"/>
      <c r="QIQ44" s="51"/>
      <c r="QIR44" s="51"/>
      <c r="QIS44" s="51"/>
      <c r="QIT44" s="51"/>
      <c r="QIU44" s="51"/>
      <c r="QIV44" s="51"/>
      <c r="QIW44" s="51"/>
      <c r="QIX44" s="51"/>
      <c r="QIY44" s="51"/>
      <c r="QIZ44" s="51"/>
      <c r="QJA44" s="51"/>
      <c r="QJB44" s="51"/>
      <c r="QJC44" s="51"/>
      <c r="QJD44" s="51"/>
      <c r="QJE44" s="51"/>
      <c r="QJF44" s="51"/>
      <c r="QJG44" s="51"/>
      <c r="QJH44" s="51"/>
      <c r="QJI44" s="51"/>
      <c r="QJJ44" s="51"/>
      <c r="QJK44" s="51"/>
      <c r="QJL44" s="51"/>
      <c r="QJM44" s="51"/>
      <c r="QJN44" s="51"/>
      <c r="QJO44" s="51"/>
      <c r="QJP44" s="51"/>
      <c r="QJQ44" s="51"/>
      <c r="QJR44" s="51"/>
      <c r="QJS44" s="51"/>
      <c r="QJT44" s="51"/>
      <c r="QJU44" s="51"/>
      <c r="QJV44" s="51"/>
      <c r="QJW44" s="51"/>
      <c r="QJX44" s="51"/>
      <c r="QJY44" s="51"/>
      <c r="QJZ44" s="51"/>
      <c r="QKA44" s="51"/>
      <c r="QKB44" s="51"/>
      <c r="QKC44" s="51"/>
      <c r="QKD44" s="51"/>
      <c r="QKE44" s="51"/>
      <c r="QKF44" s="51"/>
      <c r="QKG44" s="51"/>
      <c r="QKH44" s="51"/>
      <c r="QKI44" s="51"/>
      <c r="QKJ44" s="51"/>
      <c r="QKK44" s="51"/>
      <c r="QKL44" s="51"/>
      <c r="QKM44" s="51"/>
      <c r="QKN44" s="51"/>
      <c r="QKO44" s="51"/>
      <c r="QKP44" s="51"/>
      <c r="QKQ44" s="51"/>
      <c r="QKR44" s="51"/>
      <c r="QKS44" s="51"/>
      <c r="QKT44" s="51"/>
      <c r="QKU44" s="51"/>
      <c r="QKV44" s="51"/>
      <c r="QKW44" s="51"/>
      <c r="QKX44" s="51"/>
      <c r="QKY44" s="51"/>
      <c r="QKZ44" s="51"/>
      <c r="QLA44" s="51"/>
      <c r="QLB44" s="51"/>
      <c r="QLC44" s="51"/>
      <c r="QLD44" s="51"/>
      <c r="QLE44" s="51"/>
      <c r="QLF44" s="51"/>
      <c r="QLG44" s="51"/>
      <c r="QLH44" s="51"/>
      <c r="QLI44" s="51"/>
      <c r="QLJ44" s="51"/>
      <c r="QLK44" s="51"/>
      <c r="QLL44" s="51"/>
      <c r="QLM44" s="51"/>
      <c r="QLN44" s="51"/>
      <c r="QLO44" s="51"/>
      <c r="QLP44" s="51"/>
      <c r="QLQ44" s="51"/>
      <c r="QLR44" s="51"/>
      <c r="QLS44" s="51"/>
      <c r="QLT44" s="51"/>
      <c r="QLU44" s="51"/>
      <c r="QLV44" s="51"/>
      <c r="QLW44" s="51"/>
      <c r="QLX44" s="51"/>
      <c r="QLY44" s="51"/>
      <c r="QLZ44" s="51"/>
      <c r="QMA44" s="51"/>
      <c r="QMB44" s="51"/>
      <c r="QMC44" s="51"/>
      <c r="QMD44" s="51"/>
      <c r="QME44" s="51"/>
      <c r="QMF44" s="51"/>
      <c r="QMG44" s="51"/>
      <c r="QMH44" s="51"/>
      <c r="QMI44" s="51"/>
      <c r="QMJ44" s="51"/>
      <c r="QMK44" s="51"/>
      <c r="QML44" s="51"/>
      <c r="QMM44" s="51"/>
      <c r="QMN44" s="51"/>
      <c r="QMO44" s="51"/>
      <c r="QMP44" s="51"/>
      <c r="QMQ44" s="51"/>
      <c r="QMR44" s="51"/>
      <c r="QMS44" s="51"/>
      <c r="QMT44" s="51"/>
      <c r="QMU44" s="51"/>
      <c r="QMV44" s="51"/>
      <c r="QMW44" s="51"/>
      <c r="QMX44" s="51"/>
      <c r="QMY44" s="51"/>
      <c r="QMZ44" s="51"/>
      <c r="QNA44" s="51"/>
      <c r="QNB44" s="51"/>
      <c r="QNC44" s="51"/>
      <c r="QND44" s="51"/>
      <c r="QNE44" s="51"/>
      <c r="QNF44" s="51"/>
      <c r="QNG44" s="51"/>
      <c r="QNH44" s="51"/>
      <c r="QNI44" s="51"/>
      <c r="QNJ44" s="51"/>
      <c r="QNK44" s="51"/>
      <c r="QNL44" s="51"/>
      <c r="QNM44" s="51"/>
      <c r="QNN44" s="51"/>
      <c r="QNO44" s="51"/>
      <c r="QNP44" s="51"/>
      <c r="QNQ44" s="51"/>
      <c r="QNR44" s="51"/>
      <c r="QNS44" s="51"/>
      <c r="QNT44" s="51"/>
      <c r="QNU44" s="51"/>
      <c r="QNV44" s="51"/>
      <c r="QNW44" s="51"/>
      <c r="QNX44" s="51"/>
      <c r="QNY44" s="51"/>
      <c r="QNZ44" s="51"/>
      <c r="QOA44" s="51"/>
      <c r="QOB44" s="51"/>
      <c r="QOC44" s="51"/>
      <c r="QOD44" s="51"/>
      <c r="QOE44" s="51"/>
      <c r="QOF44" s="51"/>
      <c r="QOG44" s="51"/>
      <c r="QOH44" s="51"/>
      <c r="QOI44" s="51"/>
      <c r="QOJ44" s="51"/>
      <c r="QOK44" s="51"/>
      <c r="QOL44" s="51"/>
      <c r="QOM44" s="51"/>
      <c r="QON44" s="51"/>
      <c r="QOO44" s="51"/>
      <c r="QOP44" s="51"/>
      <c r="QOQ44" s="51"/>
      <c r="QOR44" s="51"/>
      <c r="QOS44" s="51"/>
      <c r="QOT44" s="51"/>
      <c r="QOU44" s="51"/>
      <c r="QOV44" s="51"/>
      <c r="QOW44" s="51"/>
      <c r="QOX44" s="51"/>
      <c r="QOY44" s="51"/>
      <c r="QOZ44" s="51"/>
      <c r="QPA44" s="51"/>
      <c r="QPB44" s="51"/>
      <c r="QPC44" s="51"/>
      <c r="QPD44" s="51"/>
      <c r="QPE44" s="51"/>
      <c r="QPF44" s="51"/>
      <c r="QPG44" s="51"/>
      <c r="QPH44" s="51"/>
      <c r="QPI44" s="51"/>
      <c r="QPJ44" s="51"/>
      <c r="QPK44" s="51"/>
      <c r="QPL44" s="51"/>
      <c r="QPM44" s="51"/>
      <c r="QPN44" s="51"/>
      <c r="QPO44" s="51"/>
      <c r="QPP44" s="51"/>
      <c r="QPQ44" s="51"/>
      <c r="QPR44" s="51"/>
      <c r="QPS44" s="51"/>
      <c r="QPT44" s="51"/>
      <c r="QPU44" s="51"/>
      <c r="QPV44" s="51"/>
      <c r="QPW44" s="51"/>
      <c r="QPX44" s="51"/>
      <c r="QPY44" s="51"/>
      <c r="QPZ44" s="51"/>
      <c r="QQA44" s="51"/>
      <c r="QQB44" s="51"/>
      <c r="QQC44" s="51"/>
      <c r="QQD44" s="51"/>
      <c r="QQE44" s="51"/>
      <c r="QQF44" s="51"/>
      <c r="QQG44" s="51"/>
      <c r="QQH44" s="51"/>
      <c r="QQI44" s="51"/>
      <c r="QQJ44" s="51"/>
      <c r="QQK44" s="51"/>
      <c r="QQL44" s="51"/>
      <c r="QQM44" s="51"/>
      <c r="QQN44" s="51"/>
      <c r="QQO44" s="51"/>
      <c r="QQP44" s="51"/>
      <c r="QQQ44" s="51"/>
      <c r="QQR44" s="51"/>
      <c r="QQS44" s="51"/>
      <c r="QQT44" s="51"/>
      <c r="QQU44" s="51"/>
      <c r="QQV44" s="51"/>
      <c r="QQW44" s="51"/>
      <c r="QQX44" s="51"/>
      <c r="QQY44" s="51"/>
      <c r="QQZ44" s="51"/>
      <c r="QRA44" s="51"/>
      <c r="QRB44" s="51"/>
      <c r="QRC44" s="51"/>
      <c r="QRD44" s="51"/>
      <c r="QRE44" s="51"/>
      <c r="QRF44" s="51"/>
      <c r="QRG44" s="51"/>
      <c r="QRH44" s="51"/>
      <c r="QRI44" s="51"/>
      <c r="QRJ44" s="51"/>
      <c r="QRK44" s="51"/>
      <c r="QRL44" s="51"/>
      <c r="QRM44" s="51"/>
      <c r="QRN44" s="51"/>
      <c r="QRO44" s="51"/>
      <c r="QRP44" s="51"/>
      <c r="QRQ44" s="51"/>
      <c r="QRR44" s="51"/>
      <c r="QRS44" s="51"/>
      <c r="QRT44" s="51"/>
      <c r="QRU44" s="51"/>
      <c r="QRV44" s="51"/>
      <c r="QRW44" s="51"/>
      <c r="QRX44" s="51"/>
      <c r="QRY44" s="51"/>
      <c r="QRZ44" s="51"/>
      <c r="QSA44" s="51"/>
      <c r="QSB44" s="51"/>
      <c r="QSC44" s="51"/>
      <c r="QSD44" s="51"/>
      <c r="QSE44" s="51"/>
      <c r="QSF44" s="51"/>
      <c r="QSG44" s="51"/>
      <c r="QSH44" s="51"/>
      <c r="QSI44" s="51"/>
      <c r="QSJ44" s="51"/>
      <c r="QSK44" s="51"/>
      <c r="QSL44" s="51"/>
      <c r="QSM44" s="51"/>
      <c r="QSN44" s="51"/>
      <c r="QSO44" s="51"/>
      <c r="QSP44" s="51"/>
      <c r="QSQ44" s="51"/>
      <c r="QSR44" s="51"/>
      <c r="QSS44" s="51"/>
      <c r="QST44" s="51"/>
      <c r="QSU44" s="51"/>
      <c r="QSV44" s="51"/>
      <c r="QSW44" s="51"/>
      <c r="QSX44" s="51"/>
      <c r="QSY44" s="51"/>
      <c r="QSZ44" s="51"/>
      <c r="QTA44" s="51"/>
      <c r="QTB44" s="51"/>
      <c r="QTC44" s="51"/>
      <c r="QTD44" s="51"/>
      <c r="QTE44" s="51"/>
      <c r="QTF44" s="51"/>
      <c r="QTG44" s="51"/>
      <c r="QTH44" s="51"/>
      <c r="QTI44" s="51"/>
      <c r="QTJ44" s="51"/>
      <c r="QTK44" s="51"/>
      <c r="QTL44" s="51"/>
      <c r="QTM44" s="51"/>
      <c r="QTN44" s="51"/>
      <c r="QTO44" s="51"/>
      <c r="QTP44" s="51"/>
      <c r="QTQ44" s="51"/>
      <c r="QTR44" s="51"/>
      <c r="QTS44" s="51"/>
      <c r="QTT44" s="51"/>
      <c r="QTU44" s="51"/>
      <c r="QTV44" s="51"/>
      <c r="QTW44" s="51"/>
      <c r="QTX44" s="51"/>
      <c r="QTY44" s="51"/>
      <c r="QTZ44" s="51"/>
      <c r="QUA44" s="51"/>
      <c r="QUB44" s="51"/>
      <c r="QUC44" s="51"/>
      <c r="QUD44" s="51"/>
      <c r="QUE44" s="51"/>
      <c r="QUF44" s="51"/>
      <c r="QUG44" s="51"/>
      <c r="QUH44" s="51"/>
      <c r="QUI44" s="51"/>
      <c r="QUJ44" s="51"/>
      <c r="QUK44" s="51"/>
      <c r="QUL44" s="51"/>
      <c r="QUM44" s="51"/>
      <c r="QUN44" s="51"/>
      <c r="QUO44" s="51"/>
      <c r="QUP44" s="51"/>
      <c r="QUQ44" s="51"/>
      <c r="QUR44" s="51"/>
      <c r="QUS44" s="51"/>
      <c r="QUT44" s="51"/>
      <c r="QUU44" s="51"/>
      <c r="QUV44" s="51"/>
      <c r="QUW44" s="51"/>
      <c r="QUX44" s="51"/>
      <c r="QUY44" s="51"/>
      <c r="QUZ44" s="51"/>
      <c r="QVA44" s="51"/>
      <c r="QVB44" s="51"/>
      <c r="QVC44" s="51"/>
      <c r="QVD44" s="51"/>
      <c r="QVE44" s="51"/>
      <c r="QVF44" s="51"/>
      <c r="QVG44" s="51"/>
      <c r="QVH44" s="51"/>
      <c r="QVI44" s="51"/>
      <c r="QVJ44" s="51"/>
      <c r="QVK44" s="51"/>
      <c r="QVL44" s="51"/>
      <c r="QVM44" s="51"/>
      <c r="QVN44" s="51"/>
      <c r="QVO44" s="51"/>
      <c r="QVP44" s="51"/>
      <c r="QVQ44" s="51"/>
      <c r="QVR44" s="51"/>
      <c r="QVS44" s="51"/>
      <c r="QVT44" s="51"/>
      <c r="QVU44" s="51"/>
      <c r="QVV44" s="51"/>
      <c r="QVW44" s="51"/>
      <c r="QVX44" s="51"/>
      <c r="QVY44" s="51"/>
      <c r="QVZ44" s="51"/>
      <c r="QWA44" s="51"/>
      <c r="QWB44" s="51"/>
      <c r="QWC44" s="51"/>
      <c r="QWD44" s="51"/>
      <c r="QWE44" s="51"/>
      <c r="QWF44" s="51"/>
      <c r="QWG44" s="51"/>
      <c r="QWH44" s="51"/>
      <c r="QWI44" s="51"/>
      <c r="QWJ44" s="51"/>
      <c r="QWK44" s="51"/>
      <c r="QWL44" s="51"/>
      <c r="QWM44" s="51"/>
      <c r="QWN44" s="51"/>
      <c r="QWO44" s="51"/>
      <c r="QWP44" s="51"/>
      <c r="QWQ44" s="51"/>
      <c r="QWR44" s="51"/>
      <c r="QWS44" s="51"/>
      <c r="QWT44" s="51"/>
      <c r="QWU44" s="51"/>
      <c r="QWV44" s="51"/>
      <c r="QWW44" s="51"/>
      <c r="QWX44" s="51"/>
      <c r="QWY44" s="51"/>
      <c r="QWZ44" s="51"/>
      <c r="QXA44" s="51"/>
      <c r="QXB44" s="51"/>
      <c r="QXC44" s="51"/>
      <c r="QXD44" s="51"/>
      <c r="QXE44" s="51"/>
      <c r="QXF44" s="51"/>
      <c r="QXG44" s="51"/>
      <c r="QXH44" s="51"/>
      <c r="QXI44" s="51"/>
      <c r="QXJ44" s="51"/>
      <c r="QXK44" s="51"/>
      <c r="QXL44" s="51"/>
      <c r="QXM44" s="51"/>
      <c r="QXN44" s="51"/>
      <c r="QXO44" s="51"/>
      <c r="QXP44" s="51"/>
      <c r="QXQ44" s="51"/>
      <c r="QXR44" s="51"/>
      <c r="QXS44" s="51"/>
      <c r="QXT44" s="51"/>
      <c r="QXU44" s="51"/>
      <c r="QXV44" s="51"/>
      <c r="QXW44" s="51"/>
      <c r="QXX44" s="51"/>
      <c r="QXY44" s="51"/>
      <c r="QXZ44" s="51"/>
      <c r="QYA44" s="51"/>
      <c r="QYB44" s="51"/>
      <c r="QYC44" s="51"/>
      <c r="QYD44" s="51"/>
      <c r="QYE44" s="51"/>
      <c r="QYF44" s="51"/>
      <c r="QYG44" s="51"/>
      <c r="QYH44" s="51"/>
      <c r="QYI44" s="51"/>
      <c r="QYJ44" s="51"/>
      <c r="QYK44" s="51"/>
      <c r="QYL44" s="51"/>
      <c r="QYM44" s="51"/>
      <c r="QYN44" s="51"/>
      <c r="QYO44" s="51"/>
      <c r="QYP44" s="51"/>
      <c r="QYQ44" s="51"/>
      <c r="QYR44" s="51"/>
      <c r="QYS44" s="51"/>
      <c r="QYT44" s="51"/>
      <c r="QYU44" s="51"/>
      <c r="QYV44" s="51"/>
      <c r="QYW44" s="51"/>
      <c r="QYX44" s="51"/>
      <c r="QYY44" s="51"/>
      <c r="QYZ44" s="51"/>
      <c r="QZA44" s="51"/>
      <c r="QZB44" s="51"/>
      <c r="QZC44" s="51"/>
      <c r="QZD44" s="51"/>
      <c r="QZE44" s="51"/>
      <c r="QZF44" s="51"/>
      <c r="QZG44" s="51"/>
      <c r="QZH44" s="51"/>
      <c r="QZI44" s="51"/>
      <c r="QZJ44" s="51"/>
      <c r="QZK44" s="51"/>
      <c r="QZL44" s="51"/>
      <c r="QZM44" s="51"/>
      <c r="QZN44" s="51"/>
      <c r="QZO44" s="51"/>
      <c r="QZP44" s="51"/>
      <c r="QZQ44" s="51"/>
      <c r="QZR44" s="51"/>
      <c r="QZS44" s="51"/>
      <c r="QZT44" s="51"/>
      <c r="QZU44" s="51"/>
      <c r="QZV44" s="51"/>
      <c r="QZW44" s="51"/>
      <c r="QZX44" s="51"/>
      <c r="QZY44" s="51"/>
      <c r="QZZ44" s="51"/>
      <c r="RAA44" s="51"/>
      <c r="RAB44" s="51"/>
      <c r="RAC44" s="51"/>
      <c r="RAD44" s="51"/>
      <c r="RAE44" s="51"/>
      <c r="RAF44" s="51"/>
      <c r="RAG44" s="51"/>
      <c r="RAH44" s="51"/>
      <c r="RAI44" s="51"/>
      <c r="RAJ44" s="51"/>
      <c r="RAK44" s="51"/>
      <c r="RAL44" s="51"/>
      <c r="RAM44" s="51"/>
      <c r="RAN44" s="51"/>
      <c r="RAO44" s="51"/>
      <c r="RAP44" s="51"/>
      <c r="RAQ44" s="51"/>
      <c r="RAR44" s="51"/>
      <c r="RAS44" s="51"/>
      <c r="RAT44" s="51"/>
      <c r="RAU44" s="51"/>
      <c r="RAV44" s="51"/>
      <c r="RAW44" s="51"/>
      <c r="RAX44" s="51"/>
      <c r="RAY44" s="51"/>
      <c r="RAZ44" s="51"/>
      <c r="RBA44" s="51"/>
      <c r="RBB44" s="51"/>
      <c r="RBC44" s="51"/>
      <c r="RBD44" s="51"/>
      <c r="RBE44" s="51"/>
      <c r="RBF44" s="51"/>
      <c r="RBG44" s="51"/>
      <c r="RBH44" s="51"/>
      <c r="RBI44" s="51"/>
      <c r="RBJ44" s="51"/>
      <c r="RBK44" s="51"/>
      <c r="RBL44" s="51"/>
      <c r="RBM44" s="51"/>
      <c r="RBN44" s="51"/>
      <c r="RBO44" s="51"/>
      <c r="RBP44" s="51"/>
      <c r="RBQ44" s="51"/>
      <c r="RBR44" s="51"/>
      <c r="RBS44" s="51"/>
      <c r="RBT44" s="51"/>
      <c r="RBU44" s="51"/>
      <c r="RBV44" s="51"/>
      <c r="RBW44" s="51"/>
      <c r="RBX44" s="51"/>
      <c r="RBY44" s="51"/>
      <c r="RBZ44" s="51"/>
      <c r="RCA44" s="51"/>
      <c r="RCB44" s="51"/>
      <c r="RCC44" s="51"/>
      <c r="RCD44" s="51"/>
      <c r="RCE44" s="51"/>
      <c r="RCF44" s="51"/>
      <c r="RCG44" s="51"/>
      <c r="RCH44" s="51"/>
      <c r="RCI44" s="51"/>
      <c r="RCJ44" s="51"/>
      <c r="RCK44" s="51"/>
      <c r="RCL44" s="51"/>
      <c r="RCM44" s="51"/>
      <c r="RCN44" s="51"/>
      <c r="RCO44" s="51"/>
      <c r="RCP44" s="51"/>
      <c r="RCQ44" s="51"/>
      <c r="RCR44" s="51"/>
      <c r="RCS44" s="51"/>
      <c r="RCT44" s="51"/>
      <c r="RCU44" s="51"/>
      <c r="RCV44" s="51"/>
      <c r="RCW44" s="51"/>
      <c r="RCX44" s="51"/>
      <c r="RCY44" s="51"/>
      <c r="RCZ44" s="51"/>
      <c r="RDA44" s="51"/>
      <c r="RDB44" s="51"/>
      <c r="RDC44" s="51"/>
      <c r="RDD44" s="51"/>
      <c r="RDE44" s="51"/>
      <c r="RDF44" s="51"/>
      <c r="RDG44" s="51"/>
      <c r="RDH44" s="51"/>
      <c r="RDI44" s="51"/>
      <c r="RDJ44" s="51"/>
      <c r="RDK44" s="51"/>
      <c r="RDL44" s="51"/>
      <c r="RDM44" s="51"/>
      <c r="RDN44" s="51"/>
      <c r="RDO44" s="51"/>
      <c r="RDP44" s="51"/>
      <c r="RDQ44" s="51"/>
      <c r="RDR44" s="51"/>
      <c r="RDS44" s="51"/>
      <c r="RDT44" s="51"/>
      <c r="RDU44" s="51"/>
      <c r="RDV44" s="51"/>
      <c r="RDW44" s="51"/>
      <c r="RDX44" s="51"/>
      <c r="RDY44" s="51"/>
      <c r="RDZ44" s="51"/>
      <c r="REA44" s="51"/>
      <c r="REB44" s="51"/>
      <c r="REC44" s="51"/>
      <c r="RED44" s="51"/>
      <c r="REE44" s="51"/>
      <c r="REF44" s="51"/>
      <c r="REG44" s="51"/>
      <c r="REH44" s="51"/>
      <c r="REI44" s="51"/>
      <c r="REJ44" s="51"/>
      <c r="REK44" s="51"/>
      <c r="REL44" s="51"/>
      <c r="REM44" s="51"/>
      <c r="REN44" s="51"/>
      <c r="REO44" s="51"/>
      <c r="REP44" s="51"/>
      <c r="REQ44" s="51"/>
      <c r="RER44" s="51"/>
      <c r="RES44" s="51"/>
      <c r="RET44" s="51"/>
      <c r="REU44" s="51"/>
      <c r="REV44" s="51"/>
      <c r="REW44" s="51"/>
      <c r="REX44" s="51"/>
      <c r="REY44" s="51"/>
      <c r="REZ44" s="51"/>
      <c r="RFA44" s="51"/>
      <c r="RFB44" s="51"/>
      <c r="RFC44" s="51"/>
      <c r="RFD44" s="51"/>
      <c r="RFE44" s="51"/>
      <c r="RFF44" s="51"/>
      <c r="RFG44" s="51"/>
      <c r="RFH44" s="51"/>
      <c r="RFI44" s="51"/>
      <c r="RFJ44" s="51"/>
      <c r="RFK44" s="51"/>
      <c r="RFL44" s="51"/>
      <c r="RFM44" s="51"/>
      <c r="RFN44" s="51"/>
      <c r="RFO44" s="51"/>
      <c r="RFP44" s="51"/>
      <c r="RFQ44" s="51"/>
      <c r="RFR44" s="51"/>
      <c r="RFS44" s="51"/>
      <c r="RFT44" s="51"/>
      <c r="RFU44" s="51"/>
      <c r="RFV44" s="51"/>
      <c r="RFW44" s="51"/>
      <c r="RFX44" s="51"/>
      <c r="RFY44" s="51"/>
      <c r="RFZ44" s="51"/>
      <c r="RGA44" s="51"/>
      <c r="RGB44" s="51"/>
      <c r="RGC44" s="51"/>
      <c r="RGD44" s="51"/>
      <c r="RGE44" s="51"/>
      <c r="RGF44" s="51"/>
      <c r="RGG44" s="51"/>
      <c r="RGH44" s="51"/>
      <c r="RGI44" s="51"/>
      <c r="RGJ44" s="51"/>
      <c r="RGK44" s="51"/>
      <c r="RGL44" s="51"/>
      <c r="RGM44" s="51"/>
      <c r="RGN44" s="51"/>
      <c r="RGO44" s="51"/>
      <c r="RGP44" s="51"/>
      <c r="RGQ44" s="51"/>
      <c r="RGR44" s="51"/>
      <c r="RGS44" s="51"/>
      <c r="RGT44" s="51"/>
      <c r="RGU44" s="51"/>
      <c r="RGV44" s="51"/>
      <c r="RGW44" s="51"/>
      <c r="RGX44" s="51"/>
      <c r="RGY44" s="51"/>
      <c r="RGZ44" s="51"/>
      <c r="RHA44" s="51"/>
      <c r="RHB44" s="51"/>
      <c r="RHC44" s="51"/>
      <c r="RHD44" s="51"/>
      <c r="RHE44" s="51"/>
      <c r="RHF44" s="51"/>
      <c r="RHG44" s="51"/>
      <c r="RHH44" s="51"/>
      <c r="RHI44" s="51"/>
      <c r="RHJ44" s="51"/>
      <c r="RHK44" s="51"/>
      <c r="RHL44" s="51"/>
      <c r="RHM44" s="51"/>
      <c r="RHN44" s="51"/>
      <c r="RHO44" s="51"/>
      <c r="RHP44" s="51"/>
      <c r="RHQ44" s="51"/>
      <c r="RHR44" s="51"/>
      <c r="RHS44" s="51"/>
      <c r="RHT44" s="51"/>
      <c r="RHU44" s="51"/>
      <c r="RHV44" s="51"/>
      <c r="RHW44" s="51"/>
      <c r="RHX44" s="51"/>
      <c r="RHY44" s="51"/>
      <c r="RHZ44" s="51"/>
      <c r="RIA44" s="51"/>
      <c r="RIB44" s="51"/>
      <c r="RIC44" s="51"/>
      <c r="RID44" s="51"/>
      <c r="RIE44" s="51"/>
      <c r="RIF44" s="51"/>
      <c r="RIG44" s="51"/>
      <c r="RIH44" s="51"/>
      <c r="RII44" s="51"/>
      <c r="RIJ44" s="51"/>
      <c r="RIK44" s="51"/>
      <c r="RIL44" s="51"/>
      <c r="RIM44" s="51"/>
      <c r="RIN44" s="51"/>
      <c r="RIO44" s="51"/>
      <c r="RIP44" s="51"/>
      <c r="RIQ44" s="51"/>
      <c r="RIR44" s="51"/>
      <c r="RIS44" s="51"/>
      <c r="RIT44" s="51"/>
      <c r="RIU44" s="51"/>
      <c r="RIV44" s="51"/>
      <c r="RIW44" s="51"/>
      <c r="RIX44" s="51"/>
      <c r="RIY44" s="51"/>
      <c r="RIZ44" s="51"/>
      <c r="RJA44" s="51"/>
      <c r="RJB44" s="51"/>
      <c r="RJC44" s="51"/>
      <c r="RJD44" s="51"/>
      <c r="RJE44" s="51"/>
      <c r="RJF44" s="51"/>
      <c r="RJG44" s="51"/>
      <c r="RJH44" s="51"/>
      <c r="RJI44" s="51"/>
      <c r="RJJ44" s="51"/>
      <c r="RJK44" s="51"/>
      <c r="RJL44" s="51"/>
      <c r="RJM44" s="51"/>
      <c r="RJN44" s="51"/>
      <c r="RJO44" s="51"/>
      <c r="RJP44" s="51"/>
      <c r="RJQ44" s="51"/>
      <c r="RJR44" s="51"/>
      <c r="RJS44" s="51"/>
      <c r="RJT44" s="51"/>
      <c r="RJU44" s="51"/>
      <c r="RJV44" s="51"/>
      <c r="RJW44" s="51"/>
      <c r="RJX44" s="51"/>
      <c r="RJY44" s="51"/>
      <c r="RJZ44" s="51"/>
      <c r="RKA44" s="51"/>
      <c r="RKB44" s="51"/>
      <c r="RKC44" s="51"/>
      <c r="RKD44" s="51"/>
      <c r="RKE44" s="51"/>
      <c r="RKF44" s="51"/>
      <c r="RKG44" s="51"/>
      <c r="RKH44" s="51"/>
      <c r="RKI44" s="51"/>
      <c r="RKJ44" s="51"/>
      <c r="RKK44" s="51"/>
      <c r="RKL44" s="51"/>
      <c r="RKM44" s="51"/>
      <c r="RKN44" s="51"/>
      <c r="RKO44" s="51"/>
      <c r="RKP44" s="51"/>
      <c r="RKQ44" s="51"/>
      <c r="RKR44" s="51"/>
      <c r="RKS44" s="51"/>
      <c r="RKT44" s="51"/>
      <c r="RKU44" s="51"/>
      <c r="RKV44" s="51"/>
      <c r="RKW44" s="51"/>
      <c r="RKX44" s="51"/>
      <c r="RKY44" s="51"/>
      <c r="RKZ44" s="51"/>
      <c r="RLA44" s="51"/>
      <c r="RLB44" s="51"/>
      <c r="RLC44" s="51"/>
      <c r="RLD44" s="51"/>
      <c r="RLE44" s="51"/>
      <c r="RLF44" s="51"/>
      <c r="RLG44" s="51"/>
      <c r="RLH44" s="51"/>
      <c r="RLI44" s="51"/>
      <c r="RLJ44" s="51"/>
      <c r="RLK44" s="51"/>
      <c r="RLL44" s="51"/>
      <c r="RLM44" s="51"/>
      <c r="RLN44" s="51"/>
      <c r="RLO44" s="51"/>
      <c r="RLP44" s="51"/>
      <c r="RLQ44" s="51"/>
      <c r="RLR44" s="51"/>
      <c r="RLS44" s="51"/>
      <c r="RLT44" s="51"/>
      <c r="RLU44" s="51"/>
      <c r="RLV44" s="51"/>
      <c r="RLW44" s="51"/>
      <c r="RLX44" s="51"/>
      <c r="RLY44" s="51"/>
      <c r="RLZ44" s="51"/>
      <c r="RMA44" s="51"/>
      <c r="RMB44" s="51"/>
      <c r="RMC44" s="51"/>
      <c r="RMD44" s="51"/>
      <c r="RME44" s="51"/>
      <c r="RMF44" s="51"/>
      <c r="RMG44" s="51"/>
      <c r="RMH44" s="51"/>
      <c r="RMI44" s="51"/>
      <c r="RMJ44" s="51"/>
      <c r="RMK44" s="51"/>
      <c r="RML44" s="51"/>
      <c r="RMM44" s="51"/>
      <c r="RMN44" s="51"/>
      <c r="RMO44" s="51"/>
      <c r="RMP44" s="51"/>
      <c r="RMQ44" s="51"/>
      <c r="RMR44" s="51"/>
      <c r="RMS44" s="51"/>
      <c r="RMT44" s="51"/>
      <c r="RMU44" s="51"/>
      <c r="RMV44" s="51"/>
      <c r="RMW44" s="51"/>
      <c r="RMX44" s="51"/>
      <c r="RMY44" s="51"/>
      <c r="RMZ44" s="51"/>
      <c r="RNA44" s="51"/>
      <c r="RNB44" s="51"/>
      <c r="RNC44" s="51"/>
      <c r="RND44" s="51"/>
      <c r="RNE44" s="51"/>
      <c r="RNF44" s="51"/>
      <c r="RNG44" s="51"/>
      <c r="RNH44" s="51"/>
      <c r="RNI44" s="51"/>
      <c r="RNJ44" s="51"/>
      <c r="RNK44" s="51"/>
      <c r="RNL44" s="51"/>
      <c r="RNM44" s="51"/>
      <c r="RNN44" s="51"/>
      <c r="RNO44" s="51"/>
      <c r="RNP44" s="51"/>
      <c r="RNQ44" s="51"/>
      <c r="RNR44" s="51"/>
      <c r="RNS44" s="51"/>
      <c r="RNT44" s="51"/>
      <c r="RNU44" s="51"/>
      <c r="RNV44" s="51"/>
      <c r="RNW44" s="51"/>
      <c r="RNX44" s="51"/>
      <c r="RNY44" s="51"/>
      <c r="RNZ44" s="51"/>
      <c r="ROA44" s="51"/>
      <c r="ROB44" s="51"/>
      <c r="ROC44" s="51"/>
      <c r="ROD44" s="51"/>
      <c r="ROE44" s="51"/>
      <c r="ROF44" s="51"/>
      <c r="ROG44" s="51"/>
      <c r="ROH44" s="51"/>
      <c r="ROI44" s="51"/>
      <c r="ROJ44" s="51"/>
      <c r="ROK44" s="51"/>
      <c r="ROL44" s="51"/>
      <c r="ROM44" s="51"/>
      <c r="RON44" s="51"/>
      <c r="ROO44" s="51"/>
      <c r="ROP44" s="51"/>
      <c r="ROQ44" s="51"/>
      <c r="ROR44" s="51"/>
      <c r="ROS44" s="51"/>
      <c r="ROT44" s="51"/>
      <c r="ROU44" s="51"/>
      <c r="ROV44" s="51"/>
      <c r="ROW44" s="51"/>
      <c r="ROX44" s="51"/>
      <c r="ROY44" s="51"/>
      <c r="ROZ44" s="51"/>
      <c r="RPA44" s="51"/>
      <c r="RPB44" s="51"/>
      <c r="RPC44" s="51"/>
      <c r="RPD44" s="51"/>
      <c r="RPE44" s="51"/>
      <c r="RPF44" s="51"/>
      <c r="RPG44" s="51"/>
      <c r="RPH44" s="51"/>
      <c r="RPI44" s="51"/>
      <c r="RPJ44" s="51"/>
      <c r="RPK44" s="51"/>
      <c r="RPL44" s="51"/>
      <c r="RPM44" s="51"/>
      <c r="RPN44" s="51"/>
      <c r="RPO44" s="51"/>
      <c r="RPP44" s="51"/>
      <c r="RPQ44" s="51"/>
      <c r="RPR44" s="51"/>
      <c r="RPS44" s="51"/>
      <c r="RPT44" s="51"/>
      <c r="RPU44" s="51"/>
      <c r="RPV44" s="51"/>
      <c r="RPW44" s="51"/>
      <c r="RPX44" s="51"/>
      <c r="RPY44" s="51"/>
      <c r="RPZ44" s="51"/>
      <c r="RQA44" s="51"/>
      <c r="RQB44" s="51"/>
      <c r="RQC44" s="51"/>
      <c r="RQD44" s="51"/>
      <c r="RQE44" s="51"/>
      <c r="RQF44" s="51"/>
      <c r="RQG44" s="51"/>
      <c r="RQH44" s="51"/>
      <c r="RQI44" s="51"/>
      <c r="RQJ44" s="51"/>
      <c r="RQK44" s="51"/>
      <c r="RQL44" s="51"/>
      <c r="RQM44" s="51"/>
      <c r="RQN44" s="51"/>
      <c r="RQO44" s="51"/>
      <c r="RQP44" s="51"/>
      <c r="RQQ44" s="51"/>
      <c r="RQR44" s="51"/>
      <c r="RQS44" s="51"/>
      <c r="RQT44" s="51"/>
      <c r="RQU44" s="51"/>
      <c r="RQV44" s="51"/>
      <c r="RQW44" s="51"/>
      <c r="RQX44" s="51"/>
      <c r="RQY44" s="51"/>
      <c r="RQZ44" s="51"/>
      <c r="RRA44" s="51"/>
      <c r="RRB44" s="51"/>
      <c r="RRC44" s="51"/>
      <c r="RRD44" s="51"/>
      <c r="RRE44" s="51"/>
      <c r="RRF44" s="51"/>
      <c r="RRG44" s="51"/>
      <c r="RRH44" s="51"/>
      <c r="RRI44" s="51"/>
      <c r="RRJ44" s="51"/>
      <c r="RRK44" s="51"/>
      <c r="RRL44" s="51"/>
      <c r="RRM44" s="51"/>
      <c r="RRN44" s="51"/>
      <c r="RRO44" s="51"/>
      <c r="RRP44" s="51"/>
      <c r="RRQ44" s="51"/>
      <c r="RRR44" s="51"/>
      <c r="RRS44" s="51"/>
      <c r="RRT44" s="51"/>
      <c r="RRU44" s="51"/>
      <c r="RRV44" s="51"/>
      <c r="RRW44" s="51"/>
      <c r="RRX44" s="51"/>
      <c r="RRY44" s="51"/>
      <c r="RRZ44" s="51"/>
      <c r="RSA44" s="51"/>
      <c r="RSB44" s="51"/>
      <c r="RSC44" s="51"/>
      <c r="RSD44" s="51"/>
      <c r="RSE44" s="51"/>
      <c r="RSF44" s="51"/>
      <c r="RSG44" s="51"/>
      <c r="RSH44" s="51"/>
      <c r="RSI44" s="51"/>
      <c r="RSJ44" s="51"/>
      <c r="RSK44" s="51"/>
      <c r="RSL44" s="51"/>
      <c r="RSM44" s="51"/>
      <c r="RSN44" s="51"/>
      <c r="RSO44" s="51"/>
      <c r="RSP44" s="51"/>
      <c r="RSQ44" s="51"/>
      <c r="RSR44" s="51"/>
      <c r="RSS44" s="51"/>
      <c r="RST44" s="51"/>
      <c r="RSU44" s="51"/>
      <c r="RSV44" s="51"/>
      <c r="RSW44" s="51"/>
      <c r="RSX44" s="51"/>
      <c r="RSY44" s="51"/>
      <c r="RSZ44" s="51"/>
      <c r="RTA44" s="51"/>
      <c r="RTB44" s="51"/>
      <c r="RTC44" s="51"/>
      <c r="RTD44" s="51"/>
      <c r="RTE44" s="51"/>
      <c r="RTF44" s="51"/>
      <c r="RTG44" s="51"/>
      <c r="RTH44" s="51"/>
      <c r="RTI44" s="51"/>
      <c r="RTJ44" s="51"/>
      <c r="RTK44" s="51"/>
      <c r="RTL44" s="51"/>
      <c r="RTM44" s="51"/>
      <c r="RTN44" s="51"/>
      <c r="RTO44" s="51"/>
      <c r="RTP44" s="51"/>
      <c r="RTQ44" s="51"/>
      <c r="RTR44" s="51"/>
      <c r="RTS44" s="51"/>
      <c r="RTT44" s="51"/>
      <c r="RTU44" s="51"/>
      <c r="RTV44" s="51"/>
      <c r="RTW44" s="51"/>
      <c r="RTX44" s="51"/>
      <c r="RTY44" s="51"/>
      <c r="RTZ44" s="51"/>
      <c r="RUA44" s="51"/>
      <c r="RUB44" s="51"/>
      <c r="RUC44" s="51"/>
      <c r="RUD44" s="51"/>
      <c r="RUE44" s="51"/>
      <c r="RUF44" s="51"/>
      <c r="RUG44" s="51"/>
      <c r="RUH44" s="51"/>
      <c r="RUI44" s="51"/>
      <c r="RUJ44" s="51"/>
      <c r="RUK44" s="51"/>
      <c r="RUL44" s="51"/>
      <c r="RUM44" s="51"/>
      <c r="RUN44" s="51"/>
      <c r="RUO44" s="51"/>
      <c r="RUP44" s="51"/>
      <c r="RUQ44" s="51"/>
      <c r="RUR44" s="51"/>
      <c r="RUS44" s="51"/>
      <c r="RUT44" s="51"/>
      <c r="RUU44" s="51"/>
      <c r="RUV44" s="51"/>
      <c r="RUW44" s="51"/>
      <c r="RUX44" s="51"/>
      <c r="RUY44" s="51"/>
      <c r="RUZ44" s="51"/>
      <c r="RVA44" s="51"/>
      <c r="RVB44" s="51"/>
      <c r="RVC44" s="51"/>
      <c r="RVD44" s="51"/>
      <c r="RVE44" s="51"/>
      <c r="RVF44" s="51"/>
      <c r="RVG44" s="51"/>
      <c r="RVH44" s="51"/>
      <c r="RVI44" s="51"/>
      <c r="RVJ44" s="51"/>
      <c r="RVK44" s="51"/>
      <c r="RVL44" s="51"/>
      <c r="RVM44" s="51"/>
      <c r="RVN44" s="51"/>
      <c r="RVO44" s="51"/>
      <c r="RVP44" s="51"/>
      <c r="RVQ44" s="51"/>
      <c r="RVR44" s="51"/>
      <c r="RVS44" s="51"/>
      <c r="RVT44" s="51"/>
      <c r="RVU44" s="51"/>
      <c r="RVV44" s="51"/>
      <c r="RVW44" s="51"/>
      <c r="RVX44" s="51"/>
      <c r="RVY44" s="51"/>
      <c r="RVZ44" s="51"/>
      <c r="RWA44" s="51"/>
      <c r="RWB44" s="51"/>
      <c r="RWC44" s="51"/>
      <c r="RWD44" s="51"/>
      <c r="RWE44" s="51"/>
      <c r="RWF44" s="51"/>
      <c r="RWG44" s="51"/>
      <c r="RWH44" s="51"/>
      <c r="RWI44" s="51"/>
      <c r="RWJ44" s="51"/>
      <c r="RWK44" s="51"/>
      <c r="RWL44" s="51"/>
      <c r="RWM44" s="51"/>
      <c r="RWN44" s="51"/>
      <c r="RWO44" s="51"/>
      <c r="RWP44" s="51"/>
      <c r="RWQ44" s="51"/>
      <c r="RWR44" s="51"/>
      <c r="RWS44" s="51"/>
      <c r="RWT44" s="51"/>
      <c r="RWU44" s="51"/>
      <c r="RWV44" s="51"/>
      <c r="RWW44" s="51"/>
      <c r="RWX44" s="51"/>
      <c r="RWY44" s="51"/>
      <c r="RWZ44" s="51"/>
      <c r="RXA44" s="51"/>
      <c r="RXB44" s="51"/>
      <c r="RXC44" s="51"/>
      <c r="RXD44" s="51"/>
      <c r="RXE44" s="51"/>
      <c r="RXF44" s="51"/>
      <c r="RXG44" s="51"/>
      <c r="RXH44" s="51"/>
      <c r="RXI44" s="51"/>
      <c r="RXJ44" s="51"/>
      <c r="RXK44" s="51"/>
      <c r="RXL44" s="51"/>
      <c r="RXM44" s="51"/>
      <c r="RXN44" s="51"/>
      <c r="RXO44" s="51"/>
      <c r="RXP44" s="51"/>
      <c r="RXQ44" s="51"/>
      <c r="RXR44" s="51"/>
      <c r="RXS44" s="51"/>
      <c r="RXT44" s="51"/>
      <c r="RXU44" s="51"/>
      <c r="RXV44" s="51"/>
      <c r="RXW44" s="51"/>
      <c r="RXX44" s="51"/>
      <c r="RXY44" s="51"/>
      <c r="RXZ44" s="51"/>
      <c r="RYA44" s="51"/>
      <c r="RYB44" s="51"/>
      <c r="RYC44" s="51"/>
      <c r="RYD44" s="51"/>
      <c r="RYE44" s="51"/>
      <c r="RYF44" s="51"/>
      <c r="RYG44" s="51"/>
      <c r="RYH44" s="51"/>
      <c r="RYI44" s="51"/>
      <c r="RYJ44" s="51"/>
      <c r="RYK44" s="51"/>
      <c r="RYL44" s="51"/>
      <c r="RYM44" s="51"/>
      <c r="RYN44" s="51"/>
      <c r="RYO44" s="51"/>
      <c r="RYP44" s="51"/>
      <c r="RYQ44" s="51"/>
      <c r="RYR44" s="51"/>
      <c r="RYS44" s="51"/>
      <c r="RYT44" s="51"/>
      <c r="RYU44" s="51"/>
      <c r="RYV44" s="51"/>
      <c r="RYW44" s="51"/>
      <c r="RYX44" s="51"/>
      <c r="RYY44" s="51"/>
      <c r="RYZ44" s="51"/>
      <c r="RZA44" s="51"/>
      <c r="RZB44" s="51"/>
      <c r="RZC44" s="51"/>
      <c r="RZD44" s="51"/>
      <c r="RZE44" s="51"/>
      <c r="RZF44" s="51"/>
      <c r="RZG44" s="51"/>
      <c r="RZH44" s="51"/>
      <c r="RZI44" s="51"/>
      <c r="RZJ44" s="51"/>
      <c r="RZK44" s="51"/>
      <c r="RZL44" s="51"/>
      <c r="RZM44" s="51"/>
      <c r="RZN44" s="51"/>
      <c r="RZO44" s="51"/>
      <c r="RZP44" s="51"/>
      <c r="RZQ44" s="51"/>
      <c r="RZR44" s="51"/>
      <c r="RZS44" s="51"/>
      <c r="RZT44" s="51"/>
      <c r="RZU44" s="51"/>
      <c r="RZV44" s="51"/>
      <c r="RZW44" s="51"/>
      <c r="RZX44" s="51"/>
      <c r="RZY44" s="51"/>
      <c r="RZZ44" s="51"/>
      <c r="SAA44" s="51"/>
      <c r="SAB44" s="51"/>
      <c r="SAC44" s="51"/>
      <c r="SAD44" s="51"/>
      <c r="SAE44" s="51"/>
      <c r="SAF44" s="51"/>
      <c r="SAG44" s="51"/>
      <c r="SAH44" s="51"/>
      <c r="SAI44" s="51"/>
      <c r="SAJ44" s="51"/>
      <c r="SAK44" s="51"/>
      <c r="SAL44" s="51"/>
      <c r="SAM44" s="51"/>
      <c r="SAN44" s="51"/>
      <c r="SAO44" s="51"/>
      <c r="SAP44" s="51"/>
      <c r="SAQ44" s="51"/>
      <c r="SAR44" s="51"/>
      <c r="SAS44" s="51"/>
      <c r="SAT44" s="51"/>
      <c r="SAU44" s="51"/>
      <c r="SAV44" s="51"/>
      <c r="SAW44" s="51"/>
      <c r="SAX44" s="51"/>
      <c r="SAY44" s="51"/>
      <c r="SAZ44" s="51"/>
      <c r="SBA44" s="51"/>
      <c r="SBB44" s="51"/>
      <c r="SBC44" s="51"/>
      <c r="SBD44" s="51"/>
      <c r="SBE44" s="51"/>
      <c r="SBF44" s="51"/>
      <c r="SBG44" s="51"/>
      <c r="SBH44" s="51"/>
      <c r="SBI44" s="51"/>
      <c r="SBJ44" s="51"/>
      <c r="SBK44" s="51"/>
      <c r="SBL44" s="51"/>
      <c r="SBM44" s="51"/>
      <c r="SBN44" s="51"/>
      <c r="SBO44" s="51"/>
      <c r="SBP44" s="51"/>
      <c r="SBQ44" s="51"/>
      <c r="SBR44" s="51"/>
      <c r="SBS44" s="51"/>
      <c r="SBT44" s="51"/>
      <c r="SBU44" s="51"/>
      <c r="SBV44" s="51"/>
      <c r="SBW44" s="51"/>
      <c r="SBX44" s="51"/>
      <c r="SBY44" s="51"/>
      <c r="SBZ44" s="51"/>
      <c r="SCA44" s="51"/>
      <c r="SCB44" s="51"/>
      <c r="SCC44" s="51"/>
      <c r="SCD44" s="51"/>
      <c r="SCE44" s="51"/>
      <c r="SCF44" s="51"/>
      <c r="SCG44" s="51"/>
      <c r="SCH44" s="51"/>
      <c r="SCI44" s="51"/>
      <c r="SCJ44" s="51"/>
      <c r="SCK44" s="51"/>
      <c r="SCL44" s="51"/>
      <c r="SCM44" s="51"/>
      <c r="SCN44" s="51"/>
      <c r="SCO44" s="51"/>
      <c r="SCP44" s="51"/>
      <c r="SCQ44" s="51"/>
      <c r="SCR44" s="51"/>
      <c r="SCS44" s="51"/>
      <c r="SCT44" s="51"/>
      <c r="SCU44" s="51"/>
      <c r="SCV44" s="51"/>
      <c r="SCW44" s="51"/>
      <c r="SCX44" s="51"/>
      <c r="SCY44" s="51"/>
      <c r="SCZ44" s="51"/>
      <c r="SDA44" s="51"/>
      <c r="SDB44" s="51"/>
      <c r="SDC44" s="51"/>
      <c r="SDD44" s="51"/>
      <c r="SDE44" s="51"/>
      <c r="SDF44" s="51"/>
      <c r="SDG44" s="51"/>
      <c r="SDH44" s="51"/>
      <c r="SDI44" s="51"/>
      <c r="SDJ44" s="51"/>
      <c r="SDK44" s="51"/>
      <c r="SDL44" s="51"/>
      <c r="SDM44" s="51"/>
      <c r="SDN44" s="51"/>
      <c r="SDO44" s="51"/>
      <c r="SDP44" s="51"/>
      <c r="SDQ44" s="51"/>
      <c r="SDR44" s="51"/>
      <c r="SDS44" s="51"/>
      <c r="SDT44" s="51"/>
      <c r="SDU44" s="51"/>
      <c r="SDV44" s="51"/>
      <c r="SDW44" s="51"/>
      <c r="SDX44" s="51"/>
      <c r="SDY44" s="51"/>
      <c r="SDZ44" s="51"/>
      <c r="SEA44" s="51"/>
      <c r="SEB44" s="51"/>
      <c r="SEC44" s="51"/>
      <c r="SED44" s="51"/>
      <c r="SEE44" s="51"/>
      <c r="SEF44" s="51"/>
      <c r="SEG44" s="51"/>
      <c r="SEH44" s="51"/>
      <c r="SEI44" s="51"/>
      <c r="SEJ44" s="51"/>
      <c r="SEK44" s="51"/>
      <c r="SEL44" s="51"/>
      <c r="SEM44" s="51"/>
      <c r="SEN44" s="51"/>
      <c r="SEO44" s="51"/>
      <c r="SEP44" s="51"/>
      <c r="SEQ44" s="51"/>
      <c r="SER44" s="51"/>
      <c r="SES44" s="51"/>
      <c r="SET44" s="51"/>
      <c r="SEU44" s="51"/>
      <c r="SEV44" s="51"/>
      <c r="SEW44" s="51"/>
      <c r="SEX44" s="51"/>
      <c r="SEY44" s="51"/>
      <c r="SEZ44" s="51"/>
      <c r="SFA44" s="51"/>
      <c r="SFB44" s="51"/>
      <c r="SFC44" s="51"/>
      <c r="SFD44" s="51"/>
      <c r="SFE44" s="51"/>
      <c r="SFF44" s="51"/>
      <c r="SFG44" s="51"/>
      <c r="SFH44" s="51"/>
      <c r="SFI44" s="51"/>
      <c r="SFJ44" s="51"/>
      <c r="SFK44" s="51"/>
      <c r="SFL44" s="51"/>
      <c r="SFM44" s="51"/>
      <c r="SFN44" s="51"/>
      <c r="SFO44" s="51"/>
      <c r="SFP44" s="51"/>
      <c r="SFQ44" s="51"/>
      <c r="SFR44" s="51"/>
      <c r="SFS44" s="51"/>
      <c r="SFT44" s="51"/>
      <c r="SFU44" s="51"/>
      <c r="SFV44" s="51"/>
      <c r="SFW44" s="51"/>
      <c r="SFX44" s="51"/>
      <c r="SFY44" s="51"/>
      <c r="SFZ44" s="51"/>
      <c r="SGA44" s="51"/>
      <c r="SGB44" s="51"/>
      <c r="SGC44" s="51"/>
      <c r="SGD44" s="51"/>
      <c r="SGE44" s="51"/>
      <c r="SGF44" s="51"/>
      <c r="SGG44" s="51"/>
      <c r="SGH44" s="51"/>
      <c r="SGI44" s="51"/>
      <c r="SGJ44" s="51"/>
      <c r="SGK44" s="51"/>
      <c r="SGL44" s="51"/>
      <c r="SGM44" s="51"/>
      <c r="SGN44" s="51"/>
      <c r="SGO44" s="51"/>
      <c r="SGP44" s="51"/>
      <c r="SGQ44" s="51"/>
      <c r="SGR44" s="51"/>
      <c r="SGS44" s="51"/>
      <c r="SGT44" s="51"/>
      <c r="SGU44" s="51"/>
      <c r="SGV44" s="51"/>
      <c r="SGW44" s="51"/>
      <c r="SGX44" s="51"/>
      <c r="SGY44" s="51"/>
      <c r="SGZ44" s="51"/>
      <c r="SHA44" s="51"/>
      <c r="SHB44" s="51"/>
      <c r="SHC44" s="51"/>
      <c r="SHD44" s="51"/>
      <c r="SHE44" s="51"/>
      <c r="SHF44" s="51"/>
      <c r="SHG44" s="51"/>
      <c r="SHH44" s="51"/>
      <c r="SHI44" s="51"/>
      <c r="SHJ44" s="51"/>
      <c r="SHK44" s="51"/>
      <c r="SHL44" s="51"/>
      <c r="SHM44" s="51"/>
      <c r="SHN44" s="51"/>
      <c r="SHO44" s="51"/>
      <c r="SHP44" s="51"/>
      <c r="SHQ44" s="51"/>
      <c r="SHR44" s="51"/>
      <c r="SHS44" s="51"/>
      <c r="SHT44" s="51"/>
      <c r="SHU44" s="51"/>
      <c r="SHV44" s="51"/>
      <c r="SHW44" s="51"/>
      <c r="SHX44" s="51"/>
      <c r="SHY44" s="51"/>
      <c r="SHZ44" s="51"/>
      <c r="SIA44" s="51"/>
      <c r="SIB44" s="51"/>
      <c r="SIC44" s="51"/>
      <c r="SID44" s="51"/>
      <c r="SIE44" s="51"/>
      <c r="SIF44" s="51"/>
      <c r="SIG44" s="51"/>
      <c r="SIH44" s="51"/>
      <c r="SII44" s="51"/>
      <c r="SIJ44" s="51"/>
      <c r="SIK44" s="51"/>
      <c r="SIL44" s="51"/>
      <c r="SIM44" s="51"/>
      <c r="SIN44" s="51"/>
      <c r="SIO44" s="51"/>
      <c r="SIP44" s="51"/>
      <c r="SIQ44" s="51"/>
      <c r="SIR44" s="51"/>
      <c r="SIS44" s="51"/>
      <c r="SIT44" s="51"/>
      <c r="SIU44" s="51"/>
      <c r="SIV44" s="51"/>
      <c r="SIW44" s="51"/>
      <c r="SIX44" s="51"/>
      <c r="SIY44" s="51"/>
      <c r="SIZ44" s="51"/>
      <c r="SJA44" s="51"/>
      <c r="SJB44" s="51"/>
      <c r="SJC44" s="51"/>
      <c r="SJD44" s="51"/>
      <c r="SJE44" s="51"/>
      <c r="SJF44" s="51"/>
      <c r="SJG44" s="51"/>
      <c r="SJH44" s="51"/>
      <c r="SJI44" s="51"/>
      <c r="SJJ44" s="51"/>
      <c r="SJK44" s="51"/>
      <c r="SJL44" s="51"/>
      <c r="SJM44" s="51"/>
      <c r="SJN44" s="51"/>
      <c r="SJO44" s="51"/>
      <c r="SJP44" s="51"/>
      <c r="SJQ44" s="51"/>
      <c r="SJR44" s="51"/>
      <c r="SJS44" s="51"/>
      <c r="SJT44" s="51"/>
      <c r="SJU44" s="51"/>
      <c r="SJV44" s="51"/>
      <c r="SJW44" s="51"/>
      <c r="SJX44" s="51"/>
      <c r="SJY44" s="51"/>
      <c r="SJZ44" s="51"/>
      <c r="SKA44" s="51"/>
      <c r="SKB44" s="51"/>
      <c r="SKC44" s="51"/>
      <c r="SKD44" s="51"/>
      <c r="SKE44" s="51"/>
      <c r="SKF44" s="51"/>
      <c r="SKG44" s="51"/>
      <c r="SKH44" s="51"/>
      <c r="SKI44" s="51"/>
      <c r="SKJ44" s="51"/>
      <c r="SKK44" s="51"/>
      <c r="SKL44" s="51"/>
      <c r="SKM44" s="51"/>
      <c r="SKN44" s="51"/>
      <c r="SKO44" s="51"/>
      <c r="SKP44" s="51"/>
      <c r="SKQ44" s="51"/>
      <c r="SKR44" s="51"/>
      <c r="SKS44" s="51"/>
      <c r="SKT44" s="51"/>
      <c r="SKU44" s="51"/>
      <c r="SKV44" s="51"/>
      <c r="SKW44" s="51"/>
      <c r="SKX44" s="51"/>
      <c r="SKY44" s="51"/>
      <c r="SKZ44" s="51"/>
      <c r="SLA44" s="51"/>
      <c r="SLB44" s="51"/>
      <c r="SLC44" s="51"/>
      <c r="SLD44" s="51"/>
      <c r="SLE44" s="51"/>
      <c r="SLF44" s="51"/>
      <c r="SLG44" s="51"/>
      <c r="SLH44" s="51"/>
      <c r="SLI44" s="51"/>
      <c r="SLJ44" s="51"/>
      <c r="SLK44" s="51"/>
      <c r="SLL44" s="51"/>
      <c r="SLM44" s="51"/>
      <c r="SLN44" s="51"/>
      <c r="SLO44" s="51"/>
      <c r="SLP44" s="51"/>
      <c r="SLQ44" s="51"/>
      <c r="SLR44" s="51"/>
      <c r="SLS44" s="51"/>
      <c r="SLT44" s="51"/>
      <c r="SLU44" s="51"/>
      <c r="SLV44" s="51"/>
      <c r="SLW44" s="51"/>
      <c r="SLX44" s="51"/>
      <c r="SLY44" s="51"/>
      <c r="SLZ44" s="51"/>
      <c r="SMA44" s="51"/>
      <c r="SMB44" s="51"/>
      <c r="SMC44" s="51"/>
      <c r="SMD44" s="51"/>
      <c r="SME44" s="51"/>
      <c r="SMF44" s="51"/>
      <c r="SMG44" s="51"/>
      <c r="SMH44" s="51"/>
      <c r="SMI44" s="51"/>
      <c r="SMJ44" s="51"/>
      <c r="SMK44" s="51"/>
      <c r="SML44" s="51"/>
      <c r="SMM44" s="51"/>
      <c r="SMN44" s="51"/>
      <c r="SMO44" s="51"/>
      <c r="SMP44" s="51"/>
      <c r="SMQ44" s="51"/>
      <c r="SMR44" s="51"/>
      <c r="SMS44" s="51"/>
      <c r="SMT44" s="51"/>
      <c r="SMU44" s="51"/>
      <c r="SMV44" s="51"/>
      <c r="SMW44" s="51"/>
      <c r="SMX44" s="51"/>
      <c r="SMY44" s="51"/>
      <c r="SMZ44" s="51"/>
      <c r="SNA44" s="51"/>
      <c r="SNB44" s="51"/>
      <c r="SNC44" s="51"/>
      <c r="SND44" s="51"/>
      <c r="SNE44" s="51"/>
      <c r="SNF44" s="51"/>
      <c r="SNG44" s="51"/>
      <c r="SNH44" s="51"/>
      <c r="SNI44" s="51"/>
      <c r="SNJ44" s="51"/>
      <c r="SNK44" s="51"/>
      <c r="SNL44" s="51"/>
      <c r="SNM44" s="51"/>
      <c r="SNN44" s="51"/>
      <c r="SNO44" s="51"/>
      <c r="SNP44" s="51"/>
      <c r="SNQ44" s="51"/>
      <c r="SNR44" s="51"/>
      <c r="SNS44" s="51"/>
      <c r="SNT44" s="51"/>
      <c r="SNU44" s="51"/>
      <c r="SNV44" s="51"/>
      <c r="SNW44" s="51"/>
      <c r="SNX44" s="51"/>
      <c r="SNY44" s="51"/>
      <c r="SNZ44" s="51"/>
      <c r="SOA44" s="51"/>
      <c r="SOB44" s="51"/>
      <c r="SOC44" s="51"/>
      <c r="SOD44" s="51"/>
      <c r="SOE44" s="51"/>
      <c r="SOF44" s="51"/>
      <c r="SOG44" s="51"/>
      <c r="SOH44" s="51"/>
      <c r="SOI44" s="51"/>
      <c r="SOJ44" s="51"/>
      <c r="SOK44" s="51"/>
      <c r="SOL44" s="51"/>
      <c r="SOM44" s="51"/>
      <c r="SON44" s="51"/>
      <c r="SOO44" s="51"/>
      <c r="SOP44" s="51"/>
      <c r="SOQ44" s="51"/>
      <c r="SOR44" s="51"/>
      <c r="SOS44" s="51"/>
      <c r="SOT44" s="51"/>
      <c r="SOU44" s="51"/>
      <c r="SOV44" s="51"/>
      <c r="SOW44" s="51"/>
      <c r="SOX44" s="51"/>
      <c r="SOY44" s="51"/>
      <c r="SOZ44" s="51"/>
      <c r="SPA44" s="51"/>
      <c r="SPB44" s="51"/>
      <c r="SPC44" s="51"/>
      <c r="SPD44" s="51"/>
      <c r="SPE44" s="51"/>
      <c r="SPF44" s="51"/>
      <c r="SPG44" s="51"/>
      <c r="SPH44" s="51"/>
      <c r="SPI44" s="51"/>
      <c r="SPJ44" s="51"/>
      <c r="SPK44" s="51"/>
      <c r="SPL44" s="51"/>
      <c r="SPM44" s="51"/>
      <c r="SPN44" s="51"/>
      <c r="SPO44" s="51"/>
      <c r="SPP44" s="51"/>
      <c r="SPQ44" s="51"/>
      <c r="SPR44" s="51"/>
      <c r="SPS44" s="51"/>
      <c r="SPT44" s="51"/>
      <c r="SPU44" s="51"/>
      <c r="SPV44" s="51"/>
      <c r="SPW44" s="51"/>
      <c r="SPX44" s="51"/>
      <c r="SPY44" s="51"/>
      <c r="SPZ44" s="51"/>
      <c r="SQA44" s="51"/>
      <c r="SQB44" s="51"/>
      <c r="SQC44" s="51"/>
      <c r="SQD44" s="51"/>
      <c r="SQE44" s="51"/>
      <c r="SQF44" s="51"/>
      <c r="SQG44" s="51"/>
      <c r="SQH44" s="51"/>
      <c r="SQI44" s="51"/>
      <c r="SQJ44" s="51"/>
      <c r="SQK44" s="51"/>
      <c r="SQL44" s="51"/>
      <c r="SQM44" s="51"/>
      <c r="SQN44" s="51"/>
      <c r="SQO44" s="51"/>
      <c r="SQP44" s="51"/>
      <c r="SQQ44" s="51"/>
      <c r="SQR44" s="51"/>
      <c r="SQS44" s="51"/>
      <c r="SQT44" s="51"/>
      <c r="SQU44" s="51"/>
      <c r="SQV44" s="51"/>
      <c r="SQW44" s="51"/>
      <c r="SQX44" s="51"/>
      <c r="SQY44" s="51"/>
      <c r="SQZ44" s="51"/>
      <c r="SRA44" s="51"/>
      <c r="SRB44" s="51"/>
      <c r="SRC44" s="51"/>
      <c r="SRD44" s="51"/>
      <c r="SRE44" s="51"/>
      <c r="SRF44" s="51"/>
      <c r="SRG44" s="51"/>
      <c r="SRH44" s="51"/>
      <c r="SRI44" s="51"/>
      <c r="SRJ44" s="51"/>
      <c r="SRK44" s="51"/>
      <c r="SRL44" s="51"/>
      <c r="SRM44" s="51"/>
      <c r="SRN44" s="51"/>
      <c r="SRO44" s="51"/>
      <c r="SRP44" s="51"/>
      <c r="SRQ44" s="51"/>
      <c r="SRR44" s="51"/>
      <c r="SRS44" s="51"/>
      <c r="SRT44" s="51"/>
      <c r="SRU44" s="51"/>
      <c r="SRV44" s="51"/>
      <c r="SRW44" s="51"/>
      <c r="SRX44" s="51"/>
      <c r="SRY44" s="51"/>
      <c r="SRZ44" s="51"/>
      <c r="SSA44" s="51"/>
      <c r="SSB44" s="51"/>
      <c r="SSC44" s="51"/>
      <c r="SSD44" s="51"/>
      <c r="SSE44" s="51"/>
      <c r="SSF44" s="51"/>
      <c r="SSG44" s="51"/>
      <c r="SSH44" s="51"/>
      <c r="SSI44" s="51"/>
      <c r="SSJ44" s="51"/>
      <c r="SSK44" s="51"/>
      <c r="SSL44" s="51"/>
      <c r="SSM44" s="51"/>
      <c r="SSN44" s="51"/>
      <c r="SSO44" s="51"/>
      <c r="SSP44" s="51"/>
      <c r="SSQ44" s="51"/>
      <c r="SSR44" s="51"/>
      <c r="SSS44" s="51"/>
      <c r="SST44" s="51"/>
      <c r="SSU44" s="51"/>
      <c r="SSV44" s="51"/>
      <c r="SSW44" s="51"/>
      <c r="SSX44" s="51"/>
      <c r="SSY44" s="51"/>
      <c r="SSZ44" s="51"/>
      <c r="STA44" s="51"/>
      <c r="STB44" s="51"/>
      <c r="STC44" s="51"/>
      <c r="STD44" s="51"/>
      <c r="STE44" s="51"/>
      <c r="STF44" s="51"/>
      <c r="STG44" s="51"/>
      <c r="STH44" s="51"/>
      <c r="STI44" s="51"/>
      <c r="STJ44" s="51"/>
      <c r="STK44" s="51"/>
      <c r="STL44" s="51"/>
      <c r="STM44" s="51"/>
      <c r="STN44" s="51"/>
      <c r="STO44" s="51"/>
      <c r="STP44" s="51"/>
      <c r="STQ44" s="51"/>
      <c r="STR44" s="51"/>
      <c r="STS44" s="51"/>
      <c r="STT44" s="51"/>
      <c r="STU44" s="51"/>
      <c r="STV44" s="51"/>
      <c r="STW44" s="51"/>
      <c r="STX44" s="51"/>
      <c r="STY44" s="51"/>
      <c r="STZ44" s="51"/>
      <c r="SUA44" s="51"/>
      <c r="SUB44" s="51"/>
      <c r="SUC44" s="51"/>
      <c r="SUD44" s="51"/>
      <c r="SUE44" s="51"/>
      <c r="SUF44" s="51"/>
      <c r="SUG44" s="51"/>
      <c r="SUH44" s="51"/>
      <c r="SUI44" s="51"/>
      <c r="SUJ44" s="51"/>
      <c r="SUK44" s="51"/>
      <c r="SUL44" s="51"/>
      <c r="SUM44" s="51"/>
      <c r="SUN44" s="51"/>
      <c r="SUO44" s="51"/>
      <c r="SUP44" s="51"/>
      <c r="SUQ44" s="51"/>
      <c r="SUR44" s="51"/>
      <c r="SUS44" s="51"/>
      <c r="SUT44" s="51"/>
      <c r="SUU44" s="51"/>
      <c r="SUV44" s="51"/>
      <c r="SUW44" s="51"/>
      <c r="SUX44" s="51"/>
      <c r="SUY44" s="51"/>
      <c r="SUZ44" s="51"/>
      <c r="SVA44" s="51"/>
      <c r="SVB44" s="51"/>
      <c r="SVC44" s="51"/>
      <c r="SVD44" s="51"/>
      <c r="SVE44" s="51"/>
      <c r="SVF44" s="51"/>
      <c r="SVG44" s="51"/>
      <c r="SVH44" s="51"/>
      <c r="SVI44" s="51"/>
      <c r="SVJ44" s="51"/>
      <c r="SVK44" s="51"/>
      <c r="SVL44" s="51"/>
      <c r="SVM44" s="51"/>
      <c r="SVN44" s="51"/>
      <c r="SVO44" s="51"/>
      <c r="SVP44" s="51"/>
      <c r="SVQ44" s="51"/>
      <c r="SVR44" s="51"/>
      <c r="SVS44" s="51"/>
      <c r="SVT44" s="51"/>
      <c r="SVU44" s="51"/>
      <c r="SVV44" s="51"/>
      <c r="SVW44" s="51"/>
      <c r="SVX44" s="51"/>
      <c r="SVY44" s="51"/>
      <c r="SVZ44" s="51"/>
      <c r="SWA44" s="51"/>
      <c r="SWB44" s="51"/>
      <c r="SWC44" s="51"/>
      <c r="SWD44" s="51"/>
      <c r="SWE44" s="51"/>
      <c r="SWF44" s="51"/>
      <c r="SWG44" s="51"/>
      <c r="SWH44" s="51"/>
      <c r="SWI44" s="51"/>
      <c r="SWJ44" s="51"/>
      <c r="SWK44" s="51"/>
      <c r="SWL44" s="51"/>
      <c r="SWM44" s="51"/>
      <c r="SWN44" s="51"/>
      <c r="SWO44" s="51"/>
      <c r="SWP44" s="51"/>
      <c r="SWQ44" s="51"/>
      <c r="SWR44" s="51"/>
      <c r="SWS44" s="51"/>
      <c r="SWT44" s="51"/>
      <c r="SWU44" s="51"/>
      <c r="SWV44" s="51"/>
      <c r="SWW44" s="51"/>
      <c r="SWX44" s="51"/>
      <c r="SWY44" s="51"/>
      <c r="SWZ44" s="51"/>
      <c r="SXA44" s="51"/>
      <c r="SXB44" s="51"/>
      <c r="SXC44" s="51"/>
      <c r="SXD44" s="51"/>
      <c r="SXE44" s="51"/>
      <c r="SXF44" s="51"/>
      <c r="SXG44" s="51"/>
      <c r="SXH44" s="51"/>
      <c r="SXI44" s="51"/>
      <c r="SXJ44" s="51"/>
      <c r="SXK44" s="51"/>
      <c r="SXL44" s="51"/>
      <c r="SXM44" s="51"/>
      <c r="SXN44" s="51"/>
      <c r="SXO44" s="51"/>
      <c r="SXP44" s="51"/>
      <c r="SXQ44" s="51"/>
      <c r="SXR44" s="51"/>
      <c r="SXS44" s="51"/>
      <c r="SXT44" s="51"/>
      <c r="SXU44" s="51"/>
      <c r="SXV44" s="51"/>
      <c r="SXW44" s="51"/>
      <c r="SXX44" s="51"/>
      <c r="SXY44" s="51"/>
      <c r="SXZ44" s="51"/>
      <c r="SYA44" s="51"/>
      <c r="SYB44" s="51"/>
      <c r="SYC44" s="51"/>
      <c r="SYD44" s="51"/>
      <c r="SYE44" s="51"/>
      <c r="SYF44" s="51"/>
      <c r="SYG44" s="51"/>
      <c r="SYH44" s="51"/>
      <c r="SYI44" s="51"/>
      <c r="SYJ44" s="51"/>
      <c r="SYK44" s="51"/>
      <c r="SYL44" s="51"/>
      <c r="SYM44" s="51"/>
      <c r="SYN44" s="51"/>
      <c r="SYO44" s="51"/>
      <c r="SYP44" s="51"/>
      <c r="SYQ44" s="51"/>
      <c r="SYR44" s="51"/>
      <c r="SYS44" s="51"/>
      <c r="SYT44" s="51"/>
      <c r="SYU44" s="51"/>
      <c r="SYV44" s="51"/>
      <c r="SYW44" s="51"/>
      <c r="SYX44" s="51"/>
      <c r="SYY44" s="51"/>
      <c r="SYZ44" s="51"/>
      <c r="SZA44" s="51"/>
      <c r="SZB44" s="51"/>
      <c r="SZC44" s="51"/>
      <c r="SZD44" s="51"/>
      <c r="SZE44" s="51"/>
      <c r="SZF44" s="51"/>
      <c r="SZG44" s="51"/>
      <c r="SZH44" s="51"/>
      <c r="SZI44" s="51"/>
      <c r="SZJ44" s="51"/>
      <c r="SZK44" s="51"/>
      <c r="SZL44" s="51"/>
      <c r="SZM44" s="51"/>
      <c r="SZN44" s="51"/>
      <c r="SZO44" s="51"/>
      <c r="SZP44" s="51"/>
      <c r="SZQ44" s="51"/>
      <c r="SZR44" s="51"/>
      <c r="SZS44" s="51"/>
      <c r="SZT44" s="51"/>
      <c r="SZU44" s="51"/>
      <c r="SZV44" s="51"/>
      <c r="SZW44" s="51"/>
      <c r="SZX44" s="51"/>
      <c r="SZY44" s="51"/>
      <c r="SZZ44" s="51"/>
      <c r="TAA44" s="51"/>
      <c r="TAB44" s="51"/>
      <c r="TAC44" s="51"/>
      <c r="TAD44" s="51"/>
      <c r="TAE44" s="51"/>
      <c r="TAF44" s="51"/>
      <c r="TAG44" s="51"/>
      <c r="TAH44" s="51"/>
      <c r="TAI44" s="51"/>
      <c r="TAJ44" s="51"/>
      <c r="TAK44" s="51"/>
      <c r="TAL44" s="51"/>
      <c r="TAM44" s="51"/>
      <c r="TAN44" s="51"/>
      <c r="TAO44" s="51"/>
      <c r="TAP44" s="51"/>
      <c r="TAQ44" s="51"/>
      <c r="TAR44" s="51"/>
      <c r="TAS44" s="51"/>
      <c r="TAT44" s="51"/>
      <c r="TAU44" s="51"/>
      <c r="TAV44" s="51"/>
      <c r="TAW44" s="51"/>
      <c r="TAX44" s="51"/>
      <c r="TAY44" s="51"/>
      <c r="TAZ44" s="51"/>
      <c r="TBA44" s="51"/>
      <c r="TBB44" s="51"/>
      <c r="TBC44" s="51"/>
      <c r="TBD44" s="51"/>
      <c r="TBE44" s="51"/>
      <c r="TBF44" s="51"/>
      <c r="TBG44" s="51"/>
      <c r="TBH44" s="51"/>
      <c r="TBI44" s="51"/>
      <c r="TBJ44" s="51"/>
      <c r="TBK44" s="51"/>
      <c r="TBL44" s="51"/>
      <c r="TBM44" s="51"/>
      <c r="TBN44" s="51"/>
      <c r="TBO44" s="51"/>
      <c r="TBP44" s="51"/>
      <c r="TBQ44" s="51"/>
      <c r="TBR44" s="51"/>
      <c r="TBS44" s="51"/>
      <c r="TBT44" s="51"/>
      <c r="TBU44" s="51"/>
      <c r="TBV44" s="51"/>
      <c r="TBW44" s="51"/>
      <c r="TBX44" s="51"/>
      <c r="TBY44" s="51"/>
      <c r="TBZ44" s="51"/>
      <c r="TCA44" s="51"/>
      <c r="TCB44" s="51"/>
      <c r="TCC44" s="51"/>
      <c r="TCD44" s="51"/>
      <c r="TCE44" s="51"/>
      <c r="TCF44" s="51"/>
      <c r="TCG44" s="51"/>
      <c r="TCH44" s="51"/>
      <c r="TCI44" s="51"/>
      <c r="TCJ44" s="51"/>
      <c r="TCK44" s="51"/>
      <c r="TCL44" s="51"/>
      <c r="TCM44" s="51"/>
      <c r="TCN44" s="51"/>
      <c r="TCO44" s="51"/>
      <c r="TCP44" s="51"/>
      <c r="TCQ44" s="51"/>
      <c r="TCR44" s="51"/>
      <c r="TCS44" s="51"/>
      <c r="TCT44" s="51"/>
      <c r="TCU44" s="51"/>
      <c r="TCV44" s="51"/>
      <c r="TCW44" s="51"/>
      <c r="TCX44" s="51"/>
      <c r="TCY44" s="51"/>
      <c r="TCZ44" s="51"/>
      <c r="TDA44" s="51"/>
      <c r="TDB44" s="51"/>
      <c r="TDC44" s="51"/>
      <c r="TDD44" s="51"/>
      <c r="TDE44" s="51"/>
      <c r="TDF44" s="51"/>
      <c r="TDG44" s="51"/>
      <c r="TDH44" s="51"/>
      <c r="TDI44" s="51"/>
      <c r="TDJ44" s="51"/>
      <c r="TDK44" s="51"/>
      <c r="TDL44" s="51"/>
      <c r="TDM44" s="51"/>
      <c r="TDN44" s="51"/>
      <c r="TDO44" s="51"/>
      <c r="TDP44" s="51"/>
      <c r="TDQ44" s="51"/>
      <c r="TDR44" s="51"/>
      <c r="TDS44" s="51"/>
      <c r="TDT44" s="51"/>
      <c r="TDU44" s="51"/>
      <c r="TDV44" s="51"/>
      <c r="TDW44" s="51"/>
      <c r="TDX44" s="51"/>
      <c r="TDY44" s="51"/>
      <c r="TDZ44" s="51"/>
      <c r="TEA44" s="51"/>
      <c r="TEB44" s="51"/>
      <c r="TEC44" s="51"/>
      <c r="TED44" s="51"/>
      <c r="TEE44" s="51"/>
      <c r="TEF44" s="51"/>
      <c r="TEG44" s="51"/>
      <c r="TEH44" s="51"/>
      <c r="TEI44" s="51"/>
      <c r="TEJ44" s="51"/>
      <c r="TEK44" s="51"/>
      <c r="TEL44" s="51"/>
      <c r="TEM44" s="51"/>
      <c r="TEN44" s="51"/>
      <c r="TEO44" s="51"/>
      <c r="TEP44" s="51"/>
      <c r="TEQ44" s="51"/>
      <c r="TER44" s="51"/>
      <c r="TES44" s="51"/>
      <c r="TET44" s="51"/>
      <c r="TEU44" s="51"/>
      <c r="TEV44" s="51"/>
      <c r="TEW44" s="51"/>
      <c r="TEX44" s="51"/>
      <c r="TEY44" s="51"/>
      <c r="TEZ44" s="51"/>
      <c r="TFA44" s="51"/>
      <c r="TFB44" s="51"/>
      <c r="TFC44" s="51"/>
      <c r="TFD44" s="51"/>
      <c r="TFE44" s="51"/>
      <c r="TFF44" s="51"/>
      <c r="TFG44" s="51"/>
      <c r="TFH44" s="51"/>
      <c r="TFI44" s="51"/>
      <c r="TFJ44" s="51"/>
      <c r="TFK44" s="51"/>
      <c r="TFL44" s="51"/>
      <c r="TFM44" s="51"/>
      <c r="TFN44" s="51"/>
      <c r="TFO44" s="51"/>
      <c r="TFP44" s="51"/>
      <c r="TFQ44" s="51"/>
      <c r="TFR44" s="51"/>
      <c r="TFS44" s="51"/>
      <c r="TFT44" s="51"/>
      <c r="TFU44" s="51"/>
      <c r="TFV44" s="51"/>
      <c r="TFW44" s="51"/>
      <c r="TFX44" s="51"/>
      <c r="TFY44" s="51"/>
      <c r="TFZ44" s="51"/>
      <c r="TGA44" s="51"/>
      <c r="TGB44" s="51"/>
      <c r="TGC44" s="51"/>
      <c r="TGD44" s="51"/>
      <c r="TGE44" s="51"/>
      <c r="TGF44" s="51"/>
      <c r="TGG44" s="51"/>
      <c r="TGH44" s="51"/>
      <c r="TGI44" s="51"/>
      <c r="TGJ44" s="51"/>
      <c r="TGK44" s="51"/>
      <c r="TGL44" s="51"/>
      <c r="TGM44" s="51"/>
      <c r="TGN44" s="51"/>
      <c r="TGO44" s="51"/>
      <c r="TGP44" s="51"/>
      <c r="TGQ44" s="51"/>
      <c r="TGR44" s="51"/>
      <c r="TGS44" s="51"/>
      <c r="TGT44" s="51"/>
      <c r="TGU44" s="51"/>
      <c r="TGV44" s="51"/>
      <c r="TGW44" s="51"/>
      <c r="TGX44" s="51"/>
      <c r="TGY44" s="51"/>
      <c r="TGZ44" s="51"/>
      <c r="THA44" s="51"/>
      <c r="THB44" s="51"/>
      <c r="THC44" s="51"/>
      <c r="THD44" s="51"/>
      <c r="THE44" s="51"/>
      <c r="THF44" s="51"/>
      <c r="THG44" s="51"/>
      <c r="THH44" s="51"/>
      <c r="THI44" s="51"/>
      <c r="THJ44" s="51"/>
      <c r="THK44" s="51"/>
      <c r="THL44" s="51"/>
      <c r="THM44" s="51"/>
      <c r="THN44" s="51"/>
      <c r="THO44" s="51"/>
      <c r="THP44" s="51"/>
      <c r="THQ44" s="51"/>
      <c r="THR44" s="51"/>
      <c r="THS44" s="51"/>
      <c r="THT44" s="51"/>
      <c r="THU44" s="51"/>
      <c r="THV44" s="51"/>
      <c r="THW44" s="51"/>
      <c r="THX44" s="51"/>
      <c r="THY44" s="51"/>
      <c r="THZ44" s="51"/>
      <c r="TIA44" s="51"/>
      <c r="TIB44" s="51"/>
      <c r="TIC44" s="51"/>
      <c r="TID44" s="51"/>
      <c r="TIE44" s="51"/>
      <c r="TIF44" s="51"/>
      <c r="TIG44" s="51"/>
      <c r="TIH44" s="51"/>
      <c r="TII44" s="51"/>
      <c r="TIJ44" s="51"/>
      <c r="TIK44" s="51"/>
      <c r="TIL44" s="51"/>
      <c r="TIM44" s="51"/>
      <c r="TIN44" s="51"/>
      <c r="TIO44" s="51"/>
      <c r="TIP44" s="51"/>
      <c r="TIQ44" s="51"/>
      <c r="TIR44" s="51"/>
      <c r="TIS44" s="51"/>
      <c r="TIT44" s="51"/>
      <c r="TIU44" s="51"/>
      <c r="TIV44" s="51"/>
      <c r="TIW44" s="51"/>
      <c r="TIX44" s="51"/>
      <c r="TIY44" s="51"/>
      <c r="TIZ44" s="51"/>
      <c r="TJA44" s="51"/>
      <c r="TJB44" s="51"/>
      <c r="TJC44" s="51"/>
      <c r="TJD44" s="51"/>
      <c r="TJE44" s="51"/>
      <c r="TJF44" s="51"/>
      <c r="TJG44" s="51"/>
      <c r="TJH44" s="51"/>
      <c r="TJI44" s="51"/>
      <c r="TJJ44" s="51"/>
      <c r="TJK44" s="51"/>
      <c r="TJL44" s="51"/>
      <c r="TJM44" s="51"/>
      <c r="TJN44" s="51"/>
      <c r="TJO44" s="51"/>
      <c r="TJP44" s="51"/>
      <c r="TJQ44" s="51"/>
      <c r="TJR44" s="51"/>
      <c r="TJS44" s="51"/>
      <c r="TJT44" s="51"/>
      <c r="TJU44" s="51"/>
      <c r="TJV44" s="51"/>
      <c r="TJW44" s="51"/>
      <c r="TJX44" s="51"/>
      <c r="TJY44" s="51"/>
      <c r="TJZ44" s="51"/>
      <c r="TKA44" s="51"/>
      <c r="TKB44" s="51"/>
      <c r="TKC44" s="51"/>
      <c r="TKD44" s="51"/>
      <c r="TKE44" s="51"/>
      <c r="TKF44" s="51"/>
      <c r="TKG44" s="51"/>
      <c r="TKH44" s="51"/>
      <c r="TKI44" s="51"/>
      <c r="TKJ44" s="51"/>
      <c r="TKK44" s="51"/>
      <c r="TKL44" s="51"/>
      <c r="TKM44" s="51"/>
      <c r="TKN44" s="51"/>
      <c r="TKO44" s="51"/>
      <c r="TKP44" s="51"/>
      <c r="TKQ44" s="51"/>
      <c r="TKR44" s="51"/>
      <c r="TKS44" s="51"/>
      <c r="TKT44" s="51"/>
      <c r="TKU44" s="51"/>
      <c r="TKV44" s="51"/>
      <c r="TKW44" s="51"/>
      <c r="TKX44" s="51"/>
      <c r="TKY44" s="51"/>
      <c r="TKZ44" s="51"/>
      <c r="TLA44" s="51"/>
      <c r="TLB44" s="51"/>
      <c r="TLC44" s="51"/>
      <c r="TLD44" s="51"/>
      <c r="TLE44" s="51"/>
      <c r="TLF44" s="51"/>
      <c r="TLG44" s="51"/>
      <c r="TLH44" s="51"/>
      <c r="TLI44" s="51"/>
      <c r="TLJ44" s="51"/>
      <c r="TLK44" s="51"/>
      <c r="TLL44" s="51"/>
      <c r="TLM44" s="51"/>
      <c r="TLN44" s="51"/>
      <c r="TLO44" s="51"/>
      <c r="TLP44" s="51"/>
      <c r="TLQ44" s="51"/>
      <c r="TLR44" s="51"/>
      <c r="TLS44" s="51"/>
      <c r="TLT44" s="51"/>
      <c r="TLU44" s="51"/>
      <c r="TLV44" s="51"/>
      <c r="TLW44" s="51"/>
      <c r="TLX44" s="51"/>
      <c r="TLY44" s="51"/>
      <c r="TLZ44" s="51"/>
      <c r="TMA44" s="51"/>
      <c r="TMB44" s="51"/>
      <c r="TMC44" s="51"/>
      <c r="TMD44" s="51"/>
      <c r="TME44" s="51"/>
      <c r="TMF44" s="51"/>
      <c r="TMG44" s="51"/>
      <c r="TMH44" s="51"/>
      <c r="TMI44" s="51"/>
      <c r="TMJ44" s="51"/>
      <c r="TMK44" s="51"/>
      <c r="TML44" s="51"/>
      <c r="TMM44" s="51"/>
      <c r="TMN44" s="51"/>
      <c r="TMO44" s="51"/>
      <c r="TMP44" s="51"/>
      <c r="TMQ44" s="51"/>
      <c r="TMR44" s="51"/>
      <c r="TMS44" s="51"/>
      <c r="TMT44" s="51"/>
      <c r="TMU44" s="51"/>
      <c r="TMV44" s="51"/>
      <c r="TMW44" s="51"/>
      <c r="TMX44" s="51"/>
      <c r="TMY44" s="51"/>
      <c r="TMZ44" s="51"/>
      <c r="TNA44" s="51"/>
      <c r="TNB44" s="51"/>
      <c r="TNC44" s="51"/>
      <c r="TND44" s="51"/>
      <c r="TNE44" s="51"/>
      <c r="TNF44" s="51"/>
      <c r="TNG44" s="51"/>
      <c r="TNH44" s="51"/>
      <c r="TNI44" s="51"/>
      <c r="TNJ44" s="51"/>
      <c r="TNK44" s="51"/>
      <c r="TNL44" s="51"/>
      <c r="TNM44" s="51"/>
      <c r="TNN44" s="51"/>
      <c r="TNO44" s="51"/>
      <c r="TNP44" s="51"/>
      <c r="TNQ44" s="51"/>
      <c r="TNR44" s="51"/>
      <c r="TNS44" s="51"/>
      <c r="TNT44" s="51"/>
      <c r="TNU44" s="51"/>
      <c r="TNV44" s="51"/>
      <c r="TNW44" s="51"/>
      <c r="TNX44" s="51"/>
      <c r="TNY44" s="51"/>
      <c r="TNZ44" s="51"/>
      <c r="TOA44" s="51"/>
      <c r="TOB44" s="51"/>
      <c r="TOC44" s="51"/>
      <c r="TOD44" s="51"/>
      <c r="TOE44" s="51"/>
      <c r="TOF44" s="51"/>
      <c r="TOG44" s="51"/>
      <c r="TOH44" s="51"/>
      <c r="TOI44" s="51"/>
      <c r="TOJ44" s="51"/>
      <c r="TOK44" s="51"/>
      <c r="TOL44" s="51"/>
      <c r="TOM44" s="51"/>
      <c r="TON44" s="51"/>
      <c r="TOO44" s="51"/>
      <c r="TOP44" s="51"/>
      <c r="TOQ44" s="51"/>
      <c r="TOR44" s="51"/>
      <c r="TOS44" s="51"/>
      <c r="TOT44" s="51"/>
      <c r="TOU44" s="51"/>
      <c r="TOV44" s="51"/>
      <c r="TOW44" s="51"/>
      <c r="TOX44" s="51"/>
      <c r="TOY44" s="51"/>
      <c r="TOZ44" s="51"/>
      <c r="TPA44" s="51"/>
      <c r="TPB44" s="51"/>
      <c r="TPC44" s="51"/>
      <c r="TPD44" s="51"/>
      <c r="TPE44" s="51"/>
      <c r="TPF44" s="51"/>
      <c r="TPG44" s="51"/>
      <c r="TPH44" s="51"/>
      <c r="TPI44" s="51"/>
      <c r="TPJ44" s="51"/>
      <c r="TPK44" s="51"/>
      <c r="TPL44" s="51"/>
      <c r="TPM44" s="51"/>
      <c r="TPN44" s="51"/>
      <c r="TPO44" s="51"/>
      <c r="TPP44" s="51"/>
      <c r="TPQ44" s="51"/>
      <c r="TPR44" s="51"/>
      <c r="TPS44" s="51"/>
      <c r="TPT44" s="51"/>
      <c r="TPU44" s="51"/>
      <c r="TPV44" s="51"/>
      <c r="TPW44" s="51"/>
      <c r="TPX44" s="51"/>
      <c r="TPY44" s="51"/>
      <c r="TPZ44" s="51"/>
      <c r="TQA44" s="51"/>
      <c r="TQB44" s="51"/>
      <c r="TQC44" s="51"/>
      <c r="TQD44" s="51"/>
      <c r="TQE44" s="51"/>
      <c r="TQF44" s="51"/>
      <c r="TQG44" s="51"/>
      <c r="TQH44" s="51"/>
      <c r="TQI44" s="51"/>
      <c r="TQJ44" s="51"/>
      <c r="TQK44" s="51"/>
      <c r="TQL44" s="51"/>
      <c r="TQM44" s="51"/>
      <c r="TQN44" s="51"/>
      <c r="TQO44" s="51"/>
      <c r="TQP44" s="51"/>
      <c r="TQQ44" s="51"/>
      <c r="TQR44" s="51"/>
      <c r="TQS44" s="51"/>
      <c r="TQT44" s="51"/>
      <c r="TQU44" s="51"/>
      <c r="TQV44" s="51"/>
      <c r="TQW44" s="51"/>
      <c r="TQX44" s="51"/>
      <c r="TQY44" s="51"/>
      <c r="TQZ44" s="51"/>
      <c r="TRA44" s="51"/>
      <c r="TRB44" s="51"/>
      <c r="TRC44" s="51"/>
      <c r="TRD44" s="51"/>
      <c r="TRE44" s="51"/>
      <c r="TRF44" s="51"/>
      <c r="TRG44" s="51"/>
      <c r="TRH44" s="51"/>
      <c r="TRI44" s="51"/>
      <c r="TRJ44" s="51"/>
      <c r="TRK44" s="51"/>
      <c r="TRL44" s="51"/>
      <c r="TRM44" s="51"/>
      <c r="TRN44" s="51"/>
      <c r="TRO44" s="51"/>
      <c r="TRP44" s="51"/>
      <c r="TRQ44" s="51"/>
      <c r="TRR44" s="51"/>
      <c r="TRS44" s="51"/>
      <c r="TRT44" s="51"/>
      <c r="TRU44" s="51"/>
      <c r="TRV44" s="51"/>
      <c r="TRW44" s="51"/>
      <c r="TRX44" s="51"/>
      <c r="TRY44" s="51"/>
      <c r="TRZ44" s="51"/>
      <c r="TSA44" s="51"/>
      <c r="TSB44" s="51"/>
      <c r="TSC44" s="51"/>
      <c r="TSD44" s="51"/>
      <c r="TSE44" s="51"/>
      <c r="TSF44" s="51"/>
      <c r="TSG44" s="51"/>
      <c r="TSH44" s="51"/>
      <c r="TSI44" s="51"/>
      <c r="TSJ44" s="51"/>
      <c r="TSK44" s="51"/>
      <c r="TSL44" s="51"/>
      <c r="TSM44" s="51"/>
      <c r="TSN44" s="51"/>
      <c r="TSO44" s="51"/>
      <c r="TSP44" s="51"/>
      <c r="TSQ44" s="51"/>
      <c r="TSR44" s="51"/>
      <c r="TSS44" s="51"/>
      <c r="TST44" s="51"/>
      <c r="TSU44" s="51"/>
      <c r="TSV44" s="51"/>
      <c r="TSW44" s="51"/>
      <c r="TSX44" s="51"/>
      <c r="TSY44" s="51"/>
      <c r="TSZ44" s="51"/>
      <c r="TTA44" s="51"/>
      <c r="TTB44" s="51"/>
      <c r="TTC44" s="51"/>
      <c r="TTD44" s="51"/>
      <c r="TTE44" s="51"/>
      <c r="TTF44" s="51"/>
      <c r="TTG44" s="51"/>
      <c r="TTH44" s="51"/>
      <c r="TTI44" s="51"/>
      <c r="TTJ44" s="51"/>
      <c r="TTK44" s="51"/>
      <c r="TTL44" s="51"/>
      <c r="TTM44" s="51"/>
      <c r="TTN44" s="51"/>
      <c r="TTO44" s="51"/>
      <c r="TTP44" s="51"/>
      <c r="TTQ44" s="51"/>
      <c r="TTR44" s="51"/>
      <c r="TTS44" s="51"/>
      <c r="TTT44" s="51"/>
      <c r="TTU44" s="51"/>
      <c r="TTV44" s="51"/>
      <c r="TTW44" s="51"/>
      <c r="TTX44" s="51"/>
      <c r="TTY44" s="51"/>
      <c r="TTZ44" s="51"/>
      <c r="TUA44" s="51"/>
      <c r="TUB44" s="51"/>
      <c r="TUC44" s="51"/>
      <c r="TUD44" s="51"/>
      <c r="TUE44" s="51"/>
      <c r="TUF44" s="51"/>
      <c r="TUG44" s="51"/>
      <c r="TUH44" s="51"/>
      <c r="TUI44" s="51"/>
      <c r="TUJ44" s="51"/>
      <c r="TUK44" s="51"/>
      <c r="TUL44" s="51"/>
      <c r="TUM44" s="51"/>
      <c r="TUN44" s="51"/>
      <c r="TUO44" s="51"/>
      <c r="TUP44" s="51"/>
      <c r="TUQ44" s="51"/>
      <c r="TUR44" s="51"/>
      <c r="TUS44" s="51"/>
      <c r="TUT44" s="51"/>
      <c r="TUU44" s="51"/>
      <c r="TUV44" s="51"/>
      <c r="TUW44" s="51"/>
      <c r="TUX44" s="51"/>
      <c r="TUY44" s="51"/>
      <c r="TUZ44" s="51"/>
      <c r="TVA44" s="51"/>
      <c r="TVB44" s="51"/>
      <c r="TVC44" s="51"/>
      <c r="TVD44" s="51"/>
      <c r="TVE44" s="51"/>
      <c r="TVF44" s="51"/>
      <c r="TVG44" s="51"/>
      <c r="TVH44" s="51"/>
      <c r="TVI44" s="51"/>
      <c r="TVJ44" s="51"/>
      <c r="TVK44" s="51"/>
      <c r="TVL44" s="51"/>
      <c r="TVM44" s="51"/>
      <c r="TVN44" s="51"/>
      <c r="TVO44" s="51"/>
      <c r="TVP44" s="51"/>
      <c r="TVQ44" s="51"/>
      <c r="TVR44" s="51"/>
      <c r="TVS44" s="51"/>
      <c r="TVT44" s="51"/>
      <c r="TVU44" s="51"/>
      <c r="TVV44" s="51"/>
      <c r="TVW44" s="51"/>
      <c r="TVX44" s="51"/>
      <c r="TVY44" s="51"/>
      <c r="TVZ44" s="51"/>
      <c r="TWA44" s="51"/>
      <c r="TWB44" s="51"/>
      <c r="TWC44" s="51"/>
      <c r="TWD44" s="51"/>
      <c r="TWE44" s="51"/>
      <c r="TWF44" s="51"/>
      <c r="TWG44" s="51"/>
      <c r="TWH44" s="51"/>
      <c r="TWI44" s="51"/>
      <c r="TWJ44" s="51"/>
      <c r="TWK44" s="51"/>
      <c r="TWL44" s="51"/>
      <c r="TWM44" s="51"/>
      <c r="TWN44" s="51"/>
      <c r="TWO44" s="51"/>
      <c r="TWP44" s="51"/>
      <c r="TWQ44" s="51"/>
      <c r="TWR44" s="51"/>
      <c r="TWS44" s="51"/>
      <c r="TWT44" s="51"/>
      <c r="TWU44" s="51"/>
      <c r="TWV44" s="51"/>
      <c r="TWW44" s="51"/>
      <c r="TWX44" s="51"/>
      <c r="TWY44" s="51"/>
      <c r="TWZ44" s="51"/>
      <c r="TXA44" s="51"/>
      <c r="TXB44" s="51"/>
      <c r="TXC44" s="51"/>
      <c r="TXD44" s="51"/>
      <c r="TXE44" s="51"/>
      <c r="TXF44" s="51"/>
      <c r="TXG44" s="51"/>
      <c r="TXH44" s="51"/>
      <c r="TXI44" s="51"/>
      <c r="TXJ44" s="51"/>
      <c r="TXK44" s="51"/>
      <c r="TXL44" s="51"/>
      <c r="TXM44" s="51"/>
      <c r="TXN44" s="51"/>
      <c r="TXO44" s="51"/>
      <c r="TXP44" s="51"/>
      <c r="TXQ44" s="51"/>
      <c r="TXR44" s="51"/>
      <c r="TXS44" s="51"/>
      <c r="TXT44" s="51"/>
      <c r="TXU44" s="51"/>
      <c r="TXV44" s="51"/>
      <c r="TXW44" s="51"/>
      <c r="TXX44" s="51"/>
      <c r="TXY44" s="51"/>
      <c r="TXZ44" s="51"/>
      <c r="TYA44" s="51"/>
      <c r="TYB44" s="51"/>
      <c r="TYC44" s="51"/>
      <c r="TYD44" s="51"/>
      <c r="TYE44" s="51"/>
      <c r="TYF44" s="51"/>
      <c r="TYG44" s="51"/>
      <c r="TYH44" s="51"/>
      <c r="TYI44" s="51"/>
      <c r="TYJ44" s="51"/>
      <c r="TYK44" s="51"/>
      <c r="TYL44" s="51"/>
      <c r="TYM44" s="51"/>
      <c r="TYN44" s="51"/>
      <c r="TYO44" s="51"/>
      <c r="TYP44" s="51"/>
      <c r="TYQ44" s="51"/>
      <c r="TYR44" s="51"/>
      <c r="TYS44" s="51"/>
      <c r="TYT44" s="51"/>
      <c r="TYU44" s="51"/>
      <c r="TYV44" s="51"/>
      <c r="TYW44" s="51"/>
      <c r="TYX44" s="51"/>
      <c r="TYY44" s="51"/>
      <c r="TYZ44" s="51"/>
      <c r="TZA44" s="51"/>
      <c r="TZB44" s="51"/>
      <c r="TZC44" s="51"/>
      <c r="TZD44" s="51"/>
      <c r="TZE44" s="51"/>
      <c r="TZF44" s="51"/>
      <c r="TZG44" s="51"/>
      <c r="TZH44" s="51"/>
      <c r="TZI44" s="51"/>
      <c r="TZJ44" s="51"/>
      <c r="TZK44" s="51"/>
      <c r="TZL44" s="51"/>
      <c r="TZM44" s="51"/>
      <c r="TZN44" s="51"/>
      <c r="TZO44" s="51"/>
      <c r="TZP44" s="51"/>
      <c r="TZQ44" s="51"/>
      <c r="TZR44" s="51"/>
      <c r="TZS44" s="51"/>
      <c r="TZT44" s="51"/>
      <c r="TZU44" s="51"/>
      <c r="TZV44" s="51"/>
      <c r="TZW44" s="51"/>
      <c r="TZX44" s="51"/>
      <c r="TZY44" s="51"/>
      <c r="TZZ44" s="51"/>
      <c r="UAA44" s="51"/>
      <c r="UAB44" s="51"/>
      <c r="UAC44" s="51"/>
      <c r="UAD44" s="51"/>
      <c r="UAE44" s="51"/>
      <c r="UAF44" s="51"/>
      <c r="UAG44" s="51"/>
      <c r="UAH44" s="51"/>
      <c r="UAI44" s="51"/>
      <c r="UAJ44" s="51"/>
      <c r="UAK44" s="51"/>
      <c r="UAL44" s="51"/>
      <c r="UAM44" s="51"/>
      <c r="UAN44" s="51"/>
      <c r="UAO44" s="51"/>
      <c r="UAP44" s="51"/>
      <c r="UAQ44" s="51"/>
      <c r="UAR44" s="51"/>
      <c r="UAS44" s="51"/>
      <c r="UAT44" s="51"/>
      <c r="UAU44" s="51"/>
      <c r="UAV44" s="51"/>
      <c r="UAW44" s="51"/>
      <c r="UAX44" s="51"/>
      <c r="UAY44" s="51"/>
      <c r="UAZ44" s="51"/>
      <c r="UBA44" s="51"/>
      <c r="UBB44" s="51"/>
      <c r="UBC44" s="51"/>
      <c r="UBD44" s="51"/>
      <c r="UBE44" s="51"/>
      <c r="UBF44" s="51"/>
      <c r="UBG44" s="51"/>
      <c r="UBH44" s="51"/>
      <c r="UBI44" s="51"/>
      <c r="UBJ44" s="51"/>
      <c r="UBK44" s="51"/>
      <c r="UBL44" s="51"/>
      <c r="UBM44" s="51"/>
      <c r="UBN44" s="51"/>
      <c r="UBO44" s="51"/>
      <c r="UBP44" s="51"/>
      <c r="UBQ44" s="51"/>
      <c r="UBR44" s="51"/>
      <c r="UBS44" s="51"/>
      <c r="UBT44" s="51"/>
      <c r="UBU44" s="51"/>
      <c r="UBV44" s="51"/>
      <c r="UBW44" s="51"/>
      <c r="UBX44" s="51"/>
      <c r="UBY44" s="51"/>
      <c r="UBZ44" s="51"/>
      <c r="UCA44" s="51"/>
      <c r="UCB44" s="51"/>
      <c r="UCC44" s="51"/>
      <c r="UCD44" s="51"/>
      <c r="UCE44" s="51"/>
      <c r="UCF44" s="51"/>
      <c r="UCG44" s="51"/>
      <c r="UCH44" s="51"/>
      <c r="UCI44" s="51"/>
      <c r="UCJ44" s="51"/>
      <c r="UCK44" s="51"/>
      <c r="UCL44" s="51"/>
      <c r="UCM44" s="51"/>
      <c r="UCN44" s="51"/>
      <c r="UCO44" s="51"/>
      <c r="UCP44" s="51"/>
      <c r="UCQ44" s="51"/>
      <c r="UCR44" s="51"/>
      <c r="UCS44" s="51"/>
      <c r="UCT44" s="51"/>
      <c r="UCU44" s="51"/>
      <c r="UCV44" s="51"/>
      <c r="UCW44" s="51"/>
      <c r="UCX44" s="51"/>
      <c r="UCY44" s="51"/>
      <c r="UCZ44" s="51"/>
      <c r="UDA44" s="51"/>
      <c r="UDB44" s="51"/>
      <c r="UDC44" s="51"/>
      <c r="UDD44" s="51"/>
      <c r="UDE44" s="51"/>
      <c r="UDF44" s="51"/>
      <c r="UDG44" s="51"/>
      <c r="UDH44" s="51"/>
      <c r="UDI44" s="51"/>
      <c r="UDJ44" s="51"/>
      <c r="UDK44" s="51"/>
      <c r="UDL44" s="51"/>
      <c r="UDM44" s="51"/>
      <c r="UDN44" s="51"/>
      <c r="UDO44" s="51"/>
      <c r="UDP44" s="51"/>
      <c r="UDQ44" s="51"/>
      <c r="UDR44" s="51"/>
      <c r="UDS44" s="51"/>
      <c r="UDT44" s="51"/>
      <c r="UDU44" s="51"/>
      <c r="UDV44" s="51"/>
      <c r="UDW44" s="51"/>
      <c r="UDX44" s="51"/>
      <c r="UDY44" s="51"/>
      <c r="UDZ44" s="51"/>
      <c r="UEA44" s="51"/>
      <c r="UEB44" s="51"/>
      <c r="UEC44" s="51"/>
      <c r="UED44" s="51"/>
      <c r="UEE44" s="51"/>
      <c r="UEF44" s="51"/>
      <c r="UEG44" s="51"/>
      <c r="UEH44" s="51"/>
      <c r="UEI44" s="51"/>
      <c r="UEJ44" s="51"/>
      <c r="UEK44" s="51"/>
      <c r="UEL44" s="51"/>
      <c r="UEM44" s="51"/>
      <c r="UEN44" s="51"/>
      <c r="UEO44" s="51"/>
      <c r="UEP44" s="51"/>
      <c r="UEQ44" s="51"/>
      <c r="UER44" s="51"/>
      <c r="UES44" s="51"/>
      <c r="UET44" s="51"/>
      <c r="UEU44" s="51"/>
      <c r="UEV44" s="51"/>
      <c r="UEW44" s="51"/>
      <c r="UEX44" s="51"/>
      <c r="UEY44" s="51"/>
      <c r="UEZ44" s="51"/>
      <c r="UFA44" s="51"/>
      <c r="UFB44" s="51"/>
      <c r="UFC44" s="51"/>
      <c r="UFD44" s="51"/>
      <c r="UFE44" s="51"/>
      <c r="UFF44" s="51"/>
      <c r="UFG44" s="51"/>
      <c r="UFH44" s="51"/>
      <c r="UFI44" s="51"/>
      <c r="UFJ44" s="51"/>
      <c r="UFK44" s="51"/>
      <c r="UFL44" s="51"/>
      <c r="UFM44" s="51"/>
      <c r="UFN44" s="51"/>
      <c r="UFO44" s="51"/>
      <c r="UFP44" s="51"/>
      <c r="UFQ44" s="51"/>
      <c r="UFR44" s="51"/>
      <c r="UFS44" s="51"/>
      <c r="UFT44" s="51"/>
      <c r="UFU44" s="51"/>
      <c r="UFV44" s="51"/>
      <c r="UFW44" s="51"/>
      <c r="UFX44" s="51"/>
      <c r="UFY44" s="51"/>
      <c r="UFZ44" s="51"/>
      <c r="UGA44" s="51"/>
      <c r="UGB44" s="51"/>
      <c r="UGC44" s="51"/>
      <c r="UGD44" s="51"/>
      <c r="UGE44" s="51"/>
      <c r="UGF44" s="51"/>
      <c r="UGG44" s="51"/>
      <c r="UGH44" s="51"/>
      <c r="UGI44" s="51"/>
      <c r="UGJ44" s="51"/>
      <c r="UGK44" s="51"/>
      <c r="UGL44" s="51"/>
      <c r="UGM44" s="51"/>
      <c r="UGN44" s="51"/>
      <c r="UGO44" s="51"/>
      <c r="UGP44" s="51"/>
      <c r="UGQ44" s="51"/>
      <c r="UGR44" s="51"/>
      <c r="UGS44" s="51"/>
      <c r="UGT44" s="51"/>
      <c r="UGU44" s="51"/>
      <c r="UGV44" s="51"/>
      <c r="UGW44" s="51"/>
      <c r="UGX44" s="51"/>
      <c r="UGY44" s="51"/>
      <c r="UGZ44" s="51"/>
      <c r="UHA44" s="51"/>
      <c r="UHB44" s="51"/>
      <c r="UHC44" s="51"/>
      <c r="UHD44" s="51"/>
      <c r="UHE44" s="51"/>
      <c r="UHF44" s="51"/>
      <c r="UHG44" s="51"/>
      <c r="UHH44" s="51"/>
      <c r="UHI44" s="51"/>
      <c r="UHJ44" s="51"/>
      <c r="UHK44" s="51"/>
      <c r="UHL44" s="51"/>
      <c r="UHM44" s="51"/>
      <c r="UHN44" s="51"/>
      <c r="UHO44" s="51"/>
      <c r="UHP44" s="51"/>
      <c r="UHQ44" s="51"/>
      <c r="UHR44" s="51"/>
      <c r="UHS44" s="51"/>
      <c r="UHT44" s="51"/>
      <c r="UHU44" s="51"/>
      <c r="UHV44" s="51"/>
      <c r="UHW44" s="51"/>
      <c r="UHX44" s="51"/>
      <c r="UHY44" s="51"/>
      <c r="UHZ44" s="51"/>
      <c r="UIA44" s="51"/>
      <c r="UIB44" s="51"/>
      <c r="UIC44" s="51"/>
      <c r="UID44" s="51"/>
      <c r="UIE44" s="51"/>
      <c r="UIF44" s="51"/>
      <c r="UIG44" s="51"/>
      <c r="UIH44" s="51"/>
      <c r="UII44" s="51"/>
      <c r="UIJ44" s="51"/>
      <c r="UIK44" s="51"/>
      <c r="UIL44" s="51"/>
      <c r="UIM44" s="51"/>
      <c r="UIN44" s="51"/>
      <c r="UIO44" s="51"/>
      <c r="UIP44" s="51"/>
      <c r="UIQ44" s="51"/>
      <c r="UIR44" s="51"/>
      <c r="UIS44" s="51"/>
      <c r="UIT44" s="51"/>
      <c r="UIU44" s="51"/>
      <c r="UIV44" s="51"/>
      <c r="UIW44" s="51"/>
      <c r="UIX44" s="51"/>
      <c r="UIY44" s="51"/>
      <c r="UIZ44" s="51"/>
      <c r="UJA44" s="51"/>
      <c r="UJB44" s="51"/>
      <c r="UJC44" s="51"/>
      <c r="UJD44" s="51"/>
      <c r="UJE44" s="51"/>
      <c r="UJF44" s="51"/>
      <c r="UJG44" s="51"/>
      <c r="UJH44" s="51"/>
      <c r="UJI44" s="51"/>
      <c r="UJJ44" s="51"/>
      <c r="UJK44" s="51"/>
      <c r="UJL44" s="51"/>
      <c r="UJM44" s="51"/>
      <c r="UJN44" s="51"/>
      <c r="UJO44" s="51"/>
      <c r="UJP44" s="51"/>
      <c r="UJQ44" s="51"/>
      <c r="UJR44" s="51"/>
      <c r="UJS44" s="51"/>
      <c r="UJT44" s="51"/>
      <c r="UJU44" s="51"/>
      <c r="UJV44" s="51"/>
      <c r="UJW44" s="51"/>
      <c r="UJX44" s="51"/>
      <c r="UJY44" s="51"/>
      <c r="UJZ44" s="51"/>
      <c r="UKA44" s="51"/>
      <c r="UKB44" s="51"/>
      <c r="UKC44" s="51"/>
      <c r="UKD44" s="51"/>
      <c r="UKE44" s="51"/>
      <c r="UKF44" s="51"/>
      <c r="UKG44" s="51"/>
      <c r="UKH44" s="51"/>
      <c r="UKI44" s="51"/>
      <c r="UKJ44" s="51"/>
      <c r="UKK44" s="51"/>
      <c r="UKL44" s="51"/>
      <c r="UKM44" s="51"/>
      <c r="UKN44" s="51"/>
      <c r="UKO44" s="51"/>
      <c r="UKP44" s="51"/>
      <c r="UKQ44" s="51"/>
      <c r="UKR44" s="51"/>
      <c r="UKS44" s="51"/>
      <c r="UKT44" s="51"/>
      <c r="UKU44" s="51"/>
      <c r="UKV44" s="51"/>
      <c r="UKW44" s="51"/>
      <c r="UKX44" s="51"/>
      <c r="UKY44" s="51"/>
      <c r="UKZ44" s="51"/>
      <c r="ULA44" s="51"/>
      <c r="ULB44" s="51"/>
      <c r="ULC44" s="51"/>
      <c r="ULD44" s="51"/>
      <c r="ULE44" s="51"/>
      <c r="ULF44" s="51"/>
      <c r="ULG44" s="51"/>
      <c r="ULH44" s="51"/>
      <c r="ULI44" s="51"/>
      <c r="ULJ44" s="51"/>
      <c r="ULK44" s="51"/>
      <c r="ULL44" s="51"/>
      <c r="ULM44" s="51"/>
      <c r="ULN44" s="51"/>
      <c r="ULO44" s="51"/>
      <c r="ULP44" s="51"/>
      <c r="ULQ44" s="51"/>
      <c r="ULR44" s="51"/>
      <c r="ULS44" s="51"/>
      <c r="ULT44" s="51"/>
      <c r="ULU44" s="51"/>
      <c r="ULV44" s="51"/>
      <c r="ULW44" s="51"/>
      <c r="ULX44" s="51"/>
      <c r="ULY44" s="51"/>
      <c r="ULZ44" s="51"/>
      <c r="UMA44" s="51"/>
      <c r="UMB44" s="51"/>
      <c r="UMC44" s="51"/>
      <c r="UMD44" s="51"/>
      <c r="UME44" s="51"/>
      <c r="UMF44" s="51"/>
      <c r="UMG44" s="51"/>
      <c r="UMH44" s="51"/>
      <c r="UMI44" s="51"/>
      <c r="UMJ44" s="51"/>
      <c r="UMK44" s="51"/>
      <c r="UML44" s="51"/>
      <c r="UMM44" s="51"/>
      <c r="UMN44" s="51"/>
      <c r="UMO44" s="51"/>
      <c r="UMP44" s="51"/>
      <c r="UMQ44" s="51"/>
      <c r="UMR44" s="51"/>
      <c r="UMS44" s="51"/>
      <c r="UMT44" s="51"/>
      <c r="UMU44" s="51"/>
      <c r="UMV44" s="51"/>
      <c r="UMW44" s="51"/>
      <c r="UMX44" s="51"/>
      <c r="UMY44" s="51"/>
      <c r="UMZ44" s="51"/>
      <c r="UNA44" s="51"/>
      <c r="UNB44" s="51"/>
      <c r="UNC44" s="51"/>
      <c r="UND44" s="51"/>
      <c r="UNE44" s="51"/>
      <c r="UNF44" s="51"/>
      <c r="UNG44" s="51"/>
      <c r="UNH44" s="51"/>
      <c r="UNI44" s="51"/>
      <c r="UNJ44" s="51"/>
      <c r="UNK44" s="51"/>
      <c r="UNL44" s="51"/>
      <c r="UNM44" s="51"/>
      <c r="UNN44" s="51"/>
      <c r="UNO44" s="51"/>
      <c r="UNP44" s="51"/>
      <c r="UNQ44" s="51"/>
      <c r="UNR44" s="51"/>
      <c r="UNS44" s="51"/>
      <c r="UNT44" s="51"/>
      <c r="UNU44" s="51"/>
      <c r="UNV44" s="51"/>
      <c r="UNW44" s="51"/>
      <c r="UNX44" s="51"/>
      <c r="UNY44" s="51"/>
      <c r="UNZ44" s="51"/>
      <c r="UOA44" s="51"/>
      <c r="UOB44" s="51"/>
      <c r="UOC44" s="51"/>
      <c r="UOD44" s="51"/>
      <c r="UOE44" s="51"/>
      <c r="UOF44" s="51"/>
      <c r="UOG44" s="51"/>
      <c r="UOH44" s="51"/>
      <c r="UOI44" s="51"/>
      <c r="UOJ44" s="51"/>
      <c r="UOK44" s="51"/>
      <c r="UOL44" s="51"/>
      <c r="UOM44" s="51"/>
      <c r="UON44" s="51"/>
      <c r="UOO44" s="51"/>
      <c r="UOP44" s="51"/>
      <c r="UOQ44" s="51"/>
      <c r="UOR44" s="51"/>
      <c r="UOS44" s="51"/>
      <c r="UOT44" s="51"/>
      <c r="UOU44" s="51"/>
      <c r="UOV44" s="51"/>
      <c r="UOW44" s="51"/>
      <c r="UOX44" s="51"/>
      <c r="UOY44" s="51"/>
      <c r="UOZ44" s="51"/>
      <c r="UPA44" s="51"/>
      <c r="UPB44" s="51"/>
      <c r="UPC44" s="51"/>
      <c r="UPD44" s="51"/>
      <c r="UPE44" s="51"/>
      <c r="UPF44" s="51"/>
      <c r="UPG44" s="51"/>
      <c r="UPH44" s="51"/>
      <c r="UPI44" s="51"/>
      <c r="UPJ44" s="51"/>
      <c r="UPK44" s="51"/>
      <c r="UPL44" s="51"/>
      <c r="UPM44" s="51"/>
      <c r="UPN44" s="51"/>
      <c r="UPO44" s="51"/>
      <c r="UPP44" s="51"/>
      <c r="UPQ44" s="51"/>
      <c r="UPR44" s="51"/>
      <c r="UPS44" s="51"/>
      <c r="UPT44" s="51"/>
      <c r="UPU44" s="51"/>
      <c r="UPV44" s="51"/>
      <c r="UPW44" s="51"/>
      <c r="UPX44" s="51"/>
      <c r="UPY44" s="51"/>
      <c r="UPZ44" s="51"/>
      <c r="UQA44" s="51"/>
      <c r="UQB44" s="51"/>
      <c r="UQC44" s="51"/>
      <c r="UQD44" s="51"/>
      <c r="UQE44" s="51"/>
      <c r="UQF44" s="51"/>
      <c r="UQG44" s="51"/>
      <c r="UQH44" s="51"/>
      <c r="UQI44" s="51"/>
      <c r="UQJ44" s="51"/>
      <c r="UQK44" s="51"/>
      <c r="UQL44" s="51"/>
      <c r="UQM44" s="51"/>
      <c r="UQN44" s="51"/>
      <c r="UQO44" s="51"/>
      <c r="UQP44" s="51"/>
      <c r="UQQ44" s="51"/>
      <c r="UQR44" s="51"/>
      <c r="UQS44" s="51"/>
      <c r="UQT44" s="51"/>
      <c r="UQU44" s="51"/>
      <c r="UQV44" s="51"/>
      <c r="UQW44" s="51"/>
      <c r="UQX44" s="51"/>
      <c r="UQY44" s="51"/>
      <c r="UQZ44" s="51"/>
      <c r="URA44" s="51"/>
      <c r="URB44" s="51"/>
      <c r="URC44" s="51"/>
      <c r="URD44" s="51"/>
      <c r="URE44" s="51"/>
      <c r="URF44" s="51"/>
      <c r="URG44" s="51"/>
      <c r="URH44" s="51"/>
      <c r="URI44" s="51"/>
      <c r="URJ44" s="51"/>
      <c r="URK44" s="51"/>
      <c r="URL44" s="51"/>
      <c r="URM44" s="51"/>
      <c r="URN44" s="51"/>
      <c r="URO44" s="51"/>
      <c r="URP44" s="51"/>
      <c r="URQ44" s="51"/>
      <c r="URR44" s="51"/>
      <c r="URS44" s="51"/>
      <c r="URT44" s="51"/>
      <c r="URU44" s="51"/>
      <c r="URV44" s="51"/>
      <c r="URW44" s="51"/>
      <c r="URX44" s="51"/>
      <c r="URY44" s="51"/>
      <c r="URZ44" s="51"/>
      <c r="USA44" s="51"/>
      <c r="USB44" s="51"/>
      <c r="USC44" s="51"/>
      <c r="USD44" s="51"/>
      <c r="USE44" s="51"/>
      <c r="USF44" s="51"/>
      <c r="USG44" s="51"/>
      <c r="USH44" s="51"/>
      <c r="USI44" s="51"/>
      <c r="USJ44" s="51"/>
      <c r="USK44" s="51"/>
      <c r="USL44" s="51"/>
      <c r="USM44" s="51"/>
      <c r="USN44" s="51"/>
      <c r="USO44" s="51"/>
      <c r="USP44" s="51"/>
      <c r="USQ44" s="51"/>
      <c r="USR44" s="51"/>
      <c r="USS44" s="51"/>
      <c r="UST44" s="51"/>
      <c r="USU44" s="51"/>
      <c r="USV44" s="51"/>
      <c r="USW44" s="51"/>
      <c r="USX44" s="51"/>
      <c r="USY44" s="51"/>
      <c r="USZ44" s="51"/>
      <c r="UTA44" s="51"/>
      <c r="UTB44" s="51"/>
      <c r="UTC44" s="51"/>
      <c r="UTD44" s="51"/>
      <c r="UTE44" s="51"/>
      <c r="UTF44" s="51"/>
      <c r="UTG44" s="51"/>
      <c r="UTH44" s="51"/>
      <c r="UTI44" s="51"/>
      <c r="UTJ44" s="51"/>
      <c r="UTK44" s="51"/>
      <c r="UTL44" s="51"/>
      <c r="UTM44" s="51"/>
      <c r="UTN44" s="51"/>
      <c r="UTO44" s="51"/>
      <c r="UTP44" s="51"/>
      <c r="UTQ44" s="51"/>
      <c r="UTR44" s="51"/>
      <c r="UTS44" s="51"/>
      <c r="UTT44" s="51"/>
      <c r="UTU44" s="51"/>
      <c r="UTV44" s="51"/>
      <c r="UTW44" s="51"/>
      <c r="UTX44" s="51"/>
      <c r="UTY44" s="51"/>
      <c r="UTZ44" s="51"/>
      <c r="UUA44" s="51"/>
      <c r="UUB44" s="51"/>
      <c r="UUC44" s="51"/>
      <c r="UUD44" s="51"/>
      <c r="UUE44" s="51"/>
      <c r="UUF44" s="51"/>
      <c r="UUG44" s="51"/>
      <c r="UUH44" s="51"/>
      <c r="UUI44" s="51"/>
      <c r="UUJ44" s="51"/>
      <c r="UUK44" s="51"/>
      <c r="UUL44" s="51"/>
      <c r="UUM44" s="51"/>
      <c r="UUN44" s="51"/>
      <c r="UUO44" s="51"/>
      <c r="UUP44" s="51"/>
      <c r="UUQ44" s="51"/>
      <c r="UUR44" s="51"/>
      <c r="UUS44" s="51"/>
      <c r="UUT44" s="51"/>
      <c r="UUU44" s="51"/>
      <c r="UUV44" s="51"/>
      <c r="UUW44" s="51"/>
      <c r="UUX44" s="51"/>
      <c r="UUY44" s="51"/>
      <c r="UUZ44" s="51"/>
      <c r="UVA44" s="51"/>
      <c r="UVB44" s="51"/>
      <c r="UVC44" s="51"/>
      <c r="UVD44" s="51"/>
      <c r="UVE44" s="51"/>
      <c r="UVF44" s="51"/>
      <c r="UVG44" s="51"/>
      <c r="UVH44" s="51"/>
      <c r="UVI44" s="51"/>
      <c r="UVJ44" s="51"/>
      <c r="UVK44" s="51"/>
      <c r="UVL44" s="51"/>
      <c r="UVM44" s="51"/>
      <c r="UVN44" s="51"/>
      <c r="UVO44" s="51"/>
      <c r="UVP44" s="51"/>
      <c r="UVQ44" s="51"/>
      <c r="UVR44" s="51"/>
      <c r="UVS44" s="51"/>
      <c r="UVT44" s="51"/>
      <c r="UVU44" s="51"/>
      <c r="UVV44" s="51"/>
      <c r="UVW44" s="51"/>
      <c r="UVX44" s="51"/>
      <c r="UVY44" s="51"/>
      <c r="UVZ44" s="51"/>
      <c r="UWA44" s="51"/>
      <c r="UWB44" s="51"/>
      <c r="UWC44" s="51"/>
      <c r="UWD44" s="51"/>
      <c r="UWE44" s="51"/>
      <c r="UWF44" s="51"/>
      <c r="UWG44" s="51"/>
      <c r="UWH44" s="51"/>
      <c r="UWI44" s="51"/>
      <c r="UWJ44" s="51"/>
      <c r="UWK44" s="51"/>
      <c r="UWL44" s="51"/>
      <c r="UWM44" s="51"/>
      <c r="UWN44" s="51"/>
      <c r="UWO44" s="51"/>
      <c r="UWP44" s="51"/>
      <c r="UWQ44" s="51"/>
      <c r="UWR44" s="51"/>
      <c r="UWS44" s="51"/>
      <c r="UWT44" s="51"/>
      <c r="UWU44" s="51"/>
      <c r="UWV44" s="51"/>
      <c r="UWW44" s="51"/>
      <c r="UWX44" s="51"/>
      <c r="UWY44" s="51"/>
      <c r="UWZ44" s="51"/>
      <c r="UXA44" s="51"/>
      <c r="UXB44" s="51"/>
      <c r="UXC44" s="51"/>
      <c r="UXD44" s="51"/>
      <c r="UXE44" s="51"/>
      <c r="UXF44" s="51"/>
      <c r="UXG44" s="51"/>
      <c r="UXH44" s="51"/>
      <c r="UXI44" s="51"/>
      <c r="UXJ44" s="51"/>
      <c r="UXK44" s="51"/>
      <c r="UXL44" s="51"/>
      <c r="UXM44" s="51"/>
      <c r="UXN44" s="51"/>
      <c r="UXO44" s="51"/>
      <c r="UXP44" s="51"/>
      <c r="UXQ44" s="51"/>
      <c r="UXR44" s="51"/>
      <c r="UXS44" s="51"/>
      <c r="UXT44" s="51"/>
      <c r="UXU44" s="51"/>
      <c r="UXV44" s="51"/>
      <c r="UXW44" s="51"/>
      <c r="UXX44" s="51"/>
      <c r="UXY44" s="51"/>
      <c r="UXZ44" s="51"/>
      <c r="UYA44" s="51"/>
      <c r="UYB44" s="51"/>
      <c r="UYC44" s="51"/>
      <c r="UYD44" s="51"/>
      <c r="UYE44" s="51"/>
      <c r="UYF44" s="51"/>
      <c r="UYG44" s="51"/>
      <c r="UYH44" s="51"/>
      <c r="UYI44" s="51"/>
      <c r="UYJ44" s="51"/>
      <c r="UYK44" s="51"/>
      <c r="UYL44" s="51"/>
      <c r="UYM44" s="51"/>
      <c r="UYN44" s="51"/>
      <c r="UYO44" s="51"/>
      <c r="UYP44" s="51"/>
      <c r="UYQ44" s="51"/>
      <c r="UYR44" s="51"/>
      <c r="UYS44" s="51"/>
      <c r="UYT44" s="51"/>
      <c r="UYU44" s="51"/>
      <c r="UYV44" s="51"/>
      <c r="UYW44" s="51"/>
      <c r="UYX44" s="51"/>
      <c r="UYY44" s="51"/>
      <c r="UYZ44" s="51"/>
      <c r="UZA44" s="51"/>
      <c r="UZB44" s="51"/>
      <c r="UZC44" s="51"/>
      <c r="UZD44" s="51"/>
      <c r="UZE44" s="51"/>
      <c r="UZF44" s="51"/>
      <c r="UZG44" s="51"/>
      <c r="UZH44" s="51"/>
      <c r="UZI44" s="51"/>
      <c r="UZJ44" s="51"/>
      <c r="UZK44" s="51"/>
      <c r="UZL44" s="51"/>
      <c r="UZM44" s="51"/>
      <c r="UZN44" s="51"/>
      <c r="UZO44" s="51"/>
      <c r="UZP44" s="51"/>
      <c r="UZQ44" s="51"/>
      <c r="UZR44" s="51"/>
      <c r="UZS44" s="51"/>
      <c r="UZT44" s="51"/>
      <c r="UZU44" s="51"/>
      <c r="UZV44" s="51"/>
      <c r="UZW44" s="51"/>
      <c r="UZX44" s="51"/>
      <c r="UZY44" s="51"/>
      <c r="UZZ44" s="51"/>
      <c r="VAA44" s="51"/>
      <c r="VAB44" s="51"/>
      <c r="VAC44" s="51"/>
      <c r="VAD44" s="51"/>
      <c r="VAE44" s="51"/>
      <c r="VAF44" s="51"/>
      <c r="VAG44" s="51"/>
      <c r="VAH44" s="51"/>
      <c r="VAI44" s="51"/>
      <c r="VAJ44" s="51"/>
      <c r="VAK44" s="51"/>
      <c r="VAL44" s="51"/>
      <c r="VAM44" s="51"/>
      <c r="VAN44" s="51"/>
      <c r="VAO44" s="51"/>
      <c r="VAP44" s="51"/>
      <c r="VAQ44" s="51"/>
      <c r="VAR44" s="51"/>
      <c r="VAS44" s="51"/>
      <c r="VAT44" s="51"/>
      <c r="VAU44" s="51"/>
      <c r="VAV44" s="51"/>
      <c r="VAW44" s="51"/>
      <c r="VAX44" s="51"/>
      <c r="VAY44" s="51"/>
      <c r="VAZ44" s="51"/>
      <c r="VBA44" s="51"/>
      <c r="VBB44" s="51"/>
      <c r="VBC44" s="51"/>
      <c r="VBD44" s="51"/>
      <c r="VBE44" s="51"/>
      <c r="VBF44" s="51"/>
      <c r="VBG44" s="51"/>
      <c r="VBH44" s="51"/>
      <c r="VBI44" s="51"/>
      <c r="VBJ44" s="51"/>
      <c r="VBK44" s="51"/>
      <c r="VBL44" s="51"/>
      <c r="VBM44" s="51"/>
      <c r="VBN44" s="51"/>
      <c r="VBO44" s="51"/>
      <c r="VBP44" s="51"/>
      <c r="VBQ44" s="51"/>
      <c r="VBR44" s="51"/>
      <c r="VBS44" s="51"/>
      <c r="VBT44" s="51"/>
      <c r="VBU44" s="51"/>
      <c r="VBV44" s="51"/>
      <c r="VBW44" s="51"/>
      <c r="VBX44" s="51"/>
      <c r="VBY44" s="51"/>
      <c r="VBZ44" s="51"/>
      <c r="VCA44" s="51"/>
      <c r="VCB44" s="51"/>
      <c r="VCC44" s="51"/>
      <c r="VCD44" s="51"/>
      <c r="VCE44" s="51"/>
      <c r="VCF44" s="51"/>
      <c r="VCG44" s="51"/>
      <c r="VCH44" s="51"/>
      <c r="VCI44" s="51"/>
      <c r="VCJ44" s="51"/>
      <c r="VCK44" s="51"/>
      <c r="VCL44" s="51"/>
      <c r="VCM44" s="51"/>
      <c r="VCN44" s="51"/>
      <c r="VCO44" s="51"/>
      <c r="VCP44" s="51"/>
      <c r="VCQ44" s="51"/>
      <c r="VCR44" s="51"/>
      <c r="VCS44" s="51"/>
      <c r="VCT44" s="51"/>
      <c r="VCU44" s="51"/>
      <c r="VCV44" s="51"/>
      <c r="VCW44" s="51"/>
      <c r="VCX44" s="51"/>
      <c r="VCY44" s="51"/>
      <c r="VCZ44" s="51"/>
      <c r="VDA44" s="51"/>
      <c r="VDB44" s="51"/>
      <c r="VDC44" s="51"/>
      <c r="VDD44" s="51"/>
      <c r="VDE44" s="51"/>
      <c r="VDF44" s="51"/>
      <c r="VDG44" s="51"/>
      <c r="VDH44" s="51"/>
      <c r="VDI44" s="51"/>
      <c r="VDJ44" s="51"/>
      <c r="VDK44" s="51"/>
      <c r="VDL44" s="51"/>
      <c r="VDM44" s="51"/>
      <c r="VDN44" s="51"/>
      <c r="VDO44" s="51"/>
      <c r="VDP44" s="51"/>
      <c r="VDQ44" s="51"/>
      <c r="VDR44" s="51"/>
      <c r="VDS44" s="51"/>
      <c r="VDT44" s="51"/>
      <c r="VDU44" s="51"/>
      <c r="VDV44" s="51"/>
      <c r="VDW44" s="51"/>
      <c r="VDX44" s="51"/>
      <c r="VDY44" s="51"/>
      <c r="VDZ44" s="51"/>
      <c r="VEA44" s="51"/>
      <c r="VEB44" s="51"/>
      <c r="VEC44" s="51"/>
      <c r="VED44" s="51"/>
      <c r="VEE44" s="51"/>
      <c r="VEF44" s="51"/>
      <c r="VEG44" s="51"/>
      <c r="VEH44" s="51"/>
      <c r="VEI44" s="51"/>
      <c r="VEJ44" s="51"/>
      <c r="VEK44" s="51"/>
      <c r="VEL44" s="51"/>
      <c r="VEM44" s="51"/>
      <c r="VEN44" s="51"/>
      <c r="VEO44" s="51"/>
      <c r="VEP44" s="51"/>
      <c r="VEQ44" s="51"/>
      <c r="VER44" s="51"/>
      <c r="VES44" s="51"/>
      <c r="VET44" s="51"/>
      <c r="VEU44" s="51"/>
      <c r="VEV44" s="51"/>
      <c r="VEW44" s="51"/>
      <c r="VEX44" s="51"/>
      <c r="VEY44" s="51"/>
      <c r="VEZ44" s="51"/>
      <c r="VFA44" s="51"/>
      <c r="VFB44" s="51"/>
      <c r="VFC44" s="51"/>
      <c r="VFD44" s="51"/>
      <c r="VFE44" s="51"/>
      <c r="VFF44" s="51"/>
      <c r="VFG44" s="51"/>
      <c r="VFH44" s="51"/>
      <c r="VFI44" s="51"/>
      <c r="VFJ44" s="51"/>
      <c r="VFK44" s="51"/>
      <c r="VFL44" s="51"/>
      <c r="VFM44" s="51"/>
      <c r="VFN44" s="51"/>
      <c r="VFO44" s="51"/>
      <c r="VFP44" s="51"/>
      <c r="VFQ44" s="51"/>
      <c r="VFR44" s="51"/>
      <c r="VFS44" s="51"/>
      <c r="VFT44" s="51"/>
      <c r="VFU44" s="51"/>
      <c r="VFV44" s="51"/>
      <c r="VFW44" s="51"/>
      <c r="VFX44" s="51"/>
      <c r="VFY44" s="51"/>
      <c r="VFZ44" s="51"/>
      <c r="VGA44" s="51"/>
      <c r="VGB44" s="51"/>
      <c r="VGC44" s="51"/>
      <c r="VGD44" s="51"/>
      <c r="VGE44" s="51"/>
      <c r="VGF44" s="51"/>
      <c r="VGG44" s="51"/>
      <c r="VGH44" s="51"/>
      <c r="VGI44" s="51"/>
      <c r="VGJ44" s="51"/>
      <c r="VGK44" s="51"/>
      <c r="VGL44" s="51"/>
      <c r="VGM44" s="51"/>
      <c r="VGN44" s="51"/>
      <c r="VGO44" s="51"/>
      <c r="VGP44" s="51"/>
      <c r="VGQ44" s="51"/>
      <c r="VGR44" s="51"/>
      <c r="VGS44" s="51"/>
      <c r="VGT44" s="51"/>
      <c r="VGU44" s="51"/>
      <c r="VGV44" s="51"/>
      <c r="VGW44" s="51"/>
      <c r="VGX44" s="51"/>
      <c r="VGY44" s="51"/>
      <c r="VGZ44" s="51"/>
      <c r="VHA44" s="51"/>
      <c r="VHB44" s="51"/>
      <c r="VHC44" s="51"/>
      <c r="VHD44" s="51"/>
      <c r="VHE44" s="51"/>
      <c r="VHF44" s="51"/>
      <c r="VHG44" s="51"/>
      <c r="VHH44" s="51"/>
      <c r="VHI44" s="51"/>
      <c r="VHJ44" s="51"/>
      <c r="VHK44" s="51"/>
      <c r="VHL44" s="51"/>
      <c r="VHM44" s="51"/>
      <c r="VHN44" s="51"/>
      <c r="VHO44" s="51"/>
      <c r="VHP44" s="51"/>
      <c r="VHQ44" s="51"/>
      <c r="VHR44" s="51"/>
      <c r="VHS44" s="51"/>
      <c r="VHT44" s="51"/>
      <c r="VHU44" s="51"/>
      <c r="VHV44" s="51"/>
      <c r="VHW44" s="51"/>
      <c r="VHX44" s="51"/>
      <c r="VHY44" s="51"/>
      <c r="VHZ44" s="51"/>
      <c r="VIA44" s="51"/>
      <c r="VIB44" s="51"/>
      <c r="VIC44" s="51"/>
      <c r="VID44" s="51"/>
      <c r="VIE44" s="51"/>
      <c r="VIF44" s="51"/>
      <c r="VIG44" s="51"/>
      <c r="VIH44" s="51"/>
      <c r="VII44" s="51"/>
      <c r="VIJ44" s="51"/>
      <c r="VIK44" s="51"/>
      <c r="VIL44" s="51"/>
      <c r="VIM44" s="51"/>
      <c r="VIN44" s="51"/>
      <c r="VIO44" s="51"/>
      <c r="VIP44" s="51"/>
      <c r="VIQ44" s="51"/>
      <c r="VIR44" s="51"/>
      <c r="VIS44" s="51"/>
      <c r="VIT44" s="51"/>
      <c r="VIU44" s="51"/>
      <c r="VIV44" s="51"/>
      <c r="VIW44" s="51"/>
      <c r="VIX44" s="51"/>
      <c r="VIY44" s="51"/>
      <c r="VIZ44" s="51"/>
      <c r="VJA44" s="51"/>
      <c r="VJB44" s="51"/>
      <c r="VJC44" s="51"/>
      <c r="VJD44" s="51"/>
      <c r="VJE44" s="51"/>
      <c r="VJF44" s="51"/>
      <c r="VJG44" s="51"/>
      <c r="VJH44" s="51"/>
      <c r="VJI44" s="51"/>
      <c r="VJJ44" s="51"/>
      <c r="VJK44" s="51"/>
      <c r="VJL44" s="51"/>
      <c r="VJM44" s="51"/>
      <c r="VJN44" s="51"/>
      <c r="VJO44" s="51"/>
      <c r="VJP44" s="51"/>
      <c r="VJQ44" s="51"/>
      <c r="VJR44" s="51"/>
      <c r="VJS44" s="51"/>
      <c r="VJT44" s="51"/>
      <c r="VJU44" s="51"/>
      <c r="VJV44" s="51"/>
      <c r="VJW44" s="51"/>
      <c r="VJX44" s="51"/>
      <c r="VJY44" s="51"/>
      <c r="VJZ44" s="51"/>
      <c r="VKA44" s="51"/>
      <c r="VKB44" s="51"/>
      <c r="VKC44" s="51"/>
      <c r="VKD44" s="51"/>
      <c r="VKE44" s="51"/>
      <c r="VKF44" s="51"/>
      <c r="VKG44" s="51"/>
      <c r="VKH44" s="51"/>
      <c r="VKI44" s="51"/>
      <c r="VKJ44" s="51"/>
      <c r="VKK44" s="51"/>
      <c r="VKL44" s="51"/>
      <c r="VKM44" s="51"/>
      <c r="VKN44" s="51"/>
      <c r="VKO44" s="51"/>
      <c r="VKP44" s="51"/>
      <c r="VKQ44" s="51"/>
      <c r="VKR44" s="51"/>
      <c r="VKS44" s="51"/>
      <c r="VKT44" s="51"/>
      <c r="VKU44" s="51"/>
      <c r="VKV44" s="51"/>
      <c r="VKW44" s="51"/>
      <c r="VKX44" s="51"/>
      <c r="VKY44" s="51"/>
      <c r="VKZ44" s="51"/>
      <c r="VLA44" s="51"/>
      <c r="VLB44" s="51"/>
      <c r="VLC44" s="51"/>
      <c r="VLD44" s="51"/>
      <c r="VLE44" s="51"/>
      <c r="VLF44" s="51"/>
      <c r="VLG44" s="51"/>
      <c r="VLH44" s="51"/>
      <c r="VLI44" s="51"/>
      <c r="VLJ44" s="51"/>
      <c r="VLK44" s="51"/>
      <c r="VLL44" s="51"/>
      <c r="VLM44" s="51"/>
      <c r="VLN44" s="51"/>
      <c r="VLO44" s="51"/>
      <c r="VLP44" s="51"/>
      <c r="VLQ44" s="51"/>
      <c r="VLR44" s="51"/>
      <c r="VLS44" s="51"/>
      <c r="VLT44" s="51"/>
      <c r="VLU44" s="51"/>
      <c r="VLV44" s="51"/>
      <c r="VLW44" s="51"/>
      <c r="VLX44" s="51"/>
      <c r="VLY44" s="51"/>
      <c r="VLZ44" s="51"/>
      <c r="VMA44" s="51"/>
      <c r="VMB44" s="51"/>
      <c r="VMC44" s="51"/>
      <c r="VMD44" s="51"/>
      <c r="VME44" s="51"/>
      <c r="VMF44" s="51"/>
      <c r="VMG44" s="51"/>
      <c r="VMH44" s="51"/>
      <c r="VMI44" s="51"/>
      <c r="VMJ44" s="51"/>
      <c r="VMK44" s="51"/>
      <c r="VML44" s="51"/>
      <c r="VMM44" s="51"/>
      <c r="VMN44" s="51"/>
      <c r="VMO44" s="51"/>
      <c r="VMP44" s="51"/>
      <c r="VMQ44" s="51"/>
      <c r="VMR44" s="51"/>
      <c r="VMS44" s="51"/>
      <c r="VMT44" s="51"/>
      <c r="VMU44" s="51"/>
      <c r="VMV44" s="51"/>
      <c r="VMW44" s="51"/>
      <c r="VMX44" s="51"/>
      <c r="VMY44" s="51"/>
      <c r="VMZ44" s="51"/>
      <c r="VNA44" s="51"/>
      <c r="VNB44" s="51"/>
      <c r="VNC44" s="51"/>
      <c r="VND44" s="51"/>
      <c r="VNE44" s="51"/>
      <c r="VNF44" s="51"/>
      <c r="VNG44" s="51"/>
      <c r="VNH44" s="51"/>
      <c r="VNI44" s="51"/>
      <c r="VNJ44" s="51"/>
      <c r="VNK44" s="51"/>
      <c r="VNL44" s="51"/>
      <c r="VNM44" s="51"/>
      <c r="VNN44" s="51"/>
      <c r="VNO44" s="51"/>
      <c r="VNP44" s="51"/>
      <c r="VNQ44" s="51"/>
      <c r="VNR44" s="51"/>
      <c r="VNS44" s="51"/>
      <c r="VNT44" s="51"/>
      <c r="VNU44" s="51"/>
      <c r="VNV44" s="51"/>
      <c r="VNW44" s="51"/>
      <c r="VNX44" s="51"/>
      <c r="VNY44" s="51"/>
      <c r="VNZ44" s="51"/>
      <c r="VOA44" s="51"/>
      <c r="VOB44" s="51"/>
      <c r="VOC44" s="51"/>
      <c r="VOD44" s="51"/>
      <c r="VOE44" s="51"/>
      <c r="VOF44" s="51"/>
      <c r="VOG44" s="51"/>
      <c r="VOH44" s="51"/>
      <c r="VOI44" s="51"/>
      <c r="VOJ44" s="51"/>
      <c r="VOK44" s="51"/>
      <c r="VOL44" s="51"/>
      <c r="VOM44" s="51"/>
      <c r="VON44" s="51"/>
      <c r="VOO44" s="51"/>
      <c r="VOP44" s="51"/>
      <c r="VOQ44" s="51"/>
      <c r="VOR44" s="51"/>
      <c r="VOS44" s="51"/>
      <c r="VOT44" s="51"/>
      <c r="VOU44" s="51"/>
      <c r="VOV44" s="51"/>
      <c r="VOW44" s="51"/>
      <c r="VOX44" s="51"/>
      <c r="VOY44" s="51"/>
      <c r="VOZ44" s="51"/>
      <c r="VPA44" s="51"/>
      <c r="VPB44" s="51"/>
      <c r="VPC44" s="51"/>
      <c r="VPD44" s="51"/>
      <c r="VPE44" s="51"/>
      <c r="VPF44" s="51"/>
      <c r="VPG44" s="51"/>
      <c r="VPH44" s="51"/>
      <c r="VPI44" s="51"/>
      <c r="VPJ44" s="51"/>
      <c r="VPK44" s="51"/>
      <c r="VPL44" s="51"/>
      <c r="VPM44" s="51"/>
      <c r="VPN44" s="51"/>
      <c r="VPO44" s="51"/>
      <c r="VPP44" s="51"/>
      <c r="VPQ44" s="51"/>
      <c r="VPR44" s="51"/>
      <c r="VPS44" s="51"/>
      <c r="VPT44" s="51"/>
      <c r="VPU44" s="51"/>
      <c r="VPV44" s="51"/>
      <c r="VPW44" s="51"/>
      <c r="VPX44" s="51"/>
      <c r="VPY44" s="51"/>
      <c r="VPZ44" s="51"/>
      <c r="VQA44" s="51"/>
      <c r="VQB44" s="51"/>
      <c r="VQC44" s="51"/>
      <c r="VQD44" s="51"/>
      <c r="VQE44" s="51"/>
      <c r="VQF44" s="51"/>
      <c r="VQG44" s="51"/>
      <c r="VQH44" s="51"/>
      <c r="VQI44" s="51"/>
      <c r="VQJ44" s="51"/>
      <c r="VQK44" s="51"/>
      <c r="VQL44" s="51"/>
      <c r="VQM44" s="51"/>
      <c r="VQN44" s="51"/>
      <c r="VQO44" s="51"/>
      <c r="VQP44" s="51"/>
      <c r="VQQ44" s="51"/>
      <c r="VQR44" s="51"/>
      <c r="VQS44" s="51"/>
      <c r="VQT44" s="51"/>
      <c r="VQU44" s="51"/>
      <c r="VQV44" s="51"/>
      <c r="VQW44" s="51"/>
      <c r="VQX44" s="51"/>
      <c r="VQY44" s="51"/>
      <c r="VQZ44" s="51"/>
      <c r="VRA44" s="51"/>
      <c r="VRB44" s="51"/>
      <c r="VRC44" s="51"/>
      <c r="VRD44" s="51"/>
      <c r="VRE44" s="51"/>
      <c r="VRF44" s="51"/>
      <c r="VRG44" s="51"/>
      <c r="VRH44" s="51"/>
      <c r="VRI44" s="51"/>
      <c r="VRJ44" s="51"/>
      <c r="VRK44" s="51"/>
      <c r="VRL44" s="51"/>
      <c r="VRM44" s="51"/>
      <c r="VRN44" s="51"/>
      <c r="VRO44" s="51"/>
      <c r="VRP44" s="51"/>
      <c r="VRQ44" s="51"/>
      <c r="VRR44" s="51"/>
      <c r="VRS44" s="51"/>
      <c r="VRT44" s="51"/>
      <c r="VRU44" s="51"/>
      <c r="VRV44" s="51"/>
      <c r="VRW44" s="51"/>
      <c r="VRX44" s="51"/>
      <c r="VRY44" s="51"/>
      <c r="VRZ44" s="51"/>
      <c r="VSA44" s="51"/>
      <c r="VSB44" s="51"/>
      <c r="VSC44" s="51"/>
      <c r="VSD44" s="51"/>
      <c r="VSE44" s="51"/>
      <c r="VSF44" s="51"/>
      <c r="VSG44" s="51"/>
      <c r="VSH44" s="51"/>
      <c r="VSI44" s="51"/>
      <c r="VSJ44" s="51"/>
      <c r="VSK44" s="51"/>
      <c r="VSL44" s="51"/>
      <c r="VSM44" s="51"/>
      <c r="VSN44" s="51"/>
      <c r="VSO44" s="51"/>
      <c r="VSP44" s="51"/>
      <c r="VSQ44" s="51"/>
      <c r="VSR44" s="51"/>
      <c r="VSS44" s="51"/>
      <c r="VST44" s="51"/>
      <c r="VSU44" s="51"/>
      <c r="VSV44" s="51"/>
      <c r="VSW44" s="51"/>
      <c r="VSX44" s="51"/>
      <c r="VSY44" s="51"/>
      <c r="VSZ44" s="51"/>
      <c r="VTA44" s="51"/>
      <c r="VTB44" s="51"/>
      <c r="VTC44" s="51"/>
      <c r="VTD44" s="51"/>
      <c r="VTE44" s="51"/>
      <c r="VTF44" s="51"/>
      <c r="VTG44" s="51"/>
      <c r="VTH44" s="51"/>
      <c r="VTI44" s="51"/>
      <c r="VTJ44" s="51"/>
      <c r="VTK44" s="51"/>
      <c r="VTL44" s="51"/>
      <c r="VTM44" s="51"/>
      <c r="VTN44" s="51"/>
      <c r="VTO44" s="51"/>
      <c r="VTP44" s="51"/>
      <c r="VTQ44" s="51"/>
      <c r="VTR44" s="51"/>
      <c r="VTS44" s="51"/>
      <c r="VTT44" s="51"/>
      <c r="VTU44" s="51"/>
      <c r="VTV44" s="51"/>
      <c r="VTW44" s="51"/>
      <c r="VTX44" s="51"/>
      <c r="VTY44" s="51"/>
      <c r="VTZ44" s="51"/>
      <c r="VUA44" s="51"/>
      <c r="VUB44" s="51"/>
      <c r="VUC44" s="51"/>
      <c r="VUD44" s="51"/>
      <c r="VUE44" s="51"/>
      <c r="VUF44" s="51"/>
      <c r="VUG44" s="51"/>
      <c r="VUH44" s="51"/>
      <c r="VUI44" s="51"/>
      <c r="VUJ44" s="51"/>
      <c r="VUK44" s="51"/>
      <c r="VUL44" s="51"/>
      <c r="VUM44" s="51"/>
      <c r="VUN44" s="51"/>
      <c r="VUO44" s="51"/>
      <c r="VUP44" s="51"/>
      <c r="VUQ44" s="51"/>
      <c r="VUR44" s="51"/>
      <c r="VUS44" s="51"/>
      <c r="VUT44" s="51"/>
      <c r="VUU44" s="51"/>
      <c r="VUV44" s="51"/>
      <c r="VUW44" s="51"/>
      <c r="VUX44" s="51"/>
      <c r="VUY44" s="51"/>
      <c r="VUZ44" s="51"/>
      <c r="VVA44" s="51"/>
      <c r="VVB44" s="51"/>
      <c r="VVC44" s="51"/>
      <c r="VVD44" s="51"/>
      <c r="VVE44" s="51"/>
      <c r="VVF44" s="51"/>
      <c r="VVG44" s="51"/>
      <c r="VVH44" s="51"/>
      <c r="VVI44" s="51"/>
      <c r="VVJ44" s="51"/>
      <c r="VVK44" s="51"/>
      <c r="VVL44" s="51"/>
      <c r="VVM44" s="51"/>
      <c r="VVN44" s="51"/>
      <c r="VVO44" s="51"/>
      <c r="VVP44" s="51"/>
      <c r="VVQ44" s="51"/>
      <c r="VVR44" s="51"/>
      <c r="VVS44" s="51"/>
      <c r="VVT44" s="51"/>
      <c r="VVU44" s="51"/>
      <c r="VVV44" s="51"/>
      <c r="VVW44" s="51"/>
      <c r="VVX44" s="51"/>
      <c r="VVY44" s="51"/>
      <c r="VVZ44" s="51"/>
      <c r="VWA44" s="51"/>
      <c r="VWB44" s="51"/>
      <c r="VWC44" s="51"/>
      <c r="VWD44" s="51"/>
      <c r="VWE44" s="51"/>
      <c r="VWF44" s="51"/>
      <c r="VWG44" s="51"/>
      <c r="VWH44" s="51"/>
      <c r="VWI44" s="51"/>
      <c r="VWJ44" s="51"/>
      <c r="VWK44" s="51"/>
      <c r="VWL44" s="51"/>
      <c r="VWM44" s="51"/>
      <c r="VWN44" s="51"/>
      <c r="VWO44" s="51"/>
      <c r="VWP44" s="51"/>
      <c r="VWQ44" s="51"/>
      <c r="VWR44" s="51"/>
      <c r="VWS44" s="51"/>
      <c r="VWT44" s="51"/>
      <c r="VWU44" s="51"/>
      <c r="VWV44" s="51"/>
      <c r="VWW44" s="51"/>
      <c r="VWX44" s="51"/>
      <c r="VWY44" s="51"/>
      <c r="VWZ44" s="51"/>
      <c r="VXA44" s="51"/>
      <c r="VXB44" s="51"/>
      <c r="VXC44" s="51"/>
      <c r="VXD44" s="51"/>
      <c r="VXE44" s="51"/>
      <c r="VXF44" s="51"/>
      <c r="VXG44" s="51"/>
      <c r="VXH44" s="51"/>
      <c r="VXI44" s="51"/>
      <c r="VXJ44" s="51"/>
      <c r="VXK44" s="51"/>
      <c r="VXL44" s="51"/>
      <c r="VXM44" s="51"/>
      <c r="VXN44" s="51"/>
      <c r="VXO44" s="51"/>
      <c r="VXP44" s="51"/>
      <c r="VXQ44" s="51"/>
      <c r="VXR44" s="51"/>
      <c r="VXS44" s="51"/>
      <c r="VXT44" s="51"/>
      <c r="VXU44" s="51"/>
      <c r="VXV44" s="51"/>
      <c r="VXW44" s="51"/>
      <c r="VXX44" s="51"/>
      <c r="VXY44" s="51"/>
      <c r="VXZ44" s="51"/>
      <c r="VYA44" s="51"/>
      <c r="VYB44" s="51"/>
      <c r="VYC44" s="51"/>
      <c r="VYD44" s="51"/>
      <c r="VYE44" s="51"/>
      <c r="VYF44" s="51"/>
      <c r="VYG44" s="51"/>
      <c r="VYH44" s="51"/>
      <c r="VYI44" s="51"/>
      <c r="VYJ44" s="51"/>
      <c r="VYK44" s="51"/>
      <c r="VYL44" s="51"/>
      <c r="VYM44" s="51"/>
      <c r="VYN44" s="51"/>
      <c r="VYO44" s="51"/>
      <c r="VYP44" s="51"/>
      <c r="VYQ44" s="51"/>
      <c r="VYR44" s="51"/>
      <c r="VYS44" s="51"/>
      <c r="VYT44" s="51"/>
      <c r="VYU44" s="51"/>
      <c r="VYV44" s="51"/>
      <c r="VYW44" s="51"/>
      <c r="VYX44" s="51"/>
      <c r="VYY44" s="51"/>
      <c r="VYZ44" s="51"/>
      <c r="VZA44" s="51"/>
      <c r="VZB44" s="51"/>
      <c r="VZC44" s="51"/>
      <c r="VZD44" s="51"/>
      <c r="VZE44" s="51"/>
      <c r="VZF44" s="51"/>
      <c r="VZG44" s="51"/>
      <c r="VZH44" s="51"/>
      <c r="VZI44" s="51"/>
      <c r="VZJ44" s="51"/>
      <c r="VZK44" s="51"/>
      <c r="VZL44" s="51"/>
      <c r="VZM44" s="51"/>
      <c r="VZN44" s="51"/>
      <c r="VZO44" s="51"/>
      <c r="VZP44" s="51"/>
      <c r="VZQ44" s="51"/>
      <c r="VZR44" s="51"/>
      <c r="VZS44" s="51"/>
      <c r="VZT44" s="51"/>
      <c r="VZU44" s="51"/>
      <c r="VZV44" s="51"/>
      <c r="VZW44" s="51"/>
      <c r="VZX44" s="51"/>
      <c r="VZY44" s="51"/>
      <c r="VZZ44" s="51"/>
      <c r="WAA44" s="51"/>
      <c r="WAB44" s="51"/>
      <c r="WAC44" s="51"/>
      <c r="WAD44" s="51"/>
      <c r="WAE44" s="51"/>
      <c r="WAF44" s="51"/>
      <c r="WAG44" s="51"/>
      <c r="WAH44" s="51"/>
      <c r="WAI44" s="51"/>
      <c r="WAJ44" s="51"/>
      <c r="WAK44" s="51"/>
      <c r="WAL44" s="51"/>
      <c r="WAM44" s="51"/>
      <c r="WAN44" s="51"/>
      <c r="WAO44" s="51"/>
      <c r="WAP44" s="51"/>
      <c r="WAQ44" s="51"/>
      <c r="WAR44" s="51"/>
      <c r="WAS44" s="51"/>
      <c r="WAT44" s="51"/>
      <c r="WAU44" s="51"/>
      <c r="WAV44" s="51"/>
      <c r="WAW44" s="51"/>
      <c r="WAX44" s="51"/>
      <c r="WAY44" s="51"/>
      <c r="WAZ44" s="51"/>
      <c r="WBA44" s="51"/>
      <c r="WBB44" s="51"/>
      <c r="WBC44" s="51"/>
      <c r="WBD44" s="51"/>
      <c r="WBE44" s="51"/>
      <c r="WBF44" s="51"/>
      <c r="WBG44" s="51"/>
      <c r="WBH44" s="51"/>
      <c r="WBI44" s="51"/>
      <c r="WBJ44" s="51"/>
      <c r="WBK44" s="51"/>
      <c r="WBL44" s="51"/>
      <c r="WBM44" s="51"/>
      <c r="WBN44" s="51"/>
      <c r="WBO44" s="51"/>
      <c r="WBP44" s="51"/>
      <c r="WBQ44" s="51"/>
      <c r="WBR44" s="51"/>
      <c r="WBS44" s="51"/>
      <c r="WBT44" s="51"/>
      <c r="WBU44" s="51"/>
      <c r="WBV44" s="51"/>
      <c r="WBW44" s="51"/>
      <c r="WBX44" s="51"/>
      <c r="WBY44" s="51"/>
      <c r="WBZ44" s="51"/>
      <c r="WCA44" s="51"/>
      <c r="WCB44" s="51"/>
      <c r="WCC44" s="51"/>
      <c r="WCD44" s="51"/>
      <c r="WCE44" s="51"/>
      <c r="WCF44" s="51"/>
      <c r="WCG44" s="51"/>
      <c r="WCH44" s="51"/>
      <c r="WCI44" s="51"/>
      <c r="WCJ44" s="51"/>
      <c r="WCK44" s="51"/>
      <c r="WCL44" s="51"/>
      <c r="WCM44" s="51"/>
      <c r="WCN44" s="51"/>
      <c r="WCO44" s="51"/>
      <c r="WCP44" s="51"/>
      <c r="WCQ44" s="51"/>
      <c r="WCR44" s="51"/>
      <c r="WCS44" s="51"/>
      <c r="WCT44" s="51"/>
      <c r="WCU44" s="51"/>
      <c r="WCV44" s="51"/>
      <c r="WCW44" s="51"/>
      <c r="WCX44" s="51"/>
      <c r="WCY44" s="51"/>
      <c r="WCZ44" s="51"/>
      <c r="WDA44" s="51"/>
      <c r="WDB44" s="51"/>
      <c r="WDC44" s="51"/>
      <c r="WDD44" s="51"/>
      <c r="WDE44" s="51"/>
      <c r="WDF44" s="51"/>
      <c r="WDG44" s="51"/>
      <c r="WDH44" s="51"/>
      <c r="WDI44" s="51"/>
      <c r="WDJ44" s="51"/>
      <c r="WDK44" s="51"/>
      <c r="WDL44" s="51"/>
      <c r="WDM44" s="51"/>
      <c r="WDN44" s="51"/>
      <c r="WDO44" s="51"/>
      <c r="WDP44" s="51"/>
      <c r="WDQ44" s="51"/>
      <c r="WDR44" s="51"/>
      <c r="WDS44" s="51"/>
      <c r="WDT44" s="51"/>
      <c r="WDU44" s="51"/>
      <c r="WDV44" s="51"/>
      <c r="WDW44" s="51"/>
      <c r="WDX44" s="51"/>
      <c r="WDY44" s="51"/>
      <c r="WDZ44" s="51"/>
      <c r="WEA44" s="51"/>
      <c r="WEB44" s="51"/>
      <c r="WEC44" s="51"/>
      <c r="WED44" s="51"/>
      <c r="WEE44" s="51"/>
      <c r="WEF44" s="51"/>
      <c r="WEG44" s="51"/>
      <c r="WEH44" s="51"/>
      <c r="WEI44" s="51"/>
      <c r="WEJ44" s="51"/>
      <c r="WEK44" s="51"/>
      <c r="WEL44" s="51"/>
      <c r="WEM44" s="51"/>
      <c r="WEN44" s="51"/>
      <c r="WEO44" s="51"/>
      <c r="WEP44" s="51"/>
      <c r="WEQ44" s="51"/>
      <c r="WER44" s="51"/>
      <c r="WES44" s="51"/>
      <c r="WET44" s="51"/>
      <c r="WEU44" s="51"/>
      <c r="WEV44" s="51"/>
      <c r="WEW44" s="51"/>
      <c r="WEX44" s="51"/>
      <c r="WEY44" s="51"/>
      <c r="WEZ44" s="51"/>
      <c r="WFA44" s="51"/>
      <c r="WFB44" s="51"/>
      <c r="WFC44" s="51"/>
      <c r="WFD44" s="51"/>
      <c r="WFE44" s="51"/>
      <c r="WFF44" s="51"/>
      <c r="WFG44" s="51"/>
      <c r="WFH44" s="51"/>
      <c r="WFI44" s="51"/>
      <c r="WFJ44" s="51"/>
      <c r="WFK44" s="51"/>
      <c r="WFL44" s="51"/>
      <c r="WFM44" s="51"/>
      <c r="WFN44" s="51"/>
      <c r="WFO44" s="51"/>
      <c r="WFP44" s="51"/>
      <c r="WFQ44" s="51"/>
      <c r="WFR44" s="51"/>
      <c r="WFS44" s="51"/>
      <c r="WFT44" s="51"/>
      <c r="WFU44" s="51"/>
      <c r="WFV44" s="51"/>
      <c r="WFW44" s="51"/>
      <c r="WFX44" s="51"/>
      <c r="WFY44" s="51"/>
      <c r="WFZ44" s="51"/>
      <c r="WGA44" s="51"/>
      <c r="WGB44" s="51"/>
      <c r="WGC44" s="51"/>
      <c r="WGD44" s="51"/>
      <c r="WGE44" s="51"/>
      <c r="WGF44" s="51"/>
      <c r="WGG44" s="51"/>
      <c r="WGH44" s="51"/>
      <c r="WGI44" s="51"/>
      <c r="WGJ44" s="51"/>
      <c r="WGK44" s="51"/>
      <c r="WGL44" s="51"/>
      <c r="WGM44" s="51"/>
      <c r="WGN44" s="51"/>
      <c r="WGO44" s="51"/>
      <c r="WGP44" s="51"/>
      <c r="WGQ44" s="51"/>
      <c r="WGR44" s="51"/>
      <c r="WGS44" s="51"/>
      <c r="WGT44" s="51"/>
      <c r="WGU44" s="51"/>
      <c r="WGV44" s="51"/>
      <c r="WGW44" s="51"/>
      <c r="WGX44" s="51"/>
      <c r="WGY44" s="51"/>
      <c r="WGZ44" s="51"/>
      <c r="WHA44" s="51"/>
      <c r="WHB44" s="51"/>
      <c r="WHC44" s="51"/>
      <c r="WHD44" s="51"/>
      <c r="WHE44" s="51"/>
      <c r="WHF44" s="51"/>
      <c r="WHG44" s="51"/>
      <c r="WHH44" s="51"/>
      <c r="WHI44" s="51"/>
      <c r="WHJ44" s="51"/>
      <c r="WHK44" s="51"/>
      <c r="WHL44" s="51"/>
      <c r="WHM44" s="51"/>
      <c r="WHN44" s="51"/>
      <c r="WHO44" s="51"/>
      <c r="WHP44" s="51"/>
      <c r="WHQ44" s="51"/>
      <c r="WHR44" s="51"/>
      <c r="WHS44" s="51"/>
      <c r="WHT44" s="51"/>
      <c r="WHU44" s="51"/>
      <c r="WHV44" s="51"/>
      <c r="WHW44" s="51"/>
      <c r="WHX44" s="51"/>
      <c r="WHY44" s="51"/>
      <c r="WHZ44" s="51"/>
      <c r="WIA44" s="51"/>
      <c r="WIB44" s="51"/>
      <c r="WIC44" s="51"/>
      <c r="WID44" s="51"/>
      <c r="WIE44" s="51"/>
      <c r="WIF44" s="51"/>
      <c r="WIG44" s="51"/>
      <c r="WIH44" s="51"/>
      <c r="WII44" s="51"/>
      <c r="WIJ44" s="51"/>
      <c r="WIK44" s="51"/>
      <c r="WIL44" s="51"/>
      <c r="WIM44" s="51"/>
      <c r="WIN44" s="51"/>
      <c r="WIO44" s="51"/>
      <c r="WIP44" s="51"/>
      <c r="WIQ44" s="51"/>
      <c r="WIR44" s="51"/>
      <c r="WIS44" s="51"/>
      <c r="WIT44" s="51"/>
      <c r="WIU44" s="51"/>
      <c r="WIV44" s="51"/>
      <c r="WIW44" s="51"/>
      <c r="WIX44" s="51"/>
      <c r="WIY44" s="51"/>
      <c r="WIZ44" s="51"/>
      <c r="WJA44" s="51"/>
      <c r="WJB44" s="51"/>
      <c r="WJC44" s="51"/>
      <c r="WJD44" s="51"/>
      <c r="WJE44" s="51"/>
      <c r="WJF44" s="51"/>
      <c r="WJG44" s="51"/>
      <c r="WJH44" s="51"/>
      <c r="WJI44" s="51"/>
      <c r="WJJ44" s="51"/>
      <c r="WJK44" s="51"/>
      <c r="WJL44" s="51"/>
      <c r="WJM44" s="51"/>
      <c r="WJN44" s="51"/>
      <c r="WJO44" s="51"/>
      <c r="WJP44" s="51"/>
      <c r="WJQ44" s="51"/>
      <c r="WJR44" s="51"/>
      <c r="WJS44" s="51"/>
      <c r="WJT44" s="51"/>
      <c r="WJU44" s="51"/>
      <c r="WJV44" s="51"/>
      <c r="WJW44" s="51"/>
      <c r="WJX44" s="51"/>
      <c r="WJY44" s="51"/>
      <c r="WJZ44" s="51"/>
      <c r="WKA44" s="51"/>
      <c r="WKB44" s="51"/>
      <c r="WKC44" s="51"/>
      <c r="WKD44" s="51"/>
      <c r="WKE44" s="51"/>
      <c r="WKF44" s="51"/>
      <c r="WKG44" s="51"/>
      <c r="WKH44" s="51"/>
      <c r="WKI44" s="51"/>
      <c r="WKJ44" s="51"/>
      <c r="WKK44" s="51"/>
      <c r="WKL44" s="51"/>
      <c r="WKM44" s="51"/>
      <c r="WKN44" s="51"/>
      <c r="WKO44" s="51"/>
      <c r="WKP44" s="51"/>
      <c r="WKQ44" s="51"/>
      <c r="WKR44" s="51"/>
      <c r="WKS44" s="51"/>
      <c r="WKT44" s="51"/>
      <c r="WKU44" s="51"/>
      <c r="WKV44" s="51"/>
      <c r="WKW44" s="51"/>
      <c r="WKX44" s="51"/>
      <c r="WKY44" s="51"/>
      <c r="WKZ44" s="51"/>
      <c r="WLA44" s="51"/>
      <c r="WLB44" s="51"/>
      <c r="WLC44" s="51"/>
      <c r="WLD44" s="51"/>
      <c r="WLE44" s="51"/>
      <c r="WLF44" s="51"/>
      <c r="WLG44" s="51"/>
      <c r="WLH44" s="51"/>
      <c r="WLI44" s="51"/>
      <c r="WLJ44" s="51"/>
      <c r="WLK44" s="51"/>
      <c r="WLL44" s="51"/>
      <c r="WLM44" s="51"/>
      <c r="WLN44" s="51"/>
      <c r="WLO44" s="51"/>
      <c r="WLP44" s="51"/>
      <c r="WLQ44" s="51"/>
      <c r="WLR44" s="51"/>
      <c r="WLS44" s="51"/>
      <c r="WLT44" s="51"/>
      <c r="WLU44" s="51"/>
      <c r="WLV44" s="51"/>
      <c r="WLW44" s="51"/>
      <c r="WLX44" s="51"/>
      <c r="WLY44" s="51"/>
      <c r="WLZ44" s="51"/>
      <c r="WMA44" s="51"/>
      <c r="WMB44" s="51"/>
      <c r="WMC44" s="51"/>
      <c r="WMD44" s="51"/>
      <c r="WME44" s="51"/>
      <c r="WMF44" s="51"/>
      <c r="WMG44" s="51"/>
      <c r="WMH44" s="51"/>
      <c r="WMI44" s="51"/>
      <c r="WMJ44" s="51"/>
      <c r="WMK44" s="51"/>
      <c r="WML44" s="51"/>
      <c r="WMM44" s="51"/>
      <c r="WMN44" s="51"/>
      <c r="WMO44" s="51"/>
      <c r="WMP44" s="51"/>
      <c r="WMQ44" s="51"/>
      <c r="WMR44" s="51"/>
      <c r="WMS44" s="51"/>
      <c r="WMT44" s="51"/>
      <c r="WMU44" s="51"/>
      <c r="WMV44" s="51"/>
      <c r="WMW44" s="51"/>
      <c r="WMX44" s="51"/>
      <c r="WMY44" s="51"/>
      <c r="WMZ44" s="51"/>
      <c r="WNA44" s="51"/>
      <c r="WNB44" s="51"/>
      <c r="WNC44" s="51"/>
      <c r="WND44" s="51"/>
      <c r="WNE44" s="51"/>
      <c r="WNF44" s="51"/>
      <c r="WNG44" s="51"/>
      <c r="WNH44" s="51"/>
      <c r="WNI44" s="51"/>
      <c r="WNJ44" s="51"/>
      <c r="WNK44" s="51"/>
      <c r="WNL44" s="51"/>
      <c r="WNM44" s="51"/>
      <c r="WNN44" s="51"/>
      <c r="WNO44" s="51"/>
      <c r="WNP44" s="51"/>
      <c r="WNQ44" s="51"/>
      <c r="WNR44" s="51"/>
      <c r="WNS44" s="51"/>
      <c r="WNT44" s="51"/>
      <c r="WNU44" s="51"/>
      <c r="WNV44" s="51"/>
      <c r="WNW44" s="51"/>
      <c r="WNX44" s="51"/>
      <c r="WNY44" s="51"/>
      <c r="WNZ44" s="51"/>
      <c r="WOA44" s="51"/>
      <c r="WOB44" s="51"/>
      <c r="WOC44" s="51"/>
      <c r="WOD44" s="51"/>
      <c r="WOE44" s="51"/>
      <c r="WOF44" s="51"/>
      <c r="WOG44" s="51"/>
      <c r="WOH44" s="51"/>
      <c r="WOI44" s="51"/>
      <c r="WOJ44" s="51"/>
      <c r="WOK44" s="51"/>
      <c r="WOL44" s="51"/>
      <c r="WOM44" s="51"/>
      <c r="WON44" s="51"/>
      <c r="WOO44" s="51"/>
      <c r="WOP44" s="51"/>
      <c r="WOQ44" s="51"/>
      <c r="WOR44" s="51"/>
      <c r="WOS44" s="51"/>
      <c r="WOT44" s="51"/>
      <c r="WOU44" s="51"/>
      <c r="WOV44" s="51"/>
      <c r="WOW44" s="51"/>
      <c r="WOX44" s="51"/>
      <c r="WOY44" s="51"/>
      <c r="WOZ44" s="51"/>
      <c r="WPA44" s="51"/>
      <c r="WPB44" s="51"/>
      <c r="WPC44" s="51"/>
      <c r="WPD44" s="51"/>
      <c r="WPE44" s="51"/>
      <c r="WPF44" s="51"/>
      <c r="WPG44" s="51"/>
      <c r="WPH44" s="51"/>
      <c r="WPI44" s="51"/>
      <c r="WPJ44" s="51"/>
      <c r="WPK44" s="51"/>
      <c r="WPL44" s="51"/>
      <c r="WPM44" s="51"/>
      <c r="WPN44" s="51"/>
      <c r="WPO44" s="51"/>
      <c r="WPP44" s="51"/>
      <c r="WPQ44" s="51"/>
      <c r="WPR44" s="51"/>
      <c r="WPS44" s="51"/>
      <c r="WPT44" s="51"/>
      <c r="WPU44" s="51"/>
      <c r="WPV44" s="51"/>
      <c r="WPW44" s="51"/>
      <c r="WPX44" s="51"/>
      <c r="WPY44" s="51"/>
      <c r="WPZ44" s="51"/>
      <c r="WQA44" s="51"/>
      <c r="WQB44" s="51"/>
      <c r="WQC44" s="51"/>
      <c r="WQD44" s="51"/>
      <c r="WQE44" s="51"/>
      <c r="WQF44" s="51"/>
      <c r="WQG44" s="51"/>
      <c r="WQH44" s="51"/>
      <c r="WQI44" s="51"/>
      <c r="WQJ44" s="51"/>
      <c r="WQK44" s="51"/>
      <c r="WQL44" s="51"/>
      <c r="WQM44" s="51"/>
      <c r="WQN44" s="51"/>
      <c r="WQO44" s="51"/>
      <c r="WQP44" s="51"/>
      <c r="WQQ44" s="51"/>
      <c r="WQR44" s="51"/>
      <c r="WQS44" s="51"/>
      <c r="WQT44" s="51"/>
      <c r="WQU44" s="51"/>
      <c r="WQV44" s="51"/>
      <c r="WQW44" s="51"/>
      <c r="WQX44" s="51"/>
      <c r="WQY44" s="51"/>
      <c r="WQZ44" s="51"/>
      <c r="WRA44" s="51"/>
      <c r="WRB44" s="51"/>
      <c r="WRC44" s="51"/>
      <c r="WRD44" s="51"/>
      <c r="WRE44" s="51"/>
      <c r="WRF44" s="51"/>
      <c r="WRG44" s="51"/>
      <c r="WRH44" s="51"/>
      <c r="WRI44" s="51"/>
      <c r="WRJ44" s="51"/>
      <c r="WRK44" s="51"/>
      <c r="WRL44" s="51"/>
      <c r="WRM44" s="51"/>
      <c r="WRN44" s="51"/>
      <c r="WRO44" s="51"/>
      <c r="WRP44" s="51"/>
      <c r="WRQ44" s="51"/>
      <c r="WRR44" s="51"/>
      <c r="WRS44" s="51"/>
      <c r="WRT44" s="51"/>
      <c r="WRU44" s="51"/>
      <c r="WRV44" s="51"/>
      <c r="WRW44" s="51"/>
      <c r="WRX44" s="51"/>
      <c r="WRY44" s="51"/>
      <c r="WRZ44" s="51"/>
      <c r="WSA44" s="51"/>
      <c r="WSB44" s="51"/>
      <c r="WSC44" s="51"/>
      <c r="WSD44" s="51"/>
      <c r="WSE44" s="51"/>
      <c r="WSF44" s="51"/>
      <c r="WSG44" s="51"/>
      <c r="WSH44" s="51"/>
      <c r="WSI44" s="51"/>
      <c r="WSJ44" s="51"/>
      <c r="WSK44" s="51"/>
      <c r="WSL44" s="51"/>
      <c r="WSM44" s="51"/>
      <c r="WSN44" s="51"/>
      <c r="WSO44" s="51"/>
      <c r="WSP44" s="51"/>
      <c r="WSQ44" s="51"/>
      <c r="WSR44" s="51"/>
      <c r="WSS44" s="51"/>
      <c r="WST44" s="51"/>
      <c r="WSU44" s="51"/>
      <c r="WSV44" s="51"/>
      <c r="WSW44" s="51"/>
      <c r="WSX44" s="51"/>
      <c r="WSY44" s="51"/>
      <c r="WSZ44" s="51"/>
      <c r="WTA44" s="51"/>
      <c r="WTB44" s="51"/>
      <c r="WTC44" s="51"/>
      <c r="WTD44" s="51"/>
      <c r="WTE44" s="51"/>
      <c r="WTF44" s="51"/>
      <c r="WTG44" s="51"/>
      <c r="WTH44" s="51"/>
      <c r="WTI44" s="51"/>
      <c r="WTJ44" s="51"/>
      <c r="WTK44" s="51"/>
      <c r="WTL44" s="51"/>
      <c r="WTM44" s="51"/>
      <c r="WTN44" s="51"/>
      <c r="WTO44" s="51"/>
      <c r="WTP44" s="51"/>
      <c r="WTQ44" s="51"/>
      <c r="WTR44" s="51"/>
      <c r="WTS44" s="51"/>
      <c r="WTT44" s="51"/>
      <c r="WTU44" s="51"/>
      <c r="WTV44" s="51"/>
      <c r="WTW44" s="51"/>
      <c r="WTX44" s="51"/>
      <c r="WTY44" s="51"/>
      <c r="WTZ44" s="51"/>
      <c r="WUA44" s="51"/>
      <c r="WUB44" s="51"/>
      <c r="WUC44" s="51"/>
      <c r="WUD44" s="51"/>
      <c r="WUE44" s="51"/>
      <c r="WUF44" s="51"/>
      <c r="WUG44" s="51"/>
      <c r="WUH44" s="51"/>
      <c r="WUI44" s="51"/>
      <c r="WUJ44" s="51"/>
      <c r="WUK44" s="51"/>
      <c r="WUL44" s="51"/>
      <c r="WUM44" s="51"/>
      <c r="WUN44" s="51"/>
      <c r="WUO44" s="51"/>
      <c r="WUP44" s="51"/>
      <c r="WUQ44" s="51"/>
      <c r="WUR44" s="51"/>
      <c r="WUS44" s="51"/>
      <c r="WUT44" s="51"/>
      <c r="WUU44" s="51"/>
      <c r="WUV44" s="51"/>
      <c r="WUW44" s="51"/>
      <c r="WUX44" s="51"/>
      <c r="WUY44" s="51"/>
      <c r="WUZ44" s="51"/>
      <c r="WVA44" s="51"/>
      <c r="WVB44" s="51"/>
      <c r="WVC44" s="51"/>
      <c r="WVD44" s="51"/>
      <c r="WVE44" s="51"/>
      <c r="WVF44" s="51"/>
      <c r="WVG44" s="51"/>
      <c r="WVH44" s="51"/>
      <c r="WVI44" s="51"/>
      <c r="WVJ44" s="51"/>
      <c r="WVK44" s="51"/>
      <c r="WVL44" s="51"/>
      <c r="WVM44" s="51"/>
      <c r="WVN44" s="51"/>
      <c r="WVO44" s="51"/>
      <c r="WVP44" s="51"/>
      <c r="WVQ44" s="51"/>
      <c r="WVR44" s="51"/>
      <c r="WVS44" s="51"/>
      <c r="WVT44" s="51"/>
      <c r="WVU44" s="51"/>
      <c r="WVV44" s="51"/>
      <c r="WVW44" s="51"/>
      <c r="WVX44" s="51"/>
      <c r="WVY44" s="51"/>
      <c r="WVZ44" s="51"/>
      <c r="WWA44" s="51"/>
      <c r="WWB44" s="51"/>
      <c r="WWC44" s="51"/>
      <c r="WWD44" s="51"/>
      <c r="WWE44" s="51"/>
      <c r="WWF44" s="51"/>
      <c r="WWG44" s="51"/>
      <c r="WWH44" s="51"/>
      <c r="WWI44" s="51"/>
      <c r="WWJ44" s="51"/>
      <c r="WWK44" s="51"/>
      <c r="WWL44" s="51"/>
      <c r="WWM44" s="51"/>
      <c r="WWN44" s="51"/>
      <c r="WWO44" s="51"/>
      <c r="WWP44" s="51"/>
      <c r="WWQ44" s="51"/>
      <c r="WWR44" s="51"/>
      <c r="WWS44" s="51"/>
      <c r="WWT44" s="51"/>
      <c r="WWU44" s="51"/>
      <c r="WWV44" s="51"/>
      <c r="WWW44" s="51"/>
      <c r="WWX44" s="51"/>
      <c r="WWY44" s="51"/>
      <c r="WWZ44" s="51"/>
      <c r="WXA44" s="51"/>
      <c r="WXB44" s="51"/>
      <c r="WXC44" s="51"/>
      <c r="WXD44" s="51"/>
      <c r="WXE44" s="51"/>
      <c r="WXF44" s="51"/>
      <c r="WXG44" s="51"/>
      <c r="WXH44" s="51"/>
      <c r="WXI44" s="51"/>
      <c r="WXJ44" s="51"/>
      <c r="WXK44" s="51"/>
      <c r="WXL44" s="51"/>
      <c r="WXM44" s="51"/>
      <c r="WXN44" s="51"/>
      <c r="WXO44" s="51"/>
      <c r="WXP44" s="51"/>
      <c r="WXQ44" s="51"/>
      <c r="WXR44" s="51"/>
      <c r="WXS44" s="51"/>
      <c r="WXT44" s="51"/>
      <c r="WXU44" s="51"/>
      <c r="WXV44" s="51"/>
      <c r="WXW44" s="51"/>
      <c r="WXX44" s="51"/>
      <c r="WXY44" s="51"/>
      <c r="WXZ44" s="51"/>
      <c r="WYA44" s="51"/>
      <c r="WYB44" s="51"/>
      <c r="WYC44" s="51"/>
      <c r="WYD44" s="51"/>
      <c r="WYE44" s="51"/>
      <c r="WYF44" s="51"/>
      <c r="WYG44" s="51"/>
      <c r="WYH44" s="51"/>
      <c r="WYI44" s="51"/>
      <c r="WYJ44" s="51"/>
      <c r="WYK44" s="51"/>
      <c r="WYL44" s="51"/>
      <c r="WYM44" s="51"/>
      <c r="WYN44" s="51"/>
      <c r="WYO44" s="51"/>
      <c r="WYP44" s="51"/>
      <c r="WYQ44" s="51"/>
      <c r="WYR44" s="51"/>
      <c r="WYS44" s="51"/>
      <c r="WYT44" s="51"/>
      <c r="WYU44" s="51"/>
      <c r="WYV44" s="51"/>
      <c r="WYW44" s="51"/>
      <c r="WYX44" s="51"/>
      <c r="WYY44" s="51"/>
      <c r="WYZ44" s="51"/>
      <c r="WZA44" s="51"/>
      <c r="WZB44" s="51"/>
      <c r="WZC44" s="51"/>
      <c r="WZD44" s="51"/>
      <c r="WZE44" s="51"/>
      <c r="WZF44" s="51"/>
      <c r="WZG44" s="51"/>
      <c r="WZH44" s="51"/>
      <c r="WZI44" s="51"/>
      <c r="WZJ44" s="51"/>
      <c r="WZK44" s="51"/>
      <c r="WZL44" s="51"/>
      <c r="WZM44" s="51"/>
      <c r="WZN44" s="51"/>
      <c r="WZO44" s="51"/>
      <c r="WZP44" s="51"/>
      <c r="WZQ44" s="51"/>
      <c r="WZR44" s="51"/>
      <c r="WZS44" s="51"/>
      <c r="WZT44" s="51"/>
      <c r="WZU44" s="51"/>
      <c r="WZV44" s="51"/>
      <c r="WZW44" s="51"/>
      <c r="WZX44" s="51"/>
      <c r="WZY44" s="51"/>
      <c r="WZZ44" s="51"/>
      <c r="XAA44" s="51"/>
      <c r="XAB44" s="51"/>
      <c r="XAC44" s="51"/>
      <c r="XAD44" s="51"/>
      <c r="XAE44" s="51"/>
      <c r="XAF44" s="51"/>
      <c r="XAG44" s="51"/>
      <c r="XAH44" s="51"/>
      <c r="XAI44" s="51"/>
      <c r="XAJ44" s="51"/>
      <c r="XAK44" s="51"/>
      <c r="XAL44" s="51"/>
      <c r="XAM44" s="51"/>
      <c r="XAN44" s="51"/>
      <c r="XAO44" s="51"/>
      <c r="XAP44" s="51"/>
      <c r="XAQ44" s="51"/>
      <c r="XAR44" s="51"/>
      <c r="XAS44" s="51"/>
      <c r="XAT44" s="51"/>
      <c r="XAU44" s="51"/>
      <c r="XAV44" s="51"/>
      <c r="XAW44" s="51"/>
      <c r="XAX44" s="51"/>
      <c r="XAY44" s="51"/>
      <c r="XAZ44" s="51"/>
      <c r="XBA44" s="51"/>
      <c r="XBB44" s="51"/>
      <c r="XBC44" s="51"/>
      <c r="XBD44" s="51"/>
      <c r="XBE44" s="51"/>
      <c r="XBF44" s="51"/>
      <c r="XBG44" s="51"/>
      <c r="XBH44" s="51"/>
      <c r="XBI44" s="51"/>
      <c r="XBJ44" s="51"/>
      <c r="XBK44" s="51"/>
      <c r="XBL44" s="51"/>
      <c r="XBM44" s="51"/>
      <c r="XBN44" s="51"/>
      <c r="XBO44" s="51"/>
      <c r="XBP44" s="51"/>
      <c r="XBQ44" s="51"/>
      <c r="XBR44" s="51"/>
      <c r="XBS44" s="51"/>
      <c r="XBT44" s="51"/>
      <c r="XBU44" s="51"/>
      <c r="XBV44" s="51"/>
      <c r="XBW44" s="51"/>
      <c r="XBX44" s="51"/>
      <c r="XBY44" s="51"/>
      <c r="XBZ44" s="51"/>
      <c r="XCA44" s="51"/>
      <c r="XCB44" s="51"/>
      <c r="XCC44" s="51"/>
      <c r="XCD44" s="51"/>
      <c r="XCE44" s="51"/>
      <c r="XCF44" s="51"/>
      <c r="XCG44" s="51"/>
      <c r="XCH44" s="51"/>
      <c r="XCI44" s="51"/>
      <c r="XCJ44" s="51"/>
      <c r="XCK44" s="51"/>
      <c r="XCL44" s="51"/>
      <c r="XCM44" s="51"/>
      <c r="XCN44" s="51"/>
      <c r="XCO44" s="51"/>
      <c r="XCP44" s="51"/>
      <c r="XCQ44" s="51"/>
      <c r="XCR44" s="51"/>
      <c r="XCS44" s="51"/>
      <c r="XCT44" s="51"/>
      <c r="XCU44" s="51"/>
      <c r="XCV44" s="51"/>
      <c r="XCW44" s="51"/>
      <c r="XCX44" s="51"/>
      <c r="XCY44" s="51"/>
      <c r="XCZ44" s="51"/>
      <c r="XDA44" s="51"/>
      <c r="XDB44" s="51"/>
      <c r="XDC44" s="51"/>
      <c r="XDD44" s="51"/>
      <c r="XDE44" s="51"/>
      <c r="XDF44" s="51"/>
      <c r="XDG44" s="51"/>
      <c r="XDH44" s="51"/>
      <c r="XDI44" s="51"/>
      <c r="XDJ44" s="51"/>
      <c r="XDK44" s="51"/>
      <c r="XDL44" s="51"/>
      <c r="XDM44" s="51"/>
      <c r="XDN44" s="51"/>
      <c r="XDO44" s="51"/>
      <c r="XDP44" s="51"/>
      <c r="XDQ44" s="51"/>
      <c r="XDR44" s="51"/>
      <c r="XDS44" s="51"/>
      <c r="XDT44" s="51"/>
      <c r="XDU44" s="51"/>
      <c r="XDV44" s="51"/>
      <c r="XDW44" s="51"/>
      <c r="XDX44" s="51"/>
      <c r="XDY44" s="51"/>
      <c r="XDZ44" s="51"/>
      <c r="XEA44" s="51"/>
      <c r="XEB44" s="51"/>
      <c r="XEC44" s="51"/>
      <c r="XED44" s="51"/>
      <c r="XEE44" s="51"/>
      <c r="XEF44" s="51"/>
      <c r="XEG44" s="51"/>
      <c r="XEH44" s="51"/>
      <c r="XEI44" s="51"/>
      <c r="XEJ44" s="51"/>
      <c r="XEK44" s="51"/>
      <c r="XEL44" s="51"/>
      <c r="XEM44" s="51"/>
      <c r="XEN44" s="51"/>
      <c r="XEO44" s="51"/>
      <c r="XEP44" s="51"/>
      <c r="XEQ44" s="51"/>
      <c r="XER44" s="51"/>
      <c r="XES44" s="51"/>
      <c r="XET44" s="51"/>
      <c r="XEU44" s="51"/>
      <c r="XEV44" s="51"/>
      <c r="XEW44" s="51"/>
      <c r="XEX44" s="51"/>
      <c r="XEY44" s="51"/>
      <c r="XEZ44" s="51"/>
      <c r="XFA44" s="51"/>
      <c r="XFB44" s="51"/>
      <c r="XFC44" s="51"/>
      <c r="XFD44" s="51"/>
    </row>
    <row r="45" spans="1:16384" s="258" customForma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c r="EK45" s="51"/>
      <c r="EL45" s="51"/>
      <c r="EM45" s="51"/>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c r="XE45" s="51"/>
      <c r="XF45" s="51"/>
      <c r="XG45" s="51"/>
      <c r="XH45" s="51"/>
      <c r="XI45" s="51"/>
      <c r="XJ45" s="51"/>
      <c r="XK45" s="51"/>
      <c r="XL45" s="51"/>
      <c r="XM45" s="51"/>
      <c r="XN45" s="51"/>
      <c r="XO45" s="51"/>
      <c r="XP45" s="51"/>
      <c r="XQ45" s="51"/>
      <c r="XR45" s="51"/>
      <c r="XS45" s="51"/>
      <c r="XT45" s="51"/>
      <c r="XU45" s="51"/>
      <c r="XV45" s="51"/>
      <c r="XW45" s="51"/>
      <c r="XX45" s="51"/>
      <c r="XY45" s="51"/>
      <c r="XZ45" s="51"/>
      <c r="YA45" s="51"/>
      <c r="YB45" s="51"/>
      <c r="YC45" s="51"/>
      <c r="YD45" s="51"/>
      <c r="YE45" s="51"/>
      <c r="YF45" s="51"/>
      <c r="YG45" s="51"/>
      <c r="YH45" s="51"/>
      <c r="YI45" s="51"/>
      <c r="YJ45" s="51"/>
      <c r="YK45" s="51"/>
      <c r="YL45" s="51"/>
      <c r="YM45" s="51"/>
      <c r="YN45" s="51"/>
      <c r="YO45" s="51"/>
      <c r="YP45" s="51"/>
      <c r="YQ45" s="51"/>
      <c r="YR45" s="51"/>
      <c r="YS45" s="51"/>
      <c r="YT45" s="51"/>
      <c r="YU45" s="51"/>
      <c r="YV45" s="51"/>
      <c r="YW45" s="51"/>
      <c r="YX45" s="51"/>
      <c r="YY45" s="51"/>
      <c r="YZ45" s="51"/>
      <c r="ZA45" s="51"/>
      <c r="ZB45" s="51"/>
      <c r="ZC45" s="51"/>
      <c r="ZD45" s="51"/>
      <c r="ZE45" s="51"/>
      <c r="ZF45" s="51"/>
      <c r="ZG45" s="51"/>
      <c r="ZH45" s="51"/>
      <c r="ZI45" s="51"/>
      <c r="ZJ45" s="51"/>
      <c r="ZK45" s="51"/>
      <c r="ZL45" s="51"/>
      <c r="ZM45" s="51"/>
      <c r="ZN45" s="51"/>
      <c r="ZO45" s="51"/>
      <c r="ZP45" s="51"/>
      <c r="ZQ45" s="51"/>
      <c r="ZR45" s="51"/>
      <c r="ZS45" s="51"/>
      <c r="ZT45" s="51"/>
      <c r="ZU45" s="51"/>
      <c r="ZV45" s="51"/>
      <c r="ZW45" s="51"/>
      <c r="ZX45" s="51"/>
      <c r="ZY45" s="51"/>
      <c r="ZZ45" s="51"/>
      <c r="AAA45" s="51"/>
      <c r="AAB45" s="51"/>
      <c r="AAC45" s="51"/>
      <c r="AAD45" s="51"/>
      <c r="AAE45" s="51"/>
      <c r="AAF45" s="51"/>
      <c r="AAG45" s="51"/>
      <c r="AAH45" s="51"/>
      <c r="AAI45" s="51"/>
      <c r="AAJ45" s="51"/>
      <c r="AAK45" s="51"/>
      <c r="AAL45" s="51"/>
      <c r="AAM45" s="51"/>
      <c r="AAN45" s="51"/>
      <c r="AAO45" s="51"/>
      <c r="AAP45" s="51"/>
      <c r="AAQ45" s="51"/>
      <c r="AAR45" s="51"/>
      <c r="AAS45" s="51"/>
      <c r="AAT45" s="51"/>
      <c r="AAU45" s="51"/>
      <c r="AAV45" s="51"/>
      <c r="AAW45" s="51"/>
      <c r="AAX45" s="51"/>
      <c r="AAY45" s="51"/>
      <c r="AAZ45" s="51"/>
      <c r="ABA45" s="51"/>
      <c r="ABB45" s="51"/>
      <c r="ABC45" s="51"/>
      <c r="ABD45" s="51"/>
      <c r="ABE45" s="51"/>
      <c r="ABF45" s="51"/>
      <c r="ABG45" s="51"/>
      <c r="ABH45" s="51"/>
      <c r="ABI45" s="51"/>
      <c r="ABJ45" s="51"/>
      <c r="ABK45" s="51"/>
      <c r="ABL45" s="51"/>
      <c r="ABM45" s="51"/>
      <c r="ABN45" s="51"/>
      <c r="ABO45" s="51"/>
      <c r="ABP45" s="51"/>
      <c r="ABQ45" s="51"/>
      <c r="ABR45" s="51"/>
      <c r="ABS45" s="51"/>
      <c r="ABT45" s="51"/>
      <c r="ABU45" s="51"/>
      <c r="ABV45" s="51"/>
      <c r="ABW45" s="51"/>
      <c r="ABX45" s="51"/>
      <c r="ABY45" s="51"/>
      <c r="ABZ45" s="51"/>
      <c r="ACA45" s="51"/>
      <c r="ACB45" s="51"/>
      <c r="ACC45" s="51"/>
      <c r="ACD45" s="51"/>
      <c r="ACE45" s="51"/>
      <c r="ACF45" s="51"/>
      <c r="ACG45" s="51"/>
      <c r="ACH45" s="51"/>
      <c r="ACI45" s="51"/>
      <c r="ACJ45" s="51"/>
      <c r="ACK45" s="51"/>
      <c r="ACL45" s="51"/>
      <c r="ACM45" s="51"/>
      <c r="ACN45" s="51"/>
      <c r="ACO45" s="51"/>
      <c r="ACP45" s="51"/>
      <c r="ACQ45" s="51"/>
      <c r="ACR45" s="51"/>
      <c r="ACS45" s="51"/>
      <c r="ACT45" s="51"/>
      <c r="ACU45" s="51"/>
      <c r="ACV45" s="51"/>
      <c r="ACW45" s="51"/>
      <c r="ACX45" s="51"/>
      <c r="ACY45" s="51"/>
      <c r="ACZ45" s="51"/>
      <c r="ADA45" s="51"/>
      <c r="ADB45" s="51"/>
      <c r="ADC45" s="51"/>
      <c r="ADD45" s="51"/>
      <c r="ADE45" s="51"/>
      <c r="ADF45" s="51"/>
      <c r="ADG45" s="51"/>
      <c r="ADH45" s="51"/>
      <c r="ADI45" s="51"/>
      <c r="ADJ45" s="51"/>
      <c r="ADK45" s="51"/>
      <c r="ADL45" s="51"/>
      <c r="ADM45" s="51"/>
      <c r="ADN45" s="51"/>
      <c r="ADO45" s="51"/>
      <c r="ADP45" s="51"/>
      <c r="ADQ45" s="51"/>
      <c r="ADR45" s="51"/>
      <c r="ADS45" s="51"/>
      <c r="ADT45" s="51"/>
      <c r="ADU45" s="51"/>
      <c r="ADV45" s="51"/>
      <c r="ADW45" s="51"/>
      <c r="ADX45" s="51"/>
      <c r="ADY45" s="51"/>
      <c r="ADZ45" s="51"/>
      <c r="AEA45" s="51"/>
      <c r="AEB45" s="51"/>
      <c r="AEC45" s="51"/>
      <c r="AED45" s="51"/>
      <c r="AEE45" s="51"/>
      <c r="AEF45" s="51"/>
      <c r="AEG45" s="51"/>
      <c r="AEH45" s="51"/>
      <c r="AEI45" s="51"/>
      <c r="AEJ45" s="51"/>
      <c r="AEK45" s="51"/>
      <c r="AEL45" s="51"/>
      <c r="AEM45" s="51"/>
      <c r="AEN45" s="51"/>
      <c r="AEO45" s="51"/>
      <c r="AEP45" s="51"/>
      <c r="AEQ45" s="51"/>
      <c r="AER45" s="51"/>
      <c r="AES45" s="51"/>
      <c r="AET45" s="51"/>
      <c r="AEU45" s="51"/>
      <c r="AEV45" s="51"/>
      <c r="AEW45" s="51"/>
      <c r="AEX45" s="51"/>
      <c r="AEY45" s="51"/>
      <c r="AEZ45" s="51"/>
      <c r="AFA45" s="51"/>
      <c r="AFB45" s="51"/>
      <c r="AFC45" s="51"/>
      <c r="AFD45" s="51"/>
      <c r="AFE45" s="51"/>
      <c r="AFF45" s="51"/>
      <c r="AFG45" s="51"/>
      <c r="AFH45" s="51"/>
      <c r="AFI45" s="51"/>
      <c r="AFJ45" s="51"/>
      <c r="AFK45" s="51"/>
      <c r="AFL45" s="51"/>
      <c r="AFM45" s="51"/>
      <c r="AFN45" s="51"/>
      <c r="AFO45" s="51"/>
      <c r="AFP45" s="51"/>
      <c r="AFQ45" s="51"/>
      <c r="AFR45" s="51"/>
      <c r="AFS45" s="51"/>
      <c r="AFT45" s="51"/>
      <c r="AFU45" s="51"/>
      <c r="AFV45" s="51"/>
      <c r="AFW45" s="51"/>
      <c r="AFX45" s="51"/>
      <c r="AFY45" s="51"/>
      <c r="AFZ45" s="51"/>
      <c r="AGA45" s="51"/>
      <c r="AGB45" s="51"/>
      <c r="AGC45" s="51"/>
      <c r="AGD45" s="51"/>
      <c r="AGE45" s="51"/>
      <c r="AGF45" s="51"/>
      <c r="AGG45" s="51"/>
      <c r="AGH45" s="51"/>
      <c r="AGI45" s="51"/>
      <c r="AGJ45" s="51"/>
      <c r="AGK45" s="51"/>
      <c r="AGL45" s="51"/>
      <c r="AGM45" s="51"/>
      <c r="AGN45" s="51"/>
      <c r="AGO45" s="51"/>
      <c r="AGP45" s="51"/>
      <c r="AGQ45" s="51"/>
      <c r="AGR45" s="51"/>
      <c r="AGS45" s="51"/>
      <c r="AGT45" s="51"/>
      <c r="AGU45" s="51"/>
      <c r="AGV45" s="51"/>
      <c r="AGW45" s="51"/>
      <c r="AGX45" s="51"/>
      <c r="AGY45" s="51"/>
      <c r="AGZ45" s="51"/>
      <c r="AHA45" s="51"/>
      <c r="AHB45" s="51"/>
      <c r="AHC45" s="51"/>
      <c r="AHD45" s="51"/>
      <c r="AHE45" s="51"/>
      <c r="AHF45" s="51"/>
      <c r="AHG45" s="51"/>
      <c r="AHH45" s="51"/>
      <c r="AHI45" s="51"/>
      <c r="AHJ45" s="51"/>
      <c r="AHK45" s="51"/>
      <c r="AHL45" s="51"/>
      <c r="AHM45" s="51"/>
      <c r="AHN45" s="51"/>
      <c r="AHO45" s="51"/>
      <c r="AHP45" s="51"/>
      <c r="AHQ45" s="51"/>
      <c r="AHR45" s="51"/>
      <c r="AHS45" s="51"/>
      <c r="AHT45" s="51"/>
      <c r="AHU45" s="51"/>
      <c r="AHV45" s="51"/>
      <c r="AHW45" s="51"/>
      <c r="AHX45" s="51"/>
      <c r="AHY45" s="51"/>
      <c r="AHZ45" s="51"/>
      <c r="AIA45" s="51"/>
      <c r="AIB45" s="51"/>
      <c r="AIC45" s="51"/>
      <c r="AID45" s="51"/>
      <c r="AIE45" s="51"/>
      <c r="AIF45" s="51"/>
      <c r="AIG45" s="51"/>
      <c r="AIH45" s="51"/>
      <c r="AII45" s="51"/>
      <c r="AIJ45" s="51"/>
      <c r="AIK45" s="51"/>
      <c r="AIL45" s="51"/>
      <c r="AIM45" s="51"/>
      <c r="AIN45" s="51"/>
      <c r="AIO45" s="51"/>
      <c r="AIP45" s="51"/>
      <c r="AIQ45" s="51"/>
      <c r="AIR45" s="51"/>
      <c r="AIS45" s="51"/>
      <c r="AIT45" s="51"/>
      <c r="AIU45" s="51"/>
      <c r="AIV45" s="51"/>
      <c r="AIW45" s="51"/>
      <c r="AIX45" s="51"/>
      <c r="AIY45" s="51"/>
      <c r="AIZ45" s="51"/>
      <c r="AJA45" s="51"/>
      <c r="AJB45" s="51"/>
      <c r="AJC45" s="51"/>
      <c r="AJD45" s="51"/>
      <c r="AJE45" s="51"/>
      <c r="AJF45" s="51"/>
      <c r="AJG45" s="51"/>
      <c r="AJH45" s="51"/>
      <c r="AJI45" s="51"/>
      <c r="AJJ45" s="51"/>
      <c r="AJK45" s="51"/>
      <c r="AJL45" s="51"/>
      <c r="AJM45" s="51"/>
      <c r="AJN45" s="51"/>
      <c r="AJO45" s="51"/>
      <c r="AJP45" s="51"/>
      <c r="AJQ45" s="51"/>
      <c r="AJR45" s="51"/>
      <c r="AJS45" s="51"/>
      <c r="AJT45" s="51"/>
      <c r="AJU45" s="51"/>
      <c r="AJV45" s="51"/>
      <c r="AJW45" s="51"/>
      <c r="AJX45" s="51"/>
      <c r="AJY45" s="51"/>
      <c r="AJZ45" s="51"/>
      <c r="AKA45" s="51"/>
      <c r="AKB45" s="51"/>
      <c r="AKC45" s="51"/>
      <c r="AKD45" s="51"/>
      <c r="AKE45" s="51"/>
      <c r="AKF45" s="51"/>
      <c r="AKG45" s="51"/>
      <c r="AKH45" s="51"/>
      <c r="AKI45" s="51"/>
      <c r="AKJ45" s="51"/>
      <c r="AKK45" s="51"/>
      <c r="AKL45" s="51"/>
      <c r="AKM45" s="51"/>
      <c r="AKN45" s="51"/>
      <c r="AKO45" s="51"/>
      <c r="AKP45" s="51"/>
      <c r="AKQ45" s="51"/>
      <c r="AKR45" s="51"/>
      <c r="AKS45" s="51"/>
      <c r="AKT45" s="51"/>
      <c r="AKU45" s="51"/>
      <c r="AKV45" s="51"/>
      <c r="AKW45" s="51"/>
      <c r="AKX45" s="51"/>
      <c r="AKY45" s="51"/>
      <c r="AKZ45" s="51"/>
      <c r="ALA45" s="51"/>
      <c r="ALB45" s="51"/>
      <c r="ALC45" s="51"/>
      <c r="ALD45" s="51"/>
      <c r="ALE45" s="51"/>
      <c r="ALF45" s="51"/>
      <c r="ALG45" s="51"/>
      <c r="ALH45" s="51"/>
      <c r="ALI45" s="51"/>
      <c r="ALJ45" s="51"/>
      <c r="ALK45" s="51"/>
      <c r="ALL45" s="51"/>
      <c r="ALM45" s="51"/>
      <c r="ALN45" s="51"/>
      <c r="ALO45" s="51"/>
      <c r="ALP45" s="51"/>
      <c r="ALQ45" s="51"/>
      <c r="ALR45" s="51"/>
      <c r="ALS45" s="51"/>
      <c r="ALT45" s="51"/>
      <c r="ALU45" s="51"/>
      <c r="ALV45" s="51"/>
      <c r="ALW45" s="51"/>
      <c r="ALX45" s="51"/>
      <c r="ALY45" s="51"/>
      <c r="ALZ45" s="51"/>
      <c r="AMA45" s="51"/>
      <c r="AMB45" s="51"/>
      <c r="AMC45" s="51"/>
      <c r="AMD45" s="51"/>
      <c r="AME45" s="51"/>
      <c r="AMF45" s="51"/>
      <c r="AMG45" s="51"/>
      <c r="AMH45" s="51"/>
      <c r="AMI45" s="51"/>
      <c r="AMJ45" s="51"/>
      <c r="AMK45" s="51"/>
      <c r="AML45" s="51"/>
      <c r="AMM45" s="51"/>
      <c r="AMN45" s="51"/>
      <c r="AMO45" s="51"/>
      <c r="AMP45" s="51"/>
      <c r="AMQ45" s="51"/>
      <c r="AMR45" s="51"/>
      <c r="AMS45" s="51"/>
      <c r="AMT45" s="51"/>
      <c r="AMU45" s="51"/>
      <c r="AMV45" s="51"/>
      <c r="AMW45" s="51"/>
      <c r="AMX45" s="51"/>
      <c r="AMY45" s="51"/>
      <c r="AMZ45" s="51"/>
      <c r="ANA45" s="51"/>
      <c r="ANB45" s="51"/>
      <c r="ANC45" s="51"/>
      <c r="AND45" s="51"/>
      <c r="ANE45" s="51"/>
      <c r="ANF45" s="51"/>
      <c r="ANG45" s="51"/>
      <c r="ANH45" s="51"/>
      <c r="ANI45" s="51"/>
      <c r="ANJ45" s="51"/>
      <c r="ANK45" s="51"/>
      <c r="ANL45" s="51"/>
      <c r="ANM45" s="51"/>
      <c r="ANN45" s="51"/>
      <c r="ANO45" s="51"/>
      <c r="ANP45" s="51"/>
      <c r="ANQ45" s="51"/>
      <c r="ANR45" s="51"/>
      <c r="ANS45" s="51"/>
      <c r="ANT45" s="51"/>
      <c r="ANU45" s="51"/>
      <c r="ANV45" s="51"/>
      <c r="ANW45" s="51"/>
      <c r="ANX45" s="51"/>
      <c r="ANY45" s="51"/>
      <c r="ANZ45" s="51"/>
      <c r="AOA45" s="51"/>
      <c r="AOB45" s="51"/>
      <c r="AOC45" s="51"/>
      <c r="AOD45" s="51"/>
      <c r="AOE45" s="51"/>
      <c r="AOF45" s="51"/>
      <c r="AOG45" s="51"/>
      <c r="AOH45" s="51"/>
      <c r="AOI45" s="51"/>
      <c r="AOJ45" s="51"/>
      <c r="AOK45" s="51"/>
      <c r="AOL45" s="51"/>
      <c r="AOM45" s="51"/>
      <c r="AON45" s="51"/>
      <c r="AOO45" s="51"/>
      <c r="AOP45" s="51"/>
      <c r="AOQ45" s="51"/>
      <c r="AOR45" s="51"/>
      <c r="AOS45" s="51"/>
      <c r="AOT45" s="51"/>
      <c r="AOU45" s="51"/>
      <c r="AOV45" s="51"/>
      <c r="AOW45" s="51"/>
      <c r="AOX45" s="51"/>
      <c r="AOY45" s="51"/>
      <c r="AOZ45" s="51"/>
      <c r="APA45" s="51"/>
      <c r="APB45" s="51"/>
      <c r="APC45" s="51"/>
      <c r="APD45" s="51"/>
      <c r="APE45" s="51"/>
      <c r="APF45" s="51"/>
      <c r="APG45" s="51"/>
      <c r="APH45" s="51"/>
      <c r="API45" s="51"/>
      <c r="APJ45" s="51"/>
      <c r="APK45" s="51"/>
      <c r="APL45" s="51"/>
      <c r="APM45" s="51"/>
      <c r="APN45" s="51"/>
      <c r="APO45" s="51"/>
      <c r="APP45" s="51"/>
      <c r="APQ45" s="51"/>
      <c r="APR45" s="51"/>
      <c r="APS45" s="51"/>
      <c r="APT45" s="51"/>
      <c r="APU45" s="51"/>
      <c r="APV45" s="51"/>
      <c r="APW45" s="51"/>
      <c r="APX45" s="51"/>
      <c r="APY45" s="51"/>
      <c r="APZ45" s="51"/>
      <c r="AQA45" s="51"/>
      <c r="AQB45" s="51"/>
      <c r="AQC45" s="51"/>
      <c r="AQD45" s="51"/>
      <c r="AQE45" s="51"/>
      <c r="AQF45" s="51"/>
      <c r="AQG45" s="51"/>
      <c r="AQH45" s="51"/>
      <c r="AQI45" s="51"/>
      <c r="AQJ45" s="51"/>
      <c r="AQK45" s="51"/>
      <c r="AQL45" s="51"/>
      <c r="AQM45" s="51"/>
      <c r="AQN45" s="51"/>
      <c r="AQO45" s="51"/>
      <c r="AQP45" s="51"/>
      <c r="AQQ45" s="51"/>
      <c r="AQR45" s="51"/>
      <c r="AQS45" s="51"/>
      <c r="AQT45" s="51"/>
      <c r="AQU45" s="51"/>
      <c r="AQV45" s="51"/>
      <c r="AQW45" s="51"/>
      <c r="AQX45" s="51"/>
      <c r="AQY45" s="51"/>
      <c r="AQZ45" s="51"/>
      <c r="ARA45" s="51"/>
      <c r="ARB45" s="51"/>
      <c r="ARC45" s="51"/>
      <c r="ARD45" s="51"/>
      <c r="ARE45" s="51"/>
      <c r="ARF45" s="51"/>
      <c r="ARG45" s="51"/>
      <c r="ARH45" s="51"/>
      <c r="ARI45" s="51"/>
      <c r="ARJ45" s="51"/>
      <c r="ARK45" s="51"/>
      <c r="ARL45" s="51"/>
      <c r="ARM45" s="51"/>
      <c r="ARN45" s="51"/>
      <c r="ARO45" s="51"/>
      <c r="ARP45" s="51"/>
      <c r="ARQ45" s="51"/>
      <c r="ARR45" s="51"/>
      <c r="ARS45" s="51"/>
      <c r="ART45" s="51"/>
      <c r="ARU45" s="51"/>
      <c r="ARV45" s="51"/>
      <c r="ARW45" s="51"/>
      <c r="ARX45" s="51"/>
      <c r="ARY45" s="51"/>
      <c r="ARZ45" s="51"/>
      <c r="ASA45" s="51"/>
      <c r="ASB45" s="51"/>
      <c r="ASC45" s="51"/>
      <c r="ASD45" s="51"/>
      <c r="ASE45" s="51"/>
      <c r="ASF45" s="51"/>
      <c r="ASG45" s="51"/>
      <c r="ASH45" s="51"/>
      <c r="ASI45" s="51"/>
      <c r="ASJ45" s="51"/>
      <c r="ASK45" s="51"/>
      <c r="ASL45" s="51"/>
      <c r="ASM45" s="51"/>
      <c r="ASN45" s="51"/>
      <c r="ASO45" s="51"/>
      <c r="ASP45" s="51"/>
      <c r="ASQ45" s="51"/>
      <c r="ASR45" s="51"/>
      <c r="ASS45" s="51"/>
      <c r="AST45" s="51"/>
      <c r="ASU45" s="51"/>
      <c r="ASV45" s="51"/>
      <c r="ASW45" s="51"/>
      <c r="ASX45" s="51"/>
      <c r="ASY45" s="51"/>
      <c r="ASZ45" s="51"/>
      <c r="ATA45" s="51"/>
      <c r="ATB45" s="51"/>
      <c r="ATC45" s="51"/>
      <c r="ATD45" s="51"/>
      <c r="ATE45" s="51"/>
      <c r="ATF45" s="51"/>
      <c r="ATG45" s="51"/>
      <c r="ATH45" s="51"/>
      <c r="ATI45" s="51"/>
      <c r="ATJ45" s="51"/>
      <c r="ATK45" s="51"/>
      <c r="ATL45" s="51"/>
      <c r="ATM45" s="51"/>
      <c r="ATN45" s="51"/>
      <c r="ATO45" s="51"/>
      <c r="ATP45" s="51"/>
      <c r="ATQ45" s="51"/>
      <c r="ATR45" s="51"/>
      <c r="ATS45" s="51"/>
      <c r="ATT45" s="51"/>
      <c r="ATU45" s="51"/>
      <c r="ATV45" s="51"/>
      <c r="ATW45" s="51"/>
      <c r="ATX45" s="51"/>
      <c r="ATY45" s="51"/>
      <c r="ATZ45" s="51"/>
      <c r="AUA45" s="51"/>
      <c r="AUB45" s="51"/>
      <c r="AUC45" s="51"/>
      <c r="AUD45" s="51"/>
      <c r="AUE45" s="51"/>
      <c r="AUF45" s="51"/>
      <c r="AUG45" s="51"/>
      <c r="AUH45" s="51"/>
      <c r="AUI45" s="51"/>
      <c r="AUJ45" s="51"/>
      <c r="AUK45" s="51"/>
      <c r="AUL45" s="51"/>
      <c r="AUM45" s="51"/>
      <c r="AUN45" s="51"/>
      <c r="AUO45" s="51"/>
      <c r="AUP45" s="51"/>
      <c r="AUQ45" s="51"/>
      <c r="AUR45" s="51"/>
      <c r="AUS45" s="51"/>
      <c r="AUT45" s="51"/>
      <c r="AUU45" s="51"/>
      <c r="AUV45" s="51"/>
      <c r="AUW45" s="51"/>
      <c r="AUX45" s="51"/>
      <c r="AUY45" s="51"/>
      <c r="AUZ45" s="51"/>
      <c r="AVA45" s="51"/>
      <c r="AVB45" s="51"/>
      <c r="AVC45" s="51"/>
      <c r="AVD45" s="51"/>
      <c r="AVE45" s="51"/>
      <c r="AVF45" s="51"/>
      <c r="AVG45" s="51"/>
      <c r="AVH45" s="51"/>
      <c r="AVI45" s="51"/>
      <c r="AVJ45" s="51"/>
      <c r="AVK45" s="51"/>
      <c r="AVL45" s="51"/>
      <c r="AVM45" s="51"/>
      <c r="AVN45" s="51"/>
      <c r="AVO45" s="51"/>
      <c r="AVP45" s="51"/>
      <c r="AVQ45" s="51"/>
      <c r="AVR45" s="51"/>
      <c r="AVS45" s="51"/>
      <c r="AVT45" s="51"/>
      <c r="AVU45" s="51"/>
      <c r="AVV45" s="51"/>
      <c r="AVW45" s="51"/>
      <c r="AVX45" s="51"/>
      <c r="AVY45" s="51"/>
      <c r="AVZ45" s="51"/>
      <c r="AWA45" s="51"/>
      <c r="AWB45" s="51"/>
      <c r="AWC45" s="51"/>
      <c r="AWD45" s="51"/>
      <c r="AWE45" s="51"/>
      <c r="AWF45" s="51"/>
      <c r="AWG45" s="51"/>
      <c r="AWH45" s="51"/>
      <c r="AWI45" s="51"/>
      <c r="AWJ45" s="51"/>
      <c r="AWK45" s="51"/>
      <c r="AWL45" s="51"/>
      <c r="AWM45" s="51"/>
      <c r="AWN45" s="51"/>
      <c r="AWO45" s="51"/>
      <c r="AWP45" s="51"/>
      <c r="AWQ45" s="51"/>
      <c r="AWR45" s="51"/>
      <c r="AWS45" s="51"/>
      <c r="AWT45" s="51"/>
      <c r="AWU45" s="51"/>
      <c r="AWV45" s="51"/>
      <c r="AWW45" s="51"/>
      <c r="AWX45" s="51"/>
      <c r="AWY45" s="51"/>
      <c r="AWZ45" s="51"/>
      <c r="AXA45" s="51"/>
      <c r="AXB45" s="51"/>
      <c r="AXC45" s="51"/>
      <c r="AXD45" s="51"/>
      <c r="AXE45" s="51"/>
      <c r="AXF45" s="51"/>
      <c r="AXG45" s="51"/>
      <c r="AXH45" s="51"/>
      <c r="AXI45" s="51"/>
      <c r="AXJ45" s="51"/>
      <c r="AXK45" s="51"/>
      <c r="AXL45" s="51"/>
      <c r="AXM45" s="51"/>
      <c r="AXN45" s="51"/>
      <c r="AXO45" s="51"/>
      <c r="AXP45" s="51"/>
      <c r="AXQ45" s="51"/>
      <c r="AXR45" s="51"/>
      <c r="AXS45" s="51"/>
      <c r="AXT45" s="51"/>
      <c r="AXU45" s="51"/>
      <c r="AXV45" s="51"/>
      <c r="AXW45" s="51"/>
      <c r="AXX45" s="51"/>
      <c r="AXY45" s="51"/>
      <c r="AXZ45" s="51"/>
      <c r="AYA45" s="51"/>
      <c r="AYB45" s="51"/>
      <c r="AYC45" s="51"/>
      <c r="AYD45" s="51"/>
      <c r="AYE45" s="51"/>
      <c r="AYF45" s="51"/>
      <c r="AYG45" s="51"/>
      <c r="AYH45" s="51"/>
      <c r="AYI45" s="51"/>
      <c r="AYJ45" s="51"/>
      <c r="AYK45" s="51"/>
      <c r="AYL45" s="51"/>
      <c r="AYM45" s="51"/>
      <c r="AYN45" s="51"/>
      <c r="AYO45" s="51"/>
      <c r="AYP45" s="51"/>
      <c r="AYQ45" s="51"/>
      <c r="AYR45" s="51"/>
      <c r="AYS45" s="51"/>
      <c r="AYT45" s="51"/>
      <c r="AYU45" s="51"/>
      <c r="AYV45" s="51"/>
      <c r="AYW45" s="51"/>
      <c r="AYX45" s="51"/>
      <c r="AYY45" s="51"/>
      <c r="AYZ45" s="51"/>
      <c r="AZA45" s="51"/>
      <c r="AZB45" s="51"/>
      <c r="AZC45" s="51"/>
      <c r="AZD45" s="51"/>
      <c r="AZE45" s="51"/>
      <c r="AZF45" s="51"/>
      <c r="AZG45" s="51"/>
      <c r="AZH45" s="51"/>
      <c r="AZI45" s="51"/>
      <c r="AZJ45" s="51"/>
      <c r="AZK45" s="51"/>
      <c r="AZL45" s="51"/>
      <c r="AZM45" s="51"/>
      <c r="AZN45" s="51"/>
      <c r="AZO45" s="51"/>
      <c r="AZP45" s="51"/>
      <c r="AZQ45" s="51"/>
      <c r="AZR45" s="51"/>
      <c r="AZS45" s="51"/>
      <c r="AZT45" s="51"/>
      <c r="AZU45" s="51"/>
      <c r="AZV45" s="51"/>
      <c r="AZW45" s="51"/>
      <c r="AZX45" s="51"/>
      <c r="AZY45" s="51"/>
      <c r="AZZ45" s="51"/>
      <c r="BAA45" s="51"/>
      <c r="BAB45" s="51"/>
      <c r="BAC45" s="51"/>
      <c r="BAD45" s="51"/>
      <c r="BAE45" s="51"/>
      <c r="BAF45" s="51"/>
      <c r="BAG45" s="51"/>
      <c r="BAH45" s="51"/>
      <c r="BAI45" s="51"/>
      <c r="BAJ45" s="51"/>
      <c r="BAK45" s="51"/>
      <c r="BAL45" s="51"/>
      <c r="BAM45" s="51"/>
      <c r="BAN45" s="51"/>
      <c r="BAO45" s="51"/>
      <c r="BAP45" s="51"/>
      <c r="BAQ45" s="51"/>
      <c r="BAR45" s="51"/>
      <c r="BAS45" s="51"/>
      <c r="BAT45" s="51"/>
      <c r="BAU45" s="51"/>
      <c r="BAV45" s="51"/>
      <c r="BAW45" s="51"/>
      <c r="BAX45" s="51"/>
      <c r="BAY45" s="51"/>
      <c r="BAZ45" s="51"/>
      <c r="BBA45" s="51"/>
      <c r="BBB45" s="51"/>
      <c r="BBC45" s="51"/>
      <c r="BBD45" s="51"/>
      <c r="BBE45" s="51"/>
      <c r="BBF45" s="51"/>
      <c r="BBG45" s="51"/>
      <c r="BBH45" s="51"/>
      <c r="BBI45" s="51"/>
      <c r="BBJ45" s="51"/>
      <c r="BBK45" s="51"/>
      <c r="BBL45" s="51"/>
      <c r="BBM45" s="51"/>
      <c r="BBN45" s="51"/>
      <c r="BBO45" s="51"/>
      <c r="BBP45" s="51"/>
      <c r="BBQ45" s="51"/>
      <c r="BBR45" s="51"/>
      <c r="BBS45" s="51"/>
      <c r="BBT45" s="51"/>
      <c r="BBU45" s="51"/>
      <c r="BBV45" s="51"/>
      <c r="BBW45" s="51"/>
      <c r="BBX45" s="51"/>
      <c r="BBY45" s="51"/>
      <c r="BBZ45" s="51"/>
      <c r="BCA45" s="51"/>
      <c r="BCB45" s="51"/>
      <c r="BCC45" s="51"/>
      <c r="BCD45" s="51"/>
      <c r="BCE45" s="51"/>
      <c r="BCF45" s="51"/>
      <c r="BCG45" s="51"/>
      <c r="BCH45" s="51"/>
      <c r="BCI45" s="51"/>
      <c r="BCJ45" s="51"/>
      <c r="BCK45" s="51"/>
      <c r="BCL45" s="51"/>
      <c r="BCM45" s="51"/>
      <c r="BCN45" s="51"/>
      <c r="BCO45" s="51"/>
      <c r="BCP45" s="51"/>
      <c r="BCQ45" s="51"/>
      <c r="BCR45" s="51"/>
      <c r="BCS45" s="51"/>
      <c r="BCT45" s="51"/>
      <c r="BCU45" s="51"/>
      <c r="BCV45" s="51"/>
      <c r="BCW45" s="51"/>
      <c r="BCX45" s="51"/>
      <c r="BCY45" s="51"/>
      <c r="BCZ45" s="51"/>
      <c r="BDA45" s="51"/>
      <c r="BDB45" s="51"/>
      <c r="BDC45" s="51"/>
      <c r="BDD45" s="51"/>
      <c r="BDE45" s="51"/>
      <c r="BDF45" s="51"/>
      <c r="BDG45" s="51"/>
      <c r="BDH45" s="51"/>
      <c r="BDI45" s="51"/>
      <c r="BDJ45" s="51"/>
      <c r="BDK45" s="51"/>
      <c r="BDL45" s="51"/>
      <c r="BDM45" s="51"/>
      <c r="BDN45" s="51"/>
      <c r="BDO45" s="51"/>
      <c r="BDP45" s="51"/>
      <c r="BDQ45" s="51"/>
      <c r="BDR45" s="51"/>
      <c r="BDS45" s="51"/>
      <c r="BDT45" s="51"/>
      <c r="BDU45" s="51"/>
      <c r="BDV45" s="51"/>
      <c r="BDW45" s="51"/>
      <c r="BDX45" s="51"/>
      <c r="BDY45" s="51"/>
      <c r="BDZ45" s="51"/>
      <c r="BEA45" s="51"/>
      <c r="BEB45" s="51"/>
      <c r="BEC45" s="51"/>
      <c r="BED45" s="51"/>
      <c r="BEE45" s="51"/>
      <c r="BEF45" s="51"/>
      <c r="BEG45" s="51"/>
      <c r="BEH45" s="51"/>
      <c r="BEI45" s="51"/>
      <c r="BEJ45" s="51"/>
      <c r="BEK45" s="51"/>
      <c r="BEL45" s="51"/>
      <c r="BEM45" s="51"/>
      <c r="BEN45" s="51"/>
      <c r="BEO45" s="51"/>
      <c r="BEP45" s="51"/>
      <c r="BEQ45" s="51"/>
      <c r="BER45" s="51"/>
      <c r="BES45" s="51"/>
      <c r="BET45" s="51"/>
      <c r="BEU45" s="51"/>
      <c r="BEV45" s="51"/>
      <c r="BEW45" s="51"/>
      <c r="BEX45" s="51"/>
      <c r="BEY45" s="51"/>
      <c r="BEZ45" s="51"/>
      <c r="BFA45" s="51"/>
      <c r="BFB45" s="51"/>
      <c r="BFC45" s="51"/>
      <c r="BFD45" s="51"/>
      <c r="BFE45" s="51"/>
      <c r="BFF45" s="51"/>
      <c r="BFG45" s="51"/>
      <c r="BFH45" s="51"/>
      <c r="BFI45" s="51"/>
      <c r="BFJ45" s="51"/>
      <c r="BFK45" s="51"/>
      <c r="BFL45" s="51"/>
      <c r="BFM45" s="51"/>
      <c r="BFN45" s="51"/>
      <c r="BFO45" s="51"/>
      <c r="BFP45" s="51"/>
      <c r="BFQ45" s="51"/>
      <c r="BFR45" s="51"/>
      <c r="BFS45" s="51"/>
      <c r="BFT45" s="51"/>
      <c r="BFU45" s="51"/>
      <c r="BFV45" s="51"/>
      <c r="BFW45" s="51"/>
      <c r="BFX45" s="51"/>
      <c r="BFY45" s="51"/>
      <c r="BFZ45" s="51"/>
      <c r="BGA45" s="51"/>
      <c r="BGB45" s="51"/>
      <c r="BGC45" s="51"/>
      <c r="BGD45" s="51"/>
      <c r="BGE45" s="51"/>
      <c r="BGF45" s="51"/>
      <c r="BGG45" s="51"/>
      <c r="BGH45" s="51"/>
      <c r="BGI45" s="51"/>
      <c r="BGJ45" s="51"/>
      <c r="BGK45" s="51"/>
      <c r="BGL45" s="51"/>
      <c r="BGM45" s="51"/>
      <c r="BGN45" s="51"/>
      <c r="BGO45" s="51"/>
      <c r="BGP45" s="51"/>
      <c r="BGQ45" s="51"/>
      <c r="BGR45" s="51"/>
      <c r="BGS45" s="51"/>
      <c r="BGT45" s="51"/>
      <c r="BGU45" s="51"/>
      <c r="BGV45" s="51"/>
      <c r="BGW45" s="51"/>
      <c r="BGX45" s="51"/>
      <c r="BGY45" s="51"/>
      <c r="BGZ45" s="51"/>
      <c r="BHA45" s="51"/>
      <c r="BHB45" s="51"/>
      <c r="BHC45" s="51"/>
      <c r="BHD45" s="51"/>
      <c r="BHE45" s="51"/>
      <c r="BHF45" s="51"/>
      <c r="BHG45" s="51"/>
      <c r="BHH45" s="51"/>
      <c r="BHI45" s="51"/>
      <c r="BHJ45" s="51"/>
      <c r="BHK45" s="51"/>
      <c r="BHL45" s="51"/>
      <c r="BHM45" s="51"/>
      <c r="BHN45" s="51"/>
      <c r="BHO45" s="51"/>
      <c r="BHP45" s="51"/>
      <c r="BHQ45" s="51"/>
      <c r="BHR45" s="51"/>
      <c r="BHS45" s="51"/>
      <c r="BHT45" s="51"/>
      <c r="BHU45" s="51"/>
      <c r="BHV45" s="51"/>
      <c r="BHW45" s="51"/>
      <c r="BHX45" s="51"/>
      <c r="BHY45" s="51"/>
      <c r="BHZ45" s="51"/>
      <c r="BIA45" s="51"/>
      <c r="BIB45" s="51"/>
      <c r="BIC45" s="51"/>
      <c r="BID45" s="51"/>
      <c r="BIE45" s="51"/>
      <c r="BIF45" s="51"/>
      <c r="BIG45" s="51"/>
      <c r="BIH45" s="51"/>
      <c r="BII45" s="51"/>
      <c r="BIJ45" s="51"/>
      <c r="BIK45" s="51"/>
      <c r="BIL45" s="51"/>
      <c r="BIM45" s="51"/>
      <c r="BIN45" s="51"/>
      <c r="BIO45" s="51"/>
      <c r="BIP45" s="51"/>
      <c r="BIQ45" s="51"/>
      <c r="BIR45" s="51"/>
      <c r="BIS45" s="51"/>
      <c r="BIT45" s="51"/>
      <c r="BIU45" s="51"/>
      <c r="BIV45" s="51"/>
      <c r="BIW45" s="51"/>
      <c r="BIX45" s="51"/>
      <c r="BIY45" s="51"/>
      <c r="BIZ45" s="51"/>
      <c r="BJA45" s="51"/>
      <c r="BJB45" s="51"/>
      <c r="BJC45" s="51"/>
      <c r="BJD45" s="51"/>
      <c r="BJE45" s="51"/>
      <c r="BJF45" s="51"/>
      <c r="BJG45" s="51"/>
      <c r="BJH45" s="51"/>
      <c r="BJI45" s="51"/>
      <c r="BJJ45" s="51"/>
      <c r="BJK45" s="51"/>
      <c r="BJL45" s="51"/>
      <c r="BJM45" s="51"/>
      <c r="BJN45" s="51"/>
      <c r="BJO45" s="51"/>
      <c r="BJP45" s="51"/>
      <c r="BJQ45" s="51"/>
      <c r="BJR45" s="51"/>
      <c r="BJS45" s="51"/>
      <c r="BJT45" s="51"/>
      <c r="BJU45" s="51"/>
      <c r="BJV45" s="51"/>
      <c r="BJW45" s="51"/>
      <c r="BJX45" s="51"/>
      <c r="BJY45" s="51"/>
      <c r="BJZ45" s="51"/>
      <c r="BKA45" s="51"/>
      <c r="BKB45" s="51"/>
      <c r="BKC45" s="51"/>
      <c r="BKD45" s="51"/>
      <c r="BKE45" s="51"/>
      <c r="BKF45" s="51"/>
      <c r="BKG45" s="51"/>
      <c r="BKH45" s="51"/>
      <c r="BKI45" s="51"/>
      <c r="BKJ45" s="51"/>
      <c r="BKK45" s="51"/>
      <c r="BKL45" s="51"/>
      <c r="BKM45" s="51"/>
      <c r="BKN45" s="51"/>
      <c r="BKO45" s="51"/>
      <c r="BKP45" s="51"/>
      <c r="BKQ45" s="51"/>
      <c r="BKR45" s="51"/>
      <c r="BKS45" s="51"/>
      <c r="BKT45" s="51"/>
      <c r="BKU45" s="51"/>
      <c r="BKV45" s="51"/>
      <c r="BKW45" s="51"/>
      <c r="BKX45" s="51"/>
      <c r="BKY45" s="51"/>
      <c r="BKZ45" s="51"/>
      <c r="BLA45" s="51"/>
      <c r="BLB45" s="51"/>
      <c r="BLC45" s="51"/>
      <c r="BLD45" s="51"/>
      <c r="BLE45" s="51"/>
      <c r="BLF45" s="51"/>
      <c r="BLG45" s="51"/>
      <c r="BLH45" s="51"/>
      <c r="BLI45" s="51"/>
      <c r="BLJ45" s="51"/>
      <c r="BLK45" s="51"/>
      <c r="BLL45" s="51"/>
      <c r="BLM45" s="51"/>
      <c r="BLN45" s="51"/>
      <c r="BLO45" s="51"/>
      <c r="BLP45" s="51"/>
      <c r="BLQ45" s="51"/>
      <c r="BLR45" s="51"/>
      <c r="BLS45" s="51"/>
      <c r="BLT45" s="51"/>
      <c r="BLU45" s="51"/>
      <c r="BLV45" s="51"/>
      <c r="BLW45" s="51"/>
      <c r="BLX45" s="51"/>
      <c r="BLY45" s="51"/>
      <c r="BLZ45" s="51"/>
      <c r="BMA45" s="51"/>
      <c r="BMB45" s="51"/>
      <c r="BMC45" s="51"/>
      <c r="BMD45" s="51"/>
      <c r="BME45" s="51"/>
      <c r="BMF45" s="51"/>
      <c r="BMG45" s="51"/>
      <c r="BMH45" s="51"/>
      <c r="BMI45" s="51"/>
      <c r="BMJ45" s="51"/>
      <c r="BMK45" s="51"/>
      <c r="BML45" s="51"/>
      <c r="BMM45" s="51"/>
      <c r="BMN45" s="51"/>
      <c r="BMO45" s="51"/>
      <c r="BMP45" s="51"/>
      <c r="BMQ45" s="51"/>
      <c r="BMR45" s="51"/>
      <c r="BMS45" s="51"/>
      <c r="BMT45" s="51"/>
      <c r="BMU45" s="51"/>
      <c r="BMV45" s="51"/>
      <c r="BMW45" s="51"/>
      <c r="BMX45" s="51"/>
      <c r="BMY45" s="51"/>
      <c r="BMZ45" s="51"/>
      <c r="BNA45" s="51"/>
      <c r="BNB45" s="51"/>
      <c r="BNC45" s="51"/>
      <c r="BND45" s="51"/>
      <c r="BNE45" s="51"/>
      <c r="BNF45" s="51"/>
      <c r="BNG45" s="51"/>
      <c r="BNH45" s="51"/>
      <c r="BNI45" s="51"/>
      <c r="BNJ45" s="51"/>
      <c r="BNK45" s="51"/>
      <c r="BNL45" s="51"/>
      <c r="BNM45" s="51"/>
      <c r="BNN45" s="51"/>
      <c r="BNO45" s="51"/>
      <c r="BNP45" s="51"/>
      <c r="BNQ45" s="51"/>
      <c r="BNR45" s="51"/>
      <c r="BNS45" s="51"/>
      <c r="BNT45" s="51"/>
      <c r="BNU45" s="51"/>
      <c r="BNV45" s="51"/>
      <c r="BNW45" s="51"/>
      <c r="BNX45" s="51"/>
      <c r="BNY45" s="51"/>
      <c r="BNZ45" s="51"/>
      <c r="BOA45" s="51"/>
      <c r="BOB45" s="51"/>
      <c r="BOC45" s="51"/>
      <c r="BOD45" s="51"/>
      <c r="BOE45" s="51"/>
      <c r="BOF45" s="51"/>
      <c r="BOG45" s="51"/>
      <c r="BOH45" s="51"/>
      <c r="BOI45" s="51"/>
      <c r="BOJ45" s="51"/>
      <c r="BOK45" s="51"/>
      <c r="BOL45" s="51"/>
      <c r="BOM45" s="51"/>
      <c r="BON45" s="51"/>
      <c r="BOO45" s="51"/>
      <c r="BOP45" s="51"/>
      <c r="BOQ45" s="51"/>
      <c r="BOR45" s="51"/>
      <c r="BOS45" s="51"/>
      <c r="BOT45" s="51"/>
      <c r="BOU45" s="51"/>
      <c r="BOV45" s="51"/>
      <c r="BOW45" s="51"/>
      <c r="BOX45" s="51"/>
      <c r="BOY45" s="51"/>
      <c r="BOZ45" s="51"/>
      <c r="BPA45" s="51"/>
      <c r="BPB45" s="51"/>
      <c r="BPC45" s="51"/>
      <c r="BPD45" s="51"/>
      <c r="BPE45" s="51"/>
      <c r="BPF45" s="51"/>
      <c r="BPG45" s="51"/>
      <c r="BPH45" s="51"/>
      <c r="BPI45" s="51"/>
      <c r="BPJ45" s="51"/>
      <c r="BPK45" s="51"/>
      <c r="BPL45" s="51"/>
      <c r="BPM45" s="51"/>
      <c r="BPN45" s="51"/>
      <c r="BPO45" s="51"/>
      <c r="BPP45" s="51"/>
      <c r="BPQ45" s="51"/>
      <c r="BPR45" s="51"/>
      <c r="BPS45" s="51"/>
      <c r="BPT45" s="51"/>
      <c r="BPU45" s="51"/>
      <c r="BPV45" s="51"/>
      <c r="BPW45" s="51"/>
      <c r="BPX45" s="51"/>
      <c r="BPY45" s="51"/>
      <c r="BPZ45" s="51"/>
      <c r="BQA45" s="51"/>
      <c r="BQB45" s="51"/>
      <c r="BQC45" s="51"/>
      <c r="BQD45" s="51"/>
      <c r="BQE45" s="51"/>
      <c r="BQF45" s="51"/>
      <c r="BQG45" s="51"/>
      <c r="BQH45" s="51"/>
      <c r="BQI45" s="51"/>
      <c r="BQJ45" s="51"/>
      <c r="BQK45" s="51"/>
      <c r="BQL45" s="51"/>
      <c r="BQM45" s="51"/>
      <c r="BQN45" s="51"/>
      <c r="BQO45" s="51"/>
      <c r="BQP45" s="51"/>
      <c r="BQQ45" s="51"/>
      <c r="BQR45" s="51"/>
      <c r="BQS45" s="51"/>
      <c r="BQT45" s="51"/>
      <c r="BQU45" s="51"/>
      <c r="BQV45" s="51"/>
      <c r="BQW45" s="51"/>
      <c r="BQX45" s="51"/>
      <c r="BQY45" s="51"/>
      <c r="BQZ45" s="51"/>
      <c r="BRA45" s="51"/>
      <c r="BRB45" s="51"/>
      <c r="BRC45" s="51"/>
      <c r="BRD45" s="51"/>
      <c r="BRE45" s="51"/>
      <c r="BRF45" s="51"/>
      <c r="BRG45" s="51"/>
      <c r="BRH45" s="51"/>
      <c r="BRI45" s="51"/>
      <c r="BRJ45" s="51"/>
      <c r="BRK45" s="51"/>
      <c r="BRL45" s="51"/>
      <c r="BRM45" s="51"/>
      <c r="BRN45" s="51"/>
      <c r="BRO45" s="51"/>
      <c r="BRP45" s="51"/>
      <c r="BRQ45" s="51"/>
      <c r="BRR45" s="51"/>
      <c r="BRS45" s="51"/>
      <c r="BRT45" s="51"/>
      <c r="BRU45" s="51"/>
      <c r="BRV45" s="51"/>
      <c r="BRW45" s="51"/>
      <c r="BRX45" s="51"/>
      <c r="BRY45" s="51"/>
      <c r="BRZ45" s="51"/>
      <c r="BSA45" s="51"/>
      <c r="BSB45" s="51"/>
      <c r="BSC45" s="51"/>
      <c r="BSD45" s="51"/>
      <c r="BSE45" s="51"/>
      <c r="BSF45" s="51"/>
      <c r="BSG45" s="51"/>
      <c r="BSH45" s="51"/>
      <c r="BSI45" s="51"/>
      <c r="BSJ45" s="51"/>
      <c r="BSK45" s="51"/>
      <c r="BSL45" s="51"/>
      <c r="BSM45" s="51"/>
      <c r="BSN45" s="51"/>
      <c r="BSO45" s="51"/>
      <c r="BSP45" s="51"/>
      <c r="BSQ45" s="51"/>
      <c r="BSR45" s="51"/>
      <c r="BSS45" s="51"/>
      <c r="BST45" s="51"/>
      <c r="BSU45" s="51"/>
      <c r="BSV45" s="51"/>
      <c r="BSW45" s="51"/>
      <c r="BSX45" s="51"/>
      <c r="BSY45" s="51"/>
      <c r="BSZ45" s="51"/>
      <c r="BTA45" s="51"/>
      <c r="BTB45" s="51"/>
      <c r="BTC45" s="51"/>
      <c r="BTD45" s="51"/>
      <c r="BTE45" s="51"/>
      <c r="BTF45" s="51"/>
      <c r="BTG45" s="51"/>
      <c r="BTH45" s="51"/>
      <c r="BTI45" s="51"/>
      <c r="BTJ45" s="51"/>
      <c r="BTK45" s="51"/>
      <c r="BTL45" s="51"/>
      <c r="BTM45" s="51"/>
      <c r="BTN45" s="51"/>
      <c r="BTO45" s="51"/>
      <c r="BTP45" s="51"/>
      <c r="BTQ45" s="51"/>
      <c r="BTR45" s="51"/>
      <c r="BTS45" s="51"/>
      <c r="BTT45" s="51"/>
      <c r="BTU45" s="51"/>
      <c r="BTV45" s="51"/>
      <c r="BTW45" s="51"/>
      <c r="BTX45" s="51"/>
      <c r="BTY45" s="51"/>
      <c r="BTZ45" s="51"/>
      <c r="BUA45" s="51"/>
      <c r="BUB45" s="51"/>
      <c r="BUC45" s="51"/>
      <c r="BUD45" s="51"/>
      <c r="BUE45" s="51"/>
      <c r="BUF45" s="51"/>
      <c r="BUG45" s="51"/>
      <c r="BUH45" s="51"/>
      <c r="BUI45" s="51"/>
      <c r="BUJ45" s="51"/>
      <c r="BUK45" s="51"/>
      <c r="BUL45" s="51"/>
      <c r="BUM45" s="51"/>
      <c r="BUN45" s="51"/>
      <c r="BUO45" s="51"/>
      <c r="BUP45" s="51"/>
      <c r="BUQ45" s="51"/>
      <c r="BUR45" s="51"/>
      <c r="BUS45" s="51"/>
      <c r="BUT45" s="51"/>
      <c r="BUU45" s="51"/>
      <c r="BUV45" s="51"/>
      <c r="BUW45" s="51"/>
      <c r="BUX45" s="51"/>
      <c r="BUY45" s="51"/>
      <c r="BUZ45" s="51"/>
      <c r="BVA45" s="51"/>
      <c r="BVB45" s="51"/>
      <c r="BVC45" s="51"/>
      <c r="BVD45" s="51"/>
      <c r="BVE45" s="51"/>
      <c r="BVF45" s="51"/>
      <c r="BVG45" s="51"/>
      <c r="BVH45" s="51"/>
      <c r="BVI45" s="51"/>
      <c r="BVJ45" s="51"/>
      <c r="BVK45" s="51"/>
      <c r="BVL45" s="51"/>
      <c r="BVM45" s="51"/>
      <c r="BVN45" s="51"/>
      <c r="BVO45" s="51"/>
      <c r="BVP45" s="51"/>
      <c r="BVQ45" s="51"/>
      <c r="BVR45" s="51"/>
      <c r="BVS45" s="51"/>
      <c r="BVT45" s="51"/>
      <c r="BVU45" s="51"/>
      <c r="BVV45" s="51"/>
      <c r="BVW45" s="51"/>
      <c r="BVX45" s="51"/>
      <c r="BVY45" s="51"/>
      <c r="BVZ45" s="51"/>
      <c r="BWA45" s="51"/>
      <c r="BWB45" s="51"/>
      <c r="BWC45" s="51"/>
      <c r="BWD45" s="51"/>
      <c r="BWE45" s="51"/>
      <c r="BWF45" s="51"/>
      <c r="BWG45" s="51"/>
      <c r="BWH45" s="51"/>
      <c r="BWI45" s="51"/>
      <c r="BWJ45" s="51"/>
      <c r="BWK45" s="51"/>
      <c r="BWL45" s="51"/>
      <c r="BWM45" s="51"/>
      <c r="BWN45" s="51"/>
      <c r="BWO45" s="51"/>
      <c r="BWP45" s="51"/>
      <c r="BWQ45" s="51"/>
      <c r="BWR45" s="51"/>
      <c r="BWS45" s="51"/>
      <c r="BWT45" s="51"/>
      <c r="BWU45" s="51"/>
      <c r="BWV45" s="51"/>
      <c r="BWW45" s="51"/>
      <c r="BWX45" s="51"/>
      <c r="BWY45" s="51"/>
      <c r="BWZ45" s="51"/>
      <c r="BXA45" s="51"/>
      <c r="BXB45" s="51"/>
      <c r="BXC45" s="51"/>
      <c r="BXD45" s="51"/>
      <c r="BXE45" s="51"/>
      <c r="BXF45" s="51"/>
      <c r="BXG45" s="51"/>
      <c r="BXH45" s="51"/>
      <c r="BXI45" s="51"/>
      <c r="BXJ45" s="51"/>
      <c r="BXK45" s="51"/>
      <c r="BXL45" s="51"/>
      <c r="BXM45" s="51"/>
      <c r="BXN45" s="51"/>
      <c r="BXO45" s="51"/>
      <c r="BXP45" s="51"/>
      <c r="BXQ45" s="51"/>
      <c r="BXR45" s="51"/>
      <c r="BXS45" s="51"/>
      <c r="BXT45" s="51"/>
      <c r="BXU45" s="51"/>
      <c r="BXV45" s="51"/>
      <c r="BXW45" s="51"/>
      <c r="BXX45" s="51"/>
      <c r="BXY45" s="51"/>
      <c r="BXZ45" s="51"/>
      <c r="BYA45" s="51"/>
      <c r="BYB45" s="51"/>
      <c r="BYC45" s="51"/>
      <c r="BYD45" s="51"/>
      <c r="BYE45" s="51"/>
      <c r="BYF45" s="51"/>
      <c r="BYG45" s="51"/>
      <c r="BYH45" s="51"/>
      <c r="BYI45" s="51"/>
      <c r="BYJ45" s="51"/>
      <c r="BYK45" s="51"/>
      <c r="BYL45" s="51"/>
      <c r="BYM45" s="51"/>
      <c r="BYN45" s="51"/>
      <c r="BYO45" s="51"/>
      <c r="BYP45" s="51"/>
      <c r="BYQ45" s="51"/>
      <c r="BYR45" s="51"/>
      <c r="BYS45" s="51"/>
      <c r="BYT45" s="51"/>
      <c r="BYU45" s="51"/>
      <c r="BYV45" s="51"/>
      <c r="BYW45" s="51"/>
      <c r="BYX45" s="51"/>
      <c r="BYY45" s="51"/>
      <c r="BYZ45" s="51"/>
      <c r="BZA45" s="51"/>
      <c r="BZB45" s="51"/>
      <c r="BZC45" s="51"/>
      <c r="BZD45" s="51"/>
      <c r="BZE45" s="51"/>
      <c r="BZF45" s="51"/>
      <c r="BZG45" s="51"/>
      <c r="BZH45" s="51"/>
      <c r="BZI45" s="51"/>
      <c r="BZJ45" s="51"/>
      <c r="BZK45" s="51"/>
      <c r="BZL45" s="51"/>
      <c r="BZM45" s="51"/>
      <c r="BZN45" s="51"/>
      <c r="BZO45" s="51"/>
      <c r="BZP45" s="51"/>
      <c r="BZQ45" s="51"/>
      <c r="BZR45" s="51"/>
      <c r="BZS45" s="51"/>
      <c r="BZT45" s="51"/>
      <c r="BZU45" s="51"/>
      <c r="BZV45" s="51"/>
      <c r="BZW45" s="51"/>
      <c r="BZX45" s="51"/>
      <c r="BZY45" s="51"/>
      <c r="BZZ45" s="51"/>
      <c r="CAA45" s="51"/>
      <c r="CAB45" s="51"/>
      <c r="CAC45" s="51"/>
      <c r="CAD45" s="51"/>
      <c r="CAE45" s="51"/>
      <c r="CAF45" s="51"/>
      <c r="CAG45" s="51"/>
      <c r="CAH45" s="51"/>
      <c r="CAI45" s="51"/>
      <c r="CAJ45" s="51"/>
      <c r="CAK45" s="51"/>
      <c r="CAL45" s="51"/>
      <c r="CAM45" s="51"/>
      <c r="CAN45" s="51"/>
      <c r="CAO45" s="51"/>
      <c r="CAP45" s="51"/>
      <c r="CAQ45" s="51"/>
      <c r="CAR45" s="51"/>
      <c r="CAS45" s="51"/>
      <c r="CAT45" s="51"/>
      <c r="CAU45" s="51"/>
      <c r="CAV45" s="51"/>
      <c r="CAW45" s="51"/>
      <c r="CAX45" s="51"/>
      <c r="CAY45" s="51"/>
      <c r="CAZ45" s="51"/>
      <c r="CBA45" s="51"/>
      <c r="CBB45" s="51"/>
      <c r="CBC45" s="51"/>
      <c r="CBD45" s="51"/>
      <c r="CBE45" s="51"/>
      <c r="CBF45" s="51"/>
      <c r="CBG45" s="51"/>
      <c r="CBH45" s="51"/>
      <c r="CBI45" s="51"/>
      <c r="CBJ45" s="51"/>
      <c r="CBK45" s="51"/>
      <c r="CBL45" s="51"/>
      <c r="CBM45" s="51"/>
      <c r="CBN45" s="51"/>
      <c r="CBO45" s="51"/>
      <c r="CBP45" s="51"/>
      <c r="CBQ45" s="51"/>
      <c r="CBR45" s="51"/>
      <c r="CBS45" s="51"/>
      <c r="CBT45" s="51"/>
      <c r="CBU45" s="51"/>
      <c r="CBV45" s="51"/>
      <c r="CBW45" s="51"/>
      <c r="CBX45" s="51"/>
      <c r="CBY45" s="51"/>
      <c r="CBZ45" s="51"/>
      <c r="CCA45" s="51"/>
      <c r="CCB45" s="51"/>
      <c r="CCC45" s="51"/>
      <c r="CCD45" s="51"/>
      <c r="CCE45" s="51"/>
      <c r="CCF45" s="51"/>
      <c r="CCG45" s="51"/>
      <c r="CCH45" s="51"/>
      <c r="CCI45" s="51"/>
      <c r="CCJ45" s="51"/>
      <c r="CCK45" s="51"/>
      <c r="CCL45" s="51"/>
      <c r="CCM45" s="51"/>
      <c r="CCN45" s="51"/>
      <c r="CCO45" s="51"/>
      <c r="CCP45" s="51"/>
      <c r="CCQ45" s="51"/>
      <c r="CCR45" s="51"/>
      <c r="CCS45" s="51"/>
      <c r="CCT45" s="51"/>
      <c r="CCU45" s="51"/>
      <c r="CCV45" s="51"/>
      <c r="CCW45" s="51"/>
      <c r="CCX45" s="51"/>
      <c r="CCY45" s="51"/>
      <c r="CCZ45" s="51"/>
      <c r="CDA45" s="51"/>
      <c r="CDB45" s="51"/>
      <c r="CDC45" s="51"/>
      <c r="CDD45" s="51"/>
      <c r="CDE45" s="51"/>
      <c r="CDF45" s="51"/>
      <c r="CDG45" s="51"/>
      <c r="CDH45" s="51"/>
      <c r="CDI45" s="51"/>
      <c r="CDJ45" s="51"/>
      <c r="CDK45" s="51"/>
      <c r="CDL45" s="51"/>
      <c r="CDM45" s="51"/>
      <c r="CDN45" s="51"/>
      <c r="CDO45" s="51"/>
      <c r="CDP45" s="51"/>
      <c r="CDQ45" s="51"/>
      <c r="CDR45" s="51"/>
      <c r="CDS45" s="51"/>
      <c r="CDT45" s="51"/>
      <c r="CDU45" s="51"/>
      <c r="CDV45" s="51"/>
      <c r="CDW45" s="51"/>
      <c r="CDX45" s="51"/>
      <c r="CDY45" s="51"/>
      <c r="CDZ45" s="51"/>
      <c r="CEA45" s="51"/>
      <c r="CEB45" s="51"/>
      <c r="CEC45" s="51"/>
      <c r="CED45" s="51"/>
      <c r="CEE45" s="51"/>
      <c r="CEF45" s="51"/>
      <c r="CEG45" s="51"/>
      <c r="CEH45" s="51"/>
      <c r="CEI45" s="51"/>
      <c r="CEJ45" s="51"/>
      <c r="CEK45" s="51"/>
      <c r="CEL45" s="51"/>
      <c r="CEM45" s="51"/>
      <c r="CEN45" s="51"/>
      <c r="CEO45" s="51"/>
      <c r="CEP45" s="51"/>
      <c r="CEQ45" s="51"/>
      <c r="CER45" s="51"/>
      <c r="CES45" s="51"/>
      <c r="CET45" s="51"/>
      <c r="CEU45" s="51"/>
      <c r="CEV45" s="51"/>
      <c r="CEW45" s="51"/>
      <c r="CEX45" s="51"/>
      <c r="CEY45" s="51"/>
      <c r="CEZ45" s="51"/>
      <c r="CFA45" s="51"/>
      <c r="CFB45" s="51"/>
      <c r="CFC45" s="51"/>
      <c r="CFD45" s="51"/>
      <c r="CFE45" s="51"/>
      <c r="CFF45" s="51"/>
      <c r="CFG45" s="51"/>
      <c r="CFH45" s="51"/>
      <c r="CFI45" s="51"/>
      <c r="CFJ45" s="51"/>
      <c r="CFK45" s="51"/>
      <c r="CFL45" s="51"/>
      <c r="CFM45" s="51"/>
      <c r="CFN45" s="51"/>
      <c r="CFO45" s="51"/>
      <c r="CFP45" s="51"/>
      <c r="CFQ45" s="51"/>
      <c r="CFR45" s="51"/>
      <c r="CFS45" s="51"/>
      <c r="CFT45" s="51"/>
      <c r="CFU45" s="51"/>
      <c r="CFV45" s="51"/>
      <c r="CFW45" s="51"/>
      <c r="CFX45" s="51"/>
      <c r="CFY45" s="51"/>
      <c r="CFZ45" s="51"/>
      <c r="CGA45" s="51"/>
      <c r="CGB45" s="51"/>
      <c r="CGC45" s="51"/>
      <c r="CGD45" s="51"/>
      <c r="CGE45" s="51"/>
      <c r="CGF45" s="51"/>
      <c r="CGG45" s="51"/>
      <c r="CGH45" s="51"/>
      <c r="CGI45" s="51"/>
      <c r="CGJ45" s="51"/>
      <c r="CGK45" s="51"/>
      <c r="CGL45" s="51"/>
      <c r="CGM45" s="51"/>
      <c r="CGN45" s="51"/>
      <c r="CGO45" s="51"/>
      <c r="CGP45" s="51"/>
      <c r="CGQ45" s="51"/>
      <c r="CGR45" s="51"/>
      <c r="CGS45" s="51"/>
      <c r="CGT45" s="51"/>
      <c r="CGU45" s="51"/>
      <c r="CGV45" s="51"/>
      <c r="CGW45" s="51"/>
      <c r="CGX45" s="51"/>
      <c r="CGY45" s="51"/>
      <c r="CGZ45" s="51"/>
      <c r="CHA45" s="51"/>
      <c r="CHB45" s="51"/>
      <c r="CHC45" s="51"/>
      <c r="CHD45" s="51"/>
      <c r="CHE45" s="51"/>
      <c r="CHF45" s="51"/>
      <c r="CHG45" s="51"/>
      <c r="CHH45" s="51"/>
      <c r="CHI45" s="51"/>
      <c r="CHJ45" s="51"/>
      <c r="CHK45" s="51"/>
      <c r="CHL45" s="51"/>
      <c r="CHM45" s="51"/>
      <c r="CHN45" s="51"/>
      <c r="CHO45" s="51"/>
      <c r="CHP45" s="51"/>
      <c r="CHQ45" s="51"/>
      <c r="CHR45" s="51"/>
      <c r="CHS45" s="51"/>
      <c r="CHT45" s="51"/>
      <c r="CHU45" s="51"/>
      <c r="CHV45" s="51"/>
      <c r="CHW45" s="51"/>
      <c r="CHX45" s="51"/>
      <c r="CHY45" s="51"/>
      <c r="CHZ45" s="51"/>
      <c r="CIA45" s="51"/>
      <c r="CIB45" s="51"/>
      <c r="CIC45" s="51"/>
      <c r="CID45" s="51"/>
      <c r="CIE45" s="51"/>
      <c r="CIF45" s="51"/>
      <c r="CIG45" s="51"/>
      <c r="CIH45" s="51"/>
      <c r="CII45" s="51"/>
      <c r="CIJ45" s="51"/>
      <c r="CIK45" s="51"/>
      <c r="CIL45" s="51"/>
      <c r="CIM45" s="51"/>
      <c r="CIN45" s="51"/>
      <c r="CIO45" s="51"/>
      <c r="CIP45" s="51"/>
      <c r="CIQ45" s="51"/>
      <c r="CIR45" s="51"/>
      <c r="CIS45" s="51"/>
      <c r="CIT45" s="51"/>
      <c r="CIU45" s="51"/>
      <c r="CIV45" s="51"/>
      <c r="CIW45" s="51"/>
      <c r="CIX45" s="51"/>
      <c r="CIY45" s="51"/>
      <c r="CIZ45" s="51"/>
      <c r="CJA45" s="51"/>
      <c r="CJB45" s="51"/>
      <c r="CJC45" s="51"/>
      <c r="CJD45" s="51"/>
      <c r="CJE45" s="51"/>
      <c r="CJF45" s="51"/>
      <c r="CJG45" s="51"/>
      <c r="CJH45" s="51"/>
      <c r="CJI45" s="51"/>
      <c r="CJJ45" s="51"/>
      <c r="CJK45" s="51"/>
      <c r="CJL45" s="51"/>
      <c r="CJM45" s="51"/>
      <c r="CJN45" s="51"/>
      <c r="CJO45" s="51"/>
      <c r="CJP45" s="51"/>
      <c r="CJQ45" s="51"/>
      <c r="CJR45" s="51"/>
      <c r="CJS45" s="51"/>
      <c r="CJT45" s="51"/>
      <c r="CJU45" s="51"/>
      <c r="CJV45" s="51"/>
      <c r="CJW45" s="51"/>
      <c r="CJX45" s="51"/>
      <c r="CJY45" s="51"/>
      <c r="CJZ45" s="51"/>
      <c r="CKA45" s="51"/>
      <c r="CKB45" s="51"/>
      <c r="CKC45" s="51"/>
      <c r="CKD45" s="51"/>
      <c r="CKE45" s="51"/>
      <c r="CKF45" s="51"/>
      <c r="CKG45" s="51"/>
      <c r="CKH45" s="51"/>
      <c r="CKI45" s="51"/>
      <c r="CKJ45" s="51"/>
      <c r="CKK45" s="51"/>
      <c r="CKL45" s="51"/>
      <c r="CKM45" s="51"/>
      <c r="CKN45" s="51"/>
      <c r="CKO45" s="51"/>
      <c r="CKP45" s="51"/>
      <c r="CKQ45" s="51"/>
      <c r="CKR45" s="51"/>
      <c r="CKS45" s="51"/>
      <c r="CKT45" s="51"/>
      <c r="CKU45" s="51"/>
      <c r="CKV45" s="51"/>
      <c r="CKW45" s="51"/>
      <c r="CKX45" s="51"/>
      <c r="CKY45" s="51"/>
      <c r="CKZ45" s="51"/>
      <c r="CLA45" s="51"/>
      <c r="CLB45" s="51"/>
      <c r="CLC45" s="51"/>
      <c r="CLD45" s="51"/>
      <c r="CLE45" s="51"/>
      <c r="CLF45" s="51"/>
      <c r="CLG45" s="51"/>
      <c r="CLH45" s="51"/>
      <c r="CLI45" s="51"/>
      <c r="CLJ45" s="51"/>
      <c r="CLK45" s="51"/>
      <c r="CLL45" s="51"/>
      <c r="CLM45" s="51"/>
      <c r="CLN45" s="51"/>
      <c r="CLO45" s="51"/>
      <c r="CLP45" s="51"/>
      <c r="CLQ45" s="51"/>
      <c r="CLR45" s="51"/>
      <c r="CLS45" s="51"/>
      <c r="CLT45" s="51"/>
      <c r="CLU45" s="51"/>
      <c r="CLV45" s="51"/>
      <c r="CLW45" s="51"/>
      <c r="CLX45" s="51"/>
      <c r="CLY45" s="51"/>
      <c r="CLZ45" s="51"/>
      <c r="CMA45" s="51"/>
      <c r="CMB45" s="51"/>
      <c r="CMC45" s="51"/>
      <c r="CMD45" s="51"/>
      <c r="CME45" s="51"/>
      <c r="CMF45" s="51"/>
      <c r="CMG45" s="51"/>
      <c r="CMH45" s="51"/>
      <c r="CMI45" s="51"/>
      <c r="CMJ45" s="51"/>
      <c r="CMK45" s="51"/>
      <c r="CML45" s="51"/>
      <c r="CMM45" s="51"/>
      <c r="CMN45" s="51"/>
      <c r="CMO45" s="51"/>
      <c r="CMP45" s="51"/>
      <c r="CMQ45" s="51"/>
      <c r="CMR45" s="51"/>
      <c r="CMS45" s="51"/>
      <c r="CMT45" s="51"/>
      <c r="CMU45" s="51"/>
      <c r="CMV45" s="51"/>
      <c r="CMW45" s="51"/>
      <c r="CMX45" s="51"/>
      <c r="CMY45" s="51"/>
      <c r="CMZ45" s="51"/>
      <c r="CNA45" s="51"/>
      <c r="CNB45" s="51"/>
      <c r="CNC45" s="51"/>
      <c r="CND45" s="51"/>
      <c r="CNE45" s="51"/>
      <c r="CNF45" s="51"/>
      <c r="CNG45" s="51"/>
      <c r="CNH45" s="51"/>
      <c r="CNI45" s="51"/>
      <c r="CNJ45" s="51"/>
      <c r="CNK45" s="51"/>
      <c r="CNL45" s="51"/>
      <c r="CNM45" s="51"/>
      <c r="CNN45" s="51"/>
      <c r="CNO45" s="51"/>
      <c r="CNP45" s="51"/>
      <c r="CNQ45" s="51"/>
      <c r="CNR45" s="51"/>
      <c r="CNS45" s="51"/>
      <c r="CNT45" s="51"/>
      <c r="CNU45" s="51"/>
      <c r="CNV45" s="51"/>
      <c r="CNW45" s="51"/>
      <c r="CNX45" s="51"/>
      <c r="CNY45" s="51"/>
      <c r="CNZ45" s="51"/>
      <c r="COA45" s="51"/>
      <c r="COB45" s="51"/>
      <c r="COC45" s="51"/>
      <c r="COD45" s="51"/>
      <c r="COE45" s="51"/>
      <c r="COF45" s="51"/>
      <c r="COG45" s="51"/>
      <c r="COH45" s="51"/>
      <c r="COI45" s="51"/>
      <c r="COJ45" s="51"/>
      <c r="COK45" s="51"/>
      <c r="COL45" s="51"/>
      <c r="COM45" s="51"/>
      <c r="CON45" s="51"/>
      <c r="COO45" s="51"/>
      <c r="COP45" s="51"/>
      <c r="COQ45" s="51"/>
      <c r="COR45" s="51"/>
      <c r="COS45" s="51"/>
      <c r="COT45" s="51"/>
      <c r="COU45" s="51"/>
      <c r="COV45" s="51"/>
      <c r="COW45" s="51"/>
      <c r="COX45" s="51"/>
      <c r="COY45" s="51"/>
      <c r="COZ45" s="51"/>
      <c r="CPA45" s="51"/>
      <c r="CPB45" s="51"/>
      <c r="CPC45" s="51"/>
      <c r="CPD45" s="51"/>
      <c r="CPE45" s="51"/>
      <c r="CPF45" s="51"/>
      <c r="CPG45" s="51"/>
      <c r="CPH45" s="51"/>
      <c r="CPI45" s="51"/>
      <c r="CPJ45" s="51"/>
      <c r="CPK45" s="51"/>
      <c r="CPL45" s="51"/>
      <c r="CPM45" s="51"/>
      <c r="CPN45" s="51"/>
      <c r="CPO45" s="51"/>
      <c r="CPP45" s="51"/>
      <c r="CPQ45" s="51"/>
      <c r="CPR45" s="51"/>
      <c r="CPS45" s="51"/>
      <c r="CPT45" s="51"/>
      <c r="CPU45" s="51"/>
      <c r="CPV45" s="51"/>
      <c r="CPW45" s="51"/>
      <c r="CPX45" s="51"/>
      <c r="CPY45" s="51"/>
      <c r="CPZ45" s="51"/>
      <c r="CQA45" s="51"/>
      <c r="CQB45" s="51"/>
      <c r="CQC45" s="51"/>
      <c r="CQD45" s="51"/>
      <c r="CQE45" s="51"/>
      <c r="CQF45" s="51"/>
      <c r="CQG45" s="51"/>
      <c r="CQH45" s="51"/>
      <c r="CQI45" s="51"/>
      <c r="CQJ45" s="51"/>
      <c r="CQK45" s="51"/>
      <c r="CQL45" s="51"/>
      <c r="CQM45" s="51"/>
      <c r="CQN45" s="51"/>
      <c r="CQO45" s="51"/>
      <c r="CQP45" s="51"/>
      <c r="CQQ45" s="51"/>
      <c r="CQR45" s="51"/>
      <c r="CQS45" s="51"/>
      <c r="CQT45" s="51"/>
      <c r="CQU45" s="51"/>
      <c r="CQV45" s="51"/>
      <c r="CQW45" s="51"/>
      <c r="CQX45" s="51"/>
      <c r="CQY45" s="51"/>
      <c r="CQZ45" s="51"/>
      <c r="CRA45" s="51"/>
      <c r="CRB45" s="51"/>
      <c r="CRC45" s="51"/>
      <c r="CRD45" s="51"/>
      <c r="CRE45" s="51"/>
      <c r="CRF45" s="51"/>
      <c r="CRG45" s="51"/>
      <c r="CRH45" s="51"/>
      <c r="CRI45" s="51"/>
      <c r="CRJ45" s="51"/>
      <c r="CRK45" s="51"/>
      <c r="CRL45" s="51"/>
      <c r="CRM45" s="51"/>
      <c r="CRN45" s="51"/>
      <c r="CRO45" s="51"/>
      <c r="CRP45" s="51"/>
      <c r="CRQ45" s="51"/>
      <c r="CRR45" s="51"/>
      <c r="CRS45" s="51"/>
      <c r="CRT45" s="51"/>
      <c r="CRU45" s="51"/>
      <c r="CRV45" s="51"/>
      <c r="CRW45" s="51"/>
      <c r="CRX45" s="51"/>
      <c r="CRY45" s="51"/>
      <c r="CRZ45" s="51"/>
      <c r="CSA45" s="51"/>
      <c r="CSB45" s="51"/>
      <c r="CSC45" s="51"/>
      <c r="CSD45" s="51"/>
      <c r="CSE45" s="51"/>
      <c r="CSF45" s="51"/>
      <c r="CSG45" s="51"/>
      <c r="CSH45" s="51"/>
      <c r="CSI45" s="51"/>
      <c r="CSJ45" s="51"/>
      <c r="CSK45" s="51"/>
      <c r="CSL45" s="51"/>
      <c r="CSM45" s="51"/>
      <c r="CSN45" s="51"/>
      <c r="CSO45" s="51"/>
      <c r="CSP45" s="51"/>
      <c r="CSQ45" s="51"/>
      <c r="CSR45" s="51"/>
      <c r="CSS45" s="51"/>
      <c r="CST45" s="51"/>
      <c r="CSU45" s="51"/>
      <c r="CSV45" s="51"/>
      <c r="CSW45" s="51"/>
      <c r="CSX45" s="51"/>
      <c r="CSY45" s="51"/>
      <c r="CSZ45" s="51"/>
      <c r="CTA45" s="51"/>
      <c r="CTB45" s="51"/>
      <c r="CTC45" s="51"/>
      <c r="CTD45" s="51"/>
      <c r="CTE45" s="51"/>
      <c r="CTF45" s="51"/>
      <c r="CTG45" s="51"/>
      <c r="CTH45" s="51"/>
      <c r="CTI45" s="51"/>
      <c r="CTJ45" s="51"/>
      <c r="CTK45" s="51"/>
      <c r="CTL45" s="51"/>
      <c r="CTM45" s="51"/>
      <c r="CTN45" s="51"/>
      <c r="CTO45" s="51"/>
      <c r="CTP45" s="51"/>
      <c r="CTQ45" s="51"/>
      <c r="CTR45" s="51"/>
      <c r="CTS45" s="51"/>
      <c r="CTT45" s="51"/>
      <c r="CTU45" s="51"/>
      <c r="CTV45" s="51"/>
      <c r="CTW45" s="51"/>
      <c r="CTX45" s="51"/>
      <c r="CTY45" s="51"/>
      <c r="CTZ45" s="51"/>
      <c r="CUA45" s="51"/>
      <c r="CUB45" s="51"/>
      <c r="CUC45" s="51"/>
      <c r="CUD45" s="51"/>
      <c r="CUE45" s="51"/>
      <c r="CUF45" s="51"/>
      <c r="CUG45" s="51"/>
      <c r="CUH45" s="51"/>
      <c r="CUI45" s="51"/>
      <c r="CUJ45" s="51"/>
      <c r="CUK45" s="51"/>
      <c r="CUL45" s="51"/>
      <c r="CUM45" s="51"/>
      <c r="CUN45" s="51"/>
      <c r="CUO45" s="51"/>
      <c r="CUP45" s="51"/>
      <c r="CUQ45" s="51"/>
      <c r="CUR45" s="51"/>
      <c r="CUS45" s="51"/>
      <c r="CUT45" s="51"/>
      <c r="CUU45" s="51"/>
      <c r="CUV45" s="51"/>
      <c r="CUW45" s="51"/>
      <c r="CUX45" s="51"/>
      <c r="CUY45" s="51"/>
      <c r="CUZ45" s="51"/>
      <c r="CVA45" s="51"/>
      <c r="CVB45" s="51"/>
      <c r="CVC45" s="51"/>
      <c r="CVD45" s="51"/>
      <c r="CVE45" s="51"/>
      <c r="CVF45" s="51"/>
      <c r="CVG45" s="51"/>
      <c r="CVH45" s="51"/>
      <c r="CVI45" s="51"/>
      <c r="CVJ45" s="51"/>
      <c r="CVK45" s="51"/>
      <c r="CVL45" s="51"/>
      <c r="CVM45" s="51"/>
      <c r="CVN45" s="51"/>
      <c r="CVO45" s="51"/>
      <c r="CVP45" s="51"/>
      <c r="CVQ45" s="51"/>
      <c r="CVR45" s="51"/>
      <c r="CVS45" s="51"/>
      <c r="CVT45" s="51"/>
      <c r="CVU45" s="51"/>
      <c r="CVV45" s="51"/>
      <c r="CVW45" s="51"/>
      <c r="CVX45" s="51"/>
      <c r="CVY45" s="51"/>
      <c r="CVZ45" s="51"/>
      <c r="CWA45" s="51"/>
      <c r="CWB45" s="51"/>
      <c r="CWC45" s="51"/>
      <c r="CWD45" s="51"/>
      <c r="CWE45" s="51"/>
      <c r="CWF45" s="51"/>
      <c r="CWG45" s="51"/>
      <c r="CWH45" s="51"/>
      <c r="CWI45" s="51"/>
      <c r="CWJ45" s="51"/>
      <c r="CWK45" s="51"/>
      <c r="CWL45" s="51"/>
      <c r="CWM45" s="51"/>
      <c r="CWN45" s="51"/>
      <c r="CWO45" s="51"/>
      <c r="CWP45" s="51"/>
      <c r="CWQ45" s="51"/>
      <c r="CWR45" s="51"/>
      <c r="CWS45" s="51"/>
      <c r="CWT45" s="51"/>
      <c r="CWU45" s="51"/>
      <c r="CWV45" s="51"/>
      <c r="CWW45" s="51"/>
      <c r="CWX45" s="51"/>
      <c r="CWY45" s="51"/>
      <c r="CWZ45" s="51"/>
      <c r="CXA45" s="51"/>
      <c r="CXB45" s="51"/>
      <c r="CXC45" s="51"/>
      <c r="CXD45" s="51"/>
      <c r="CXE45" s="51"/>
      <c r="CXF45" s="51"/>
      <c r="CXG45" s="51"/>
      <c r="CXH45" s="51"/>
      <c r="CXI45" s="51"/>
      <c r="CXJ45" s="51"/>
      <c r="CXK45" s="51"/>
      <c r="CXL45" s="51"/>
      <c r="CXM45" s="51"/>
      <c r="CXN45" s="51"/>
      <c r="CXO45" s="51"/>
      <c r="CXP45" s="51"/>
      <c r="CXQ45" s="51"/>
      <c r="CXR45" s="51"/>
      <c r="CXS45" s="51"/>
      <c r="CXT45" s="51"/>
      <c r="CXU45" s="51"/>
      <c r="CXV45" s="51"/>
      <c r="CXW45" s="51"/>
      <c r="CXX45" s="51"/>
      <c r="CXY45" s="51"/>
      <c r="CXZ45" s="51"/>
      <c r="CYA45" s="51"/>
      <c r="CYB45" s="51"/>
      <c r="CYC45" s="51"/>
      <c r="CYD45" s="51"/>
      <c r="CYE45" s="51"/>
      <c r="CYF45" s="51"/>
      <c r="CYG45" s="51"/>
      <c r="CYH45" s="51"/>
      <c r="CYI45" s="51"/>
      <c r="CYJ45" s="51"/>
      <c r="CYK45" s="51"/>
      <c r="CYL45" s="51"/>
      <c r="CYM45" s="51"/>
      <c r="CYN45" s="51"/>
      <c r="CYO45" s="51"/>
      <c r="CYP45" s="51"/>
      <c r="CYQ45" s="51"/>
      <c r="CYR45" s="51"/>
      <c r="CYS45" s="51"/>
      <c r="CYT45" s="51"/>
      <c r="CYU45" s="51"/>
      <c r="CYV45" s="51"/>
      <c r="CYW45" s="51"/>
      <c r="CYX45" s="51"/>
      <c r="CYY45" s="51"/>
      <c r="CYZ45" s="51"/>
      <c r="CZA45" s="51"/>
      <c r="CZB45" s="51"/>
      <c r="CZC45" s="51"/>
      <c r="CZD45" s="51"/>
      <c r="CZE45" s="51"/>
      <c r="CZF45" s="51"/>
      <c r="CZG45" s="51"/>
      <c r="CZH45" s="51"/>
      <c r="CZI45" s="51"/>
      <c r="CZJ45" s="51"/>
      <c r="CZK45" s="51"/>
      <c r="CZL45" s="51"/>
      <c r="CZM45" s="51"/>
      <c r="CZN45" s="51"/>
      <c r="CZO45" s="51"/>
      <c r="CZP45" s="51"/>
      <c r="CZQ45" s="51"/>
      <c r="CZR45" s="51"/>
      <c r="CZS45" s="51"/>
      <c r="CZT45" s="51"/>
      <c r="CZU45" s="51"/>
      <c r="CZV45" s="51"/>
      <c r="CZW45" s="51"/>
      <c r="CZX45" s="51"/>
      <c r="CZY45" s="51"/>
      <c r="CZZ45" s="51"/>
      <c r="DAA45" s="51"/>
      <c r="DAB45" s="51"/>
      <c r="DAC45" s="51"/>
      <c r="DAD45" s="51"/>
      <c r="DAE45" s="51"/>
      <c r="DAF45" s="51"/>
      <c r="DAG45" s="51"/>
      <c r="DAH45" s="51"/>
      <c r="DAI45" s="51"/>
      <c r="DAJ45" s="51"/>
      <c r="DAK45" s="51"/>
      <c r="DAL45" s="51"/>
      <c r="DAM45" s="51"/>
      <c r="DAN45" s="51"/>
      <c r="DAO45" s="51"/>
      <c r="DAP45" s="51"/>
      <c r="DAQ45" s="51"/>
      <c r="DAR45" s="51"/>
      <c r="DAS45" s="51"/>
      <c r="DAT45" s="51"/>
      <c r="DAU45" s="51"/>
      <c r="DAV45" s="51"/>
      <c r="DAW45" s="51"/>
      <c r="DAX45" s="51"/>
      <c r="DAY45" s="51"/>
      <c r="DAZ45" s="51"/>
      <c r="DBA45" s="51"/>
      <c r="DBB45" s="51"/>
      <c r="DBC45" s="51"/>
      <c r="DBD45" s="51"/>
      <c r="DBE45" s="51"/>
      <c r="DBF45" s="51"/>
      <c r="DBG45" s="51"/>
      <c r="DBH45" s="51"/>
      <c r="DBI45" s="51"/>
      <c r="DBJ45" s="51"/>
      <c r="DBK45" s="51"/>
      <c r="DBL45" s="51"/>
      <c r="DBM45" s="51"/>
      <c r="DBN45" s="51"/>
      <c r="DBO45" s="51"/>
      <c r="DBP45" s="51"/>
      <c r="DBQ45" s="51"/>
      <c r="DBR45" s="51"/>
      <c r="DBS45" s="51"/>
      <c r="DBT45" s="51"/>
      <c r="DBU45" s="51"/>
      <c r="DBV45" s="51"/>
      <c r="DBW45" s="51"/>
      <c r="DBX45" s="51"/>
      <c r="DBY45" s="51"/>
      <c r="DBZ45" s="51"/>
      <c r="DCA45" s="51"/>
      <c r="DCB45" s="51"/>
      <c r="DCC45" s="51"/>
      <c r="DCD45" s="51"/>
      <c r="DCE45" s="51"/>
      <c r="DCF45" s="51"/>
      <c r="DCG45" s="51"/>
      <c r="DCH45" s="51"/>
      <c r="DCI45" s="51"/>
      <c r="DCJ45" s="51"/>
      <c r="DCK45" s="51"/>
      <c r="DCL45" s="51"/>
      <c r="DCM45" s="51"/>
      <c r="DCN45" s="51"/>
      <c r="DCO45" s="51"/>
      <c r="DCP45" s="51"/>
      <c r="DCQ45" s="51"/>
      <c r="DCR45" s="51"/>
      <c r="DCS45" s="51"/>
      <c r="DCT45" s="51"/>
      <c r="DCU45" s="51"/>
      <c r="DCV45" s="51"/>
      <c r="DCW45" s="51"/>
      <c r="DCX45" s="51"/>
      <c r="DCY45" s="51"/>
      <c r="DCZ45" s="51"/>
      <c r="DDA45" s="51"/>
      <c r="DDB45" s="51"/>
      <c r="DDC45" s="51"/>
      <c r="DDD45" s="51"/>
      <c r="DDE45" s="51"/>
      <c r="DDF45" s="51"/>
      <c r="DDG45" s="51"/>
      <c r="DDH45" s="51"/>
      <c r="DDI45" s="51"/>
      <c r="DDJ45" s="51"/>
      <c r="DDK45" s="51"/>
      <c r="DDL45" s="51"/>
      <c r="DDM45" s="51"/>
      <c r="DDN45" s="51"/>
      <c r="DDO45" s="51"/>
      <c r="DDP45" s="51"/>
      <c r="DDQ45" s="51"/>
      <c r="DDR45" s="51"/>
      <c r="DDS45" s="51"/>
      <c r="DDT45" s="51"/>
      <c r="DDU45" s="51"/>
      <c r="DDV45" s="51"/>
      <c r="DDW45" s="51"/>
      <c r="DDX45" s="51"/>
      <c r="DDY45" s="51"/>
      <c r="DDZ45" s="51"/>
      <c r="DEA45" s="51"/>
      <c r="DEB45" s="51"/>
      <c r="DEC45" s="51"/>
      <c r="DED45" s="51"/>
      <c r="DEE45" s="51"/>
      <c r="DEF45" s="51"/>
      <c r="DEG45" s="51"/>
      <c r="DEH45" s="51"/>
      <c r="DEI45" s="51"/>
      <c r="DEJ45" s="51"/>
      <c r="DEK45" s="51"/>
      <c r="DEL45" s="51"/>
      <c r="DEM45" s="51"/>
      <c r="DEN45" s="51"/>
      <c r="DEO45" s="51"/>
      <c r="DEP45" s="51"/>
      <c r="DEQ45" s="51"/>
      <c r="DER45" s="51"/>
      <c r="DES45" s="51"/>
      <c r="DET45" s="51"/>
      <c r="DEU45" s="51"/>
      <c r="DEV45" s="51"/>
      <c r="DEW45" s="51"/>
      <c r="DEX45" s="51"/>
      <c r="DEY45" s="51"/>
      <c r="DEZ45" s="51"/>
      <c r="DFA45" s="51"/>
      <c r="DFB45" s="51"/>
      <c r="DFC45" s="51"/>
      <c r="DFD45" s="51"/>
      <c r="DFE45" s="51"/>
      <c r="DFF45" s="51"/>
      <c r="DFG45" s="51"/>
      <c r="DFH45" s="51"/>
      <c r="DFI45" s="51"/>
      <c r="DFJ45" s="51"/>
      <c r="DFK45" s="51"/>
      <c r="DFL45" s="51"/>
      <c r="DFM45" s="51"/>
      <c r="DFN45" s="51"/>
      <c r="DFO45" s="51"/>
      <c r="DFP45" s="51"/>
      <c r="DFQ45" s="51"/>
      <c r="DFR45" s="51"/>
      <c r="DFS45" s="51"/>
      <c r="DFT45" s="51"/>
      <c r="DFU45" s="51"/>
      <c r="DFV45" s="51"/>
      <c r="DFW45" s="51"/>
      <c r="DFX45" s="51"/>
      <c r="DFY45" s="51"/>
      <c r="DFZ45" s="51"/>
      <c r="DGA45" s="51"/>
      <c r="DGB45" s="51"/>
      <c r="DGC45" s="51"/>
      <c r="DGD45" s="51"/>
      <c r="DGE45" s="51"/>
      <c r="DGF45" s="51"/>
      <c r="DGG45" s="51"/>
      <c r="DGH45" s="51"/>
      <c r="DGI45" s="51"/>
      <c r="DGJ45" s="51"/>
      <c r="DGK45" s="51"/>
      <c r="DGL45" s="51"/>
      <c r="DGM45" s="51"/>
      <c r="DGN45" s="51"/>
      <c r="DGO45" s="51"/>
      <c r="DGP45" s="51"/>
      <c r="DGQ45" s="51"/>
      <c r="DGR45" s="51"/>
      <c r="DGS45" s="51"/>
      <c r="DGT45" s="51"/>
      <c r="DGU45" s="51"/>
      <c r="DGV45" s="51"/>
      <c r="DGW45" s="51"/>
      <c r="DGX45" s="51"/>
      <c r="DGY45" s="51"/>
      <c r="DGZ45" s="51"/>
      <c r="DHA45" s="51"/>
      <c r="DHB45" s="51"/>
      <c r="DHC45" s="51"/>
      <c r="DHD45" s="51"/>
      <c r="DHE45" s="51"/>
      <c r="DHF45" s="51"/>
      <c r="DHG45" s="51"/>
      <c r="DHH45" s="51"/>
      <c r="DHI45" s="51"/>
      <c r="DHJ45" s="51"/>
      <c r="DHK45" s="51"/>
      <c r="DHL45" s="51"/>
      <c r="DHM45" s="51"/>
      <c r="DHN45" s="51"/>
      <c r="DHO45" s="51"/>
      <c r="DHP45" s="51"/>
      <c r="DHQ45" s="51"/>
      <c r="DHR45" s="51"/>
      <c r="DHS45" s="51"/>
      <c r="DHT45" s="51"/>
      <c r="DHU45" s="51"/>
      <c r="DHV45" s="51"/>
      <c r="DHW45" s="51"/>
      <c r="DHX45" s="51"/>
      <c r="DHY45" s="51"/>
      <c r="DHZ45" s="51"/>
      <c r="DIA45" s="51"/>
      <c r="DIB45" s="51"/>
      <c r="DIC45" s="51"/>
      <c r="DID45" s="51"/>
      <c r="DIE45" s="51"/>
      <c r="DIF45" s="51"/>
      <c r="DIG45" s="51"/>
      <c r="DIH45" s="51"/>
      <c r="DII45" s="51"/>
      <c r="DIJ45" s="51"/>
      <c r="DIK45" s="51"/>
      <c r="DIL45" s="51"/>
      <c r="DIM45" s="51"/>
      <c r="DIN45" s="51"/>
      <c r="DIO45" s="51"/>
      <c r="DIP45" s="51"/>
      <c r="DIQ45" s="51"/>
      <c r="DIR45" s="51"/>
      <c r="DIS45" s="51"/>
      <c r="DIT45" s="51"/>
      <c r="DIU45" s="51"/>
      <c r="DIV45" s="51"/>
      <c r="DIW45" s="51"/>
      <c r="DIX45" s="51"/>
      <c r="DIY45" s="51"/>
      <c r="DIZ45" s="51"/>
      <c r="DJA45" s="51"/>
      <c r="DJB45" s="51"/>
      <c r="DJC45" s="51"/>
      <c r="DJD45" s="51"/>
      <c r="DJE45" s="51"/>
      <c r="DJF45" s="51"/>
      <c r="DJG45" s="51"/>
      <c r="DJH45" s="51"/>
      <c r="DJI45" s="51"/>
      <c r="DJJ45" s="51"/>
      <c r="DJK45" s="51"/>
      <c r="DJL45" s="51"/>
      <c r="DJM45" s="51"/>
      <c r="DJN45" s="51"/>
      <c r="DJO45" s="51"/>
      <c r="DJP45" s="51"/>
      <c r="DJQ45" s="51"/>
      <c r="DJR45" s="51"/>
      <c r="DJS45" s="51"/>
      <c r="DJT45" s="51"/>
      <c r="DJU45" s="51"/>
      <c r="DJV45" s="51"/>
      <c r="DJW45" s="51"/>
      <c r="DJX45" s="51"/>
      <c r="DJY45" s="51"/>
      <c r="DJZ45" s="51"/>
      <c r="DKA45" s="51"/>
      <c r="DKB45" s="51"/>
      <c r="DKC45" s="51"/>
      <c r="DKD45" s="51"/>
      <c r="DKE45" s="51"/>
      <c r="DKF45" s="51"/>
      <c r="DKG45" s="51"/>
      <c r="DKH45" s="51"/>
      <c r="DKI45" s="51"/>
      <c r="DKJ45" s="51"/>
      <c r="DKK45" s="51"/>
      <c r="DKL45" s="51"/>
      <c r="DKM45" s="51"/>
      <c r="DKN45" s="51"/>
      <c r="DKO45" s="51"/>
      <c r="DKP45" s="51"/>
      <c r="DKQ45" s="51"/>
      <c r="DKR45" s="51"/>
      <c r="DKS45" s="51"/>
      <c r="DKT45" s="51"/>
      <c r="DKU45" s="51"/>
      <c r="DKV45" s="51"/>
      <c r="DKW45" s="51"/>
      <c r="DKX45" s="51"/>
      <c r="DKY45" s="51"/>
      <c r="DKZ45" s="51"/>
      <c r="DLA45" s="51"/>
      <c r="DLB45" s="51"/>
      <c r="DLC45" s="51"/>
      <c r="DLD45" s="51"/>
      <c r="DLE45" s="51"/>
      <c r="DLF45" s="51"/>
      <c r="DLG45" s="51"/>
      <c r="DLH45" s="51"/>
      <c r="DLI45" s="51"/>
      <c r="DLJ45" s="51"/>
      <c r="DLK45" s="51"/>
      <c r="DLL45" s="51"/>
      <c r="DLM45" s="51"/>
      <c r="DLN45" s="51"/>
      <c r="DLO45" s="51"/>
      <c r="DLP45" s="51"/>
      <c r="DLQ45" s="51"/>
      <c r="DLR45" s="51"/>
      <c r="DLS45" s="51"/>
      <c r="DLT45" s="51"/>
      <c r="DLU45" s="51"/>
      <c r="DLV45" s="51"/>
      <c r="DLW45" s="51"/>
      <c r="DLX45" s="51"/>
      <c r="DLY45" s="51"/>
      <c r="DLZ45" s="51"/>
      <c r="DMA45" s="51"/>
      <c r="DMB45" s="51"/>
      <c r="DMC45" s="51"/>
      <c r="DMD45" s="51"/>
      <c r="DME45" s="51"/>
      <c r="DMF45" s="51"/>
      <c r="DMG45" s="51"/>
      <c r="DMH45" s="51"/>
      <c r="DMI45" s="51"/>
      <c r="DMJ45" s="51"/>
      <c r="DMK45" s="51"/>
      <c r="DML45" s="51"/>
      <c r="DMM45" s="51"/>
      <c r="DMN45" s="51"/>
      <c r="DMO45" s="51"/>
      <c r="DMP45" s="51"/>
      <c r="DMQ45" s="51"/>
      <c r="DMR45" s="51"/>
      <c r="DMS45" s="51"/>
      <c r="DMT45" s="51"/>
      <c r="DMU45" s="51"/>
      <c r="DMV45" s="51"/>
      <c r="DMW45" s="51"/>
      <c r="DMX45" s="51"/>
      <c r="DMY45" s="51"/>
      <c r="DMZ45" s="51"/>
      <c r="DNA45" s="51"/>
      <c r="DNB45" s="51"/>
      <c r="DNC45" s="51"/>
      <c r="DND45" s="51"/>
      <c r="DNE45" s="51"/>
      <c r="DNF45" s="51"/>
      <c r="DNG45" s="51"/>
      <c r="DNH45" s="51"/>
      <c r="DNI45" s="51"/>
      <c r="DNJ45" s="51"/>
      <c r="DNK45" s="51"/>
      <c r="DNL45" s="51"/>
      <c r="DNM45" s="51"/>
      <c r="DNN45" s="51"/>
      <c r="DNO45" s="51"/>
      <c r="DNP45" s="51"/>
      <c r="DNQ45" s="51"/>
      <c r="DNR45" s="51"/>
      <c r="DNS45" s="51"/>
      <c r="DNT45" s="51"/>
      <c r="DNU45" s="51"/>
      <c r="DNV45" s="51"/>
      <c r="DNW45" s="51"/>
      <c r="DNX45" s="51"/>
      <c r="DNY45" s="51"/>
      <c r="DNZ45" s="51"/>
      <c r="DOA45" s="51"/>
      <c r="DOB45" s="51"/>
      <c r="DOC45" s="51"/>
      <c r="DOD45" s="51"/>
      <c r="DOE45" s="51"/>
      <c r="DOF45" s="51"/>
      <c r="DOG45" s="51"/>
      <c r="DOH45" s="51"/>
      <c r="DOI45" s="51"/>
      <c r="DOJ45" s="51"/>
      <c r="DOK45" s="51"/>
      <c r="DOL45" s="51"/>
      <c r="DOM45" s="51"/>
      <c r="DON45" s="51"/>
      <c r="DOO45" s="51"/>
      <c r="DOP45" s="51"/>
      <c r="DOQ45" s="51"/>
      <c r="DOR45" s="51"/>
      <c r="DOS45" s="51"/>
      <c r="DOT45" s="51"/>
      <c r="DOU45" s="51"/>
      <c r="DOV45" s="51"/>
      <c r="DOW45" s="51"/>
      <c r="DOX45" s="51"/>
      <c r="DOY45" s="51"/>
      <c r="DOZ45" s="51"/>
      <c r="DPA45" s="51"/>
      <c r="DPB45" s="51"/>
      <c r="DPC45" s="51"/>
      <c r="DPD45" s="51"/>
      <c r="DPE45" s="51"/>
      <c r="DPF45" s="51"/>
      <c r="DPG45" s="51"/>
      <c r="DPH45" s="51"/>
      <c r="DPI45" s="51"/>
      <c r="DPJ45" s="51"/>
      <c r="DPK45" s="51"/>
      <c r="DPL45" s="51"/>
      <c r="DPM45" s="51"/>
      <c r="DPN45" s="51"/>
      <c r="DPO45" s="51"/>
      <c r="DPP45" s="51"/>
      <c r="DPQ45" s="51"/>
      <c r="DPR45" s="51"/>
      <c r="DPS45" s="51"/>
      <c r="DPT45" s="51"/>
      <c r="DPU45" s="51"/>
      <c r="DPV45" s="51"/>
      <c r="DPW45" s="51"/>
      <c r="DPX45" s="51"/>
      <c r="DPY45" s="51"/>
      <c r="DPZ45" s="51"/>
      <c r="DQA45" s="51"/>
      <c r="DQB45" s="51"/>
      <c r="DQC45" s="51"/>
      <c r="DQD45" s="51"/>
      <c r="DQE45" s="51"/>
      <c r="DQF45" s="51"/>
      <c r="DQG45" s="51"/>
      <c r="DQH45" s="51"/>
      <c r="DQI45" s="51"/>
      <c r="DQJ45" s="51"/>
      <c r="DQK45" s="51"/>
      <c r="DQL45" s="51"/>
      <c r="DQM45" s="51"/>
      <c r="DQN45" s="51"/>
      <c r="DQO45" s="51"/>
      <c r="DQP45" s="51"/>
      <c r="DQQ45" s="51"/>
      <c r="DQR45" s="51"/>
      <c r="DQS45" s="51"/>
      <c r="DQT45" s="51"/>
      <c r="DQU45" s="51"/>
      <c r="DQV45" s="51"/>
      <c r="DQW45" s="51"/>
      <c r="DQX45" s="51"/>
      <c r="DQY45" s="51"/>
      <c r="DQZ45" s="51"/>
      <c r="DRA45" s="51"/>
      <c r="DRB45" s="51"/>
      <c r="DRC45" s="51"/>
      <c r="DRD45" s="51"/>
      <c r="DRE45" s="51"/>
      <c r="DRF45" s="51"/>
      <c r="DRG45" s="51"/>
      <c r="DRH45" s="51"/>
      <c r="DRI45" s="51"/>
      <c r="DRJ45" s="51"/>
      <c r="DRK45" s="51"/>
      <c r="DRL45" s="51"/>
      <c r="DRM45" s="51"/>
      <c r="DRN45" s="51"/>
      <c r="DRO45" s="51"/>
      <c r="DRP45" s="51"/>
      <c r="DRQ45" s="51"/>
      <c r="DRR45" s="51"/>
      <c r="DRS45" s="51"/>
      <c r="DRT45" s="51"/>
      <c r="DRU45" s="51"/>
      <c r="DRV45" s="51"/>
      <c r="DRW45" s="51"/>
      <c r="DRX45" s="51"/>
      <c r="DRY45" s="51"/>
      <c r="DRZ45" s="51"/>
      <c r="DSA45" s="51"/>
      <c r="DSB45" s="51"/>
      <c r="DSC45" s="51"/>
      <c r="DSD45" s="51"/>
      <c r="DSE45" s="51"/>
      <c r="DSF45" s="51"/>
      <c r="DSG45" s="51"/>
      <c r="DSH45" s="51"/>
      <c r="DSI45" s="51"/>
      <c r="DSJ45" s="51"/>
      <c r="DSK45" s="51"/>
      <c r="DSL45" s="51"/>
      <c r="DSM45" s="51"/>
      <c r="DSN45" s="51"/>
      <c r="DSO45" s="51"/>
      <c r="DSP45" s="51"/>
      <c r="DSQ45" s="51"/>
      <c r="DSR45" s="51"/>
      <c r="DSS45" s="51"/>
      <c r="DST45" s="51"/>
      <c r="DSU45" s="51"/>
      <c r="DSV45" s="51"/>
      <c r="DSW45" s="51"/>
      <c r="DSX45" s="51"/>
      <c r="DSY45" s="51"/>
      <c r="DSZ45" s="51"/>
      <c r="DTA45" s="51"/>
      <c r="DTB45" s="51"/>
      <c r="DTC45" s="51"/>
      <c r="DTD45" s="51"/>
      <c r="DTE45" s="51"/>
      <c r="DTF45" s="51"/>
      <c r="DTG45" s="51"/>
      <c r="DTH45" s="51"/>
      <c r="DTI45" s="51"/>
      <c r="DTJ45" s="51"/>
      <c r="DTK45" s="51"/>
      <c r="DTL45" s="51"/>
      <c r="DTM45" s="51"/>
      <c r="DTN45" s="51"/>
      <c r="DTO45" s="51"/>
      <c r="DTP45" s="51"/>
      <c r="DTQ45" s="51"/>
      <c r="DTR45" s="51"/>
      <c r="DTS45" s="51"/>
      <c r="DTT45" s="51"/>
      <c r="DTU45" s="51"/>
      <c r="DTV45" s="51"/>
      <c r="DTW45" s="51"/>
      <c r="DTX45" s="51"/>
      <c r="DTY45" s="51"/>
      <c r="DTZ45" s="51"/>
      <c r="DUA45" s="51"/>
      <c r="DUB45" s="51"/>
      <c r="DUC45" s="51"/>
      <c r="DUD45" s="51"/>
      <c r="DUE45" s="51"/>
      <c r="DUF45" s="51"/>
      <c r="DUG45" s="51"/>
      <c r="DUH45" s="51"/>
      <c r="DUI45" s="51"/>
      <c r="DUJ45" s="51"/>
      <c r="DUK45" s="51"/>
      <c r="DUL45" s="51"/>
      <c r="DUM45" s="51"/>
      <c r="DUN45" s="51"/>
      <c r="DUO45" s="51"/>
      <c r="DUP45" s="51"/>
      <c r="DUQ45" s="51"/>
      <c r="DUR45" s="51"/>
      <c r="DUS45" s="51"/>
      <c r="DUT45" s="51"/>
      <c r="DUU45" s="51"/>
      <c r="DUV45" s="51"/>
      <c r="DUW45" s="51"/>
      <c r="DUX45" s="51"/>
      <c r="DUY45" s="51"/>
      <c r="DUZ45" s="51"/>
      <c r="DVA45" s="51"/>
      <c r="DVB45" s="51"/>
      <c r="DVC45" s="51"/>
      <c r="DVD45" s="51"/>
      <c r="DVE45" s="51"/>
      <c r="DVF45" s="51"/>
      <c r="DVG45" s="51"/>
      <c r="DVH45" s="51"/>
      <c r="DVI45" s="51"/>
      <c r="DVJ45" s="51"/>
      <c r="DVK45" s="51"/>
      <c r="DVL45" s="51"/>
      <c r="DVM45" s="51"/>
      <c r="DVN45" s="51"/>
      <c r="DVO45" s="51"/>
      <c r="DVP45" s="51"/>
      <c r="DVQ45" s="51"/>
      <c r="DVR45" s="51"/>
      <c r="DVS45" s="51"/>
      <c r="DVT45" s="51"/>
      <c r="DVU45" s="51"/>
      <c r="DVV45" s="51"/>
      <c r="DVW45" s="51"/>
      <c r="DVX45" s="51"/>
      <c r="DVY45" s="51"/>
      <c r="DVZ45" s="51"/>
      <c r="DWA45" s="51"/>
      <c r="DWB45" s="51"/>
      <c r="DWC45" s="51"/>
      <c r="DWD45" s="51"/>
      <c r="DWE45" s="51"/>
      <c r="DWF45" s="51"/>
      <c r="DWG45" s="51"/>
      <c r="DWH45" s="51"/>
      <c r="DWI45" s="51"/>
      <c r="DWJ45" s="51"/>
      <c r="DWK45" s="51"/>
      <c r="DWL45" s="51"/>
      <c r="DWM45" s="51"/>
      <c r="DWN45" s="51"/>
      <c r="DWO45" s="51"/>
      <c r="DWP45" s="51"/>
      <c r="DWQ45" s="51"/>
      <c r="DWR45" s="51"/>
      <c r="DWS45" s="51"/>
      <c r="DWT45" s="51"/>
      <c r="DWU45" s="51"/>
      <c r="DWV45" s="51"/>
      <c r="DWW45" s="51"/>
      <c r="DWX45" s="51"/>
      <c r="DWY45" s="51"/>
      <c r="DWZ45" s="51"/>
      <c r="DXA45" s="51"/>
      <c r="DXB45" s="51"/>
      <c r="DXC45" s="51"/>
      <c r="DXD45" s="51"/>
      <c r="DXE45" s="51"/>
      <c r="DXF45" s="51"/>
      <c r="DXG45" s="51"/>
      <c r="DXH45" s="51"/>
      <c r="DXI45" s="51"/>
      <c r="DXJ45" s="51"/>
      <c r="DXK45" s="51"/>
      <c r="DXL45" s="51"/>
      <c r="DXM45" s="51"/>
      <c r="DXN45" s="51"/>
      <c r="DXO45" s="51"/>
      <c r="DXP45" s="51"/>
      <c r="DXQ45" s="51"/>
      <c r="DXR45" s="51"/>
      <c r="DXS45" s="51"/>
      <c r="DXT45" s="51"/>
      <c r="DXU45" s="51"/>
      <c r="DXV45" s="51"/>
      <c r="DXW45" s="51"/>
      <c r="DXX45" s="51"/>
      <c r="DXY45" s="51"/>
      <c r="DXZ45" s="51"/>
      <c r="DYA45" s="51"/>
      <c r="DYB45" s="51"/>
      <c r="DYC45" s="51"/>
      <c r="DYD45" s="51"/>
      <c r="DYE45" s="51"/>
      <c r="DYF45" s="51"/>
      <c r="DYG45" s="51"/>
      <c r="DYH45" s="51"/>
      <c r="DYI45" s="51"/>
      <c r="DYJ45" s="51"/>
      <c r="DYK45" s="51"/>
      <c r="DYL45" s="51"/>
      <c r="DYM45" s="51"/>
      <c r="DYN45" s="51"/>
      <c r="DYO45" s="51"/>
      <c r="DYP45" s="51"/>
      <c r="DYQ45" s="51"/>
      <c r="DYR45" s="51"/>
      <c r="DYS45" s="51"/>
      <c r="DYT45" s="51"/>
      <c r="DYU45" s="51"/>
      <c r="DYV45" s="51"/>
      <c r="DYW45" s="51"/>
      <c r="DYX45" s="51"/>
      <c r="DYY45" s="51"/>
      <c r="DYZ45" s="51"/>
      <c r="DZA45" s="51"/>
      <c r="DZB45" s="51"/>
      <c r="DZC45" s="51"/>
      <c r="DZD45" s="51"/>
      <c r="DZE45" s="51"/>
      <c r="DZF45" s="51"/>
      <c r="DZG45" s="51"/>
      <c r="DZH45" s="51"/>
      <c r="DZI45" s="51"/>
      <c r="DZJ45" s="51"/>
      <c r="DZK45" s="51"/>
      <c r="DZL45" s="51"/>
      <c r="DZM45" s="51"/>
      <c r="DZN45" s="51"/>
      <c r="DZO45" s="51"/>
      <c r="DZP45" s="51"/>
      <c r="DZQ45" s="51"/>
      <c r="DZR45" s="51"/>
      <c r="DZS45" s="51"/>
      <c r="DZT45" s="51"/>
      <c r="DZU45" s="51"/>
      <c r="DZV45" s="51"/>
      <c r="DZW45" s="51"/>
      <c r="DZX45" s="51"/>
      <c r="DZY45" s="51"/>
      <c r="DZZ45" s="51"/>
      <c r="EAA45" s="51"/>
      <c r="EAB45" s="51"/>
      <c r="EAC45" s="51"/>
      <c r="EAD45" s="51"/>
      <c r="EAE45" s="51"/>
      <c r="EAF45" s="51"/>
      <c r="EAG45" s="51"/>
      <c r="EAH45" s="51"/>
      <c r="EAI45" s="51"/>
      <c r="EAJ45" s="51"/>
      <c r="EAK45" s="51"/>
      <c r="EAL45" s="51"/>
      <c r="EAM45" s="51"/>
      <c r="EAN45" s="51"/>
      <c r="EAO45" s="51"/>
      <c r="EAP45" s="51"/>
      <c r="EAQ45" s="51"/>
      <c r="EAR45" s="51"/>
      <c r="EAS45" s="51"/>
      <c r="EAT45" s="51"/>
      <c r="EAU45" s="51"/>
      <c r="EAV45" s="51"/>
      <c r="EAW45" s="51"/>
      <c r="EAX45" s="51"/>
      <c r="EAY45" s="51"/>
      <c r="EAZ45" s="51"/>
      <c r="EBA45" s="51"/>
      <c r="EBB45" s="51"/>
      <c r="EBC45" s="51"/>
      <c r="EBD45" s="51"/>
      <c r="EBE45" s="51"/>
      <c r="EBF45" s="51"/>
      <c r="EBG45" s="51"/>
      <c r="EBH45" s="51"/>
      <c r="EBI45" s="51"/>
      <c r="EBJ45" s="51"/>
      <c r="EBK45" s="51"/>
      <c r="EBL45" s="51"/>
      <c r="EBM45" s="51"/>
      <c r="EBN45" s="51"/>
      <c r="EBO45" s="51"/>
      <c r="EBP45" s="51"/>
      <c r="EBQ45" s="51"/>
      <c r="EBR45" s="51"/>
      <c r="EBS45" s="51"/>
      <c r="EBT45" s="51"/>
      <c r="EBU45" s="51"/>
      <c r="EBV45" s="51"/>
      <c r="EBW45" s="51"/>
      <c r="EBX45" s="51"/>
      <c r="EBY45" s="51"/>
      <c r="EBZ45" s="51"/>
      <c r="ECA45" s="51"/>
      <c r="ECB45" s="51"/>
      <c r="ECC45" s="51"/>
      <c r="ECD45" s="51"/>
      <c r="ECE45" s="51"/>
      <c r="ECF45" s="51"/>
      <c r="ECG45" s="51"/>
      <c r="ECH45" s="51"/>
      <c r="ECI45" s="51"/>
      <c r="ECJ45" s="51"/>
      <c r="ECK45" s="51"/>
      <c r="ECL45" s="51"/>
      <c r="ECM45" s="51"/>
      <c r="ECN45" s="51"/>
      <c r="ECO45" s="51"/>
      <c r="ECP45" s="51"/>
      <c r="ECQ45" s="51"/>
      <c r="ECR45" s="51"/>
      <c r="ECS45" s="51"/>
      <c r="ECT45" s="51"/>
      <c r="ECU45" s="51"/>
      <c r="ECV45" s="51"/>
      <c r="ECW45" s="51"/>
      <c r="ECX45" s="51"/>
      <c r="ECY45" s="51"/>
      <c r="ECZ45" s="51"/>
      <c r="EDA45" s="51"/>
      <c r="EDB45" s="51"/>
      <c r="EDC45" s="51"/>
      <c r="EDD45" s="51"/>
      <c r="EDE45" s="51"/>
      <c r="EDF45" s="51"/>
      <c r="EDG45" s="51"/>
      <c r="EDH45" s="51"/>
      <c r="EDI45" s="51"/>
      <c r="EDJ45" s="51"/>
      <c r="EDK45" s="51"/>
      <c r="EDL45" s="51"/>
      <c r="EDM45" s="51"/>
      <c r="EDN45" s="51"/>
      <c r="EDO45" s="51"/>
      <c r="EDP45" s="51"/>
      <c r="EDQ45" s="51"/>
      <c r="EDR45" s="51"/>
      <c r="EDS45" s="51"/>
      <c r="EDT45" s="51"/>
      <c r="EDU45" s="51"/>
      <c r="EDV45" s="51"/>
      <c r="EDW45" s="51"/>
      <c r="EDX45" s="51"/>
      <c r="EDY45" s="51"/>
      <c r="EDZ45" s="51"/>
      <c r="EEA45" s="51"/>
      <c r="EEB45" s="51"/>
      <c r="EEC45" s="51"/>
      <c r="EED45" s="51"/>
      <c r="EEE45" s="51"/>
      <c r="EEF45" s="51"/>
      <c r="EEG45" s="51"/>
      <c r="EEH45" s="51"/>
      <c r="EEI45" s="51"/>
      <c r="EEJ45" s="51"/>
      <c r="EEK45" s="51"/>
      <c r="EEL45" s="51"/>
      <c r="EEM45" s="51"/>
      <c r="EEN45" s="51"/>
      <c r="EEO45" s="51"/>
      <c r="EEP45" s="51"/>
      <c r="EEQ45" s="51"/>
      <c r="EER45" s="51"/>
      <c r="EES45" s="51"/>
      <c r="EET45" s="51"/>
      <c r="EEU45" s="51"/>
      <c r="EEV45" s="51"/>
      <c r="EEW45" s="51"/>
      <c r="EEX45" s="51"/>
      <c r="EEY45" s="51"/>
      <c r="EEZ45" s="51"/>
      <c r="EFA45" s="51"/>
      <c r="EFB45" s="51"/>
      <c r="EFC45" s="51"/>
      <c r="EFD45" s="51"/>
      <c r="EFE45" s="51"/>
      <c r="EFF45" s="51"/>
      <c r="EFG45" s="51"/>
      <c r="EFH45" s="51"/>
      <c r="EFI45" s="51"/>
      <c r="EFJ45" s="51"/>
      <c r="EFK45" s="51"/>
      <c r="EFL45" s="51"/>
      <c r="EFM45" s="51"/>
      <c r="EFN45" s="51"/>
      <c r="EFO45" s="51"/>
      <c r="EFP45" s="51"/>
      <c r="EFQ45" s="51"/>
      <c r="EFR45" s="51"/>
      <c r="EFS45" s="51"/>
      <c r="EFT45" s="51"/>
      <c r="EFU45" s="51"/>
      <c r="EFV45" s="51"/>
      <c r="EFW45" s="51"/>
      <c r="EFX45" s="51"/>
      <c r="EFY45" s="51"/>
      <c r="EFZ45" s="51"/>
      <c r="EGA45" s="51"/>
      <c r="EGB45" s="51"/>
      <c r="EGC45" s="51"/>
      <c r="EGD45" s="51"/>
      <c r="EGE45" s="51"/>
      <c r="EGF45" s="51"/>
      <c r="EGG45" s="51"/>
      <c r="EGH45" s="51"/>
      <c r="EGI45" s="51"/>
      <c r="EGJ45" s="51"/>
      <c r="EGK45" s="51"/>
      <c r="EGL45" s="51"/>
      <c r="EGM45" s="51"/>
      <c r="EGN45" s="51"/>
      <c r="EGO45" s="51"/>
      <c r="EGP45" s="51"/>
      <c r="EGQ45" s="51"/>
      <c r="EGR45" s="51"/>
      <c r="EGS45" s="51"/>
      <c r="EGT45" s="51"/>
      <c r="EGU45" s="51"/>
      <c r="EGV45" s="51"/>
      <c r="EGW45" s="51"/>
      <c r="EGX45" s="51"/>
      <c r="EGY45" s="51"/>
      <c r="EGZ45" s="51"/>
      <c r="EHA45" s="51"/>
      <c r="EHB45" s="51"/>
      <c r="EHC45" s="51"/>
      <c r="EHD45" s="51"/>
      <c r="EHE45" s="51"/>
      <c r="EHF45" s="51"/>
      <c r="EHG45" s="51"/>
      <c r="EHH45" s="51"/>
      <c r="EHI45" s="51"/>
      <c r="EHJ45" s="51"/>
      <c r="EHK45" s="51"/>
      <c r="EHL45" s="51"/>
      <c r="EHM45" s="51"/>
      <c r="EHN45" s="51"/>
      <c r="EHO45" s="51"/>
      <c r="EHP45" s="51"/>
      <c r="EHQ45" s="51"/>
      <c r="EHR45" s="51"/>
      <c r="EHS45" s="51"/>
      <c r="EHT45" s="51"/>
      <c r="EHU45" s="51"/>
      <c r="EHV45" s="51"/>
      <c r="EHW45" s="51"/>
      <c r="EHX45" s="51"/>
      <c r="EHY45" s="51"/>
      <c r="EHZ45" s="51"/>
      <c r="EIA45" s="51"/>
      <c r="EIB45" s="51"/>
      <c r="EIC45" s="51"/>
      <c r="EID45" s="51"/>
      <c r="EIE45" s="51"/>
      <c r="EIF45" s="51"/>
      <c r="EIG45" s="51"/>
      <c r="EIH45" s="51"/>
      <c r="EII45" s="51"/>
      <c r="EIJ45" s="51"/>
      <c r="EIK45" s="51"/>
      <c r="EIL45" s="51"/>
      <c r="EIM45" s="51"/>
      <c r="EIN45" s="51"/>
      <c r="EIO45" s="51"/>
      <c r="EIP45" s="51"/>
      <c r="EIQ45" s="51"/>
      <c r="EIR45" s="51"/>
      <c r="EIS45" s="51"/>
      <c r="EIT45" s="51"/>
      <c r="EIU45" s="51"/>
      <c r="EIV45" s="51"/>
      <c r="EIW45" s="51"/>
      <c r="EIX45" s="51"/>
      <c r="EIY45" s="51"/>
      <c r="EIZ45" s="51"/>
      <c r="EJA45" s="51"/>
      <c r="EJB45" s="51"/>
      <c r="EJC45" s="51"/>
      <c r="EJD45" s="51"/>
      <c r="EJE45" s="51"/>
      <c r="EJF45" s="51"/>
      <c r="EJG45" s="51"/>
      <c r="EJH45" s="51"/>
      <c r="EJI45" s="51"/>
      <c r="EJJ45" s="51"/>
      <c r="EJK45" s="51"/>
      <c r="EJL45" s="51"/>
      <c r="EJM45" s="51"/>
      <c r="EJN45" s="51"/>
      <c r="EJO45" s="51"/>
      <c r="EJP45" s="51"/>
      <c r="EJQ45" s="51"/>
      <c r="EJR45" s="51"/>
      <c r="EJS45" s="51"/>
      <c r="EJT45" s="51"/>
      <c r="EJU45" s="51"/>
      <c r="EJV45" s="51"/>
      <c r="EJW45" s="51"/>
      <c r="EJX45" s="51"/>
      <c r="EJY45" s="51"/>
      <c r="EJZ45" s="51"/>
      <c r="EKA45" s="51"/>
      <c r="EKB45" s="51"/>
      <c r="EKC45" s="51"/>
      <c r="EKD45" s="51"/>
      <c r="EKE45" s="51"/>
      <c r="EKF45" s="51"/>
      <c r="EKG45" s="51"/>
      <c r="EKH45" s="51"/>
      <c r="EKI45" s="51"/>
      <c r="EKJ45" s="51"/>
      <c r="EKK45" s="51"/>
      <c r="EKL45" s="51"/>
      <c r="EKM45" s="51"/>
      <c r="EKN45" s="51"/>
      <c r="EKO45" s="51"/>
      <c r="EKP45" s="51"/>
      <c r="EKQ45" s="51"/>
      <c r="EKR45" s="51"/>
      <c r="EKS45" s="51"/>
      <c r="EKT45" s="51"/>
      <c r="EKU45" s="51"/>
      <c r="EKV45" s="51"/>
      <c r="EKW45" s="51"/>
      <c r="EKX45" s="51"/>
      <c r="EKY45" s="51"/>
      <c r="EKZ45" s="51"/>
      <c r="ELA45" s="51"/>
      <c r="ELB45" s="51"/>
      <c r="ELC45" s="51"/>
      <c r="ELD45" s="51"/>
      <c r="ELE45" s="51"/>
      <c r="ELF45" s="51"/>
      <c r="ELG45" s="51"/>
      <c r="ELH45" s="51"/>
      <c r="ELI45" s="51"/>
      <c r="ELJ45" s="51"/>
      <c r="ELK45" s="51"/>
      <c r="ELL45" s="51"/>
      <c r="ELM45" s="51"/>
      <c r="ELN45" s="51"/>
      <c r="ELO45" s="51"/>
      <c r="ELP45" s="51"/>
      <c r="ELQ45" s="51"/>
      <c r="ELR45" s="51"/>
      <c r="ELS45" s="51"/>
      <c r="ELT45" s="51"/>
      <c r="ELU45" s="51"/>
      <c r="ELV45" s="51"/>
      <c r="ELW45" s="51"/>
      <c r="ELX45" s="51"/>
      <c r="ELY45" s="51"/>
      <c r="ELZ45" s="51"/>
      <c r="EMA45" s="51"/>
      <c r="EMB45" s="51"/>
      <c r="EMC45" s="51"/>
      <c r="EMD45" s="51"/>
      <c r="EME45" s="51"/>
      <c r="EMF45" s="51"/>
      <c r="EMG45" s="51"/>
      <c r="EMH45" s="51"/>
      <c r="EMI45" s="51"/>
      <c r="EMJ45" s="51"/>
      <c r="EMK45" s="51"/>
      <c r="EML45" s="51"/>
      <c r="EMM45" s="51"/>
      <c r="EMN45" s="51"/>
      <c r="EMO45" s="51"/>
      <c r="EMP45" s="51"/>
      <c r="EMQ45" s="51"/>
      <c r="EMR45" s="51"/>
      <c r="EMS45" s="51"/>
      <c r="EMT45" s="51"/>
      <c r="EMU45" s="51"/>
      <c r="EMV45" s="51"/>
      <c r="EMW45" s="51"/>
      <c r="EMX45" s="51"/>
      <c r="EMY45" s="51"/>
      <c r="EMZ45" s="51"/>
      <c r="ENA45" s="51"/>
      <c r="ENB45" s="51"/>
      <c r="ENC45" s="51"/>
      <c r="END45" s="51"/>
      <c r="ENE45" s="51"/>
      <c r="ENF45" s="51"/>
      <c r="ENG45" s="51"/>
      <c r="ENH45" s="51"/>
      <c r="ENI45" s="51"/>
      <c r="ENJ45" s="51"/>
      <c r="ENK45" s="51"/>
      <c r="ENL45" s="51"/>
      <c r="ENM45" s="51"/>
      <c r="ENN45" s="51"/>
      <c r="ENO45" s="51"/>
      <c r="ENP45" s="51"/>
      <c r="ENQ45" s="51"/>
      <c r="ENR45" s="51"/>
      <c r="ENS45" s="51"/>
      <c r="ENT45" s="51"/>
      <c r="ENU45" s="51"/>
      <c r="ENV45" s="51"/>
      <c r="ENW45" s="51"/>
      <c r="ENX45" s="51"/>
      <c r="ENY45" s="51"/>
      <c r="ENZ45" s="51"/>
      <c r="EOA45" s="51"/>
      <c r="EOB45" s="51"/>
      <c r="EOC45" s="51"/>
      <c r="EOD45" s="51"/>
      <c r="EOE45" s="51"/>
      <c r="EOF45" s="51"/>
      <c r="EOG45" s="51"/>
      <c r="EOH45" s="51"/>
      <c r="EOI45" s="51"/>
      <c r="EOJ45" s="51"/>
      <c r="EOK45" s="51"/>
      <c r="EOL45" s="51"/>
      <c r="EOM45" s="51"/>
      <c r="EON45" s="51"/>
      <c r="EOO45" s="51"/>
      <c r="EOP45" s="51"/>
      <c r="EOQ45" s="51"/>
      <c r="EOR45" s="51"/>
      <c r="EOS45" s="51"/>
      <c r="EOT45" s="51"/>
      <c r="EOU45" s="51"/>
      <c r="EOV45" s="51"/>
      <c r="EOW45" s="51"/>
      <c r="EOX45" s="51"/>
      <c r="EOY45" s="51"/>
      <c r="EOZ45" s="51"/>
      <c r="EPA45" s="51"/>
      <c r="EPB45" s="51"/>
      <c r="EPC45" s="51"/>
      <c r="EPD45" s="51"/>
      <c r="EPE45" s="51"/>
      <c r="EPF45" s="51"/>
      <c r="EPG45" s="51"/>
      <c r="EPH45" s="51"/>
      <c r="EPI45" s="51"/>
      <c r="EPJ45" s="51"/>
      <c r="EPK45" s="51"/>
      <c r="EPL45" s="51"/>
      <c r="EPM45" s="51"/>
      <c r="EPN45" s="51"/>
      <c r="EPO45" s="51"/>
      <c r="EPP45" s="51"/>
      <c r="EPQ45" s="51"/>
      <c r="EPR45" s="51"/>
      <c r="EPS45" s="51"/>
      <c r="EPT45" s="51"/>
      <c r="EPU45" s="51"/>
      <c r="EPV45" s="51"/>
      <c r="EPW45" s="51"/>
      <c r="EPX45" s="51"/>
      <c r="EPY45" s="51"/>
      <c r="EPZ45" s="51"/>
      <c r="EQA45" s="51"/>
      <c r="EQB45" s="51"/>
      <c r="EQC45" s="51"/>
      <c r="EQD45" s="51"/>
      <c r="EQE45" s="51"/>
      <c r="EQF45" s="51"/>
      <c r="EQG45" s="51"/>
      <c r="EQH45" s="51"/>
      <c r="EQI45" s="51"/>
      <c r="EQJ45" s="51"/>
      <c r="EQK45" s="51"/>
      <c r="EQL45" s="51"/>
      <c r="EQM45" s="51"/>
      <c r="EQN45" s="51"/>
      <c r="EQO45" s="51"/>
      <c r="EQP45" s="51"/>
      <c r="EQQ45" s="51"/>
      <c r="EQR45" s="51"/>
      <c r="EQS45" s="51"/>
      <c r="EQT45" s="51"/>
      <c r="EQU45" s="51"/>
      <c r="EQV45" s="51"/>
      <c r="EQW45" s="51"/>
      <c r="EQX45" s="51"/>
      <c r="EQY45" s="51"/>
      <c r="EQZ45" s="51"/>
      <c r="ERA45" s="51"/>
      <c r="ERB45" s="51"/>
      <c r="ERC45" s="51"/>
      <c r="ERD45" s="51"/>
      <c r="ERE45" s="51"/>
      <c r="ERF45" s="51"/>
      <c r="ERG45" s="51"/>
      <c r="ERH45" s="51"/>
      <c r="ERI45" s="51"/>
      <c r="ERJ45" s="51"/>
      <c r="ERK45" s="51"/>
      <c r="ERL45" s="51"/>
      <c r="ERM45" s="51"/>
      <c r="ERN45" s="51"/>
      <c r="ERO45" s="51"/>
      <c r="ERP45" s="51"/>
      <c r="ERQ45" s="51"/>
      <c r="ERR45" s="51"/>
      <c r="ERS45" s="51"/>
      <c r="ERT45" s="51"/>
      <c r="ERU45" s="51"/>
      <c r="ERV45" s="51"/>
      <c r="ERW45" s="51"/>
      <c r="ERX45" s="51"/>
      <c r="ERY45" s="51"/>
      <c r="ERZ45" s="51"/>
      <c r="ESA45" s="51"/>
      <c r="ESB45" s="51"/>
      <c r="ESC45" s="51"/>
      <c r="ESD45" s="51"/>
      <c r="ESE45" s="51"/>
      <c r="ESF45" s="51"/>
      <c r="ESG45" s="51"/>
      <c r="ESH45" s="51"/>
      <c r="ESI45" s="51"/>
      <c r="ESJ45" s="51"/>
      <c r="ESK45" s="51"/>
      <c r="ESL45" s="51"/>
      <c r="ESM45" s="51"/>
      <c r="ESN45" s="51"/>
      <c r="ESO45" s="51"/>
      <c r="ESP45" s="51"/>
      <c r="ESQ45" s="51"/>
      <c r="ESR45" s="51"/>
      <c r="ESS45" s="51"/>
      <c r="EST45" s="51"/>
      <c r="ESU45" s="51"/>
      <c r="ESV45" s="51"/>
      <c r="ESW45" s="51"/>
      <c r="ESX45" s="51"/>
      <c r="ESY45" s="51"/>
      <c r="ESZ45" s="51"/>
      <c r="ETA45" s="51"/>
      <c r="ETB45" s="51"/>
      <c r="ETC45" s="51"/>
      <c r="ETD45" s="51"/>
      <c r="ETE45" s="51"/>
      <c r="ETF45" s="51"/>
      <c r="ETG45" s="51"/>
      <c r="ETH45" s="51"/>
      <c r="ETI45" s="51"/>
      <c r="ETJ45" s="51"/>
      <c r="ETK45" s="51"/>
      <c r="ETL45" s="51"/>
      <c r="ETM45" s="51"/>
      <c r="ETN45" s="51"/>
      <c r="ETO45" s="51"/>
      <c r="ETP45" s="51"/>
      <c r="ETQ45" s="51"/>
      <c r="ETR45" s="51"/>
      <c r="ETS45" s="51"/>
      <c r="ETT45" s="51"/>
      <c r="ETU45" s="51"/>
      <c r="ETV45" s="51"/>
      <c r="ETW45" s="51"/>
      <c r="ETX45" s="51"/>
      <c r="ETY45" s="51"/>
      <c r="ETZ45" s="51"/>
      <c r="EUA45" s="51"/>
      <c r="EUB45" s="51"/>
      <c r="EUC45" s="51"/>
      <c r="EUD45" s="51"/>
      <c r="EUE45" s="51"/>
      <c r="EUF45" s="51"/>
      <c r="EUG45" s="51"/>
      <c r="EUH45" s="51"/>
      <c r="EUI45" s="51"/>
      <c r="EUJ45" s="51"/>
      <c r="EUK45" s="51"/>
      <c r="EUL45" s="51"/>
      <c r="EUM45" s="51"/>
      <c r="EUN45" s="51"/>
      <c r="EUO45" s="51"/>
      <c r="EUP45" s="51"/>
      <c r="EUQ45" s="51"/>
      <c r="EUR45" s="51"/>
      <c r="EUS45" s="51"/>
      <c r="EUT45" s="51"/>
      <c r="EUU45" s="51"/>
      <c r="EUV45" s="51"/>
      <c r="EUW45" s="51"/>
      <c r="EUX45" s="51"/>
      <c r="EUY45" s="51"/>
      <c r="EUZ45" s="51"/>
      <c r="EVA45" s="51"/>
      <c r="EVB45" s="51"/>
      <c r="EVC45" s="51"/>
      <c r="EVD45" s="51"/>
      <c r="EVE45" s="51"/>
      <c r="EVF45" s="51"/>
      <c r="EVG45" s="51"/>
      <c r="EVH45" s="51"/>
      <c r="EVI45" s="51"/>
      <c r="EVJ45" s="51"/>
      <c r="EVK45" s="51"/>
      <c r="EVL45" s="51"/>
      <c r="EVM45" s="51"/>
      <c r="EVN45" s="51"/>
      <c r="EVO45" s="51"/>
      <c r="EVP45" s="51"/>
      <c r="EVQ45" s="51"/>
      <c r="EVR45" s="51"/>
      <c r="EVS45" s="51"/>
      <c r="EVT45" s="51"/>
      <c r="EVU45" s="51"/>
      <c r="EVV45" s="51"/>
      <c r="EVW45" s="51"/>
      <c r="EVX45" s="51"/>
      <c r="EVY45" s="51"/>
      <c r="EVZ45" s="51"/>
      <c r="EWA45" s="51"/>
      <c r="EWB45" s="51"/>
      <c r="EWC45" s="51"/>
      <c r="EWD45" s="51"/>
      <c r="EWE45" s="51"/>
      <c r="EWF45" s="51"/>
      <c r="EWG45" s="51"/>
      <c r="EWH45" s="51"/>
      <c r="EWI45" s="51"/>
      <c r="EWJ45" s="51"/>
      <c r="EWK45" s="51"/>
      <c r="EWL45" s="51"/>
      <c r="EWM45" s="51"/>
      <c r="EWN45" s="51"/>
      <c r="EWO45" s="51"/>
      <c r="EWP45" s="51"/>
      <c r="EWQ45" s="51"/>
      <c r="EWR45" s="51"/>
      <c r="EWS45" s="51"/>
      <c r="EWT45" s="51"/>
      <c r="EWU45" s="51"/>
      <c r="EWV45" s="51"/>
      <c r="EWW45" s="51"/>
      <c r="EWX45" s="51"/>
      <c r="EWY45" s="51"/>
      <c r="EWZ45" s="51"/>
      <c r="EXA45" s="51"/>
      <c r="EXB45" s="51"/>
      <c r="EXC45" s="51"/>
      <c r="EXD45" s="51"/>
      <c r="EXE45" s="51"/>
      <c r="EXF45" s="51"/>
      <c r="EXG45" s="51"/>
      <c r="EXH45" s="51"/>
      <c r="EXI45" s="51"/>
      <c r="EXJ45" s="51"/>
      <c r="EXK45" s="51"/>
      <c r="EXL45" s="51"/>
      <c r="EXM45" s="51"/>
      <c r="EXN45" s="51"/>
      <c r="EXO45" s="51"/>
      <c r="EXP45" s="51"/>
      <c r="EXQ45" s="51"/>
      <c r="EXR45" s="51"/>
      <c r="EXS45" s="51"/>
      <c r="EXT45" s="51"/>
      <c r="EXU45" s="51"/>
      <c r="EXV45" s="51"/>
      <c r="EXW45" s="51"/>
      <c r="EXX45" s="51"/>
      <c r="EXY45" s="51"/>
      <c r="EXZ45" s="51"/>
      <c r="EYA45" s="51"/>
      <c r="EYB45" s="51"/>
      <c r="EYC45" s="51"/>
      <c r="EYD45" s="51"/>
      <c r="EYE45" s="51"/>
      <c r="EYF45" s="51"/>
      <c r="EYG45" s="51"/>
      <c r="EYH45" s="51"/>
      <c r="EYI45" s="51"/>
      <c r="EYJ45" s="51"/>
      <c r="EYK45" s="51"/>
      <c r="EYL45" s="51"/>
      <c r="EYM45" s="51"/>
      <c r="EYN45" s="51"/>
      <c r="EYO45" s="51"/>
      <c r="EYP45" s="51"/>
      <c r="EYQ45" s="51"/>
      <c r="EYR45" s="51"/>
      <c r="EYS45" s="51"/>
      <c r="EYT45" s="51"/>
      <c r="EYU45" s="51"/>
      <c r="EYV45" s="51"/>
      <c r="EYW45" s="51"/>
      <c r="EYX45" s="51"/>
      <c r="EYY45" s="51"/>
      <c r="EYZ45" s="51"/>
      <c r="EZA45" s="51"/>
      <c r="EZB45" s="51"/>
      <c r="EZC45" s="51"/>
      <c r="EZD45" s="51"/>
      <c r="EZE45" s="51"/>
      <c r="EZF45" s="51"/>
      <c r="EZG45" s="51"/>
      <c r="EZH45" s="51"/>
      <c r="EZI45" s="51"/>
      <c r="EZJ45" s="51"/>
      <c r="EZK45" s="51"/>
      <c r="EZL45" s="51"/>
      <c r="EZM45" s="51"/>
      <c r="EZN45" s="51"/>
      <c r="EZO45" s="51"/>
      <c r="EZP45" s="51"/>
      <c r="EZQ45" s="51"/>
      <c r="EZR45" s="51"/>
      <c r="EZS45" s="51"/>
      <c r="EZT45" s="51"/>
      <c r="EZU45" s="51"/>
      <c r="EZV45" s="51"/>
      <c r="EZW45" s="51"/>
      <c r="EZX45" s="51"/>
      <c r="EZY45" s="51"/>
      <c r="EZZ45" s="51"/>
      <c r="FAA45" s="51"/>
      <c r="FAB45" s="51"/>
      <c r="FAC45" s="51"/>
      <c r="FAD45" s="51"/>
      <c r="FAE45" s="51"/>
      <c r="FAF45" s="51"/>
      <c r="FAG45" s="51"/>
      <c r="FAH45" s="51"/>
      <c r="FAI45" s="51"/>
      <c r="FAJ45" s="51"/>
      <c r="FAK45" s="51"/>
      <c r="FAL45" s="51"/>
      <c r="FAM45" s="51"/>
      <c r="FAN45" s="51"/>
      <c r="FAO45" s="51"/>
      <c r="FAP45" s="51"/>
      <c r="FAQ45" s="51"/>
      <c r="FAR45" s="51"/>
      <c r="FAS45" s="51"/>
      <c r="FAT45" s="51"/>
      <c r="FAU45" s="51"/>
      <c r="FAV45" s="51"/>
      <c r="FAW45" s="51"/>
      <c r="FAX45" s="51"/>
      <c r="FAY45" s="51"/>
      <c r="FAZ45" s="51"/>
      <c r="FBA45" s="51"/>
      <c r="FBB45" s="51"/>
      <c r="FBC45" s="51"/>
      <c r="FBD45" s="51"/>
      <c r="FBE45" s="51"/>
      <c r="FBF45" s="51"/>
      <c r="FBG45" s="51"/>
      <c r="FBH45" s="51"/>
      <c r="FBI45" s="51"/>
      <c r="FBJ45" s="51"/>
      <c r="FBK45" s="51"/>
      <c r="FBL45" s="51"/>
      <c r="FBM45" s="51"/>
      <c r="FBN45" s="51"/>
      <c r="FBO45" s="51"/>
      <c r="FBP45" s="51"/>
      <c r="FBQ45" s="51"/>
      <c r="FBR45" s="51"/>
      <c r="FBS45" s="51"/>
      <c r="FBT45" s="51"/>
      <c r="FBU45" s="51"/>
      <c r="FBV45" s="51"/>
      <c r="FBW45" s="51"/>
      <c r="FBX45" s="51"/>
      <c r="FBY45" s="51"/>
      <c r="FBZ45" s="51"/>
      <c r="FCA45" s="51"/>
      <c r="FCB45" s="51"/>
      <c r="FCC45" s="51"/>
      <c r="FCD45" s="51"/>
      <c r="FCE45" s="51"/>
      <c r="FCF45" s="51"/>
      <c r="FCG45" s="51"/>
      <c r="FCH45" s="51"/>
      <c r="FCI45" s="51"/>
      <c r="FCJ45" s="51"/>
      <c r="FCK45" s="51"/>
      <c r="FCL45" s="51"/>
      <c r="FCM45" s="51"/>
      <c r="FCN45" s="51"/>
      <c r="FCO45" s="51"/>
      <c r="FCP45" s="51"/>
      <c r="FCQ45" s="51"/>
      <c r="FCR45" s="51"/>
      <c r="FCS45" s="51"/>
      <c r="FCT45" s="51"/>
      <c r="FCU45" s="51"/>
      <c r="FCV45" s="51"/>
      <c r="FCW45" s="51"/>
      <c r="FCX45" s="51"/>
      <c r="FCY45" s="51"/>
      <c r="FCZ45" s="51"/>
      <c r="FDA45" s="51"/>
      <c r="FDB45" s="51"/>
      <c r="FDC45" s="51"/>
      <c r="FDD45" s="51"/>
      <c r="FDE45" s="51"/>
      <c r="FDF45" s="51"/>
      <c r="FDG45" s="51"/>
      <c r="FDH45" s="51"/>
      <c r="FDI45" s="51"/>
      <c r="FDJ45" s="51"/>
      <c r="FDK45" s="51"/>
      <c r="FDL45" s="51"/>
      <c r="FDM45" s="51"/>
      <c r="FDN45" s="51"/>
      <c r="FDO45" s="51"/>
      <c r="FDP45" s="51"/>
      <c r="FDQ45" s="51"/>
      <c r="FDR45" s="51"/>
      <c r="FDS45" s="51"/>
      <c r="FDT45" s="51"/>
      <c r="FDU45" s="51"/>
      <c r="FDV45" s="51"/>
      <c r="FDW45" s="51"/>
      <c r="FDX45" s="51"/>
      <c r="FDY45" s="51"/>
      <c r="FDZ45" s="51"/>
      <c r="FEA45" s="51"/>
      <c r="FEB45" s="51"/>
      <c r="FEC45" s="51"/>
      <c r="FED45" s="51"/>
      <c r="FEE45" s="51"/>
      <c r="FEF45" s="51"/>
      <c r="FEG45" s="51"/>
      <c r="FEH45" s="51"/>
      <c r="FEI45" s="51"/>
      <c r="FEJ45" s="51"/>
      <c r="FEK45" s="51"/>
      <c r="FEL45" s="51"/>
      <c r="FEM45" s="51"/>
      <c r="FEN45" s="51"/>
      <c r="FEO45" s="51"/>
      <c r="FEP45" s="51"/>
      <c r="FEQ45" s="51"/>
      <c r="FER45" s="51"/>
      <c r="FES45" s="51"/>
      <c r="FET45" s="51"/>
      <c r="FEU45" s="51"/>
      <c r="FEV45" s="51"/>
      <c r="FEW45" s="51"/>
      <c r="FEX45" s="51"/>
      <c r="FEY45" s="51"/>
      <c r="FEZ45" s="51"/>
      <c r="FFA45" s="51"/>
      <c r="FFB45" s="51"/>
      <c r="FFC45" s="51"/>
      <c r="FFD45" s="51"/>
      <c r="FFE45" s="51"/>
      <c r="FFF45" s="51"/>
      <c r="FFG45" s="51"/>
      <c r="FFH45" s="51"/>
      <c r="FFI45" s="51"/>
      <c r="FFJ45" s="51"/>
      <c r="FFK45" s="51"/>
      <c r="FFL45" s="51"/>
      <c r="FFM45" s="51"/>
      <c r="FFN45" s="51"/>
      <c r="FFO45" s="51"/>
      <c r="FFP45" s="51"/>
      <c r="FFQ45" s="51"/>
      <c r="FFR45" s="51"/>
      <c r="FFS45" s="51"/>
      <c r="FFT45" s="51"/>
      <c r="FFU45" s="51"/>
      <c r="FFV45" s="51"/>
      <c r="FFW45" s="51"/>
      <c r="FFX45" s="51"/>
      <c r="FFY45" s="51"/>
      <c r="FFZ45" s="51"/>
      <c r="FGA45" s="51"/>
      <c r="FGB45" s="51"/>
      <c r="FGC45" s="51"/>
      <c r="FGD45" s="51"/>
      <c r="FGE45" s="51"/>
      <c r="FGF45" s="51"/>
      <c r="FGG45" s="51"/>
      <c r="FGH45" s="51"/>
      <c r="FGI45" s="51"/>
      <c r="FGJ45" s="51"/>
      <c r="FGK45" s="51"/>
      <c r="FGL45" s="51"/>
      <c r="FGM45" s="51"/>
      <c r="FGN45" s="51"/>
      <c r="FGO45" s="51"/>
      <c r="FGP45" s="51"/>
      <c r="FGQ45" s="51"/>
      <c r="FGR45" s="51"/>
      <c r="FGS45" s="51"/>
      <c r="FGT45" s="51"/>
      <c r="FGU45" s="51"/>
      <c r="FGV45" s="51"/>
      <c r="FGW45" s="51"/>
      <c r="FGX45" s="51"/>
      <c r="FGY45" s="51"/>
      <c r="FGZ45" s="51"/>
      <c r="FHA45" s="51"/>
      <c r="FHB45" s="51"/>
      <c r="FHC45" s="51"/>
      <c r="FHD45" s="51"/>
      <c r="FHE45" s="51"/>
      <c r="FHF45" s="51"/>
      <c r="FHG45" s="51"/>
      <c r="FHH45" s="51"/>
      <c r="FHI45" s="51"/>
      <c r="FHJ45" s="51"/>
      <c r="FHK45" s="51"/>
      <c r="FHL45" s="51"/>
      <c r="FHM45" s="51"/>
      <c r="FHN45" s="51"/>
      <c r="FHO45" s="51"/>
      <c r="FHP45" s="51"/>
      <c r="FHQ45" s="51"/>
      <c r="FHR45" s="51"/>
      <c r="FHS45" s="51"/>
      <c r="FHT45" s="51"/>
      <c r="FHU45" s="51"/>
      <c r="FHV45" s="51"/>
      <c r="FHW45" s="51"/>
      <c r="FHX45" s="51"/>
      <c r="FHY45" s="51"/>
      <c r="FHZ45" s="51"/>
      <c r="FIA45" s="51"/>
      <c r="FIB45" s="51"/>
      <c r="FIC45" s="51"/>
      <c r="FID45" s="51"/>
      <c r="FIE45" s="51"/>
      <c r="FIF45" s="51"/>
      <c r="FIG45" s="51"/>
      <c r="FIH45" s="51"/>
      <c r="FII45" s="51"/>
      <c r="FIJ45" s="51"/>
      <c r="FIK45" s="51"/>
      <c r="FIL45" s="51"/>
      <c r="FIM45" s="51"/>
      <c r="FIN45" s="51"/>
      <c r="FIO45" s="51"/>
      <c r="FIP45" s="51"/>
      <c r="FIQ45" s="51"/>
      <c r="FIR45" s="51"/>
      <c r="FIS45" s="51"/>
      <c r="FIT45" s="51"/>
      <c r="FIU45" s="51"/>
      <c r="FIV45" s="51"/>
      <c r="FIW45" s="51"/>
      <c r="FIX45" s="51"/>
      <c r="FIY45" s="51"/>
      <c r="FIZ45" s="51"/>
      <c r="FJA45" s="51"/>
      <c r="FJB45" s="51"/>
      <c r="FJC45" s="51"/>
      <c r="FJD45" s="51"/>
      <c r="FJE45" s="51"/>
      <c r="FJF45" s="51"/>
      <c r="FJG45" s="51"/>
      <c r="FJH45" s="51"/>
      <c r="FJI45" s="51"/>
      <c r="FJJ45" s="51"/>
      <c r="FJK45" s="51"/>
      <c r="FJL45" s="51"/>
      <c r="FJM45" s="51"/>
      <c r="FJN45" s="51"/>
      <c r="FJO45" s="51"/>
      <c r="FJP45" s="51"/>
      <c r="FJQ45" s="51"/>
      <c r="FJR45" s="51"/>
      <c r="FJS45" s="51"/>
      <c r="FJT45" s="51"/>
      <c r="FJU45" s="51"/>
      <c r="FJV45" s="51"/>
      <c r="FJW45" s="51"/>
      <c r="FJX45" s="51"/>
      <c r="FJY45" s="51"/>
      <c r="FJZ45" s="51"/>
      <c r="FKA45" s="51"/>
      <c r="FKB45" s="51"/>
      <c r="FKC45" s="51"/>
      <c r="FKD45" s="51"/>
      <c r="FKE45" s="51"/>
      <c r="FKF45" s="51"/>
      <c r="FKG45" s="51"/>
      <c r="FKH45" s="51"/>
      <c r="FKI45" s="51"/>
      <c r="FKJ45" s="51"/>
      <c r="FKK45" s="51"/>
      <c r="FKL45" s="51"/>
      <c r="FKM45" s="51"/>
      <c r="FKN45" s="51"/>
      <c r="FKO45" s="51"/>
      <c r="FKP45" s="51"/>
      <c r="FKQ45" s="51"/>
      <c r="FKR45" s="51"/>
      <c r="FKS45" s="51"/>
      <c r="FKT45" s="51"/>
      <c r="FKU45" s="51"/>
      <c r="FKV45" s="51"/>
      <c r="FKW45" s="51"/>
      <c r="FKX45" s="51"/>
      <c r="FKY45" s="51"/>
      <c r="FKZ45" s="51"/>
      <c r="FLA45" s="51"/>
      <c r="FLB45" s="51"/>
      <c r="FLC45" s="51"/>
      <c r="FLD45" s="51"/>
      <c r="FLE45" s="51"/>
      <c r="FLF45" s="51"/>
      <c r="FLG45" s="51"/>
      <c r="FLH45" s="51"/>
      <c r="FLI45" s="51"/>
      <c r="FLJ45" s="51"/>
      <c r="FLK45" s="51"/>
      <c r="FLL45" s="51"/>
      <c r="FLM45" s="51"/>
      <c r="FLN45" s="51"/>
      <c r="FLO45" s="51"/>
      <c r="FLP45" s="51"/>
      <c r="FLQ45" s="51"/>
      <c r="FLR45" s="51"/>
      <c r="FLS45" s="51"/>
      <c r="FLT45" s="51"/>
      <c r="FLU45" s="51"/>
      <c r="FLV45" s="51"/>
      <c r="FLW45" s="51"/>
      <c r="FLX45" s="51"/>
      <c r="FLY45" s="51"/>
      <c r="FLZ45" s="51"/>
      <c r="FMA45" s="51"/>
      <c r="FMB45" s="51"/>
      <c r="FMC45" s="51"/>
      <c r="FMD45" s="51"/>
      <c r="FME45" s="51"/>
      <c r="FMF45" s="51"/>
      <c r="FMG45" s="51"/>
      <c r="FMH45" s="51"/>
      <c r="FMI45" s="51"/>
      <c r="FMJ45" s="51"/>
      <c r="FMK45" s="51"/>
      <c r="FML45" s="51"/>
      <c r="FMM45" s="51"/>
      <c r="FMN45" s="51"/>
      <c r="FMO45" s="51"/>
      <c r="FMP45" s="51"/>
      <c r="FMQ45" s="51"/>
      <c r="FMR45" s="51"/>
      <c r="FMS45" s="51"/>
      <c r="FMT45" s="51"/>
      <c r="FMU45" s="51"/>
      <c r="FMV45" s="51"/>
      <c r="FMW45" s="51"/>
      <c r="FMX45" s="51"/>
      <c r="FMY45" s="51"/>
      <c r="FMZ45" s="51"/>
      <c r="FNA45" s="51"/>
      <c r="FNB45" s="51"/>
      <c r="FNC45" s="51"/>
      <c r="FND45" s="51"/>
      <c r="FNE45" s="51"/>
      <c r="FNF45" s="51"/>
      <c r="FNG45" s="51"/>
      <c r="FNH45" s="51"/>
      <c r="FNI45" s="51"/>
      <c r="FNJ45" s="51"/>
      <c r="FNK45" s="51"/>
      <c r="FNL45" s="51"/>
      <c r="FNM45" s="51"/>
      <c r="FNN45" s="51"/>
      <c r="FNO45" s="51"/>
      <c r="FNP45" s="51"/>
      <c r="FNQ45" s="51"/>
      <c r="FNR45" s="51"/>
      <c r="FNS45" s="51"/>
      <c r="FNT45" s="51"/>
      <c r="FNU45" s="51"/>
      <c r="FNV45" s="51"/>
      <c r="FNW45" s="51"/>
      <c r="FNX45" s="51"/>
      <c r="FNY45" s="51"/>
      <c r="FNZ45" s="51"/>
      <c r="FOA45" s="51"/>
      <c r="FOB45" s="51"/>
      <c r="FOC45" s="51"/>
      <c r="FOD45" s="51"/>
      <c r="FOE45" s="51"/>
      <c r="FOF45" s="51"/>
      <c r="FOG45" s="51"/>
      <c r="FOH45" s="51"/>
      <c r="FOI45" s="51"/>
      <c r="FOJ45" s="51"/>
      <c r="FOK45" s="51"/>
      <c r="FOL45" s="51"/>
      <c r="FOM45" s="51"/>
      <c r="FON45" s="51"/>
      <c r="FOO45" s="51"/>
      <c r="FOP45" s="51"/>
      <c r="FOQ45" s="51"/>
      <c r="FOR45" s="51"/>
      <c r="FOS45" s="51"/>
      <c r="FOT45" s="51"/>
      <c r="FOU45" s="51"/>
      <c r="FOV45" s="51"/>
      <c r="FOW45" s="51"/>
      <c r="FOX45" s="51"/>
      <c r="FOY45" s="51"/>
      <c r="FOZ45" s="51"/>
      <c r="FPA45" s="51"/>
      <c r="FPB45" s="51"/>
      <c r="FPC45" s="51"/>
      <c r="FPD45" s="51"/>
      <c r="FPE45" s="51"/>
      <c r="FPF45" s="51"/>
      <c r="FPG45" s="51"/>
      <c r="FPH45" s="51"/>
      <c r="FPI45" s="51"/>
      <c r="FPJ45" s="51"/>
      <c r="FPK45" s="51"/>
      <c r="FPL45" s="51"/>
      <c r="FPM45" s="51"/>
      <c r="FPN45" s="51"/>
      <c r="FPO45" s="51"/>
      <c r="FPP45" s="51"/>
      <c r="FPQ45" s="51"/>
      <c r="FPR45" s="51"/>
      <c r="FPS45" s="51"/>
      <c r="FPT45" s="51"/>
      <c r="FPU45" s="51"/>
      <c r="FPV45" s="51"/>
      <c r="FPW45" s="51"/>
      <c r="FPX45" s="51"/>
      <c r="FPY45" s="51"/>
      <c r="FPZ45" s="51"/>
      <c r="FQA45" s="51"/>
      <c r="FQB45" s="51"/>
      <c r="FQC45" s="51"/>
      <c r="FQD45" s="51"/>
      <c r="FQE45" s="51"/>
      <c r="FQF45" s="51"/>
      <c r="FQG45" s="51"/>
      <c r="FQH45" s="51"/>
      <c r="FQI45" s="51"/>
      <c r="FQJ45" s="51"/>
      <c r="FQK45" s="51"/>
      <c r="FQL45" s="51"/>
      <c r="FQM45" s="51"/>
      <c r="FQN45" s="51"/>
      <c r="FQO45" s="51"/>
      <c r="FQP45" s="51"/>
      <c r="FQQ45" s="51"/>
      <c r="FQR45" s="51"/>
      <c r="FQS45" s="51"/>
      <c r="FQT45" s="51"/>
      <c r="FQU45" s="51"/>
      <c r="FQV45" s="51"/>
      <c r="FQW45" s="51"/>
      <c r="FQX45" s="51"/>
      <c r="FQY45" s="51"/>
      <c r="FQZ45" s="51"/>
      <c r="FRA45" s="51"/>
      <c r="FRB45" s="51"/>
      <c r="FRC45" s="51"/>
      <c r="FRD45" s="51"/>
      <c r="FRE45" s="51"/>
      <c r="FRF45" s="51"/>
      <c r="FRG45" s="51"/>
      <c r="FRH45" s="51"/>
      <c r="FRI45" s="51"/>
      <c r="FRJ45" s="51"/>
      <c r="FRK45" s="51"/>
      <c r="FRL45" s="51"/>
      <c r="FRM45" s="51"/>
      <c r="FRN45" s="51"/>
      <c r="FRO45" s="51"/>
      <c r="FRP45" s="51"/>
      <c r="FRQ45" s="51"/>
      <c r="FRR45" s="51"/>
      <c r="FRS45" s="51"/>
      <c r="FRT45" s="51"/>
      <c r="FRU45" s="51"/>
      <c r="FRV45" s="51"/>
      <c r="FRW45" s="51"/>
      <c r="FRX45" s="51"/>
      <c r="FRY45" s="51"/>
      <c r="FRZ45" s="51"/>
      <c r="FSA45" s="51"/>
      <c r="FSB45" s="51"/>
      <c r="FSC45" s="51"/>
      <c r="FSD45" s="51"/>
      <c r="FSE45" s="51"/>
      <c r="FSF45" s="51"/>
      <c r="FSG45" s="51"/>
      <c r="FSH45" s="51"/>
      <c r="FSI45" s="51"/>
      <c r="FSJ45" s="51"/>
      <c r="FSK45" s="51"/>
      <c r="FSL45" s="51"/>
      <c r="FSM45" s="51"/>
      <c r="FSN45" s="51"/>
      <c r="FSO45" s="51"/>
      <c r="FSP45" s="51"/>
      <c r="FSQ45" s="51"/>
      <c r="FSR45" s="51"/>
      <c r="FSS45" s="51"/>
      <c r="FST45" s="51"/>
      <c r="FSU45" s="51"/>
      <c r="FSV45" s="51"/>
      <c r="FSW45" s="51"/>
      <c r="FSX45" s="51"/>
      <c r="FSY45" s="51"/>
      <c r="FSZ45" s="51"/>
      <c r="FTA45" s="51"/>
      <c r="FTB45" s="51"/>
      <c r="FTC45" s="51"/>
      <c r="FTD45" s="51"/>
      <c r="FTE45" s="51"/>
      <c r="FTF45" s="51"/>
      <c r="FTG45" s="51"/>
      <c r="FTH45" s="51"/>
      <c r="FTI45" s="51"/>
      <c r="FTJ45" s="51"/>
      <c r="FTK45" s="51"/>
      <c r="FTL45" s="51"/>
      <c r="FTM45" s="51"/>
      <c r="FTN45" s="51"/>
      <c r="FTO45" s="51"/>
      <c r="FTP45" s="51"/>
      <c r="FTQ45" s="51"/>
      <c r="FTR45" s="51"/>
      <c r="FTS45" s="51"/>
      <c r="FTT45" s="51"/>
      <c r="FTU45" s="51"/>
      <c r="FTV45" s="51"/>
      <c r="FTW45" s="51"/>
      <c r="FTX45" s="51"/>
      <c r="FTY45" s="51"/>
      <c r="FTZ45" s="51"/>
      <c r="FUA45" s="51"/>
      <c r="FUB45" s="51"/>
      <c r="FUC45" s="51"/>
      <c r="FUD45" s="51"/>
      <c r="FUE45" s="51"/>
      <c r="FUF45" s="51"/>
      <c r="FUG45" s="51"/>
      <c r="FUH45" s="51"/>
      <c r="FUI45" s="51"/>
      <c r="FUJ45" s="51"/>
      <c r="FUK45" s="51"/>
      <c r="FUL45" s="51"/>
      <c r="FUM45" s="51"/>
      <c r="FUN45" s="51"/>
      <c r="FUO45" s="51"/>
      <c r="FUP45" s="51"/>
      <c r="FUQ45" s="51"/>
      <c r="FUR45" s="51"/>
      <c r="FUS45" s="51"/>
      <c r="FUT45" s="51"/>
      <c r="FUU45" s="51"/>
      <c r="FUV45" s="51"/>
      <c r="FUW45" s="51"/>
      <c r="FUX45" s="51"/>
      <c r="FUY45" s="51"/>
      <c r="FUZ45" s="51"/>
      <c r="FVA45" s="51"/>
      <c r="FVB45" s="51"/>
      <c r="FVC45" s="51"/>
      <c r="FVD45" s="51"/>
      <c r="FVE45" s="51"/>
      <c r="FVF45" s="51"/>
      <c r="FVG45" s="51"/>
      <c r="FVH45" s="51"/>
      <c r="FVI45" s="51"/>
      <c r="FVJ45" s="51"/>
      <c r="FVK45" s="51"/>
      <c r="FVL45" s="51"/>
      <c r="FVM45" s="51"/>
      <c r="FVN45" s="51"/>
      <c r="FVO45" s="51"/>
      <c r="FVP45" s="51"/>
      <c r="FVQ45" s="51"/>
      <c r="FVR45" s="51"/>
      <c r="FVS45" s="51"/>
      <c r="FVT45" s="51"/>
      <c r="FVU45" s="51"/>
      <c r="FVV45" s="51"/>
      <c r="FVW45" s="51"/>
      <c r="FVX45" s="51"/>
      <c r="FVY45" s="51"/>
      <c r="FVZ45" s="51"/>
      <c r="FWA45" s="51"/>
      <c r="FWB45" s="51"/>
      <c r="FWC45" s="51"/>
      <c r="FWD45" s="51"/>
      <c r="FWE45" s="51"/>
      <c r="FWF45" s="51"/>
      <c r="FWG45" s="51"/>
      <c r="FWH45" s="51"/>
      <c r="FWI45" s="51"/>
      <c r="FWJ45" s="51"/>
      <c r="FWK45" s="51"/>
      <c r="FWL45" s="51"/>
      <c r="FWM45" s="51"/>
      <c r="FWN45" s="51"/>
      <c r="FWO45" s="51"/>
      <c r="FWP45" s="51"/>
      <c r="FWQ45" s="51"/>
      <c r="FWR45" s="51"/>
      <c r="FWS45" s="51"/>
      <c r="FWT45" s="51"/>
      <c r="FWU45" s="51"/>
      <c r="FWV45" s="51"/>
      <c r="FWW45" s="51"/>
      <c r="FWX45" s="51"/>
      <c r="FWY45" s="51"/>
      <c r="FWZ45" s="51"/>
      <c r="FXA45" s="51"/>
      <c r="FXB45" s="51"/>
      <c r="FXC45" s="51"/>
      <c r="FXD45" s="51"/>
      <c r="FXE45" s="51"/>
      <c r="FXF45" s="51"/>
      <c r="FXG45" s="51"/>
      <c r="FXH45" s="51"/>
      <c r="FXI45" s="51"/>
      <c r="FXJ45" s="51"/>
      <c r="FXK45" s="51"/>
      <c r="FXL45" s="51"/>
      <c r="FXM45" s="51"/>
      <c r="FXN45" s="51"/>
      <c r="FXO45" s="51"/>
      <c r="FXP45" s="51"/>
      <c r="FXQ45" s="51"/>
      <c r="FXR45" s="51"/>
      <c r="FXS45" s="51"/>
      <c r="FXT45" s="51"/>
      <c r="FXU45" s="51"/>
      <c r="FXV45" s="51"/>
      <c r="FXW45" s="51"/>
      <c r="FXX45" s="51"/>
      <c r="FXY45" s="51"/>
      <c r="FXZ45" s="51"/>
      <c r="FYA45" s="51"/>
      <c r="FYB45" s="51"/>
      <c r="FYC45" s="51"/>
      <c r="FYD45" s="51"/>
      <c r="FYE45" s="51"/>
      <c r="FYF45" s="51"/>
      <c r="FYG45" s="51"/>
      <c r="FYH45" s="51"/>
      <c r="FYI45" s="51"/>
      <c r="FYJ45" s="51"/>
      <c r="FYK45" s="51"/>
      <c r="FYL45" s="51"/>
      <c r="FYM45" s="51"/>
      <c r="FYN45" s="51"/>
      <c r="FYO45" s="51"/>
      <c r="FYP45" s="51"/>
      <c r="FYQ45" s="51"/>
      <c r="FYR45" s="51"/>
      <c r="FYS45" s="51"/>
      <c r="FYT45" s="51"/>
      <c r="FYU45" s="51"/>
      <c r="FYV45" s="51"/>
      <c r="FYW45" s="51"/>
      <c r="FYX45" s="51"/>
      <c r="FYY45" s="51"/>
      <c r="FYZ45" s="51"/>
      <c r="FZA45" s="51"/>
      <c r="FZB45" s="51"/>
      <c r="FZC45" s="51"/>
      <c r="FZD45" s="51"/>
      <c r="FZE45" s="51"/>
      <c r="FZF45" s="51"/>
      <c r="FZG45" s="51"/>
      <c r="FZH45" s="51"/>
      <c r="FZI45" s="51"/>
      <c r="FZJ45" s="51"/>
      <c r="FZK45" s="51"/>
      <c r="FZL45" s="51"/>
      <c r="FZM45" s="51"/>
      <c r="FZN45" s="51"/>
      <c r="FZO45" s="51"/>
      <c r="FZP45" s="51"/>
      <c r="FZQ45" s="51"/>
      <c r="FZR45" s="51"/>
      <c r="FZS45" s="51"/>
      <c r="FZT45" s="51"/>
      <c r="FZU45" s="51"/>
      <c r="FZV45" s="51"/>
      <c r="FZW45" s="51"/>
      <c r="FZX45" s="51"/>
      <c r="FZY45" s="51"/>
      <c r="FZZ45" s="51"/>
      <c r="GAA45" s="51"/>
      <c r="GAB45" s="51"/>
      <c r="GAC45" s="51"/>
      <c r="GAD45" s="51"/>
      <c r="GAE45" s="51"/>
      <c r="GAF45" s="51"/>
      <c r="GAG45" s="51"/>
      <c r="GAH45" s="51"/>
      <c r="GAI45" s="51"/>
      <c r="GAJ45" s="51"/>
      <c r="GAK45" s="51"/>
      <c r="GAL45" s="51"/>
      <c r="GAM45" s="51"/>
      <c r="GAN45" s="51"/>
      <c r="GAO45" s="51"/>
      <c r="GAP45" s="51"/>
      <c r="GAQ45" s="51"/>
      <c r="GAR45" s="51"/>
      <c r="GAS45" s="51"/>
      <c r="GAT45" s="51"/>
      <c r="GAU45" s="51"/>
      <c r="GAV45" s="51"/>
      <c r="GAW45" s="51"/>
      <c r="GAX45" s="51"/>
      <c r="GAY45" s="51"/>
      <c r="GAZ45" s="51"/>
      <c r="GBA45" s="51"/>
      <c r="GBB45" s="51"/>
      <c r="GBC45" s="51"/>
      <c r="GBD45" s="51"/>
      <c r="GBE45" s="51"/>
      <c r="GBF45" s="51"/>
      <c r="GBG45" s="51"/>
      <c r="GBH45" s="51"/>
      <c r="GBI45" s="51"/>
      <c r="GBJ45" s="51"/>
      <c r="GBK45" s="51"/>
      <c r="GBL45" s="51"/>
      <c r="GBM45" s="51"/>
      <c r="GBN45" s="51"/>
      <c r="GBO45" s="51"/>
      <c r="GBP45" s="51"/>
      <c r="GBQ45" s="51"/>
      <c r="GBR45" s="51"/>
      <c r="GBS45" s="51"/>
      <c r="GBT45" s="51"/>
      <c r="GBU45" s="51"/>
      <c r="GBV45" s="51"/>
      <c r="GBW45" s="51"/>
      <c r="GBX45" s="51"/>
      <c r="GBY45" s="51"/>
      <c r="GBZ45" s="51"/>
      <c r="GCA45" s="51"/>
      <c r="GCB45" s="51"/>
      <c r="GCC45" s="51"/>
      <c r="GCD45" s="51"/>
      <c r="GCE45" s="51"/>
      <c r="GCF45" s="51"/>
      <c r="GCG45" s="51"/>
      <c r="GCH45" s="51"/>
      <c r="GCI45" s="51"/>
      <c r="GCJ45" s="51"/>
      <c r="GCK45" s="51"/>
      <c r="GCL45" s="51"/>
      <c r="GCM45" s="51"/>
      <c r="GCN45" s="51"/>
      <c r="GCO45" s="51"/>
      <c r="GCP45" s="51"/>
      <c r="GCQ45" s="51"/>
      <c r="GCR45" s="51"/>
      <c r="GCS45" s="51"/>
      <c r="GCT45" s="51"/>
      <c r="GCU45" s="51"/>
      <c r="GCV45" s="51"/>
      <c r="GCW45" s="51"/>
      <c r="GCX45" s="51"/>
      <c r="GCY45" s="51"/>
      <c r="GCZ45" s="51"/>
      <c r="GDA45" s="51"/>
      <c r="GDB45" s="51"/>
      <c r="GDC45" s="51"/>
      <c r="GDD45" s="51"/>
      <c r="GDE45" s="51"/>
      <c r="GDF45" s="51"/>
      <c r="GDG45" s="51"/>
      <c r="GDH45" s="51"/>
      <c r="GDI45" s="51"/>
      <c r="GDJ45" s="51"/>
      <c r="GDK45" s="51"/>
      <c r="GDL45" s="51"/>
      <c r="GDM45" s="51"/>
      <c r="GDN45" s="51"/>
      <c r="GDO45" s="51"/>
      <c r="GDP45" s="51"/>
      <c r="GDQ45" s="51"/>
      <c r="GDR45" s="51"/>
      <c r="GDS45" s="51"/>
      <c r="GDT45" s="51"/>
      <c r="GDU45" s="51"/>
      <c r="GDV45" s="51"/>
      <c r="GDW45" s="51"/>
      <c r="GDX45" s="51"/>
      <c r="GDY45" s="51"/>
      <c r="GDZ45" s="51"/>
      <c r="GEA45" s="51"/>
      <c r="GEB45" s="51"/>
      <c r="GEC45" s="51"/>
      <c r="GED45" s="51"/>
      <c r="GEE45" s="51"/>
      <c r="GEF45" s="51"/>
      <c r="GEG45" s="51"/>
      <c r="GEH45" s="51"/>
      <c r="GEI45" s="51"/>
      <c r="GEJ45" s="51"/>
      <c r="GEK45" s="51"/>
      <c r="GEL45" s="51"/>
      <c r="GEM45" s="51"/>
      <c r="GEN45" s="51"/>
      <c r="GEO45" s="51"/>
      <c r="GEP45" s="51"/>
      <c r="GEQ45" s="51"/>
      <c r="GER45" s="51"/>
      <c r="GES45" s="51"/>
      <c r="GET45" s="51"/>
      <c r="GEU45" s="51"/>
      <c r="GEV45" s="51"/>
      <c r="GEW45" s="51"/>
      <c r="GEX45" s="51"/>
      <c r="GEY45" s="51"/>
      <c r="GEZ45" s="51"/>
      <c r="GFA45" s="51"/>
      <c r="GFB45" s="51"/>
      <c r="GFC45" s="51"/>
      <c r="GFD45" s="51"/>
      <c r="GFE45" s="51"/>
      <c r="GFF45" s="51"/>
      <c r="GFG45" s="51"/>
      <c r="GFH45" s="51"/>
      <c r="GFI45" s="51"/>
      <c r="GFJ45" s="51"/>
      <c r="GFK45" s="51"/>
      <c r="GFL45" s="51"/>
      <c r="GFM45" s="51"/>
      <c r="GFN45" s="51"/>
      <c r="GFO45" s="51"/>
      <c r="GFP45" s="51"/>
      <c r="GFQ45" s="51"/>
      <c r="GFR45" s="51"/>
      <c r="GFS45" s="51"/>
      <c r="GFT45" s="51"/>
      <c r="GFU45" s="51"/>
      <c r="GFV45" s="51"/>
      <c r="GFW45" s="51"/>
      <c r="GFX45" s="51"/>
      <c r="GFY45" s="51"/>
      <c r="GFZ45" s="51"/>
      <c r="GGA45" s="51"/>
      <c r="GGB45" s="51"/>
      <c r="GGC45" s="51"/>
      <c r="GGD45" s="51"/>
      <c r="GGE45" s="51"/>
      <c r="GGF45" s="51"/>
      <c r="GGG45" s="51"/>
      <c r="GGH45" s="51"/>
      <c r="GGI45" s="51"/>
      <c r="GGJ45" s="51"/>
      <c r="GGK45" s="51"/>
      <c r="GGL45" s="51"/>
      <c r="GGM45" s="51"/>
      <c r="GGN45" s="51"/>
      <c r="GGO45" s="51"/>
      <c r="GGP45" s="51"/>
      <c r="GGQ45" s="51"/>
      <c r="GGR45" s="51"/>
      <c r="GGS45" s="51"/>
      <c r="GGT45" s="51"/>
      <c r="GGU45" s="51"/>
      <c r="GGV45" s="51"/>
      <c r="GGW45" s="51"/>
      <c r="GGX45" s="51"/>
      <c r="GGY45" s="51"/>
      <c r="GGZ45" s="51"/>
      <c r="GHA45" s="51"/>
      <c r="GHB45" s="51"/>
      <c r="GHC45" s="51"/>
      <c r="GHD45" s="51"/>
      <c r="GHE45" s="51"/>
      <c r="GHF45" s="51"/>
      <c r="GHG45" s="51"/>
      <c r="GHH45" s="51"/>
      <c r="GHI45" s="51"/>
      <c r="GHJ45" s="51"/>
      <c r="GHK45" s="51"/>
      <c r="GHL45" s="51"/>
      <c r="GHM45" s="51"/>
      <c r="GHN45" s="51"/>
      <c r="GHO45" s="51"/>
      <c r="GHP45" s="51"/>
      <c r="GHQ45" s="51"/>
      <c r="GHR45" s="51"/>
      <c r="GHS45" s="51"/>
      <c r="GHT45" s="51"/>
      <c r="GHU45" s="51"/>
      <c r="GHV45" s="51"/>
      <c r="GHW45" s="51"/>
      <c r="GHX45" s="51"/>
      <c r="GHY45" s="51"/>
      <c r="GHZ45" s="51"/>
      <c r="GIA45" s="51"/>
      <c r="GIB45" s="51"/>
      <c r="GIC45" s="51"/>
      <c r="GID45" s="51"/>
      <c r="GIE45" s="51"/>
      <c r="GIF45" s="51"/>
      <c r="GIG45" s="51"/>
      <c r="GIH45" s="51"/>
      <c r="GII45" s="51"/>
      <c r="GIJ45" s="51"/>
      <c r="GIK45" s="51"/>
      <c r="GIL45" s="51"/>
      <c r="GIM45" s="51"/>
      <c r="GIN45" s="51"/>
      <c r="GIO45" s="51"/>
      <c r="GIP45" s="51"/>
      <c r="GIQ45" s="51"/>
      <c r="GIR45" s="51"/>
      <c r="GIS45" s="51"/>
      <c r="GIT45" s="51"/>
      <c r="GIU45" s="51"/>
      <c r="GIV45" s="51"/>
      <c r="GIW45" s="51"/>
      <c r="GIX45" s="51"/>
      <c r="GIY45" s="51"/>
      <c r="GIZ45" s="51"/>
      <c r="GJA45" s="51"/>
      <c r="GJB45" s="51"/>
      <c r="GJC45" s="51"/>
      <c r="GJD45" s="51"/>
      <c r="GJE45" s="51"/>
      <c r="GJF45" s="51"/>
      <c r="GJG45" s="51"/>
      <c r="GJH45" s="51"/>
      <c r="GJI45" s="51"/>
      <c r="GJJ45" s="51"/>
      <c r="GJK45" s="51"/>
      <c r="GJL45" s="51"/>
      <c r="GJM45" s="51"/>
      <c r="GJN45" s="51"/>
      <c r="GJO45" s="51"/>
      <c r="GJP45" s="51"/>
      <c r="GJQ45" s="51"/>
      <c r="GJR45" s="51"/>
      <c r="GJS45" s="51"/>
      <c r="GJT45" s="51"/>
      <c r="GJU45" s="51"/>
      <c r="GJV45" s="51"/>
      <c r="GJW45" s="51"/>
      <c r="GJX45" s="51"/>
      <c r="GJY45" s="51"/>
      <c r="GJZ45" s="51"/>
      <c r="GKA45" s="51"/>
      <c r="GKB45" s="51"/>
      <c r="GKC45" s="51"/>
      <c r="GKD45" s="51"/>
      <c r="GKE45" s="51"/>
      <c r="GKF45" s="51"/>
      <c r="GKG45" s="51"/>
      <c r="GKH45" s="51"/>
      <c r="GKI45" s="51"/>
      <c r="GKJ45" s="51"/>
      <c r="GKK45" s="51"/>
      <c r="GKL45" s="51"/>
      <c r="GKM45" s="51"/>
      <c r="GKN45" s="51"/>
      <c r="GKO45" s="51"/>
      <c r="GKP45" s="51"/>
      <c r="GKQ45" s="51"/>
      <c r="GKR45" s="51"/>
      <c r="GKS45" s="51"/>
      <c r="GKT45" s="51"/>
      <c r="GKU45" s="51"/>
      <c r="GKV45" s="51"/>
      <c r="GKW45" s="51"/>
      <c r="GKX45" s="51"/>
      <c r="GKY45" s="51"/>
      <c r="GKZ45" s="51"/>
      <c r="GLA45" s="51"/>
      <c r="GLB45" s="51"/>
      <c r="GLC45" s="51"/>
      <c r="GLD45" s="51"/>
      <c r="GLE45" s="51"/>
      <c r="GLF45" s="51"/>
      <c r="GLG45" s="51"/>
      <c r="GLH45" s="51"/>
      <c r="GLI45" s="51"/>
      <c r="GLJ45" s="51"/>
      <c r="GLK45" s="51"/>
      <c r="GLL45" s="51"/>
      <c r="GLM45" s="51"/>
      <c r="GLN45" s="51"/>
      <c r="GLO45" s="51"/>
      <c r="GLP45" s="51"/>
      <c r="GLQ45" s="51"/>
      <c r="GLR45" s="51"/>
      <c r="GLS45" s="51"/>
      <c r="GLT45" s="51"/>
      <c r="GLU45" s="51"/>
      <c r="GLV45" s="51"/>
      <c r="GLW45" s="51"/>
      <c r="GLX45" s="51"/>
      <c r="GLY45" s="51"/>
      <c r="GLZ45" s="51"/>
      <c r="GMA45" s="51"/>
      <c r="GMB45" s="51"/>
      <c r="GMC45" s="51"/>
      <c r="GMD45" s="51"/>
      <c r="GME45" s="51"/>
      <c r="GMF45" s="51"/>
      <c r="GMG45" s="51"/>
      <c r="GMH45" s="51"/>
      <c r="GMI45" s="51"/>
      <c r="GMJ45" s="51"/>
      <c r="GMK45" s="51"/>
      <c r="GML45" s="51"/>
      <c r="GMM45" s="51"/>
      <c r="GMN45" s="51"/>
      <c r="GMO45" s="51"/>
      <c r="GMP45" s="51"/>
      <c r="GMQ45" s="51"/>
      <c r="GMR45" s="51"/>
      <c r="GMS45" s="51"/>
      <c r="GMT45" s="51"/>
      <c r="GMU45" s="51"/>
      <c r="GMV45" s="51"/>
      <c r="GMW45" s="51"/>
      <c r="GMX45" s="51"/>
      <c r="GMY45" s="51"/>
      <c r="GMZ45" s="51"/>
      <c r="GNA45" s="51"/>
      <c r="GNB45" s="51"/>
      <c r="GNC45" s="51"/>
      <c r="GND45" s="51"/>
      <c r="GNE45" s="51"/>
      <c r="GNF45" s="51"/>
      <c r="GNG45" s="51"/>
      <c r="GNH45" s="51"/>
      <c r="GNI45" s="51"/>
      <c r="GNJ45" s="51"/>
      <c r="GNK45" s="51"/>
      <c r="GNL45" s="51"/>
      <c r="GNM45" s="51"/>
      <c r="GNN45" s="51"/>
      <c r="GNO45" s="51"/>
      <c r="GNP45" s="51"/>
      <c r="GNQ45" s="51"/>
      <c r="GNR45" s="51"/>
      <c r="GNS45" s="51"/>
      <c r="GNT45" s="51"/>
      <c r="GNU45" s="51"/>
      <c r="GNV45" s="51"/>
      <c r="GNW45" s="51"/>
      <c r="GNX45" s="51"/>
      <c r="GNY45" s="51"/>
      <c r="GNZ45" s="51"/>
      <c r="GOA45" s="51"/>
      <c r="GOB45" s="51"/>
      <c r="GOC45" s="51"/>
      <c r="GOD45" s="51"/>
      <c r="GOE45" s="51"/>
      <c r="GOF45" s="51"/>
      <c r="GOG45" s="51"/>
      <c r="GOH45" s="51"/>
      <c r="GOI45" s="51"/>
      <c r="GOJ45" s="51"/>
      <c r="GOK45" s="51"/>
      <c r="GOL45" s="51"/>
      <c r="GOM45" s="51"/>
      <c r="GON45" s="51"/>
      <c r="GOO45" s="51"/>
      <c r="GOP45" s="51"/>
      <c r="GOQ45" s="51"/>
      <c r="GOR45" s="51"/>
      <c r="GOS45" s="51"/>
      <c r="GOT45" s="51"/>
      <c r="GOU45" s="51"/>
      <c r="GOV45" s="51"/>
      <c r="GOW45" s="51"/>
      <c r="GOX45" s="51"/>
      <c r="GOY45" s="51"/>
      <c r="GOZ45" s="51"/>
      <c r="GPA45" s="51"/>
      <c r="GPB45" s="51"/>
      <c r="GPC45" s="51"/>
      <c r="GPD45" s="51"/>
      <c r="GPE45" s="51"/>
      <c r="GPF45" s="51"/>
      <c r="GPG45" s="51"/>
      <c r="GPH45" s="51"/>
      <c r="GPI45" s="51"/>
      <c r="GPJ45" s="51"/>
      <c r="GPK45" s="51"/>
      <c r="GPL45" s="51"/>
      <c r="GPM45" s="51"/>
      <c r="GPN45" s="51"/>
      <c r="GPO45" s="51"/>
      <c r="GPP45" s="51"/>
      <c r="GPQ45" s="51"/>
      <c r="GPR45" s="51"/>
      <c r="GPS45" s="51"/>
      <c r="GPT45" s="51"/>
      <c r="GPU45" s="51"/>
      <c r="GPV45" s="51"/>
      <c r="GPW45" s="51"/>
      <c r="GPX45" s="51"/>
      <c r="GPY45" s="51"/>
      <c r="GPZ45" s="51"/>
      <c r="GQA45" s="51"/>
      <c r="GQB45" s="51"/>
      <c r="GQC45" s="51"/>
      <c r="GQD45" s="51"/>
      <c r="GQE45" s="51"/>
      <c r="GQF45" s="51"/>
      <c r="GQG45" s="51"/>
      <c r="GQH45" s="51"/>
      <c r="GQI45" s="51"/>
      <c r="GQJ45" s="51"/>
      <c r="GQK45" s="51"/>
      <c r="GQL45" s="51"/>
      <c r="GQM45" s="51"/>
      <c r="GQN45" s="51"/>
      <c r="GQO45" s="51"/>
      <c r="GQP45" s="51"/>
      <c r="GQQ45" s="51"/>
      <c r="GQR45" s="51"/>
      <c r="GQS45" s="51"/>
      <c r="GQT45" s="51"/>
      <c r="GQU45" s="51"/>
      <c r="GQV45" s="51"/>
      <c r="GQW45" s="51"/>
      <c r="GQX45" s="51"/>
      <c r="GQY45" s="51"/>
      <c r="GQZ45" s="51"/>
      <c r="GRA45" s="51"/>
      <c r="GRB45" s="51"/>
      <c r="GRC45" s="51"/>
      <c r="GRD45" s="51"/>
      <c r="GRE45" s="51"/>
      <c r="GRF45" s="51"/>
      <c r="GRG45" s="51"/>
      <c r="GRH45" s="51"/>
      <c r="GRI45" s="51"/>
      <c r="GRJ45" s="51"/>
      <c r="GRK45" s="51"/>
      <c r="GRL45" s="51"/>
      <c r="GRM45" s="51"/>
      <c r="GRN45" s="51"/>
      <c r="GRO45" s="51"/>
      <c r="GRP45" s="51"/>
      <c r="GRQ45" s="51"/>
      <c r="GRR45" s="51"/>
      <c r="GRS45" s="51"/>
      <c r="GRT45" s="51"/>
      <c r="GRU45" s="51"/>
      <c r="GRV45" s="51"/>
      <c r="GRW45" s="51"/>
      <c r="GRX45" s="51"/>
      <c r="GRY45" s="51"/>
      <c r="GRZ45" s="51"/>
      <c r="GSA45" s="51"/>
      <c r="GSB45" s="51"/>
      <c r="GSC45" s="51"/>
      <c r="GSD45" s="51"/>
      <c r="GSE45" s="51"/>
      <c r="GSF45" s="51"/>
      <c r="GSG45" s="51"/>
      <c r="GSH45" s="51"/>
      <c r="GSI45" s="51"/>
      <c r="GSJ45" s="51"/>
      <c r="GSK45" s="51"/>
      <c r="GSL45" s="51"/>
      <c r="GSM45" s="51"/>
      <c r="GSN45" s="51"/>
      <c r="GSO45" s="51"/>
      <c r="GSP45" s="51"/>
      <c r="GSQ45" s="51"/>
      <c r="GSR45" s="51"/>
      <c r="GSS45" s="51"/>
      <c r="GST45" s="51"/>
      <c r="GSU45" s="51"/>
      <c r="GSV45" s="51"/>
      <c r="GSW45" s="51"/>
      <c r="GSX45" s="51"/>
      <c r="GSY45" s="51"/>
      <c r="GSZ45" s="51"/>
      <c r="GTA45" s="51"/>
      <c r="GTB45" s="51"/>
      <c r="GTC45" s="51"/>
      <c r="GTD45" s="51"/>
      <c r="GTE45" s="51"/>
      <c r="GTF45" s="51"/>
      <c r="GTG45" s="51"/>
      <c r="GTH45" s="51"/>
      <c r="GTI45" s="51"/>
      <c r="GTJ45" s="51"/>
      <c r="GTK45" s="51"/>
      <c r="GTL45" s="51"/>
      <c r="GTM45" s="51"/>
      <c r="GTN45" s="51"/>
      <c r="GTO45" s="51"/>
      <c r="GTP45" s="51"/>
      <c r="GTQ45" s="51"/>
      <c r="GTR45" s="51"/>
      <c r="GTS45" s="51"/>
      <c r="GTT45" s="51"/>
      <c r="GTU45" s="51"/>
      <c r="GTV45" s="51"/>
      <c r="GTW45" s="51"/>
      <c r="GTX45" s="51"/>
      <c r="GTY45" s="51"/>
      <c r="GTZ45" s="51"/>
      <c r="GUA45" s="51"/>
      <c r="GUB45" s="51"/>
      <c r="GUC45" s="51"/>
      <c r="GUD45" s="51"/>
      <c r="GUE45" s="51"/>
      <c r="GUF45" s="51"/>
      <c r="GUG45" s="51"/>
      <c r="GUH45" s="51"/>
      <c r="GUI45" s="51"/>
      <c r="GUJ45" s="51"/>
      <c r="GUK45" s="51"/>
      <c r="GUL45" s="51"/>
      <c r="GUM45" s="51"/>
      <c r="GUN45" s="51"/>
      <c r="GUO45" s="51"/>
      <c r="GUP45" s="51"/>
      <c r="GUQ45" s="51"/>
      <c r="GUR45" s="51"/>
      <c r="GUS45" s="51"/>
      <c r="GUT45" s="51"/>
      <c r="GUU45" s="51"/>
      <c r="GUV45" s="51"/>
      <c r="GUW45" s="51"/>
      <c r="GUX45" s="51"/>
      <c r="GUY45" s="51"/>
      <c r="GUZ45" s="51"/>
      <c r="GVA45" s="51"/>
      <c r="GVB45" s="51"/>
      <c r="GVC45" s="51"/>
      <c r="GVD45" s="51"/>
      <c r="GVE45" s="51"/>
      <c r="GVF45" s="51"/>
      <c r="GVG45" s="51"/>
      <c r="GVH45" s="51"/>
      <c r="GVI45" s="51"/>
      <c r="GVJ45" s="51"/>
      <c r="GVK45" s="51"/>
      <c r="GVL45" s="51"/>
      <c r="GVM45" s="51"/>
      <c r="GVN45" s="51"/>
      <c r="GVO45" s="51"/>
      <c r="GVP45" s="51"/>
      <c r="GVQ45" s="51"/>
      <c r="GVR45" s="51"/>
      <c r="GVS45" s="51"/>
      <c r="GVT45" s="51"/>
      <c r="GVU45" s="51"/>
      <c r="GVV45" s="51"/>
      <c r="GVW45" s="51"/>
      <c r="GVX45" s="51"/>
      <c r="GVY45" s="51"/>
      <c r="GVZ45" s="51"/>
      <c r="GWA45" s="51"/>
      <c r="GWB45" s="51"/>
      <c r="GWC45" s="51"/>
      <c r="GWD45" s="51"/>
      <c r="GWE45" s="51"/>
      <c r="GWF45" s="51"/>
      <c r="GWG45" s="51"/>
      <c r="GWH45" s="51"/>
      <c r="GWI45" s="51"/>
      <c r="GWJ45" s="51"/>
      <c r="GWK45" s="51"/>
      <c r="GWL45" s="51"/>
      <c r="GWM45" s="51"/>
      <c r="GWN45" s="51"/>
      <c r="GWO45" s="51"/>
      <c r="GWP45" s="51"/>
      <c r="GWQ45" s="51"/>
      <c r="GWR45" s="51"/>
      <c r="GWS45" s="51"/>
      <c r="GWT45" s="51"/>
      <c r="GWU45" s="51"/>
      <c r="GWV45" s="51"/>
      <c r="GWW45" s="51"/>
      <c r="GWX45" s="51"/>
      <c r="GWY45" s="51"/>
      <c r="GWZ45" s="51"/>
      <c r="GXA45" s="51"/>
      <c r="GXB45" s="51"/>
      <c r="GXC45" s="51"/>
      <c r="GXD45" s="51"/>
      <c r="GXE45" s="51"/>
      <c r="GXF45" s="51"/>
      <c r="GXG45" s="51"/>
      <c r="GXH45" s="51"/>
      <c r="GXI45" s="51"/>
      <c r="GXJ45" s="51"/>
      <c r="GXK45" s="51"/>
      <c r="GXL45" s="51"/>
      <c r="GXM45" s="51"/>
      <c r="GXN45" s="51"/>
      <c r="GXO45" s="51"/>
      <c r="GXP45" s="51"/>
      <c r="GXQ45" s="51"/>
      <c r="GXR45" s="51"/>
      <c r="GXS45" s="51"/>
      <c r="GXT45" s="51"/>
      <c r="GXU45" s="51"/>
      <c r="GXV45" s="51"/>
      <c r="GXW45" s="51"/>
      <c r="GXX45" s="51"/>
      <c r="GXY45" s="51"/>
      <c r="GXZ45" s="51"/>
      <c r="GYA45" s="51"/>
      <c r="GYB45" s="51"/>
      <c r="GYC45" s="51"/>
      <c r="GYD45" s="51"/>
      <c r="GYE45" s="51"/>
      <c r="GYF45" s="51"/>
      <c r="GYG45" s="51"/>
      <c r="GYH45" s="51"/>
      <c r="GYI45" s="51"/>
      <c r="GYJ45" s="51"/>
      <c r="GYK45" s="51"/>
      <c r="GYL45" s="51"/>
      <c r="GYM45" s="51"/>
      <c r="GYN45" s="51"/>
      <c r="GYO45" s="51"/>
      <c r="GYP45" s="51"/>
      <c r="GYQ45" s="51"/>
      <c r="GYR45" s="51"/>
      <c r="GYS45" s="51"/>
      <c r="GYT45" s="51"/>
      <c r="GYU45" s="51"/>
      <c r="GYV45" s="51"/>
      <c r="GYW45" s="51"/>
      <c r="GYX45" s="51"/>
      <c r="GYY45" s="51"/>
      <c r="GYZ45" s="51"/>
      <c r="GZA45" s="51"/>
      <c r="GZB45" s="51"/>
      <c r="GZC45" s="51"/>
      <c r="GZD45" s="51"/>
      <c r="GZE45" s="51"/>
      <c r="GZF45" s="51"/>
      <c r="GZG45" s="51"/>
      <c r="GZH45" s="51"/>
      <c r="GZI45" s="51"/>
      <c r="GZJ45" s="51"/>
      <c r="GZK45" s="51"/>
      <c r="GZL45" s="51"/>
      <c r="GZM45" s="51"/>
      <c r="GZN45" s="51"/>
      <c r="GZO45" s="51"/>
      <c r="GZP45" s="51"/>
      <c r="GZQ45" s="51"/>
      <c r="GZR45" s="51"/>
      <c r="GZS45" s="51"/>
      <c r="GZT45" s="51"/>
      <c r="GZU45" s="51"/>
      <c r="GZV45" s="51"/>
      <c r="GZW45" s="51"/>
      <c r="GZX45" s="51"/>
      <c r="GZY45" s="51"/>
      <c r="GZZ45" s="51"/>
      <c r="HAA45" s="51"/>
      <c r="HAB45" s="51"/>
      <c r="HAC45" s="51"/>
      <c r="HAD45" s="51"/>
      <c r="HAE45" s="51"/>
      <c r="HAF45" s="51"/>
      <c r="HAG45" s="51"/>
      <c r="HAH45" s="51"/>
      <c r="HAI45" s="51"/>
      <c r="HAJ45" s="51"/>
      <c r="HAK45" s="51"/>
      <c r="HAL45" s="51"/>
      <c r="HAM45" s="51"/>
      <c r="HAN45" s="51"/>
      <c r="HAO45" s="51"/>
      <c r="HAP45" s="51"/>
      <c r="HAQ45" s="51"/>
      <c r="HAR45" s="51"/>
      <c r="HAS45" s="51"/>
      <c r="HAT45" s="51"/>
      <c r="HAU45" s="51"/>
      <c r="HAV45" s="51"/>
      <c r="HAW45" s="51"/>
      <c r="HAX45" s="51"/>
      <c r="HAY45" s="51"/>
      <c r="HAZ45" s="51"/>
      <c r="HBA45" s="51"/>
      <c r="HBB45" s="51"/>
      <c r="HBC45" s="51"/>
      <c r="HBD45" s="51"/>
      <c r="HBE45" s="51"/>
      <c r="HBF45" s="51"/>
      <c r="HBG45" s="51"/>
      <c r="HBH45" s="51"/>
      <c r="HBI45" s="51"/>
      <c r="HBJ45" s="51"/>
      <c r="HBK45" s="51"/>
      <c r="HBL45" s="51"/>
      <c r="HBM45" s="51"/>
      <c r="HBN45" s="51"/>
      <c r="HBO45" s="51"/>
      <c r="HBP45" s="51"/>
      <c r="HBQ45" s="51"/>
      <c r="HBR45" s="51"/>
      <c r="HBS45" s="51"/>
      <c r="HBT45" s="51"/>
      <c r="HBU45" s="51"/>
      <c r="HBV45" s="51"/>
      <c r="HBW45" s="51"/>
      <c r="HBX45" s="51"/>
      <c r="HBY45" s="51"/>
      <c r="HBZ45" s="51"/>
      <c r="HCA45" s="51"/>
      <c r="HCB45" s="51"/>
      <c r="HCC45" s="51"/>
      <c r="HCD45" s="51"/>
      <c r="HCE45" s="51"/>
      <c r="HCF45" s="51"/>
      <c r="HCG45" s="51"/>
      <c r="HCH45" s="51"/>
      <c r="HCI45" s="51"/>
      <c r="HCJ45" s="51"/>
      <c r="HCK45" s="51"/>
      <c r="HCL45" s="51"/>
      <c r="HCM45" s="51"/>
      <c r="HCN45" s="51"/>
      <c r="HCO45" s="51"/>
      <c r="HCP45" s="51"/>
      <c r="HCQ45" s="51"/>
      <c r="HCR45" s="51"/>
      <c r="HCS45" s="51"/>
      <c r="HCT45" s="51"/>
      <c r="HCU45" s="51"/>
      <c r="HCV45" s="51"/>
      <c r="HCW45" s="51"/>
      <c r="HCX45" s="51"/>
      <c r="HCY45" s="51"/>
      <c r="HCZ45" s="51"/>
      <c r="HDA45" s="51"/>
      <c r="HDB45" s="51"/>
      <c r="HDC45" s="51"/>
      <c r="HDD45" s="51"/>
      <c r="HDE45" s="51"/>
      <c r="HDF45" s="51"/>
      <c r="HDG45" s="51"/>
      <c r="HDH45" s="51"/>
      <c r="HDI45" s="51"/>
      <c r="HDJ45" s="51"/>
      <c r="HDK45" s="51"/>
      <c r="HDL45" s="51"/>
      <c r="HDM45" s="51"/>
      <c r="HDN45" s="51"/>
      <c r="HDO45" s="51"/>
      <c r="HDP45" s="51"/>
      <c r="HDQ45" s="51"/>
      <c r="HDR45" s="51"/>
      <c r="HDS45" s="51"/>
      <c r="HDT45" s="51"/>
      <c r="HDU45" s="51"/>
      <c r="HDV45" s="51"/>
      <c r="HDW45" s="51"/>
      <c r="HDX45" s="51"/>
      <c r="HDY45" s="51"/>
      <c r="HDZ45" s="51"/>
      <c r="HEA45" s="51"/>
      <c r="HEB45" s="51"/>
      <c r="HEC45" s="51"/>
      <c r="HED45" s="51"/>
      <c r="HEE45" s="51"/>
      <c r="HEF45" s="51"/>
      <c r="HEG45" s="51"/>
      <c r="HEH45" s="51"/>
      <c r="HEI45" s="51"/>
      <c r="HEJ45" s="51"/>
      <c r="HEK45" s="51"/>
      <c r="HEL45" s="51"/>
      <c r="HEM45" s="51"/>
      <c r="HEN45" s="51"/>
      <c r="HEO45" s="51"/>
      <c r="HEP45" s="51"/>
      <c r="HEQ45" s="51"/>
      <c r="HER45" s="51"/>
      <c r="HES45" s="51"/>
      <c r="HET45" s="51"/>
      <c r="HEU45" s="51"/>
      <c r="HEV45" s="51"/>
      <c r="HEW45" s="51"/>
      <c r="HEX45" s="51"/>
      <c r="HEY45" s="51"/>
      <c r="HEZ45" s="51"/>
      <c r="HFA45" s="51"/>
      <c r="HFB45" s="51"/>
      <c r="HFC45" s="51"/>
      <c r="HFD45" s="51"/>
      <c r="HFE45" s="51"/>
      <c r="HFF45" s="51"/>
      <c r="HFG45" s="51"/>
      <c r="HFH45" s="51"/>
      <c r="HFI45" s="51"/>
      <c r="HFJ45" s="51"/>
      <c r="HFK45" s="51"/>
      <c r="HFL45" s="51"/>
      <c r="HFM45" s="51"/>
      <c r="HFN45" s="51"/>
      <c r="HFO45" s="51"/>
      <c r="HFP45" s="51"/>
      <c r="HFQ45" s="51"/>
      <c r="HFR45" s="51"/>
      <c r="HFS45" s="51"/>
      <c r="HFT45" s="51"/>
      <c r="HFU45" s="51"/>
      <c r="HFV45" s="51"/>
      <c r="HFW45" s="51"/>
      <c r="HFX45" s="51"/>
      <c r="HFY45" s="51"/>
      <c r="HFZ45" s="51"/>
      <c r="HGA45" s="51"/>
      <c r="HGB45" s="51"/>
      <c r="HGC45" s="51"/>
      <c r="HGD45" s="51"/>
      <c r="HGE45" s="51"/>
      <c r="HGF45" s="51"/>
      <c r="HGG45" s="51"/>
      <c r="HGH45" s="51"/>
      <c r="HGI45" s="51"/>
      <c r="HGJ45" s="51"/>
      <c r="HGK45" s="51"/>
      <c r="HGL45" s="51"/>
      <c r="HGM45" s="51"/>
      <c r="HGN45" s="51"/>
      <c r="HGO45" s="51"/>
      <c r="HGP45" s="51"/>
      <c r="HGQ45" s="51"/>
      <c r="HGR45" s="51"/>
      <c r="HGS45" s="51"/>
      <c r="HGT45" s="51"/>
      <c r="HGU45" s="51"/>
      <c r="HGV45" s="51"/>
      <c r="HGW45" s="51"/>
      <c r="HGX45" s="51"/>
      <c r="HGY45" s="51"/>
      <c r="HGZ45" s="51"/>
      <c r="HHA45" s="51"/>
      <c r="HHB45" s="51"/>
      <c r="HHC45" s="51"/>
      <c r="HHD45" s="51"/>
      <c r="HHE45" s="51"/>
      <c r="HHF45" s="51"/>
      <c r="HHG45" s="51"/>
      <c r="HHH45" s="51"/>
      <c r="HHI45" s="51"/>
      <c r="HHJ45" s="51"/>
      <c r="HHK45" s="51"/>
      <c r="HHL45" s="51"/>
      <c r="HHM45" s="51"/>
      <c r="HHN45" s="51"/>
      <c r="HHO45" s="51"/>
      <c r="HHP45" s="51"/>
      <c r="HHQ45" s="51"/>
      <c r="HHR45" s="51"/>
      <c r="HHS45" s="51"/>
      <c r="HHT45" s="51"/>
      <c r="HHU45" s="51"/>
      <c r="HHV45" s="51"/>
      <c r="HHW45" s="51"/>
      <c r="HHX45" s="51"/>
      <c r="HHY45" s="51"/>
      <c r="HHZ45" s="51"/>
      <c r="HIA45" s="51"/>
      <c r="HIB45" s="51"/>
      <c r="HIC45" s="51"/>
      <c r="HID45" s="51"/>
      <c r="HIE45" s="51"/>
      <c r="HIF45" s="51"/>
      <c r="HIG45" s="51"/>
      <c r="HIH45" s="51"/>
      <c r="HII45" s="51"/>
      <c r="HIJ45" s="51"/>
      <c r="HIK45" s="51"/>
      <c r="HIL45" s="51"/>
      <c r="HIM45" s="51"/>
      <c r="HIN45" s="51"/>
      <c r="HIO45" s="51"/>
      <c r="HIP45" s="51"/>
      <c r="HIQ45" s="51"/>
      <c r="HIR45" s="51"/>
      <c r="HIS45" s="51"/>
      <c r="HIT45" s="51"/>
      <c r="HIU45" s="51"/>
      <c r="HIV45" s="51"/>
      <c r="HIW45" s="51"/>
      <c r="HIX45" s="51"/>
      <c r="HIY45" s="51"/>
      <c r="HIZ45" s="51"/>
      <c r="HJA45" s="51"/>
      <c r="HJB45" s="51"/>
      <c r="HJC45" s="51"/>
      <c r="HJD45" s="51"/>
      <c r="HJE45" s="51"/>
      <c r="HJF45" s="51"/>
      <c r="HJG45" s="51"/>
      <c r="HJH45" s="51"/>
      <c r="HJI45" s="51"/>
      <c r="HJJ45" s="51"/>
      <c r="HJK45" s="51"/>
      <c r="HJL45" s="51"/>
      <c r="HJM45" s="51"/>
      <c r="HJN45" s="51"/>
      <c r="HJO45" s="51"/>
      <c r="HJP45" s="51"/>
      <c r="HJQ45" s="51"/>
      <c r="HJR45" s="51"/>
      <c r="HJS45" s="51"/>
      <c r="HJT45" s="51"/>
      <c r="HJU45" s="51"/>
      <c r="HJV45" s="51"/>
      <c r="HJW45" s="51"/>
      <c r="HJX45" s="51"/>
      <c r="HJY45" s="51"/>
      <c r="HJZ45" s="51"/>
      <c r="HKA45" s="51"/>
      <c r="HKB45" s="51"/>
      <c r="HKC45" s="51"/>
      <c r="HKD45" s="51"/>
      <c r="HKE45" s="51"/>
      <c r="HKF45" s="51"/>
      <c r="HKG45" s="51"/>
      <c r="HKH45" s="51"/>
      <c r="HKI45" s="51"/>
      <c r="HKJ45" s="51"/>
      <c r="HKK45" s="51"/>
      <c r="HKL45" s="51"/>
      <c r="HKM45" s="51"/>
      <c r="HKN45" s="51"/>
      <c r="HKO45" s="51"/>
      <c r="HKP45" s="51"/>
      <c r="HKQ45" s="51"/>
      <c r="HKR45" s="51"/>
      <c r="HKS45" s="51"/>
      <c r="HKT45" s="51"/>
      <c r="HKU45" s="51"/>
      <c r="HKV45" s="51"/>
      <c r="HKW45" s="51"/>
      <c r="HKX45" s="51"/>
      <c r="HKY45" s="51"/>
      <c r="HKZ45" s="51"/>
      <c r="HLA45" s="51"/>
      <c r="HLB45" s="51"/>
      <c r="HLC45" s="51"/>
      <c r="HLD45" s="51"/>
      <c r="HLE45" s="51"/>
      <c r="HLF45" s="51"/>
      <c r="HLG45" s="51"/>
      <c r="HLH45" s="51"/>
      <c r="HLI45" s="51"/>
      <c r="HLJ45" s="51"/>
      <c r="HLK45" s="51"/>
      <c r="HLL45" s="51"/>
      <c r="HLM45" s="51"/>
      <c r="HLN45" s="51"/>
      <c r="HLO45" s="51"/>
      <c r="HLP45" s="51"/>
      <c r="HLQ45" s="51"/>
      <c r="HLR45" s="51"/>
      <c r="HLS45" s="51"/>
      <c r="HLT45" s="51"/>
      <c r="HLU45" s="51"/>
      <c r="HLV45" s="51"/>
      <c r="HLW45" s="51"/>
      <c r="HLX45" s="51"/>
      <c r="HLY45" s="51"/>
      <c r="HLZ45" s="51"/>
      <c r="HMA45" s="51"/>
      <c r="HMB45" s="51"/>
      <c r="HMC45" s="51"/>
      <c r="HMD45" s="51"/>
      <c r="HME45" s="51"/>
      <c r="HMF45" s="51"/>
      <c r="HMG45" s="51"/>
      <c r="HMH45" s="51"/>
      <c r="HMI45" s="51"/>
      <c r="HMJ45" s="51"/>
      <c r="HMK45" s="51"/>
      <c r="HML45" s="51"/>
      <c r="HMM45" s="51"/>
      <c r="HMN45" s="51"/>
      <c r="HMO45" s="51"/>
      <c r="HMP45" s="51"/>
      <c r="HMQ45" s="51"/>
      <c r="HMR45" s="51"/>
      <c r="HMS45" s="51"/>
      <c r="HMT45" s="51"/>
      <c r="HMU45" s="51"/>
      <c r="HMV45" s="51"/>
      <c r="HMW45" s="51"/>
      <c r="HMX45" s="51"/>
      <c r="HMY45" s="51"/>
      <c r="HMZ45" s="51"/>
      <c r="HNA45" s="51"/>
      <c r="HNB45" s="51"/>
      <c r="HNC45" s="51"/>
      <c r="HND45" s="51"/>
      <c r="HNE45" s="51"/>
      <c r="HNF45" s="51"/>
      <c r="HNG45" s="51"/>
      <c r="HNH45" s="51"/>
      <c r="HNI45" s="51"/>
      <c r="HNJ45" s="51"/>
      <c r="HNK45" s="51"/>
      <c r="HNL45" s="51"/>
      <c r="HNM45" s="51"/>
      <c r="HNN45" s="51"/>
      <c r="HNO45" s="51"/>
      <c r="HNP45" s="51"/>
      <c r="HNQ45" s="51"/>
      <c r="HNR45" s="51"/>
      <c r="HNS45" s="51"/>
      <c r="HNT45" s="51"/>
      <c r="HNU45" s="51"/>
      <c r="HNV45" s="51"/>
      <c r="HNW45" s="51"/>
      <c r="HNX45" s="51"/>
      <c r="HNY45" s="51"/>
      <c r="HNZ45" s="51"/>
      <c r="HOA45" s="51"/>
      <c r="HOB45" s="51"/>
      <c r="HOC45" s="51"/>
      <c r="HOD45" s="51"/>
      <c r="HOE45" s="51"/>
      <c r="HOF45" s="51"/>
      <c r="HOG45" s="51"/>
      <c r="HOH45" s="51"/>
      <c r="HOI45" s="51"/>
      <c r="HOJ45" s="51"/>
      <c r="HOK45" s="51"/>
      <c r="HOL45" s="51"/>
      <c r="HOM45" s="51"/>
      <c r="HON45" s="51"/>
      <c r="HOO45" s="51"/>
      <c r="HOP45" s="51"/>
      <c r="HOQ45" s="51"/>
      <c r="HOR45" s="51"/>
      <c r="HOS45" s="51"/>
      <c r="HOT45" s="51"/>
      <c r="HOU45" s="51"/>
      <c r="HOV45" s="51"/>
      <c r="HOW45" s="51"/>
      <c r="HOX45" s="51"/>
      <c r="HOY45" s="51"/>
      <c r="HOZ45" s="51"/>
      <c r="HPA45" s="51"/>
      <c r="HPB45" s="51"/>
      <c r="HPC45" s="51"/>
      <c r="HPD45" s="51"/>
      <c r="HPE45" s="51"/>
      <c r="HPF45" s="51"/>
      <c r="HPG45" s="51"/>
      <c r="HPH45" s="51"/>
      <c r="HPI45" s="51"/>
      <c r="HPJ45" s="51"/>
      <c r="HPK45" s="51"/>
      <c r="HPL45" s="51"/>
      <c r="HPM45" s="51"/>
      <c r="HPN45" s="51"/>
      <c r="HPO45" s="51"/>
      <c r="HPP45" s="51"/>
      <c r="HPQ45" s="51"/>
      <c r="HPR45" s="51"/>
      <c r="HPS45" s="51"/>
      <c r="HPT45" s="51"/>
      <c r="HPU45" s="51"/>
      <c r="HPV45" s="51"/>
      <c r="HPW45" s="51"/>
      <c r="HPX45" s="51"/>
      <c r="HPY45" s="51"/>
      <c r="HPZ45" s="51"/>
      <c r="HQA45" s="51"/>
      <c r="HQB45" s="51"/>
      <c r="HQC45" s="51"/>
      <c r="HQD45" s="51"/>
      <c r="HQE45" s="51"/>
      <c r="HQF45" s="51"/>
      <c r="HQG45" s="51"/>
      <c r="HQH45" s="51"/>
      <c r="HQI45" s="51"/>
      <c r="HQJ45" s="51"/>
      <c r="HQK45" s="51"/>
      <c r="HQL45" s="51"/>
      <c r="HQM45" s="51"/>
      <c r="HQN45" s="51"/>
      <c r="HQO45" s="51"/>
      <c r="HQP45" s="51"/>
      <c r="HQQ45" s="51"/>
      <c r="HQR45" s="51"/>
      <c r="HQS45" s="51"/>
      <c r="HQT45" s="51"/>
      <c r="HQU45" s="51"/>
      <c r="HQV45" s="51"/>
      <c r="HQW45" s="51"/>
      <c r="HQX45" s="51"/>
      <c r="HQY45" s="51"/>
      <c r="HQZ45" s="51"/>
      <c r="HRA45" s="51"/>
      <c r="HRB45" s="51"/>
      <c r="HRC45" s="51"/>
      <c r="HRD45" s="51"/>
      <c r="HRE45" s="51"/>
      <c r="HRF45" s="51"/>
      <c r="HRG45" s="51"/>
      <c r="HRH45" s="51"/>
      <c r="HRI45" s="51"/>
      <c r="HRJ45" s="51"/>
      <c r="HRK45" s="51"/>
      <c r="HRL45" s="51"/>
      <c r="HRM45" s="51"/>
      <c r="HRN45" s="51"/>
      <c r="HRO45" s="51"/>
      <c r="HRP45" s="51"/>
      <c r="HRQ45" s="51"/>
      <c r="HRR45" s="51"/>
      <c r="HRS45" s="51"/>
      <c r="HRT45" s="51"/>
      <c r="HRU45" s="51"/>
      <c r="HRV45" s="51"/>
      <c r="HRW45" s="51"/>
      <c r="HRX45" s="51"/>
      <c r="HRY45" s="51"/>
      <c r="HRZ45" s="51"/>
      <c r="HSA45" s="51"/>
      <c r="HSB45" s="51"/>
      <c r="HSC45" s="51"/>
      <c r="HSD45" s="51"/>
      <c r="HSE45" s="51"/>
      <c r="HSF45" s="51"/>
      <c r="HSG45" s="51"/>
      <c r="HSH45" s="51"/>
      <c r="HSI45" s="51"/>
      <c r="HSJ45" s="51"/>
      <c r="HSK45" s="51"/>
      <c r="HSL45" s="51"/>
      <c r="HSM45" s="51"/>
      <c r="HSN45" s="51"/>
      <c r="HSO45" s="51"/>
      <c r="HSP45" s="51"/>
      <c r="HSQ45" s="51"/>
      <c r="HSR45" s="51"/>
      <c r="HSS45" s="51"/>
      <c r="HST45" s="51"/>
      <c r="HSU45" s="51"/>
      <c r="HSV45" s="51"/>
      <c r="HSW45" s="51"/>
      <c r="HSX45" s="51"/>
      <c r="HSY45" s="51"/>
      <c r="HSZ45" s="51"/>
      <c r="HTA45" s="51"/>
      <c r="HTB45" s="51"/>
      <c r="HTC45" s="51"/>
      <c r="HTD45" s="51"/>
      <c r="HTE45" s="51"/>
      <c r="HTF45" s="51"/>
      <c r="HTG45" s="51"/>
      <c r="HTH45" s="51"/>
      <c r="HTI45" s="51"/>
      <c r="HTJ45" s="51"/>
      <c r="HTK45" s="51"/>
      <c r="HTL45" s="51"/>
      <c r="HTM45" s="51"/>
      <c r="HTN45" s="51"/>
      <c r="HTO45" s="51"/>
      <c r="HTP45" s="51"/>
      <c r="HTQ45" s="51"/>
      <c r="HTR45" s="51"/>
      <c r="HTS45" s="51"/>
      <c r="HTT45" s="51"/>
      <c r="HTU45" s="51"/>
      <c r="HTV45" s="51"/>
      <c r="HTW45" s="51"/>
      <c r="HTX45" s="51"/>
      <c r="HTY45" s="51"/>
      <c r="HTZ45" s="51"/>
      <c r="HUA45" s="51"/>
      <c r="HUB45" s="51"/>
      <c r="HUC45" s="51"/>
      <c r="HUD45" s="51"/>
      <c r="HUE45" s="51"/>
      <c r="HUF45" s="51"/>
      <c r="HUG45" s="51"/>
      <c r="HUH45" s="51"/>
      <c r="HUI45" s="51"/>
      <c r="HUJ45" s="51"/>
      <c r="HUK45" s="51"/>
      <c r="HUL45" s="51"/>
      <c r="HUM45" s="51"/>
      <c r="HUN45" s="51"/>
      <c r="HUO45" s="51"/>
      <c r="HUP45" s="51"/>
      <c r="HUQ45" s="51"/>
      <c r="HUR45" s="51"/>
      <c r="HUS45" s="51"/>
      <c r="HUT45" s="51"/>
      <c r="HUU45" s="51"/>
      <c r="HUV45" s="51"/>
      <c r="HUW45" s="51"/>
      <c r="HUX45" s="51"/>
      <c r="HUY45" s="51"/>
      <c r="HUZ45" s="51"/>
      <c r="HVA45" s="51"/>
      <c r="HVB45" s="51"/>
      <c r="HVC45" s="51"/>
      <c r="HVD45" s="51"/>
      <c r="HVE45" s="51"/>
      <c r="HVF45" s="51"/>
      <c r="HVG45" s="51"/>
      <c r="HVH45" s="51"/>
      <c r="HVI45" s="51"/>
      <c r="HVJ45" s="51"/>
      <c r="HVK45" s="51"/>
      <c r="HVL45" s="51"/>
      <c r="HVM45" s="51"/>
      <c r="HVN45" s="51"/>
      <c r="HVO45" s="51"/>
      <c r="HVP45" s="51"/>
      <c r="HVQ45" s="51"/>
      <c r="HVR45" s="51"/>
      <c r="HVS45" s="51"/>
      <c r="HVT45" s="51"/>
      <c r="HVU45" s="51"/>
      <c r="HVV45" s="51"/>
      <c r="HVW45" s="51"/>
      <c r="HVX45" s="51"/>
      <c r="HVY45" s="51"/>
      <c r="HVZ45" s="51"/>
      <c r="HWA45" s="51"/>
      <c r="HWB45" s="51"/>
      <c r="HWC45" s="51"/>
      <c r="HWD45" s="51"/>
      <c r="HWE45" s="51"/>
      <c r="HWF45" s="51"/>
      <c r="HWG45" s="51"/>
      <c r="HWH45" s="51"/>
      <c r="HWI45" s="51"/>
      <c r="HWJ45" s="51"/>
      <c r="HWK45" s="51"/>
      <c r="HWL45" s="51"/>
      <c r="HWM45" s="51"/>
      <c r="HWN45" s="51"/>
      <c r="HWO45" s="51"/>
      <c r="HWP45" s="51"/>
      <c r="HWQ45" s="51"/>
      <c r="HWR45" s="51"/>
      <c r="HWS45" s="51"/>
      <c r="HWT45" s="51"/>
      <c r="HWU45" s="51"/>
      <c r="HWV45" s="51"/>
      <c r="HWW45" s="51"/>
      <c r="HWX45" s="51"/>
      <c r="HWY45" s="51"/>
      <c r="HWZ45" s="51"/>
      <c r="HXA45" s="51"/>
      <c r="HXB45" s="51"/>
      <c r="HXC45" s="51"/>
      <c r="HXD45" s="51"/>
      <c r="HXE45" s="51"/>
      <c r="HXF45" s="51"/>
      <c r="HXG45" s="51"/>
      <c r="HXH45" s="51"/>
      <c r="HXI45" s="51"/>
      <c r="HXJ45" s="51"/>
      <c r="HXK45" s="51"/>
      <c r="HXL45" s="51"/>
      <c r="HXM45" s="51"/>
      <c r="HXN45" s="51"/>
      <c r="HXO45" s="51"/>
      <c r="HXP45" s="51"/>
      <c r="HXQ45" s="51"/>
      <c r="HXR45" s="51"/>
      <c r="HXS45" s="51"/>
      <c r="HXT45" s="51"/>
      <c r="HXU45" s="51"/>
      <c r="HXV45" s="51"/>
      <c r="HXW45" s="51"/>
      <c r="HXX45" s="51"/>
      <c r="HXY45" s="51"/>
      <c r="HXZ45" s="51"/>
      <c r="HYA45" s="51"/>
      <c r="HYB45" s="51"/>
      <c r="HYC45" s="51"/>
      <c r="HYD45" s="51"/>
      <c r="HYE45" s="51"/>
      <c r="HYF45" s="51"/>
      <c r="HYG45" s="51"/>
      <c r="HYH45" s="51"/>
      <c r="HYI45" s="51"/>
      <c r="HYJ45" s="51"/>
      <c r="HYK45" s="51"/>
      <c r="HYL45" s="51"/>
      <c r="HYM45" s="51"/>
      <c r="HYN45" s="51"/>
      <c r="HYO45" s="51"/>
      <c r="HYP45" s="51"/>
      <c r="HYQ45" s="51"/>
      <c r="HYR45" s="51"/>
      <c r="HYS45" s="51"/>
      <c r="HYT45" s="51"/>
      <c r="HYU45" s="51"/>
      <c r="HYV45" s="51"/>
      <c r="HYW45" s="51"/>
      <c r="HYX45" s="51"/>
      <c r="HYY45" s="51"/>
      <c r="HYZ45" s="51"/>
      <c r="HZA45" s="51"/>
      <c r="HZB45" s="51"/>
      <c r="HZC45" s="51"/>
      <c r="HZD45" s="51"/>
      <c r="HZE45" s="51"/>
      <c r="HZF45" s="51"/>
      <c r="HZG45" s="51"/>
      <c r="HZH45" s="51"/>
      <c r="HZI45" s="51"/>
      <c r="HZJ45" s="51"/>
      <c r="HZK45" s="51"/>
      <c r="HZL45" s="51"/>
      <c r="HZM45" s="51"/>
      <c r="HZN45" s="51"/>
      <c r="HZO45" s="51"/>
      <c r="HZP45" s="51"/>
      <c r="HZQ45" s="51"/>
      <c r="HZR45" s="51"/>
      <c r="HZS45" s="51"/>
      <c r="HZT45" s="51"/>
      <c r="HZU45" s="51"/>
      <c r="HZV45" s="51"/>
      <c r="HZW45" s="51"/>
      <c r="HZX45" s="51"/>
      <c r="HZY45" s="51"/>
      <c r="HZZ45" s="51"/>
      <c r="IAA45" s="51"/>
      <c r="IAB45" s="51"/>
      <c r="IAC45" s="51"/>
      <c r="IAD45" s="51"/>
      <c r="IAE45" s="51"/>
      <c r="IAF45" s="51"/>
      <c r="IAG45" s="51"/>
      <c r="IAH45" s="51"/>
      <c r="IAI45" s="51"/>
      <c r="IAJ45" s="51"/>
      <c r="IAK45" s="51"/>
      <c r="IAL45" s="51"/>
      <c r="IAM45" s="51"/>
      <c r="IAN45" s="51"/>
      <c r="IAO45" s="51"/>
      <c r="IAP45" s="51"/>
      <c r="IAQ45" s="51"/>
      <c r="IAR45" s="51"/>
      <c r="IAS45" s="51"/>
      <c r="IAT45" s="51"/>
      <c r="IAU45" s="51"/>
      <c r="IAV45" s="51"/>
      <c r="IAW45" s="51"/>
      <c r="IAX45" s="51"/>
      <c r="IAY45" s="51"/>
      <c r="IAZ45" s="51"/>
      <c r="IBA45" s="51"/>
      <c r="IBB45" s="51"/>
      <c r="IBC45" s="51"/>
      <c r="IBD45" s="51"/>
      <c r="IBE45" s="51"/>
      <c r="IBF45" s="51"/>
      <c r="IBG45" s="51"/>
      <c r="IBH45" s="51"/>
      <c r="IBI45" s="51"/>
      <c r="IBJ45" s="51"/>
      <c r="IBK45" s="51"/>
      <c r="IBL45" s="51"/>
      <c r="IBM45" s="51"/>
      <c r="IBN45" s="51"/>
      <c r="IBO45" s="51"/>
      <c r="IBP45" s="51"/>
      <c r="IBQ45" s="51"/>
      <c r="IBR45" s="51"/>
      <c r="IBS45" s="51"/>
      <c r="IBT45" s="51"/>
      <c r="IBU45" s="51"/>
      <c r="IBV45" s="51"/>
      <c r="IBW45" s="51"/>
      <c r="IBX45" s="51"/>
      <c r="IBY45" s="51"/>
      <c r="IBZ45" s="51"/>
      <c r="ICA45" s="51"/>
      <c r="ICB45" s="51"/>
      <c r="ICC45" s="51"/>
      <c r="ICD45" s="51"/>
      <c r="ICE45" s="51"/>
      <c r="ICF45" s="51"/>
      <c r="ICG45" s="51"/>
      <c r="ICH45" s="51"/>
      <c r="ICI45" s="51"/>
      <c r="ICJ45" s="51"/>
      <c r="ICK45" s="51"/>
      <c r="ICL45" s="51"/>
      <c r="ICM45" s="51"/>
      <c r="ICN45" s="51"/>
      <c r="ICO45" s="51"/>
      <c r="ICP45" s="51"/>
      <c r="ICQ45" s="51"/>
      <c r="ICR45" s="51"/>
      <c r="ICS45" s="51"/>
      <c r="ICT45" s="51"/>
      <c r="ICU45" s="51"/>
      <c r="ICV45" s="51"/>
      <c r="ICW45" s="51"/>
      <c r="ICX45" s="51"/>
      <c r="ICY45" s="51"/>
      <c r="ICZ45" s="51"/>
      <c r="IDA45" s="51"/>
      <c r="IDB45" s="51"/>
      <c r="IDC45" s="51"/>
      <c r="IDD45" s="51"/>
      <c r="IDE45" s="51"/>
      <c r="IDF45" s="51"/>
      <c r="IDG45" s="51"/>
      <c r="IDH45" s="51"/>
      <c r="IDI45" s="51"/>
      <c r="IDJ45" s="51"/>
      <c r="IDK45" s="51"/>
      <c r="IDL45" s="51"/>
      <c r="IDM45" s="51"/>
      <c r="IDN45" s="51"/>
      <c r="IDO45" s="51"/>
      <c r="IDP45" s="51"/>
      <c r="IDQ45" s="51"/>
      <c r="IDR45" s="51"/>
      <c r="IDS45" s="51"/>
      <c r="IDT45" s="51"/>
      <c r="IDU45" s="51"/>
      <c r="IDV45" s="51"/>
      <c r="IDW45" s="51"/>
      <c r="IDX45" s="51"/>
      <c r="IDY45" s="51"/>
      <c r="IDZ45" s="51"/>
      <c r="IEA45" s="51"/>
      <c r="IEB45" s="51"/>
      <c r="IEC45" s="51"/>
      <c r="IED45" s="51"/>
      <c r="IEE45" s="51"/>
      <c r="IEF45" s="51"/>
      <c r="IEG45" s="51"/>
      <c r="IEH45" s="51"/>
      <c r="IEI45" s="51"/>
      <c r="IEJ45" s="51"/>
      <c r="IEK45" s="51"/>
      <c r="IEL45" s="51"/>
      <c r="IEM45" s="51"/>
      <c r="IEN45" s="51"/>
      <c r="IEO45" s="51"/>
      <c r="IEP45" s="51"/>
      <c r="IEQ45" s="51"/>
      <c r="IER45" s="51"/>
      <c r="IES45" s="51"/>
      <c r="IET45" s="51"/>
      <c r="IEU45" s="51"/>
      <c r="IEV45" s="51"/>
      <c r="IEW45" s="51"/>
      <c r="IEX45" s="51"/>
      <c r="IEY45" s="51"/>
      <c r="IEZ45" s="51"/>
      <c r="IFA45" s="51"/>
      <c r="IFB45" s="51"/>
      <c r="IFC45" s="51"/>
      <c r="IFD45" s="51"/>
      <c r="IFE45" s="51"/>
      <c r="IFF45" s="51"/>
      <c r="IFG45" s="51"/>
      <c r="IFH45" s="51"/>
      <c r="IFI45" s="51"/>
      <c r="IFJ45" s="51"/>
      <c r="IFK45" s="51"/>
      <c r="IFL45" s="51"/>
      <c r="IFM45" s="51"/>
      <c r="IFN45" s="51"/>
      <c r="IFO45" s="51"/>
      <c r="IFP45" s="51"/>
      <c r="IFQ45" s="51"/>
      <c r="IFR45" s="51"/>
      <c r="IFS45" s="51"/>
      <c r="IFT45" s="51"/>
      <c r="IFU45" s="51"/>
      <c r="IFV45" s="51"/>
      <c r="IFW45" s="51"/>
      <c r="IFX45" s="51"/>
      <c r="IFY45" s="51"/>
      <c r="IFZ45" s="51"/>
      <c r="IGA45" s="51"/>
      <c r="IGB45" s="51"/>
      <c r="IGC45" s="51"/>
      <c r="IGD45" s="51"/>
      <c r="IGE45" s="51"/>
      <c r="IGF45" s="51"/>
      <c r="IGG45" s="51"/>
      <c r="IGH45" s="51"/>
      <c r="IGI45" s="51"/>
      <c r="IGJ45" s="51"/>
      <c r="IGK45" s="51"/>
      <c r="IGL45" s="51"/>
      <c r="IGM45" s="51"/>
      <c r="IGN45" s="51"/>
      <c r="IGO45" s="51"/>
      <c r="IGP45" s="51"/>
      <c r="IGQ45" s="51"/>
      <c r="IGR45" s="51"/>
      <c r="IGS45" s="51"/>
      <c r="IGT45" s="51"/>
      <c r="IGU45" s="51"/>
      <c r="IGV45" s="51"/>
      <c r="IGW45" s="51"/>
      <c r="IGX45" s="51"/>
      <c r="IGY45" s="51"/>
      <c r="IGZ45" s="51"/>
      <c r="IHA45" s="51"/>
      <c r="IHB45" s="51"/>
      <c r="IHC45" s="51"/>
      <c r="IHD45" s="51"/>
      <c r="IHE45" s="51"/>
      <c r="IHF45" s="51"/>
      <c r="IHG45" s="51"/>
      <c r="IHH45" s="51"/>
      <c r="IHI45" s="51"/>
      <c r="IHJ45" s="51"/>
      <c r="IHK45" s="51"/>
      <c r="IHL45" s="51"/>
      <c r="IHM45" s="51"/>
      <c r="IHN45" s="51"/>
      <c r="IHO45" s="51"/>
      <c r="IHP45" s="51"/>
      <c r="IHQ45" s="51"/>
      <c r="IHR45" s="51"/>
      <c r="IHS45" s="51"/>
      <c r="IHT45" s="51"/>
      <c r="IHU45" s="51"/>
      <c r="IHV45" s="51"/>
      <c r="IHW45" s="51"/>
      <c r="IHX45" s="51"/>
      <c r="IHY45" s="51"/>
      <c r="IHZ45" s="51"/>
      <c r="IIA45" s="51"/>
      <c r="IIB45" s="51"/>
      <c r="IIC45" s="51"/>
      <c r="IID45" s="51"/>
      <c r="IIE45" s="51"/>
      <c r="IIF45" s="51"/>
      <c r="IIG45" s="51"/>
      <c r="IIH45" s="51"/>
      <c r="III45" s="51"/>
      <c r="IIJ45" s="51"/>
      <c r="IIK45" s="51"/>
      <c r="IIL45" s="51"/>
      <c r="IIM45" s="51"/>
      <c r="IIN45" s="51"/>
      <c r="IIO45" s="51"/>
      <c r="IIP45" s="51"/>
      <c r="IIQ45" s="51"/>
      <c r="IIR45" s="51"/>
      <c r="IIS45" s="51"/>
      <c r="IIT45" s="51"/>
      <c r="IIU45" s="51"/>
      <c r="IIV45" s="51"/>
      <c r="IIW45" s="51"/>
      <c r="IIX45" s="51"/>
      <c r="IIY45" s="51"/>
      <c r="IIZ45" s="51"/>
      <c r="IJA45" s="51"/>
      <c r="IJB45" s="51"/>
      <c r="IJC45" s="51"/>
      <c r="IJD45" s="51"/>
      <c r="IJE45" s="51"/>
      <c r="IJF45" s="51"/>
      <c r="IJG45" s="51"/>
      <c r="IJH45" s="51"/>
      <c r="IJI45" s="51"/>
      <c r="IJJ45" s="51"/>
      <c r="IJK45" s="51"/>
      <c r="IJL45" s="51"/>
      <c r="IJM45" s="51"/>
      <c r="IJN45" s="51"/>
      <c r="IJO45" s="51"/>
      <c r="IJP45" s="51"/>
      <c r="IJQ45" s="51"/>
      <c r="IJR45" s="51"/>
      <c r="IJS45" s="51"/>
      <c r="IJT45" s="51"/>
      <c r="IJU45" s="51"/>
      <c r="IJV45" s="51"/>
      <c r="IJW45" s="51"/>
      <c r="IJX45" s="51"/>
      <c r="IJY45" s="51"/>
      <c r="IJZ45" s="51"/>
      <c r="IKA45" s="51"/>
      <c r="IKB45" s="51"/>
      <c r="IKC45" s="51"/>
      <c r="IKD45" s="51"/>
      <c r="IKE45" s="51"/>
      <c r="IKF45" s="51"/>
      <c r="IKG45" s="51"/>
      <c r="IKH45" s="51"/>
      <c r="IKI45" s="51"/>
      <c r="IKJ45" s="51"/>
      <c r="IKK45" s="51"/>
      <c r="IKL45" s="51"/>
      <c r="IKM45" s="51"/>
      <c r="IKN45" s="51"/>
      <c r="IKO45" s="51"/>
      <c r="IKP45" s="51"/>
      <c r="IKQ45" s="51"/>
      <c r="IKR45" s="51"/>
      <c r="IKS45" s="51"/>
      <c r="IKT45" s="51"/>
      <c r="IKU45" s="51"/>
      <c r="IKV45" s="51"/>
      <c r="IKW45" s="51"/>
      <c r="IKX45" s="51"/>
      <c r="IKY45" s="51"/>
      <c r="IKZ45" s="51"/>
      <c r="ILA45" s="51"/>
      <c r="ILB45" s="51"/>
      <c r="ILC45" s="51"/>
      <c r="ILD45" s="51"/>
      <c r="ILE45" s="51"/>
      <c r="ILF45" s="51"/>
      <c r="ILG45" s="51"/>
      <c r="ILH45" s="51"/>
      <c r="ILI45" s="51"/>
      <c r="ILJ45" s="51"/>
      <c r="ILK45" s="51"/>
      <c r="ILL45" s="51"/>
      <c r="ILM45" s="51"/>
      <c r="ILN45" s="51"/>
      <c r="ILO45" s="51"/>
      <c r="ILP45" s="51"/>
      <c r="ILQ45" s="51"/>
      <c r="ILR45" s="51"/>
      <c r="ILS45" s="51"/>
      <c r="ILT45" s="51"/>
      <c r="ILU45" s="51"/>
      <c r="ILV45" s="51"/>
      <c r="ILW45" s="51"/>
      <c r="ILX45" s="51"/>
      <c r="ILY45" s="51"/>
      <c r="ILZ45" s="51"/>
      <c r="IMA45" s="51"/>
      <c r="IMB45" s="51"/>
      <c r="IMC45" s="51"/>
      <c r="IMD45" s="51"/>
      <c r="IME45" s="51"/>
      <c r="IMF45" s="51"/>
      <c r="IMG45" s="51"/>
      <c r="IMH45" s="51"/>
      <c r="IMI45" s="51"/>
      <c r="IMJ45" s="51"/>
      <c r="IMK45" s="51"/>
      <c r="IML45" s="51"/>
      <c r="IMM45" s="51"/>
      <c r="IMN45" s="51"/>
      <c r="IMO45" s="51"/>
      <c r="IMP45" s="51"/>
      <c r="IMQ45" s="51"/>
      <c r="IMR45" s="51"/>
      <c r="IMS45" s="51"/>
      <c r="IMT45" s="51"/>
      <c r="IMU45" s="51"/>
      <c r="IMV45" s="51"/>
      <c r="IMW45" s="51"/>
      <c r="IMX45" s="51"/>
      <c r="IMY45" s="51"/>
      <c r="IMZ45" s="51"/>
      <c r="INA45" s="51"/>
      <c r="INB45" s="51"/>
      <c r="INC45" s="51"/>
      <c r="IND45" s="51"/>
      <c r="INE45" s="51"/>
      <c r="INF45" s="51"/>
      <c r="ING45" s="51"/>
      <c r="INH45" s="51"/>
      <c r="INI45" s="51"/>
      <c r="INJ45" s="51"/>
      <c r="INK45" s="51"/>
      <c r="INL45" s="51"/>
      <c r="INM45" s="51"/>
      <c r="INN45" s="51"/>
      <c r="INO45" s="51"/>
      <c r="INP45" s="51"/>
      <c r="INQ45" s="51"/>
      <c r="INR45" s="51"/>
      <c r="INS45" s="51"/>
      <c r="INT45" s="51"/>
      <c r="INU45" s="51"/>
      <c r="INV45" s="51"/>
      <c r="INW45" s="51"/>
      <c r="INX45" s="51"/>
      <c r="INY45" s="51"/>
      <c r="INZ45" s="51"/>
      <c r="IOA45" s="51"/>
      <c r="IOB45" s="51"/>
      <c r="IOC45" s="51"/>
      <c r="IOD45" s="51"/>
      <c r="IOE45" s="51"/>
      <c r="IOF45" s="51"/>
      <c r="IOG45" s="51"/>
      <c r="IOH45" s="51"/>
      <c r="IOI45" s="51"/>
      <c r="IOJ45" s="51"/>
      <c r="IOK45" s="51"/>
      <c r="IOL45" s="51"/>
      <c r="IOM45" s="51"/>
      <c r="ION45" s="51"/>
      <c r="IOO45" s="51"/>
      <c r="IOP45" s="51"/>
      <c r="IOQ45" s="51"/>
      <c r="IOR45" s="51"/>
      <c r="IOS45" s="51"/>
      <c r="IOT45" s="51"/>
      <c r="IOU45" s="51"/>
      <c r="IOV45" s="51"/>
      <c r="IOW45" s="51"/>
      <c r="IOX45" s="51"/>
      <c r="IOY45" s="51"/>
      <c r="IOZ45" s="51"/>
      <c r="IPA45" s="51"/>
      <c r="IPB45" s="51"/>
      <c r="IPC45" s="51"/>
      <c r="IPD45" s="51"/>
      <c r="IPE45" s="51"/>
      <c r="IPF45" s="51"/>
      <c r="IPG45" s="51"/>
      <c r="IPH45" s="51"/>
      <c r="IPI45" s="51"/>
      <c r="IPJ45" s="51"/>
      <c r="IPK45" s="51"/>
      <c r="IPL45" s="51"/>
      <c r="IPM45" s="51"/>
      <c r="IPN45" s="51"/>
      <c r="IPO45" s="51"/>
      <c r="IPP45" s="51"/>
      <c r="IPQ45" s="51"/>
      <c r="IPR45" s="51"/>
      <c r="IPS45" s="51"/>
      <c r="IPT45" s="51"/>
      <c r="IPU45" s="51"/>
      <c r="IPV45" s="51"/>
      <c r="IPW45" s="51"/>
      <c r="IPX45" s="51"/>
      <c r="IPY45" s="51"/>
      <c r="IPZ45" s="51"/>
      <c r="IQA45" s="51"/>
      <c r="IQB45" s="51"/>
      <c r="IQC45" s="51"/>
      <c r="IQD45" s="51"/>
      <c r="IQE45" s="51"/>
      <c r="IQF45" s="51"/>
      <c r="IQG45" s="51"/>
      <c r="IQH45" s="51"/>
      <c r="IQI45" s="51"/>
      <c r="IQJ45" s="51"/>
      <c r="IQK45" s="51"/>
      <c r="IQL45" s="51"/>
      <c r="IQM45" s="51"/>
      <c r="IQN45" s="51"/>
      <c r="IQO45" s="51"/>
      <c r="IQP45" s="51"/>
      <c r="IQQ45" s="51"/>
      <c r="IQR45" s="51"/>
      <c r="IQS45" s="51"/>
      <c r="IQT45" s="51"/>
      <c r="IQU45" s="51"/>
      <c r="IQV45" s="51"/>
      <c r="IQW45" s="51"/>
      <c r="IQX45" s="51"/>
      <c r="IQY45" s="51"/>
      <c r="IQZ45" s="51"/>
      <c r="IRA45" s="51"/>
      <c r="IRB45" s="51"/>
      <c r="IRC45" s="51"/>
      <c r="IRD45" s="51"/>
      <c r="IRE45" s="51"/>
      <c r="IRF45" s="51"/>
      <c r="IRG45" s="51"/>
      <c r="IRH45" s="51"/>
      <c r="IRI45" s="51"/>
      <c r="IRJ45" s="51"/>
      <c r="IRK45" s="51"/>
      <c r="IRL45" s="51"/>
      <c r="IRM45" s="51"/>
      <c r="IRN45" s="51"/>
      <c r="IRO45" s="51"/>
      <c r="IRP45" s="51"/>
      <c r="IRQ45" s="51"/>
      <c r="IRR45" s="51"/>
      <c r="IRS45" s="51"/>
      <c r="IRT45" s="51"/>
      <c r="IRU45" s="51"/>
      <c r="IRV45" s="51"/>
      <c r="IRW45" s="51"/>
      <c r="IRX45" s="51"/>
      <c r="IRY45" s="51"/>
      <c r="IRZ45" s="51"/>
      <c r="ISA45" s="51"/>
      <c r="ISB45" s="51"/>
      <c r="ISC45" s="51"/>
      <c r="ISD45" s="51"/>
      <c r="ISE45" s="51"/>
      <c r="ISF45" s="51"/>
      <c r="ISG45" s="51"/>
      <c r="ISH45" s="51"/>
      <c r="ISI45" s="51"/>
      <c r="ISJ45" s="51"/>
      <c r="ISK45" s="51"/>
      <c r="ISL45" s="51"/>
      <c r="ISM45" s="51"/>
      <c r="ISN45" s="51"/>
      <c r="ISO45" s="51"/>
      <c r="ISP45" s="51"/>
      <c r="ISQ45" s="51"/>
      <c r="ISR45" s="51"/>
      <c r="ISS45" s="51"/>
      <c r="IST45" s="51"/>
      <c r="ISU45" s="51"/>
      <c r="ISV45" s="51"/>
      <c r="ISW45" s="51"/>
      <c r="ISX45" s="51"/>
      <c r="ISY45" s="51"/>
      <c r="ISZ45" s="51"/>
      <c r="ITA45" s="51"/>
      <c r="ITB45" s="51"/>
      <c r="ITC45" s="51"/>
      <c r="ITD45" s="51"/>
      <c r="ITE45" s="51"/>
      <c r="ITF45" s="51"/>
      <c r="ITG45" s="51"/>
      <c r="ITH45" s="51"/>
      <c r="ITI45" s="51"/>
      <c r="ITJ45" s="51"/>
      <c r="ITK45" s="51"/>
      <c r="ITL45" s="51"/>
      <c r="ITM45" s="51"/>
      <c r="ITN45" s="51"/>
      <c r="ITO45" s="51"/>
      <c r="ITP45" s="51"/>
      <c r="ITQ45" s="51"/>
      <c r="ITR45" s="51"/>
      <c r="ITS45" s="51"/>
      <c r="ITT45" s="51"/>
      <c r="ITU45" s="51"/>
      <c r="ITV45" s="51"/>
      <c r="ITW45" s="51"/>
      <c r="ITX45" s="51"/>
      <c r="ITY45" s="51"/>
      <c r="ITZ45" s="51"/>
      <c r="IUA45" s="51"/>
      <c r="IUB45" s="51"/>
      <c r="IUC45" s="51"/>
      <c r="IUD45" s="51"/>
      <c r="IUE45" s="51"/>
      <c r="IUF45" s="51"/>
      <c r="IUG45" s="51"/>
      <c r="IUH45" s="51"/>
      <c r="IUI45" s="51"/>
      <c r="IUJ45" s="51"/>
      <c r="IUK45" s="51"/>
      <c r="IUL45" s="51"/>
      <c r="IUM45" s="51"/>
      <c r="IUN45" s="51"/>
      <c r="IUO45" s="51"/>
      <c r="IUP45" s="51"/>
      <c r="IUQ45" s="51"/>
      <c r="IUR45" s="51"/>
      <c r="IUS45" s="51"/>
      <c r="IUT45" s="51"/>
      <c r="IUU45" s="51"/>
      <c r="IUV45" s="51"/>
      <c r="IUW45" s="51"/>
      <c r="IUX45" s="51"/>
      <c r="IUY45" s="51"/>
      <c r="IUZ45" s="51"/>
      <c r="IVA45" s="51"/>
      <c r="IVB45" s="51"/>
      <c r="IVC45" s="51"/>
      <c r="IVD45" s="51"/>
      <c r="IVE45" s="51"/>
      <c r="IVF45" s="51"/>
      <c r="IVG45" s="51"/>
      <c r="IVH45" s="51"/>
      <c r="IVI45" s="51"/>
      <c r="IVJ45" s="51"/>
      <c r="IVK45" s="51"/>
      <c r="IVL45" s="51"/>
      <c r="IVM45" s="51"/>
      <c r="IVN45" s="51"/>
      <c r="IVO45" s="51"/>
      <c r="IVP45" s="51"/>
      <c r="IVQ45" s="51"/>
      <c r="IVR45" s="51"/>
      <c r="IVS45" s="51"/>
      <c r="IVT45" s="51"/>
      <c r="IVU45" s="51"/>
      <c r="IVV45" s="51"/>
      <c r="IVW45" s="51"/>
      <c r="IVX45" s="51"/>
      <c r="IVY45" s="51"/>
      <c r="IVZ45" s="51"/>
      <c r="IWA45" s="51"/>
      <c r="IWB45" s="51"/>
      <c r="IWC45" s="51"/>
      <c r="IWD45" s="51"/>
      <c r="IWE45" s="51"/>
      <c r="IWF45" s="51"/>
      <c r="IWG45" s="51"/>
      <c r="IWH45" s="51"/>
      <c r="IWI45" s="51"/>
      <c r="IWJ45" s="51"/>
      <c r="IWK45" s="51"/>
      <c r="IWL45" s="51"/>
      <c r="IWM45" s="51"/>
      <c r="IWN45" s="51"/>
      <c r="IWO45" s="51"/>
      <c r="IWP45" s="51"/>
      <c r="IWQ45" s="51"/>
      <c r="IWR45" s="51"/>
      <c r="IWS45" s="51"/>
      <c r="IWT45" s="51"/>
      <c r="IWU45" s="51"/>
      <c r="IWV45" s="51"/>
      <c r="IWW45" s="51"/>
      <c r="IWX45" s="51"/>
      <c r="IWY45" s="51"/>
      <c r="IWZ45" s="51"/>
      <c r="IXA45" s="51"/>
      <c r="IXB45" s="51"/>
      <c r="IXC45" s="51"/>
      <c r="IXD45" s="51"/>
      <c r="IXE45" s="51"/>
      <c r="IXF45" s="51"/>
      <c r="IXG45" s="51"/>
      <c r="IXH45" s="51"/>
      <c r="IXI45" s="51"/>
      <c r="IXJ45" s="51"/>
      <c r="IXK45" s="51"/>
      <c r="IXL45" s="51"/>
      <c r="IXM45" s="51"/>
      <c r="IXN45" s="51"/>
      <c r="IXO45" s="51"/>
      <c r="IXP45" s="51"/>
      <c r="IXQ45" s="51"/>
      <c r="IXR45" s="51"/>
      <c r="IXS45" s="51"/>
      <c r="IXT45" s="51"/>
      <c r="IXU45" s="51"/>
      <c r="IXV45" s="51"/>
      <c r="IXW45" s="51"/>
      <c r="IXX45" s="51"/>
      <c r="IXY45" s="51"/>
      <c r="IXZ45" s="51"/>
      <c r="IYA45" s="51"/>
      <c r="IYB45" s="51"/>
      <c r="IYC45" s="51"/>
      <c r="IYD45" s="51"/>
      <c r="IYE45" s="51"/>
      <c r="IYF45" s="51"/>
      <c r="IYG45" s="51"/>
      <c r="IYH45" s="51"/>
      <c r="IYI45" s="51"/>
      <c r="IYJ45" s="51"/>
      <c r="IYK45" s="51"/>
      <c r="IYL45" s="51"/>
      <c r="IYM45" s="51"/>
      <c r="IYN45" s="51"/>
      <c r="IYO45" s="51"/>
      <c r="IYP45" s="51"/>
      <c r="IYQ45" s="51"/>
      <c r="IYR45" s="51"/>
      <c r="IYS45" s="51"/>
      <c r="IYT45" s="51"/>
      <c r="IYU45" s="51"/>
      <c r="IYV45" s="51"/>
      <c r="IYW45" s="51"/>
      <c r="IYX45" s="51"/>
      <c r="IYY45" s="51"/>
      <c r="IYZ45" s="51"/>
      <c r="IZA45" s="51"/>
      <c r="IZB45" s="51"/>
      <c r="IZC45" s="51"/>
      <c r="IZD45" s="51"/>
      <c r="IZE45" s="51"/>
      <c r="IZF45" s="51"/>
      <c r="IZG45" s="51"/>
      <c r="IZH45" s="51"/>
      <c r="IZI45" s="51"/>
      <c r="IZJ45" s="51"/>
      <c r="IZK45" s="51"/>
      <c r="IZL45" s="51"/>
      <c r="IZM45" s="51"/>
      <c r="IZN45" s="51"/>
      <c r="IZO45" s="51"/>
      <c r="IZP45" s="51"/>
      <c r="IZQ45" s="51"/>
      <c r="IZR45" s="51"/>
      <c r="IZS45" s="51"/>
      <c r="IZT45" s="51"/>
      <c r="IZU45" s="51"/>
      <c r="IZV45" s="51"/>
      <c r="IZW45" s="51"/>
      <c r="IZX45" s="51"/>
      <c r="IZY45" s="51"/>
      <c r="IZZ45" s="51"/>
      <c r="JAA45" s="51"/>
      <c r="JAB45" s="51"/>
      <c r="JAC45" s="51"/>
      <c r="JAD45" s="51"/>
      <c r="JAE45" s="51"/>
      <c r="JAF45" s="51"/>
      <c r="JAG45" s="51"/>
      <c r="JAH45" s="51"/>
      <c r="JAI45" s="51"/>
      <c r="JAJ45" s="51"/>
      <c r="JAK45" s="51"/>
      <c r="JAL45" s="51"/>
      <c r="JAM45" s="51"/>
      <c r="JAN45" s="51"/>
      <c r="JAO45" s="51"/>
      <c r="JAP45" s="51"/>
      <c r="JAQ45" s="51"/>
      <c r="JAR45" s="51"/>
      <c r="JAS45" s="51"/>
      <c r="JAT45" s="51"/>
      <c r="JAU45" s="51"/>
      <c r="JAV45" s="51"/>
      <c r="JAW45" s="51"/>
      <c r="JAX45" s="51"/>
      <c r="JAY45" s="51"/>
      <c r="JAZ45" s="51"/>
      <c r="JBA45" s="51"/>
      <c r="JBB45" s="51"/>
      <c r="JBC45" s="51"/>
      <c r="JBD45" s="51"/>
      <c r="JBE45" s="51"/>
      <c r="JBF45" s="51"/>
      <c r="JBG45" s="51"/>
      <c r="JBH45" s="51"/>
      <c r="JBI45" s="51"/>
      <c r="JBJ45" s="51"/>
      <c r="JBK45" s="51"/>
      <c r="JBL45" s="51"/>
      <c r="JBM45" s="51"/>
      <c r="JBN45" s="51"/>
      <c r="JBO45" s="51"/>
      <c r="JBP45" s="51"/>
      <c r="JBQ45" s="51"/>
      <c r="JBR45" s="51"/>
      <c r="JBS45" s="51"/>
      <c r="JBT45" s="51"/>
      <c r="JBU45" s="51"/>
      <c r="JBV45" s="51"/>
      <c r="JBW45" s="51"/>
      <c r="JBX45" s="51"/>
      <c r="JBY45" s="51"/>
      <c r="JBZ45" s="51"/>
      <c r="JCA45" s="51"/>
      <c r="JCB45" s="51"/>
      <c r="JCC45" s="51"/>
      <c r="JCD45" s="51"/>
      <c r="JCE45" s="51"/>
      <c r="JCF45" s="51"/>
      <c r="JCG45" s="51"/>
      <c r="JCH45" s="51"/>
      <c r="JCI45" s="51"/>
      <c r="JCJ45" s="51"/>
      <c r="JCK45" s="51"/>
      <c r="JCL45" s="51"/>
      <c r="JCM45" s="51"/>
      <c r="JCN45" s="51"/>
      <c r="JCO45" s="51"/>
      <c r="JCP45" s="51"/>
      <c r="JCQ45" s="51"/>
      <c r="JCR45" s="51"/>
      <c r="JCS45" s="51"/>
      <c r="JCT45" s="51"/>
      <c r="JCU45" s="51"/>
      <c r="JCV45" s="51"/>
      <c r="JCW45" s="51"/>
      <c r="JCX45" s="51"/>
      <c r="JCY45" s="51"/>
      <c r="JCZ45" s="51"/>
      <c r="JDA45" s="51"/>
      <c r="JDB45" s="51"/>
      <c r="JDC45" s="51"/>
      <c r="JDD45" s="51"/>
      <c r="JDE45" s="51"/>
      <c r="JDF45" s="51"/>
      <c r="JDG45" s="51"/>
      <c r="JDH45" s="51"/>
      <c r="JDI45" s="51"/>
      <c r="JDJ45" s="51"/>
      <c r="JDK45" s="51"/>
      <c r="JDL45" s="51"/>
      <c r="JDM45" s="51"/>
      <c r="JDN45" s="51"/>
      <c r="JDO45" s="51"/>
      <c r="JDP45" s="51"/>
      <c r="JDQ45" s="51"/>
      <c r="JDR45" s="51"/>
      <c r="JDS45" s="51"/>
      <c r="JDT45" s="51"/>
      <c r="JDU45" s="51"/>
      <c r="JDV45" s="51"/>
      <c r="JDW45" s="51"/>
      <c r="JDX45" s="51"/>
      <c r="JDY45" s="51"/>
      <c r="JDZ45" s="51"/>
      <c r="JEA45" s="51"/>
      <c r="JEB45" s="51"/>
      <c r="JEC45" s="51"/>
      <c r="JED45" s="51"/>
      <c r="JEE45" s="51"/>
      <c r="JEF45" s="51"/>
      <c r="JEG45" s="51"/>
      <c r="JEH45" s="51"/>
      <c r="JEI45" s="51"/>
      <c r="JEJ45" s="51"/>
      <c r="JEK45" s="51"/>
      <c r="JEL45" s="51"/>
      <c r="JEM45" s="51"/>
      <c r="JEN45" s="51"/>
      <c r="JEO45" s="51"/>
      <c r="JEP45" s="51"/>
      <c r="JEQ45" s="51"/>
      <c r="JER45" s="51"/>
      <c r="JES45" s="51"/>
      <c r="JET45" s="51"/>
      <c r="JEU45" s="51"/>
      <c r="JEV45" s="51"/>
      <c r="JEW45" s="51"/>
      <c r="JEX45" s="51"/>
      <c r="JEY45" s="51"/>
      <c r="JEZ45" s="51"/>
      <c r="JFA45" s="51"/>
      <c r="JFB45" s="51"/>
      <c r="JFC45" s="51"/>
      <c r="JFD45" s="51"/>
      <c r="JFE45" s="51"/>
      <c r="JFF45" s="51"/>
      <c r="JFG45" s="51"/>
      <c r="JFH45" s="51"/>
      <c r="JFI45" s="51"/>
      <c r="JFJ45" s="51"/>
      <c r="JFK45" s="51"/>
      <c r="JFL45" s="51"/>
      <c r="JFM45" s="51"/>
      <c r="JFN45" s="51"/>
      <c r="JFO45" s="51"/>
      <c r="JFP45" s="51"/>
      <c r="JFQ45" s="51"/>
      <c r="JFR45" s="51"/>
      <c r="JFS45" s="51"/>
      <c r="JFT45" s="51"/>
      <c r="JFU45" s="51"/>
      <c r="JFV45" s="51"/>
      <c r="JFW45" s="51"/>
      <c r="JFX45" s="51"/>
      <c r="JFY45" s="51"/>
      <c r="JFZ45" s="51"/>
      <c r="JGA45" s="51"/>
      <c r="JGB45" s="51"/>
      <c r="JGC45" s="51"/>
      <c r="JGD45" s="51"/>
      <c r="JGE45" s="51"/>
      <c r="JGF45" s="51"/>
      <c r="JGG45" s="51"/>
      <c r="JGH45" s="51"/>
      <c r="JGI45" s="51"/>
      <c r="JGJ45" s="51"/>
      <c r="JGK45" s="51"/>
      <c r="JGL45" s="51"/>
      <c r="JGM45" s="51"/>
      <c r="JGN45" s="51"/>
      <c r="JGO45" s="51"/>
      <c r="JGP45" s="51"/>
      <c r="JGQ45" s="51"/>
      <c r="JGR45" s="51"/>
      <c r="JGS45" s="51"/>
      <c r="JGT45" s="51"/>
      <c r="JGU45" s="51"/>
      <c r="JGV45" s="51"/>
      <c r="JGW45" s="51"/>
      <c r="JGX45" s="51"/>
      <c r="JGY45" s="51"/>
      <c r="JGZ45" s="51"/>
      <c r="JHA45" s="51"/>
      <c r="JHB45" s="51"/>
      <c r="JHC45" s="51"/>
      <c r="JHD45" s="51"/>
      <c r="JHE45" s="51"/>
      <c r="JHF45" s="51"/>
      <c r="JHG45" s="51"/>
      <c r="JHH45" s="51"/>
      <c r="JHI45" s="51"/>
      <c r="JHJ45" s="51"/>
      <c r="JHK45" s="51"/>
      <c r="JHL45" s="51"/>
      <c r="JHM45" s="51"/>
      <c r="JHN45" s="51"/>
      <c r="JHO45" s="51"/>
      <c r="JHP45" s="51"/>
      <c r="JHQ45" s="51"/>
      <c r="JHR45" s="51"/>
      <c r="JHS45" s="51"/>
      <c r="JHT45" s="51"/>
      <c r="JHU45" s="51"/>
      <c r="JHV45" s="51"/>
      <c r="JHW45" s="51"/>
      <c r="JHX45" s="51"/>
      <c r="JHY45" s="51"/>
      <c r="JHZ45" s="51"/>
      <c r="JIA45" s="51"/>
      <c r="JIB45" s="51"/>
      <c r="JIC45" s="51"/>
      <c r="JID45" s="51"/>
      <c r="JIE45" s="51"/>
      <c r="JIF45" s="51"/>
      <c r="JIG45" s="51"/>
      <c r="JIH45" s="51"/>
      <c r="JII45" s="51"/>
      <c r="JIJ45" s="51"/>
      <c r="JIK45" s="51"/>
      <c r="JIL45" s="51"/>
      <c r="JIM45" s="51"/>
      <c r="JIN45" s="51"/>
      <c r="JIO45" s="51"/>
      <c r="JIP45" s="51"/>
      <c r="JIQ45" s="51"/>
      <c r="JIR45" s="51"/>
      <c r="JIS45" s="51"/>
      <c r="JIT45" s="51"/>
      <c r="JIU45" s="51"/>
      <c r="JIV45" s="51"/>
      <c r="JIW45" s="51"/>
      <c r="JIX45" s="51"/>
      <c r="JIY45" s="51"/>
      <c r="JIZ45" s="51"/>
      <c r="JJA45" s="51"/>
      <c r="JJB45" s="51"/>
      <c r="JJC45" s="51"/>
      <c r="JJD45" s="51"/>
      <c r="JJE45" s="51"/>
      <c r="JJF45" s="51"/>
      <c r="JJG45" s="51"/>
      <c r="JJH45" s="51"/>
      <c r="JJI45" s="51"/>
      <c r="JJJ45" s="51"/>
      <c r="JJK45" s="51"/>
      <c r="JJL45" s="51"/>
      <c r="JJM45" s="51"/>
      <c r="JJN45" s="51"/>
      <c r="JJO45" s="51"/>
      <c r="JJP45" s="51"/>
      <c r="JJQ45" s="51"/>
      <c r="JJR45" s="51"/>
      <c r="JJS45" s="51"/>
      <c r="JJT45" s="51"/>
      <c r="JJU45" s="51"/>
      <c r="JJV45" s="51"/>
      <c r="JJW45" s="51"/>
      <c r="JJX45" s="51"/>
      <c r="JJY45" s="51"/>
      <c r="JJZ45" s="51"/>
      <c r="JKA45" s="51"/>
      <c r="JKB45" s="51"/>
      <c r="JKC45" s="51"/>
      <c r="JKD45" s="51"/>
      <c r="JKE45" s="51"/>
      <c r="JKF45" s="51"/>
      <c r="JKG45" s="51"/>
      <c r="JKH45" s="51"/>
      <c r="JKI45" s="51"/>
      <c r="JKJ45" s="51"/>
      <c r="JKK45" s="51"/>
      <c r="JKL45" s="51"/>
      <c r="JKM45" s="51"/>
      <c r="JKN45" s="51"/>
      <c r="JKO45" s="51"/>
      <c r="JKP45" s="51"/>
      <c r="JKQ45" s="51"/>
      <c r="JKR45" s="51"/>
      <c r="JKS45" s="51"/>
      <c r="JKT45" s="51"/>
      <c r="JKU45" s="51"/>
      <c r="JKV45" s="51"/>
      <c r="JKW45" s="51"/>
      <c r="JKX45" s="51"/>
      <c r="JKY45" s="51"/>
      <c r="JKZ45" s="51"/>
      <c r="JLA45" s="51"/>
      <c r="JLB45" s="51"/>
      <c r="JLC45" s="51"/>
      <c r="JLD45" s="51"/>
      <c r="JLE45" s="51"/>
      <c r="JLF45" s="51"/>
      <c r="JLG45" s="51"/>
      <c r="JLH45" s="51"/>
      <c r="JLI45" s="51"/>
      <c r="JLJ45" s="51"/>
      <c r="JLK45" s="51"/>
      <c r="JLL45" s="51"/>
      <c r="JLM45" s="51"/>
      <c r="JLN45" s="51"/>
      <c r="JLO45" s="51"/>
      <c r="JLP45" s="51"/>
      <c r="JLQ45" s="51"/>
      <c r="JLR45" s="51"/>
      <c r="JLS45" s="51"/>
      <c r="JLT45" s="51"/>
      <c r="JLU45" s="51"/>
      <c r="JLV45" s="51"/>
      <c r="JLW45" s="51"/>
      <c r="JLX45" s="51"/>
      <c r="JLY45" s="51"/>
      <c r="JLZ45" s="51"/>
      <c r="JMA45" s="51"/>
      <c r="JMB45" s="51"/>
      <c r="JMC45" s="51"/>
      <c r="JMD45" s="51"/>
      <c r="JME45" s="51"/>
      <c r="JMF45" s="51"/>
      <c r="JMG45" s="51"/>
      <c r="JMH45" s="51"/>
      <c r="JMI45" s="51"/>
      <c r="JMJ45" s="51"/>
      <c r="JMK45" s="51"/>
      <c r="JML45" s="51"/>
      <c r="JMM45" s="51"/>
      <c r="JMN45" s="51"/>
      <c r="JMO45" s="51"/>
      <c r="JMP45" s="51"/>
      <c r="JMQ45" s="51"/>
      <c r="JMR45" s="51"/>
      <c r="JMS45" s="51"/>
      <c r="JMT45" s="51"/>
      <c r="JMU45" s="51"/>
      <c r="JMV45" s="51"/>
      <c r="JMW45" s="51"/>
      <c r="JMX45" s="51"/>
      <c r="JMY45" s="51"/>
      <c r="JMZ45" s="51"/>
      <c r="JNA45" s="51"/>
      <c r="JNB45" s="51"/>
      <c r="JNC45" s="51"/>
      <c r="JND45" s="51"/>
      <c r="JNE45" s="51"/>
      <c r="JNF45" s="51"/>
      <c r="JNG45" s="51"/>
      <c r="JNH45" s="51"/>
      <c r="JNI45" s="51"/>
      <c r="JNJ45" s="51"/>
      <c r="JNK45" s="51"/>
      <c r="JNL45" s="51"/>
      <c r="JNM45" s="51"/>
      <c r="JNN45" s="51"/>
      <c r="JNO45" s="51"/>
      <c r="JNP45" s="51"/>
      <c r="JNQ45" s="51"/>
      <c r="JNR45" s="51"/>
      <c r="JNS45" s="51"/>
      <c r="JNT45" s="51"/>
      <c r="JNU45" s="51"/>
      <c r="JNV45" s="51"/>
      <c r="JNW45" s="51"/>
      <c r="JNX45" s="51"/>
      <c r="JNY45" s="51"/>
      <c r="JNZ45" s="51"/>
      <c r="JOA45" s="51"/>
      <c r="JOB45" s="51"/>
      <c r="JOC45" s="51"/>
      <c r="JOD45" s="51"/>
      <c r="JOE45" s="51"/>
      <c r="JOF45" s="51"/>
      <c r="JOG45" s="51"/>
      <c r="JOH45" s="51"/>
      <c r="JOI45" s="51"/>
      <c r="JOJ45" s="51"/>
      <c r="JOK45" s="51"/>
      <c r="JOL45" s="51"/>
      <c r="JOM45" s="51"/>
      <c r="JON45" s="51"/>
      <c r="JOO45" s="51"/>
      <c r="JOP45" s="51"/>
      <c r="JOQ45" s="51"/>
      <c r="JOR45" s="51"/>
      <c r="JOS45" s="51"/>
      <c r="JOT45" s="51"/>
      <c r="JOU45" s="51"/>
      <c r="JOV45" s="51"/>
      <c r="JOW45" s="51"/>
      <c r="JOX45" s="51"/>
      <c r="JOY45" s="51"/>
      <c r="JOZ45" s="51"/>
      <c r="JPA45" s="51"/>
      <c r="JPB45" s="51"/>
      <c r="JPC45" s="51"/>
      <c r="JPD45" s="51"/>
      <c r="JPE45" s="51"/>
      <c r="JPF45" s="51"/>
      <c r="JPG45" s="51"/>
      <c r="JPH45" s="51"/>
      <c r="JPI45" s="51"/>
      <c r="JPJ45" s="51"/>
      <c r="JPK45" s="51"/>
      <c r="JPL45" s="51"/>
      <c r="JPM45" s="51"/>
      <c r="JPN45" s="51"/>
      <c r="JPO45" s="51"/>
      <c r="JPP45" s="51"/>
      <c r="JPQ45" s="51"/>
      <c r="JPR45" s="51"/>
      <c r="JPS45" s="51"/>
      <c r="JPT45" s="51"/>
      <c r="JPU45" s="51"/>
      <c r="JPV45" s="51"/>
      <c r="JPW45" s="51"/>
      <c r="JPX45" s="51"/>
      <c r="JPY45" s="51"/>
      <c r="JPZ45" s="51"/>
      <c r="JQA45" s="51"/>
      <c r="JQB45" s="51"/>
      <c r="JQC45" s="51"/>
      <c r="JQD45" s="51"/>
      <c r="JQE45" s="51"/>
      <c r="JQF45" s="51"/>
      <c r="JQG45" s="51"/>
      <c r="JQH45" s="51"/>
      <c r="JQI45" s="51"/>
      <c r="JQJ45" s="51"/>
      <c r="JQK45" s="51"/>
      <c r="JQL45" s="51"/>
      <c r="JQM45" s="51"/>
      <c r="JQN45" s="51"/>
      <c r="JQO45" s="51"/>
      <c r="JQP45" s="51"/>
      <c r="JQQ45" s="51"/>
      <c r="JQR45" s="51"/>
      <c r="JQS45" s="51"/>
      <c r="JQT45" s="51"/>
      <c r="JQU45" s="51"/>
      <c r="JQV45" s="51"/>
      <c r="JQW45" s="51"/>
      <c r="JQX45" s="51"/>
      <c r="JQY45" s="51"/>
      <c r="JQZ45" s="51"/>
      <c r="JRA45" s="51"/>
      <c r="JRB45" s="51"/>
      <c r="JRC45" s="51"/>
      <c r="JRD45" s="51"/>
      <c r="JRE45" s="51"/>
      <c r="JRF45" s="51"/>
      <c r="JRG45" s="51"/>
      <c r="JRH45" s="51"/>
      <c r="JRI45" s="51"/>
      <c r="JRJ45" s="51"/>
      <c r="JRK45" s="51"/>
      <c r="JRL45" s="51"/>
      <c r="JRM45" s="51"/>
      <c r="JRN45" s="51"/>
      <c r="JRO45" s="51"/>
      <c r="JRP45" s="51"/>
      <c r="JRQ45" s="51"/>
      <c r="JRR45" s="51"/>
      <c r="JRS45" s="51"/>
      <c r="JRT45" s="51"/>
      <c r="JRU45" s="51"/>
      <c r="JRV45" s="51"/>
      <c r="JRW45" s="51"/>
      <c r="JRX45" s="51"/>
      <c r="JRY45" s="51"/>
      <c r="JRZ45" s="51"/>
      <c r="JSA45" s="51"/>
      <c r="JSB45" s="51"/>
      <c r="JSC45" s="51"/>
      <c r="JSD45" s="51"/>
      <c r="JSE45" s="51"/>
      <c r="JSF45" s="51"/>
      <c r="JSG45" s="51"/>
      <c r="JSH45" s="51"/>
      <c r="JSI45" s="51"/>
      <c r="JSJ45" s="51"/>
      <c r="JSK45" s="51"/>
      <c r="JSL45" s="51"/>
      <c r="JSM45" s="51"/>
      <c r="JSN45" s="51"/>
      <c r="JSO45" s="51"/>
      <c r="JSP45" s="51"/>
      <c r="JSQ45" s="51"/>
      <c r="JSR45" s="51"/>
      <c r="JSS45" s="51"/>
      <c r="JST45" s="51"/>
      <c r="JSU45" s="51"/>
      <c r="JSV45" s="51"/>
      <c r="JSW45" s="51"/>
      <c r="JSX45" s="51"/>
      <c r="JSY45" s="51"/>
      <c r="JSZ45" s="51"/>
      <c r="JTA45" s="51"/>
      <c r="JTB45" s="51"/>
      <c r="JTC45" s="51"/>
      <c r="JTD45" s="51"/>
      <c r="JTE45" s="51"/>
      <c r="JTF45" s="51"/>
      <c r="JTG45" s="51"/>
      <c r="JTH45" s="51"/>
      <c r="JTI45" s="51"/>
      <c r="JTJ45" s="51"/>
      <c r="JTK45" s="51"/>
      <c r="JTL45" s="51"/>
      <c r="JTM45" s="51"/>
      <c r="JTN45" s="51"/>
      <c r="JTO45" s="51"/>
      <c r="JTP45" s="51"/>
      <c r="JTQ45" s="51"/>
      <c r="JTR45" s="51"/>
      <c r="JTS45" s="51"/>
      <c r="JTT45" s="51"/>
      <c r="JTU45" s="51"/>
      <c r="JTV45" s="51"/>
      <c r="JTW45" s="51"/>
      <c r="JTX45" s="51"/>
      <c r="JTY45" s="51"/>
      <c r="JTZ45" s="51"/>
      <c r="JUA45" s="51"/>
      <c r="JUB45" s="51"/>
      <c r="JUC45" s="51"/>
      <c r="JUD45" s="51"/>
      <c r="JUE45" s="51"/>
      <c r="JUF45" s="51"/>
      <c r="JUG45" s="51"/>
      <c r="JUH45" s="51"/>
      <c r="JUI45" s="51"/>
      <c r="JUJ45" s="51"/>
      <c r="JUK45" s="51"/>
      <c r="JUL45" s="51"/>
      <c r="JUM45" s="51"/>
      <c r="JUN45" s="51"/>
      <c r="JUO45" s="51"/>
      <c r="JUP45" s="51"/>
      <c r="JUQ45" s="51"/>
      <c r="JUR45" s="51"/>
      <c r="JUS45" s="51"/>
      <c r="JUT45" s="51"/>
      <c r="JUU45" s="51"/>
      <c r="JUV45" s="51"/>
      <c r="JUW45" s="51"/>
      <c r="JUX45" s="51"/>
      <c r="JUY45" s="51"/>
      <c r="JUZ45" s="51"/>
      <c r="JVA45" s="51"/>
      <c r="JVB45" s="51"/>
      <c r="JVC45" s="51"/>
      <c r="JVD45" s="51"/>
      <c r="JVE45" s="51"/>
      <c r="JVF45" s="51"/>
      <c r="JVG45" s="51"/>
      <c r="JVH45" s="51"/>
      <c r="JVI45" s="51"/>
      <c r="JVJ45" s="51"/>
      <c r="JVK45" s="51"/>
      <c r="JVL45" s="51"/>
      <c r="JVM45" s="51"/>
      <c r="JVN45" s="51"/>
      <c r="JVO45" s="51"/>
      <c r="JVP45" s="51"/>
      <c r="JVQ45" s="51"/>
      <c r="JVR45" s="51"/>
      <c r="JVS45" s="51"/>
      <c r="JVT45" s="51"/>
      <c r="JVU45" s="51"/>
      <c r="JVV45" s="51"/>
      <c r="JVW45" s="51"/>
      <c r="JVX45" s="51"/>
      <c r="JVY45" s="51"/>
      <c r="JVZ45" s="51"/>
      <c r="JWA45" s="51"/>
      <c r="JWB45" s="51"/>
      <c r="JWC45" s="51"/>
      <c r="JWD45" s="51"/>
      <c r="JWE45" s="51"/>
      <c r="JWF45" s="51"/>
      <c r="JWG45" s="51"/>
      <c r="JWH45" s="51"/>
      <c r="JWI45" s="51"/>
      <c r="JWJ45" s="51"/>
      <c r="JWK45" s="51"/>
      <c r="JWL45" s="51"/>
      <c r="JWM45" s="51"/>
      <c r="JWN45" s="51"/>
      <c r="JWO45" s="51"/>
      <c r="JWP45" s="51"/>
      <c r="JWQ45" s="51"/>
      <c r="JWR45" s="51"/>
      <c r="JWS45" s="51"/>
      <c r="JWT45" s="51"/>
      <c r="JWU45" s="51"/>
      <c r="JWV45" s="51"/>
      <c r="JWW45" s="51"/>
      <c r="JWX45" s="51"/>
      <c r="JWY45" s="51"/>
      <c r="JWZ45" s="51"/>
      <c r="JXA45" s="51"/>
      <c r="JXB45" s="51"/>
      <c r="JXC45" s="51"/>
      <c r="JXD45" s="51"/>
      <c r="JXE45" s="51"/>
      <c r="JXF45" s="51"/>
      <c r="JXG45" s="51"/>
      <c r="JXH45" s="51"/>
      <c r="JXI45" s="51"/>
      <c r="JXJ45" s="51"/>
      <c r="JXK45" s="51"/>
      <c r="JXL45" s="51"/>
      <c r="JXM45" s="51"/>
      <c r="JXN45" s="51"/>
      <c r="JXO45" s="51"/>
      <c r="JXP45" s="51"/>
      <c r="JXQ45" s="51"/>
      <c r="JXR45" s="51"/>
      <c r="JXS45" s="51"/>
      <c r="JXT45" s="51"/>
      <c r="JXU45" s="51"/>
      <c r="JXV45" s="51"/>
      <c r="JXW45" s="51"/>
      <c r="JXX45" s="51"/>
      <c r="JXY45" s="51"/>
      <c r="JXZ45" s="51"/>
      <c r="JYA45" s="51"/>
      <c r="JYB45" s="51"/>
      <c r="JYC45" s="51"/>
      <c r="JYD45" s="51"/>
      <c r="JYE45" s="51"/>
      <c r="JYF45" s="51"/>
      <c r="JYG45" s="51"/>
      <c r="JYH45" s="51"/>
      <c r="JYI45" s="51"/>
      <c r="JYJ45" s="51"/>
      <c r="JYK45" s="51"/>
      <c r="JYL45" s="51"/>
      <c r="JYM45" s="51"/>
      <c r="JYN45" s="51"/>
      <c r="JYO45" s="51"/>
      <c r="JYP45" s="51"/>
      <c r="JYQ45" s="51"/>
      <c r="JYR45" s="51"/>
      <c r="JYS45" s="51"/>
      <c r="JYT45" s="51"/>
      <c r="JYU45" s="51"/>
      <c r="JYV45" s="51"/>
      <c r="JYW45" s="51"/>
      <c r="JYX45" s="51"/>
      <c r="JYY45" s="51"/>
      <c r="JYZ45" s="51"/>
      <c r="JZA45" s="51"/>
      <c r="JZB45" s="51"/>
      <c r="JZC45" s="51"/>
      <c r="JZD45" s="51"/>
      <c r="JZE45" s="51"/>
      <c r="JZF45" s="51"/>
      <c r="JZG45" s="51"/>
      <c r="JZH45" s="51"/>
      <c r="JZI45" s="51"/>
      <c r="JZJ45" s="51"/>
      <c r="JZK45" s="51"/>
      <c r="JZL45" s="51"/>
      <c r="JZM45" s="51"/>
      <c r="JZN45" s="51"/>
      <c r="JZO45" s="51"/>
      <c r="JZP45" s="51"/>
      <c r="JZQ45" s="51"/>
      <c r="JZR45" s="51"/>
      <c r="JZS45" s="51"/>
      <c r="JZT45" s="51"/>
      <c r="JZU45" s="51"/>
      <c r="JZV45" s="51"/>
      <c r="JZW45" s="51"/>
      <c r="JZX45" s="51"/>
      <c r="JZY45" s="51"/>
      <c r="JZZ45" s="51"/>
      <c r="KAA45" s="51"/>
      <c r="KAB45" s="51"/>
      <c r="KAC45" s="51"/>
      <c r="KAD45" s="51"/>
      <c r="KAE45" s="51"/>
      <c r="KAF45" s="51"/>
      <c r="KAG45" s="51"/>
      <c r="KAH45" s="51"/>
      <c r="KAI45" s="51"/>
      <c r="KAJ45" s="51"/>
      <c r="KAK45" s="51"/>
      <c r="KAL45" s="51"/>
      <c r="KAM45" s="51"/>
      <c r="KAN45" s="51"/>
      <c r="KAO45" s="51"/>
      <c r="KAP45" s="51"/>
      <c r="KAQ45" s="51"/>
      <c r="KAR45" s="51"/>
      <c r="KAS45" s="51"/>
      <c r="KAT45" s="51"/>
      <c r="KAU45" s="51"/>
      <c r="KAV45" s="51"/>
      <c r="KAW45" s="51"/>
      <c r="KAX45" s="51"/>
      <c r="KAY45" s="51"/>
      <c r="KAZ45" s="51"/>
      <c r="KBA45" s="51"/>
      <c r="KBB45" s="51"/>
      <c r="KBC45" s="51"/>
      <c r="KBD45" s="51"/>
      <c r="KBE45" s="51"/>
      <c r="KBF45" s="51"/>
      <c r="KBG45" s="51"/>
      <c r="KBH45" s="51"/>
      <c r="KBI45" s="51"/>
      <c r="KBJ45" s="51"/>
      <c r="KBK45" s="51"/>
      <c r="KBL45" s="51"/>
      <c r="KBM45" s="51"/>
      <c r="KBN45" s="51"/>
      <c r="KBO45" s="51"/>
      <c r="KBP45" s="51"/>
      <c r="KBQ45" s="51"/>
      <c r="KBR45" s="51"/>
      <c r="KBS45" s="51"/>
      <c r="KBT45" s="51"/>
      <c r="KBU45" s="51"/>
      <c r="KBV45" s="51"/>
      <c r="KBW45" s="51"/>
      <c r="KBX45" s="51"/>
      <c r="KBY45" s="51"/>
      <c r="KBZ45" s="51"/>
      <c r="KCA45" s="51"/>
      <c r="KCB45" s="51"/>
      <c r="KCC45" s="51"/>
      <c r="KCD45" s="51"/>
      <c r="KCE45" s="51"/>
      <c r="KCF45" s="51"/>
      <c r="KCG45" s="51"/>
      <c r="KCH45" s="51"/>
      <c r="KCI45" s="51"/>
      <c r="KCJ45" s="51"/>
      <c r="KCK45" s="51"/>
      <c r="KCL45" s="51"/>
      <c r="KCM45" s="51"/>
      <c r="KCN45" s="51"/>
      <c r="KCO45" s="51"/>
      <c r="KCP45" s="51"/>
      <c r="KCQ45" s="51"/>
      <c r="KCR45" s="51"/>
      <c r="KCS45" s="51"/>
      <c r="KCT45" s="51"/>
      <c r="KCU45" s="51"/>
      <c r="KCV45" s="51"/>
      <c r="KCW45" s="51"/>
      <c r="KCX45" s="51"/>
      <c r="KCY45" s="51"/>
      <c r="KCZ45" s="51"/>
      <c r="KDA45" s="51"/>
      <c r="KDB45" s="51"/>
      <c r="KDC45" s="51"/>
      <c r="KDD45" s="51"/>
      <c r="KDE45" s="51"/>
      <c r="KDF45" s="51"/>
      <c r="KDG45" s="51"/>
      <c r="KDH45" s="51"/>
      <c r="KDI45" s="51"/>
      <c r="KDJ45" s="51"/>
      <c r="KDK45" s="51"/>
      <c r="KDL45" s="51"/>
      <c r="KDM45" s="51"/>
      <c r="KDN45" s="51"/>
      <c r="KDO45" s="51"/>
      <c r="KDP45" s="51"/>
      <c r="KDQ45" s="51"/>
      <c r="KDR45" s="51"/>
      <c r="KDS45" s="51"/>
      <c r="KDT45" s="51"/>
      <c r="KDU45" s="51"/>
      <c r="KDV45" s="51"/>
      <c r="KDW45" s="51"/>
      <c r="KDX45" s="51"/>
      <c r="KDY45" s="51"/>
      <c r="KDZ45" s="51"/>
      <c r="KEA45" s="51"/>
      <c r="KEB45" s="51"/>
      <c r="KEC45" s="51"/>
      <c r="KED45" s="51"/>
      <c r="KEE45" s="51"/>
      <c r="KEF45" s="51"/>
      <c r="KEG45" s="51"/>
      <c r="KEH45" s="51"/>
      <c r="KEI45" s="51"/>
      <c r="KEJ45" s="51"/>
      <c r="KEK45" s="51"/>
      <c r="KEL45" s="51"/>
      <c r="KEM45" s="51"/>
      <c r="KEN45" s="51"/>
      <c r="KEO45" s="51"/>
      <c r="KEP45" s="51"/>
      <c r="KEQ45" s="51"/>
      <c r="KER45" s="51"/>
      <c r="KES45" s="51"/>
      <c r="KET45" s="51"/>
      <c r="KEU45" s="51"/>
      <c r="KEV45" s="51"/>
      <c r="KEW45" s="51"/>
      <c r="KEX45" s="51"/>
      <c r="KEY45" s="51"/>
      <c r="KEZ45" s="51"/>
      <c r="KFA45" s="51"/>
      <c r="KFB45" s="51"/>
      <c r="KFC45" s="51"/>
      <c r="KFD45" s="51"/>
      <c r="KFE45" s="51"/>
      <c r="KFF45" s="51"/>
      <c r="KFG45" s="51"/>
      <c r="KFH45" s="51"/>
      <c r="KFI45" s="51"/>
      <c r="KFJ45" s="51"/>
      <c r="KFK45" s="51"/>
      <c r="KFL45" s="51"/>
      <c r="KFM45" s="51"/>
      <c r="KFN45" s="51"/>
      <c r="KFO45" s="51"/>
      <c r="KFP45" s="51"/>
      <c r="KFQ45" s="51"/>
      <c r="KFR45" s="51"/>
      <c r="KFS45" s="51"/>
      <c r="KFT45" s="51"/>
      <c r="KFU45" s="51"/>
      <c r="KFV45" s="51"/>
      <c r="KFW45" s="51"/>
      <c r="KFX45" s="51"/>
      <c r="KFY45" s="51"/>
      <c r="KFZ45" s="51"/>
      <c r="KGA45" s="51"/>
      <c r="KGB45" s="51"/>
      <c r="KGC45" s="51"/>
      <c r="KGD45" s="51"/>
      <c r="KGE45" s="51"/>
      <c r="KGF45" s="51"/>
      <c r="KGG45" s="51"/>
      <c r="KGH45" s="51"/>
      <c r="KGI45" s="51"/>
      <c r="KGJ45" s="51"/>
      <c r="KGK45" s="51"/>
      <c r="KGL45" s="51"/>
      <c r="KGM45" s="51"/>
      <c r="KGN45" s="51"/>
      <c r="KGO45" s="51"/>
      <c r="KGP45" s="51"/>
      <c r="KGQ45" s="51"/>
      <c r="KGR45" s="51"/>
      <c r="KGS45" s="51"/>
      <c r="KGT45" s="51"/>
      <c r="KGU45" s="51"/>
      <c r="KGV45" s="51"/>
      <c r="KGW45" s="51"/>
      <c r="KGX45" s="51"/>
      <c r="KGY45" s="51"/>
      <c r="KGZ45" s="51"/>
      <c r="KHA45" s="51"/>
      <c r="KHB45" s="51"/>
      <c r="KHC45" s="51"/>
      <c r="KHD45" s="51"/>
      <c r="KHE45" s="51"/>
      <c r="KHF45" s="51"/>
      <c r="KHG45" s="51"/>
      <c r="KHH45" s="51"/>
      <c r="KHI45" s="51"/>
      <c r="KHJ45" s="51"/>
      <c r="KHK45" s="51"/>
      <c r="KHL45" s="51"/>
      <c r="KHM45" s="51"/>
      <c r="KHN45" s="51"/>
      <c r="KHO45" s="51"/>
      <c r="KHP45" s="51"/>
      <c r="KHQ45" s="51"/>
      <c r="KHR45" s="51"/>
      <c r="KHS45" s="51"/>
      <c r="KHT45" s="51"/>
      <c r="KHU45" s="51"/>
      <c r="KHV45" s="51"/>
      <c r="KHW45" s="51"/>
      <c r="KHX45" s="51"/>
      <c r="KHY45" s="51"/>
      <c r="KHZ45" s="51"/>
      <c r="KIA45" s="51"/>
      <c r="KIB45" s="51"/>
      <c r="KIC45" s="51"/>
      <c r="KID45" s="51"/>
      <c r="KIE45" s="51"/>
      <c r="KIF45" s="51"/>
      <c r="KIG45" s="51"/>
      <c r="KIH45" s="51"/>
      <c r="KII45" s="51"/>
      <c r="KIJ45" s="51"/>
      <c r="KIK45" s="51"/>
      <c r="KIL45" s="51"/>
      <c r="KIM45" s="51"/>
      <c r="KIN45" s="51"/>
      <c r="KIO45" s="51"/>
      <c r="KIP45" s="51"/>
      <c r="KIQ45" s="51"/>
      <c r="KIR45" s="51"/>
      <c r="KIS45" s="51"/>
      <c r="KIT45" s="51"/>
      <c r="KIU45" s="51"/>
      <c r="KIV45" s="51"/>
      <c r="KIW45" s="51"/>
      <c r="KIX45" s="51"/>
      <c r="KIY45" s="51"/>
      <c r="KIZ45" s="51"/>
      <c r="KJA45" s="51"/>
      <c r="KJB45" s="51"/>
      <c r="KJC45" s="51"/>
      <c r="KJD45" s="51"/>
      <c r="KJE45" s="51"/>
      <c r="KJF45" s="51"/>
      <c r="KJG45" s="51"/>
      <c r="KJH45" s="51"/>
      <c r="KJI45" s="51"/>
      <c r="KJJ45" s="51"/>
      <c r="KJK45" s="51"/>
      <c r="KJL45" s="51"/>
      <c r="KJM45" s="51"/>
      <c r="KJN45" s="51"/>
      <c r="KJO45" s="51"/>
      <c r="KJP45" s="51"/>
      <c r="KJQ45" s="51"/>
      <c r="KJR45" s="51"/>
      <c r="KJS45" s="51"/>
      <c r="KJT45" s="51"/>
      <c r="KJU45" s="51"/>
      <c r="KJV45" s="51"/>
      <c r="KJW45" s="51"/>
      <c r="KJX45" s="51"/>
      <c r="KJY45" s="51"/>
      <c r="KJZ45" s="51"/>
      <c r="KKA45" s="51"/>
      <c r="KKB45" s="51"/>
      <c r="KKC45" s="51"/>
      <c r="KKD45" s="51"/>
      <c r="KKE45" s="51"/>
      <c r="KKF45" s="51"/>
      <c r="KKG45" s="51"/>
      <c r="KKH45" s="51"/>
      <c r="KKI45" s="51"/>
      <c r="KKJ45" s="51"/>
      <c r="KKK45" s="51"/>
      <c r="KKL45" s="51"/>
      <c r="KKM45" s="51"/>
      <c r="KKN45" s="51"/>
      <c r="KKO45" s="51"/>
      <c r="KKP45" s="51"/>
      <c r="KKQ45" s="51"/>
      <c r="KKR45" s="51"/>
      <c r="KKS45" s="51"/>
      <c r="KKT45" s="51"/>
      <c r="KKU45" s="51"/>
      <c r="KKV45" s="51"/>
      <c r="KKW45" s="51"/>
      <c r="KKX45" s="51"/>
      <c r="KKY45" s="51"/>
      <c r="KKZ45" s="51"/>
      <c r="KLA45" s="51"/>
      <c r="KLB45" s="51"/>
      <c r="KLC45" s="51"/>
      <c r="KLD45" s="51"/>
      <c r="KLE45" s="51"/>
      <c r="KLF45" s="51"/>
      <c r="KLG45" s="51"/>
      <c r="KLH45" s="51"/>
      <c r="KLI45" s="51"/>
      <c r="KLJ45" s="51"/>
      <c r="KLK45" s="51"/>
      <c r="KLL45" s="51"/>
      <c r="KLM45" s="51"/>
      <c r="KLN45" s="51"/>
      <c r="KLO45" s="51"/>
      <c r="KLP45" s="51"/>
      <c r="KLQ45" s="51"/>
      <c r="KLR45" s="51"/>
      <c r="KLS45" s="51"/>
      <c r="KLT45" s="51"/>
      <c r="KLU45" s="51"/>
      <c r="KLV45" s="51"/>
      <c r="KLW45" s="51"/>
      <c r="KLX45" s="51"/>
      <c r="KLY45" s="51"/>
      <c r="KLZ45" s="51"/>
      <c r="KMA45" s="51"/>
      <c r="KMB45" s="51"/>
      <c r="KMC45" s="51"/>
      <c r="KMD45" s="51"/>
      <c r="KME45" s="51"/>
      <c r="KMF45" s="51"/>
      <c r="KMG45" s="51"/>
      <c r="KMH45" s="51"/>
      <c r="KMI45" s="51"/>
      <c r="KMJ45" s="51"/>
      <c r="KMK45" s="51"/>
      <c r="KML45" s="51"/>
      <c r="KMM45" s="51"/>
      <c r="KMN45" s="51"/>
      <c r="KMO45" s="51"/>
      <c r="KMP45" s="51"/>
      <c r="KMQ45" s="51"/>
      <c r="KMR45" s="51"/>
      <c r="KMS45" s="51"/>
      <c r="KMT45" s="51"/>
      <c r="KMU45" s="51"/>
      <c r="KMV45" s="51"/>
      <c r="KMW45" s="51"/>
      <c r="KMX45" s="51"/>
      <c r="KMY45" s="51"/>
      <c r="KMZ45" s="51"/>
      <c r="KNA45" s="51"/>
      <c r="KNB45" s="51"/>
      <c r="KNC45" s="51"/>
      <c r="KND45" s="51"/>
      <c r="KNE45" s="51"/>
      <c r="KNF45" s="51"/>
      <c r="KNG45" s="51"/>
      <c r="KNH45" s="51"/>
      <c r="KNI45" s="51"/>
      <c r="KNJ45" s="51"/>
      <c r="KNK45" s="51"/>
      <c r="KNL45" s="51"/>
      <c r="KNM45" s="51"/>
      <c r="KNN45" s="51"/>
      <c r="KNO45" s="51"/>
      <c r="KNP45" s="51"/>
      <c r="KNQ45" s="51"/>
      <c r="KNR45" s="51"/>
      <c r="KNS45" s="51"/>
      <c r="KNT45" s="51"/>
      <c r="KNU45" s="51"/>
      <c r="KNV45" s="51"/>
      <c r="KNW45" s="51"/>
      <c r="KNX45" s="51"/>
      <c r="KNY45" s="51"/>
      <c r="KNZ45" s="51"/>
      <c r="KOA45" s="51"/>
      <c r="KOB45" s="51"/>
      <c r="KOC45" s="51"/>
      <c r="KOD45" s="51"/>
      <c r="KOE45" s="51"/>
      <c r="KOF45" s="51"/>
      <c r="KOG45" s="51"/>
      <c r="KOH45" s="51"/>
      <c r="KOI45" s="51"/>
      <c r="KOJ45" s="51"/>
      <c r="KOK45" s="51"/>
      <c r="KOL45" s="51"/>
      <c r="KOM45" s="51"/>
      <c r="KON45" s="51"/>
      <c r="KOO45" s="51"/>
      <c r="KOP45" s="51"/>
      <c r="KOQ45" s="51"/>
      <c r="KOR45" s="51"/>
      <c r="KOS45" s="51"/>
      <c r="KOT45" s="51"/>
      <c r="KOU45" s="51"/>
      <c r="KOV45" s="51"/>
      <c r="KOW45" s="51"/>
      <c r="KOX45" s="51"/>
      <c r="KOY45" s="51"/>
      <c r="KOZ45" s="51"/>
      <c r="KPA45" s="51"/>
      <c r="KPB45" s="51"/>
      <c r="KPC45" s="51"/>
      <c r="KPD45" s="51"/>
      <c r="KPE45" s="51"/>
      <c r="KPF45" s="51"/>
      <c r="KPG45" s="51"/>
      <c r="KPH45" s="51"/>
      <c r="KPI45" s="51"/>
      <c r="KPJ45" s="51"/>
      <c r="KPK45" s="51"/>
      <c r="KPL45" s="51"/>
      <c r="KPM45" s="51"/>
      <c r="KPN45" s="51"/>
      <c r="KPO45" s="51"/>
      <c r="KPP45" s="51"/>
      <c r="KPQ45" s="51"/>
      <c r="KPR45" s="51"/>
      <c r="KPS45" s="51"/>
      <c r="KPT45" s="51"/>
      <c r="KPU45" s="51"/>
      <c r="KPV45" s="51"/>
      <c r="KPW45" s="51"/>
      <c r="KPX45" s="51"/>
      <c r="KPY45" s="51"/>
      <c r="KPZ45" s="51"/>
      <c r="KQA45" s="51"/>
      <c r="KQB45" s="51"/>
      <c r="KQC45" s="51"/>
      <c r="KQD45" s="51"/>
      <c r="KQE45" s="51"/>
      <c r="KQF45" s="51"/>
      <c r="KQG45" s="51"/>
      <c r="KQH45" s="51"/>
      <c r="KQI45" s="51"/>
      <c r="KQJ45" s="51"/>
      <c r="KQK45" s="51"/>
      <c r="KQL45" s="51"/>
      <c r="KQM45" s="51"/>
      <c r="KQN45" s="51"/>
      <c r="KQO45" s="51"/>
      <c r="KQP45" s="51"/>
      <c r="KQQ45" s="51"/>
      <c r="KQR45" s="51"/>
      <c r="KQS45" s="51"/>
      <c r="KQT45" s="51"/>
      <c r="KQU45" s="51"/>
      <c r="KQV45" s="51"/>
      <c r="KQW45" s="51"/>
      <c r="KQX45" s="51"/>
      <c r="KQY45" s="51"/>
      <c r="KQZ45" s="51"/>
      <c r="KRA45" s="51"/>
      <c r="KRB45" s="51"/>
      <c r="KRC45" s="51"/>
      <c r="KRD45" s="51"/>
      <c r="KRE45" s="51"/>
      <c r="KRF45" s="51"/>
      <c r="KRG45" s="51"/>
      <c r="KRH45" s="51"/>
      <c r="KRI45" s="51"/>
      <c r="KRJ45" s="51"/>
      <c r="KRK45" s="51"/>
      <c r="KRL45" s="51"/>
      <c r="KRM45" s="51"/>
      <c r="KRN45" s="51"/>
      <c r="KRO45" s="51"/>
      <c r="KRP45" s="51"/>
      <c r="KRQ45" s="51"/>
      <c r="KRR45" s="51"/>
      <c r="KRS45" s="51"/>
      <c r="KRT45" s="51"/>
      <c r="KRU45" s="51"/>
      <c r="KRV45" s="51"/>
      <c r="KRW45" s="51"/>
      <c r="KRX45" s="51"/>
      <c r="KRY45" s="51"/>
      <c r="KRZ45" s="51"/>
      <c r="KSA45" s="51"/>
      <c r="KSB45" s="51"/>
      <c r="KSC45" s="51"/>
      <c r="KSD45" s="51"/>
      <c r="KSE45" s="51"/>
      <c r="KSF45" s="51"/>
      <c r="KSG45" s="51"/>
      <c r="KSH45" s="51"/>
      <c r="KSI45" s="51"/>
      <c r="KSJ45" s="51"/>
      <c r="KSK45" s="51"/>
      <c r="KSL45" s="51"/>
      <c r="KSM45" s="51"/>
      <c r="KSN45" s="51"/>
      <c r="KSO45" s="51"/>
      <c r="KSP45" s="51"/>
      <c r="KSQ45" s="51"/>
      <c r="KSR45" s="51"/>
      <c r="KSS45" s="51"/>
      <c r="KST45" s="51"/>
      <c r="KSU45" s="51"/>
      <c r="KSV45" s="51"/>
      <c r="KSW45" s="51"/>
      <c r="KSX45" s="51"/>
      <c r="KSY45" s="51"/>
      <c r="KSZ45" s="51"/>
      <c r="KTA45" s="51"/>
      <c r="KTB45" s="51"/>
      <c r="KTC45" s="51"/>
      <c r="KTD45" s="51"/>
      <c r="KTE45" s="51"/>
      <c r="KTF45" s="51"/>
      <c r="KTG45" s="51"/>
      <c r="KTH45" s="51"/>
      <c r="KTI45" s="51"/>
      <c r="KTJ45" s="51"/>
      <c r="KTK45" s="51"/>
      <c r="KTL45" s="51"/>
      <c r="KTM45" s="51"/>
      <c r="KTN45" s="51"/>
      <c r="KTO45" s="51"/>
      <c r="KTP45" s="51"/>
      <c r="KTQ45" s="51"/>
      <c r="KTR45" s="51"/>
      <c r="KTS45" s="51"/>
      <c r="KTT45" s="51"/>
      <c r="KTU45" s="51"/>
      <c r="KTV45" s="51"/>
      <c r="KTW45" s="51"/>
      <c r="KTX45" s="51"/>
      <c r="KTY45" s="51"/>
      <c r="KTZ45" s="51"/>
      <c r="KUA45" s="51"/>
      <c r="KUB45" s="51"/>
      <c r="KUC45" s="51"/>
      <c r="KUD45" s="51"/>
      <c r="KUE45" s="51"/>
      <c r="KUF45" s="51"/>
      <c r="KUG45" s="51"/>
      <c r="KUH45" s="51"/>
      <c r="KUI45" s="51"/>
      <c r="KUJ45" s="51"/>
      <c r="KUK45" s="51"/>
      <c r="KUL45" s="51"/>
      <c r="KUM45" s="51"/>
      <c r="KUN45" s="51"/>
      <c r="KUO45" s="51"/>
      <c r="KUP45" s="51"/>
      <c r="KUQ45" s="51"/>
      <c r="KUR45" s="51"/>
      <c r="KUS45" s="51"/>
      <c r="KUT45" s="51"/>
      <c r="KUU45" s="51"/>
      <c r="KUV45" s="51"/>
      <c r="KUW45" s="51"/>
      <c r="KUX45" s="51"/>
      <c r="KUY45" s="51"/>
      <c r="KUZ45" s="51"/>
      <c r="KVA45" s="51"/>
      <c r="KVB45" s="51"/>
      <c r="KVC45" s="51"/>
      <c r="KVD45" s="51"/>
      <c r="KVE45" s="51"/>
      <c r="KVF45" s="51"/>
      <c r="KVG45" s="51"/>
      <c r="KVH45" s="51"/>
      <c r="KVI45" s="51"/>
      <c r="KVJ45" s="51"/>
      <c r="KVK45" s="51"/>
      <c r="KVL45" s="51"/>
      <c r="KVM45" s="51"/>
      <c r="KVN45" s="51"/>
      <c r="KVO45" s="51"/>
      <c r="KVP45" s="51"/>
      <c r="KVQ45" s="51"/>
      <c r="KVR45" s="51"/>
      <c r="KVS45" s="51"/>
      <c r="KVT45" s="51"/>
      <c r="KVU45" s="51"/>
      <c r="KVV45" s="51"/>
      <c r="KVW45" s="51"/>
      <c r="KVX45" s="51"/>
      <c r="KVY45" s="51"/>
      <c r="KVZ45" s="51"/>
      <c r="KWA45" s="51"/>
      <c r="KWB45" s="51"/>
      <c r="KWC45" s="51"/>
      <c r="KWD45" s="51"/>
      <c r="KWE45" s="51"/>
      <c r="KWF45" s="51"/>
      <c r="KWG45" s="51"/>
      <c r="KWH45" s="51"/>
      <c r="KWI45" s="51"/>
      <c r="KWJ45" s="51"/>
      <c r="KWK45" s="51"/>
      <c r="KWL45" s="51"/>
      <c r="KWM45" s="51"/>
      <c r="KWN45" s="51"/>
      <c r="KWO45" s="51"/>
      <c r="KWP45" s="51"/>
      <c r="KWQ45" s="51"/>
      <c r="KWR45" s="51"/>
      <c r="KWS45" s="51"/>
      <c r="KWT45" s="51"/>
      <c r="KWU45" s="51"/>
      <c r="KWV45" s="51"/>
      <c r="KWW45" s="51"/>
      <c r="KWX45" s="51"/>
      <c r="KWY45" s="51"/>
      <c r="KWZ45" s="51"/>
      <c r="KXA45" s="51"/>
      <c r="KXB45" s="51"/>
      <c r="KXC45" s="51"/>
      <c r="KXD45" s="51"/>
      <c r="KXE45" s="51"/>
      <c r="KXF45" s="51"/>
      <c r="KXG45" s="51"/>
      <c r="KXH45" s="51"/>
      <c r="KXI45" s="51"/>
      <c r="KXJ45" s="51"/>
      <c r="KXK45" s="51"/>
      <c r="KXL45" s="51"/>
      <c r="KXM45" s="51"/>
      <c r="KXN45" s="51"/>
      <c r="KXO45" s="51"/>
      <c r="KXP45" s="51"/>
      <c r="KXQ45" s="51"/>
      <c r="KXR45" s="51"/>
      <c r="KXS45" s="51"/>
      <c r="KXT45" s="51"/>
      <c r="KXU45" s="51"/>
      <c r="KXV45" s="51"/>
      <c r="KXW45" s="51"/>
      <c r="KXX45" s="51"/>
      <c r="KXY45" s="51"/>
      <c r="KXZ45" s="51"/>
      <c r="KYA45" s="51"/>
      <c r="KYB45" s="51"/>
      <c r="KYC45" s="51"/>
      <c r="KYD45" s="51"/>
      <c r="KYE45" s="51"/>
      <c r="KYF45" s="51"/>
      <c r="KYG45" s="51"/>
      <c r="KYH45" s="51"/>
      <c r="KYI45" s="51"/>
      <c r="KYJ45" s="51"/>
      <c r="KYK45" s="51"/>
      <c r="KYL45" s="51"/>
      <c r="KYM45" s="51"/>
      <c r="KYN45" s="51"/>
      <c r="KYO45" s="51"/>
      <c r="KYP45" s="51"/>
      <c r="KYQ45" s="51"/>
      <c r="KYR45" s="51"/>
      <c r="KYS45" s="51"/>
      <c r="KYT45" s="51"/>
      <c r="KYU45" s="51"/>
      <c r="KYV45" s="51"/>
      <c r="KYW45" s="51"/>
      <c r="KYX45" s="51"/>
      <c r="KYY45" s="51"/>
      <c r="KYZ45" s="51"/>
      <c r="KZA45" s="51"/>
      <c r="KZB45" s="51"/>
      <c r="KZC45" s="51"/>
      <c r="KZD45" s="51"/>
      <c r="KZE45" s="51"/>
      <c r="KZF45" s="51"/>
      <c r="KZG45" s="51"/>
      <c r="KZH45" s="51"/>
      <c r="KZI45" s="51"/>
      <c r="KZJ45" s="51"/>
      <c r="KZK45" s="51"/>
      <c r="KZL45" s="51"/>
      <c r="KZM45" s="51"/>
      <c r="KZN45" s="51"/>
      <c r="KZO45" s="51"/>
      <c r="KZP45" s="51"/>
      <c r="KZQ45" s="51"/>
      <c r="KZR45" s="51"/>
      <c r="KZS45" s="51"/>
      <c r="KZT45" s="51"/>
      <c r="KZU45" s="51"/>
      <c r="KZV45" s="51"/>
      <c r="KZW45" s="51"/>
      <c r="KZX45" s="51"/>
      <c r="KZY45" s="51"/>
      <c r="KZZ45" s="51"/>
      <c r="LAA45" s="51"/>
      <c r="LAB45" s="51"/>
      <c r="LAC45" s="51"/>
      <c r="LAD45" s="51"/>
      <c r="LAE45" s="51"/>
      <c r="LAF45" s="51"/>
      <c r="LAG45" s="51"/>
      <c r="LAH45" s="51"/>
      <c r="LAI45" s="51"/>
      <c r="LAJ45" s="51"/>
      <c r="LAK45" s="51"/>
      <c r="LAL45" s="51"/>
      <c r="LAM45" s="51"/>
      <c r="LAN45" s="51"/>
      <c r="LAO45" s="51"/>
      <c r="LAP45" s="51"/>
      <c r="LAQ45" s="51"/>
      <c r="LAR45" s="51"/>
      <c r="LAS45" s="51"/>
      <c r="LAT45" s="51"/>
      <c r="LAU45" s="51"/>
      <c r="LAV45" s="51"/>
      <c r="LAW45" s="51"/>
      <c r="LAX45" s="51"/>
      <c r="LAY45" s="51"/>
      <c r="LAZ45" s="51"/>
      <c r="LBA45" s="51"/>
      <c r="LBB45" s="51"/>
      <c r="LBC45" s="51"/>
      <c r="LBD45" s="51"/>
      <c r="LBE45" s="51"/>
      <c r="LBF45" s="51"/>
      <c r="LBG45" s="51"/>
      <c r="LBH45" s="51"/>
      <c r="LBI45" s="51"/>
      <c r="LBJ45" s="51"/>
      <c r="LBK45" s="51"/>
      <c r="LBL45" s="51"/>
      <c r="LBM45" s="51"/>
      <c r="LBN45" s="51"/>
      <c r="LBO45" s="51"/>
      <c r="LBP45" s="51"/>
      <c r="LBQ45" s="51"/>
      <c r="LBR45" s="51"/>
      <c r="LBS45" s="51"/>
      <c r="LBT45" s="51"/>
      <c r="LBU45" s="51"/>
      <c r="LBV45" s="51"/>
      <c r="LBW45" s="51"/>
      <c r="LBX45" s="51"/>
      <c r="LBY45" s="51"/>
      <c r="LBZ45" s="51"/>
      <c r="LCA45" s="51"/>
      <c r="LCB45" s="51"/>
      <c r="LCC45" s="51"/>
      <c r="LCD45" s="51"/>
      <c r="LCE45" s="51"/>
      <c r="LCF45" s="51"/>
      <c r="LCG45" s="51"/>
      <c r="LCH45" s="51"/>
      <c r="LCI45" s="51"/>
      <c r="LCJ45" s="51"/>
      <c r="LCK45" s="51"/>
      <c r="LCL45" s="51"/>
      <c r="LCM45" s="51"/>
      <c r="LCN45" s="51"/>
      <c r="LCO45" s="51"/>
      <c r="LCP45" s="51"/>
      <c r="LCQ45" s="51"/>
      <c r="LCR45" s="51"/>
      <c r="LCS45" s="51"/>
      <c r="LCT45" s="51"/>
      <c r="LCU45" s="51"/>
      <c r="LCV45" s="51"/>
      <c r="LCW45" s="51"/>
      <c r="LCX45" s="51"/>
      <c r="LCY45" s="51"/>
      <c r="LCZ45" s="51"/>
      <c r="LDA45" s="51"/>
      <c r="LDB45" s="51"/>
      <c r="LDC45" s="51"/>
      <c r="LDD45" s="51"/>
      <c r="LDE45" s="51"/>
      <c r="LDF45" s="51"/>
      <c r="LDG45" s="51"/>
      <c r="LDH45" s="51"/>
      <c r="LDI45" s="51"/>
      <c r="LDJ45" s="51"/>
      <c r="LDK45" s="51"/>
      <c r="LDL45" s="51"/>
      <c r="LDM45" s="51"/>
      <c r="LDN45" s="51"/>
      <c r="LDO45" s="51"/>
      <c r="LDP45" s="51"/>
      <c r="LDQ45" s="51"/>
      <c r="LDR45" s="51"/>
      <c r="LDS45" s="51"/>
      <c r="LDT45" s="51"/>
      <c r="LDU45" s="51"/>
      <c r="LDV45" s="51"/>
      <c r="LDW45" s="51"/>
      <c r="LDX45" s="51"/>
      <c r="LDY45" s="51"/>
      <c r="LDZ45" s="51"/>
      <c r="LEA45" s="51"/>
      <c r="LEB45" s="51"/>
      <c r="LEC45" s="51"/>
      <c r="LED45" s="51"/>
      <c r="LEE45" s="51"/>
      <c r="LEF45" s="51"/>
      <c r="LEG45" s="51"/>
      <c r="LEH45" s="51"/>
      <c r="LEI45" s="51"/>
      <c r="LEJ45" s="51"/>
      <c r="LEK45" s="51"/>
      <c r="LEL45" s="51"/>
      <c r="LEM45" s="51"/>
      <c r="LEN45" s="51"/>
      <c r="LEO45" s="51"/>
      <c r="LEP45" s="51"/>
      <c r="LEQ45" s="51"/>
      <c r="LER45" s="51"/>
      <c r="LES45" s="51"/>
      <c r="LET45" s="51"/>
      <c r="LEU45" s="51"/>
      <c r="LEV45" s="51"/>
      <c r="LEW45" s="51"/>
      <c r="LEX45" s="51"/>
      <c r="LEY45" s="51"/>
      <c r="LEZ45" s="51"/>
      <c r="LFA45" s="51"/>
      <c r="LFB45" s="51"/>
      <c r="LFC45" s="51"/>
      <c r="LFD45" s="51"/>
      <c r="LFE45" s="51"/>
      <c r="LFF45" s="51"/>
      <c r="LFG45" s="51"/>
      <c r="LFH45" s="51"/>
      <c r="LFI45" s="51"/>
      <c r="LFJ45" s="51"/>
      <c r="LFK45" s="51"/>
      <c r="LFL45" s="51"/>
      <c r="LFM45" s="51"/>
      <c r="LFN45" s="51"/>
      <c r="LFO45" s="51"/>
      <c r="LFP45" s="51"/>
      <c r="LFQ45" s="51"/>
      <c r="LFR45" s="51"/>
      <c r="LFS45" s="51"/>
      <c r="LFT45" s="51"/>
      <c r="LFU45" s="51"/>
      <c r="LFV45" s="51"/>
      <c r="LFW45" s="51"/>
      <c r="LFX45" s="51"/>
      <c r="LFY45" s="51"/>
      <c r="LFZ45" s="51"/>
      <c r="LGA45" s="51"/>
      <c r="LGB45" s="51"/>
      <c r="LGC45" s="51"/>
      <c r="LGD45" s="51"/>
      <c r="LGE45" s="51"/>
      <c r="LGF45" s="51"/>
      <c r="LGG45" s="51"/>
      <c r="LGH45" s="51"/>
      <c r="LGI45" s="51"/>
      <c r="LGJ45" s="51"/>
      <c r="LGK45" s="51"/>
      <c r="LGL45" s="51"/>
      <c r="LGM45" s="51"/>
      <c r="LGN45" s="51"/>
      <c r="LGO45" s="51"/>
      <c r="LGP45" s="51"/>
      <c r="LGQ45" s="51"/>
      <c r="LGR45" s="51"/>
      <c r="LGS45" s="51"/>
      <c r="LGT45" s="51"/>
      <c r="LGU45" s="51"/>
      <c r="LGV45" s="51"/>
      <c r="LGW45" s="51"/>
      <c r="LGX45" s="51"/>
      <c r="LGY45" s="51"/>
      <c r="LGZ45" s="51"/>
      <c r="LHA45" s="51"/>
      <c r="LHB45" s="51"/>
      <c r="LHC45" s="51"/>
      <c r="LHD45" s="51"/>
      <c r="LHE45" s="51"/>
      <c r="LHF45" s="51"/>
      <c r="LHG45" s="51"/>
      <c r="LHH45" s="51"/>
      <c r="LHI45" s="51"/>
      <c r="LHJ45" s="51"/>
      <c r="LHK45" s="51"/>
      <c r="LHL45" s="51"/>
      <c r="LHM45" s="51"/>
      <c r="LHN45" s="51"/>
      <c r="LHO45" s="51"/>
      <c r="LHP45" s="51"/>
      <c r="LHQ45" s="51"/>
      <c r="LHR45" s="51"/>
      <c r="LHS45" s="51"/>
      <c r="LHT45" s="51"/>
      <c r="LHU45" s="51"/>
      <c r="LHV45" s="51"/>
      <c r="LHW45" s="51"/>
      <c r="LHX45" s="51"/>
      <c r="LHY45" s="51"/>
      <c r="LHZ45" s="51"/>
      <c r="LIA45" s="51"/>
      <c r="LIB45" s="51"/>
      <c r="LIC45" s="51"/>
      <c r="LID45" s="51"/>
      <c r="LIE45" s="51"/>
      <c r="LIF45" s="51"/>
      <c r="LIG45" s="51"/>
      <c r="LIH45" s="51"/>
      <c r="LII45" s="51"/>
      <c r="LIJ45" s="51"/>
      <c r="LIK45" s="51"/>
      <c r="LIL45" s="51"/>
      <c r="LIM45" s="51"/>
      <c r="LIN45" s="51"/>
      <c r="LIO45" s="51"/>
      <c r="LIP45" s="51"/>
      <c r="LIQ45" s="51"/>
      <c r="LIR45" s="51"/>
      <c r="LIS45" s="51"/>
      <c r="LIT45" s="51"/>
      <c r="LIU45" s="51"/>
      <c r="LIV45" s="51"/>
      <c r="LIW45" s="51"/>
      <c r="LIX45" s="51"/>
      <c r="LIY45" s="51"/>
      <c r="LIZ45" s="51"/>
      <c r="LJA45" s="51"/>
      <c r="LJB45" s="51"/>
      <c r="LJC45" s="51"/>
      <c r="LJD45" s="51"/>
      <c r="LJE45" s="51"/>
      <c r="LJF45" s="51"/>
      <c r="LJG45" s="51"/>
      <c r="LJH45" s="51"/>
      <c r="LJI45" s="51"/>
      <c r="LJJ45" s="51"/>
      <c r="LJK45" s="51"/>
      <c r="LJL45" s="51"/>
      <c r="LJM45" s="51"/>
      <c r="LJN45" s="51"/>
      <c r="LJO45" s="51"/>
      <c r="LJP45" s="51"/>
      <c r="LJQ45" s="51"/>
      <c r="LJR45" s="51"/>
      <c r="LJS45" s="51"/>
      <c r="LJT45" s="51"/>
      <c r="LJU45" s="51"/>
      <c r="LJV45" s="51"/>
      <c r="LJW45" s="51"/>
      <c r="LJX45" s="51"/>
      <c r="LJY45" s="51"/>
      <c r="LJZ45" s="51"/>
      <c r="LKA45" s="51"/>
      <c r="LKB45" s="51"/>
      <c r="LKC45" s="51"/>
      <c r="LKD45" s="51"/>
      <c r="LKE45" s="51"/>
      <c r="LKF45" s="51"/>
      <c r="LKG45" s="51"/>
      <c r="LKH45" s="51"/>
      <c r="LKI45" s="51"/>
      <c r="LKJ45" s="51"/>
      <c r="LKK45" s="51"/>
      <c r="LKL45" s="51"/>
      <c r="LKM45" s="51"/>
      <c r="LKN45" s="51"/>
      <c r="LKO45" s="51"/>
      <c r="LKP45" s="51"/>
      <c r="LKQ45" s="51"/>
      <c r="LKR45" s="51"/>
      <c r="LKS45" s="51"/>
      <c r="LKT45" s="51"/>
      <c r="LKU45" s="51"/>
      <c r="LKV45" s="51"/>
      <c r="LKW45" s="51"/>
      <c r="LKX45" s="51"/>
      <c r="LKY45" s="51"/>
      <c r="LKZ45" s="51"/>
      <c r="LLA45" s="51"/>
      <c r="LLB45" s="51"/>
      <c r="LLC45" s="51"/>
      <c r="LLD45" s="51"/>
      <c r="LLE45" s="51"/>
      <c r="LLF45" s="51"/>
      <c r="LLG45" s="51"/>
      <c r="LLH45" s="51"/>
      <c r="LLI45" s="51"/>
      <c r="LLJ45" s="51"/>
      <c r="LLK45" s="51"/>
      <c r="LLL45" s="51"/>
      <c r="LLM45" s="51"/>
      <c r="LLN45" s="51"/>
      <c r="LLO45" s="51"/>
      <c r="LLP45" s="51"/>
      <c r="LLQ45" s="51"/>
      <c r="LLR45" s="51"/>
      <c r="LLS45" s="51"/>
      <c r="LLT45" s="51"/>
      <c r="LLU45" s="51"/>
      <c r="LLV45" s="51"/>
      <c r="LLW45" s="51"/>
      <c r="LLX45" s="51"/>
      <c r="LLY45" s="51"/>
      <c r="LLZ45" s="51"/>
      <c r="LMA45" s="51"/>
      <c r="LMB45" s="51"/>
      <c r="LMC45" s="51"/>
      <c r="LMD45" s="51"/>
      <c r="LME45" s="51"/>
      <c r="LMF45" s="51"/>
      <c r="LMG45" s="51"/>
      <c r="LMH45" s="51"/>
      <c r="LMI45" s="51"/>
      <c r="LMJ45" s="51"/>
      <c r="LMK45" s="51"/>
      <c r="LML45" s="51"/>
      <c r="LMM45" s="51"/>
      <c r="LMN45" s="51"/>
      <c r="LMO45" s="51"/>
      <c r="LMP45" s="51"/>
      <c r="LMQ45" s="51"/>
      <c r="LMR45" s="51"/>
      <c r="LMS45" s="51"/>
      <c r="LMT45" s="51"/>
      <c r="LMU45" s="51"/>
      <c r="LMV45" s="51"/>
      <c r="LMW45" s="51"/>
      <c r="LMX45" s="51"/>
      <c r="LMY45" s="51"/>
      <c r="LMZ45" s="51"/>
      <c r="LNA45" s="51"/>
      <c r="LNB45" s="51"/>
      <c r="LNC45" s="51"/>
      <c r="LND45" s="51"/>
      <c r="LNE45" s="51"/>
      <c r="LNF45" s="51"/>
      <c r="LNG45" s="51"/>
      <c r="LNH45" s="51"/>
      <c r="LNI45" s="51"/>
      <c r="LNJ45" s="51"/>
      <c r="LNK45" s="51"/>
      <c r="LNL45" s="51"/>
      <c r="LNM45" s="51"/>
      <c r="LNN45" s="51"/>
      <c r="LNO45" s="51"/>
      <c r="LNP45" s="51"/>
      <c r="LNQ45" s="51"/>
      <c r="LNR45" s="51"/>
      <c r="LNS45" s="51"/>
      <c r="LNT45" s="51"/>
      <c r="LNU45" s="51"/>
      <c r="LNV45" s="51"/>
      <c r="LNW45" s="51"/>
      <c r="LNX45" s="51"/>
      <c r="LNY45" s="51"/>
      <c r="LNZ45" s="51"/>
      <c r="LOA45" s="51"/>
      <c r="LOB45" s="51"/>
      <c r="LOC45" s="51"/>
      <c r="LOD45" s="51"/>
      <c r="LOE45" s="51"/>
      <c r="LOF45" s="51"/>
      <c r="LOG45" s="51"/>
      <c r="LOH45" s="51"/>
      <c r="LOI45" s="51"/>
      <c r="LOJ45" s="51"/>
      <c r="LOK45" s="51"/>
      <c r="LOL45" s="51"/>
      <c r="LOM45" s="51"/>
      <c r="LON45" s="51"/>
      <c r="LOO45" s="51"/>
      <c r="LOP45" s="51"/>
      <c r="LOQ45" s="51"/>
      <c r="LOR45" s="51"/>
      <c r="LOS45" s="51"/>
      <c r="LOT45" s="51"/>
      <c r="LOU45" s="51"/>
      <c r="LOV45" s="51"/>
      <c r="LOW45" s="51"/>
      <c r="LOX45" s="51"/>
      <c r="LOY45" s="51"/>
      <c r="LOZ45" s="51"/>
      <c r="LPA45" s="51"/>
      <c r="LPB45" s="51"/>
      <c r="LPC45" s="51"/>
      <c r="LPD45" s="51"/>
      <c r="LPE45" s="51"/>
      <c r="LPF45" s="51"/>
      <c r="LPG45" s="51"/>
      <c r="LPH45" s="51"/>
      <c r="LPI45" s="51"/>
      <c r="LPJ45" s="51"/>
      <c r="LPK45" s="51"/>
      <c r="LPL45" s="51"/>
      <c r="LPM45" s="51"/>
      <c r="LPN45" s="51"/>
      <c r="LPO45" s="51"/>
      <c r="LPP45" s="51"/>
      <c r="LPQ45" s="51"/>
      <c r="LPR45" s="51"/>
      <c r="LPS45" s="51"/>
      <c r="LPT45" s="51"/>
      <c r="LPU45" s="51"/>
      <c r="LPV45" s="51"/>
      <c r="LPW45" s="51"/>
      <c r="LPX45" s="51"/>
      <c r="LPY45" s="51"/>
      <c r="LPZ45" s="51"/>
      <c r="LQA45" s="51"/>
      <c r="LQB45" s="51"/>
      <c r="LQC45" s="51"/>
      <c r="LQD45" s="51"/>
      <c r="LQE45" s="51"/>
      <c r="LQF45" s="51"/>
      <c r="LQG45" s="51"/>
      <c r="LQH45" s="51"/>
      <c r="LQI45" s="51"/>
      <c r="LQJ45" s="51"/>
      <c r="LQK45" s="51"/>
      <c r="LQL45" s="51"/>
      <c r="LQM45" s="51"/>
      <c r="LQN45" s="51"/>
      <c r="LQO45" s="51"/>
      <c r="LQP45" s="51"/>
      <c r="LQQ45" s="51"/>
      <c r="LQR45" s="51"/>
      <c r="LQS45" s="51"/>
      <c r="LQT45" s="51"/>
      <c r="LQU45" s="51"/>
      <c r="LQV45" s="51"/>
      <c r="LQW45" s="51"/>
      <c r="LQX45" s="51"/>
      <c r="LQY45" s="51"/>
      <c r="LQZ45" s="51"/>
      <c r="LRA45" s="51"/>
      <c r="LRB45" s="51"/>
      <c r="LRC45" s="51"/>
      <c r="LRD45" s="51"/>
      <c r="LRE45" s="51"/>
      <c r="LRF45" s="51"/>
      <c r="LRG45" s="51"/>
      <c r="LRH45" s="51"/>
      <c r="LRI45" s="51"/>
      <c r="LRJ45" s="51"/>
      <c r="LRK45" s="51"/>
      <c r="LRL45" s="51"/>
      <c r="LRM45" s="51"/>
      <c r="LRN45" s="51"/>
      <c r="LRO45" s="51"/>
      <c r="LRP45" s="51"/>
      <c r="LRQ45" s="51"/>
      <c r="LRR45" s="51"/>
      <c r="LRS45" s="51"/>
      <c r="LRT45" s="51"/>
      <c r="LRU45" s="51"/>
      <c r="LRV45" s="51"/>
      <c r="LRW45" s="51"/>
      <c r="LRX45" s="51"/>
      <c r="LRY45" s="51"/>
      <c r="LRZ45" s="51"/>
      <c r="LSA45" s="51"/>
      <c r="LSB45" s="51"/>
      <c r="LSC45" s="51"/>
      <c r="LSD45" s="51"/>
      <c r="LSE45" s="51"/>
      <c r="LSF45" s="51"/>
      <c r="LSG45" s="51"/>
      <c r="LSH45" s="51"/>
      <c r="LSI45" s="51"/>
      <c r="LSJ45" s="51"/>
      <c r="LSK45" s="51"/>
      <c r="LSL45" s="51"/>
      <c r="LSM45" s="51"/>
      <c r="LSN45" s="51"/>
      <c r="LSO45" s="51"/>
      <c r="LSP45" s="51"/>
      <c r="LSQ45" s="51"/>
      <c r="LSR45" s="51"/>
      <c r="LSS45" s="51"/>
      <c r="LST45" s="51"/>
      <c r="LSU45" s="51"/>
      <c r="LSV45" s="51"/>
      <c r="LSW45" s="51"/>
      <c r="LSX45" s="51"/>
      <c r="LSY45" s="51"/>
      <c r="LSZ45" s="51"/>
      <c r="LTA45" s="51"/>
      <c r="LTB45" s="51"/>
      <c r="LTC45" s="51"/>
      <c r="LTD45" s="51"/>
      <c r="LTE45" s="51"/>
      <c r="LTF45" s="51"/>
      <c r="LTG45" s="51"/>
      <c r="LTH45" s="51"/>
      <c r="LTI45" s="51"/>
      <c r="LTJ45" s="51"/>
      <c r="LTK45" s="51"/>
      <c r="LTL45" s="51"/>
      <c r="LTM45" s="51"/>
      <c r="LTN45" s="51"/>
      <c r="LTO45" s="51"/>
      <c r="LTP45" s="51"/>
      <c r="LTQ45" s="51"/>
      <c r="LTR45" s="51"/>
      <c r="LTS45" s="51"/>
      <c r="LTT45" s="51"/>
      <c r="LTU45" s="51"/>
      <c r="LTV45" s="51"/>
      <c r="LTW45" s="51"/>
      <c r="LTX45" s="51"/>
      <c r="LTY45" s="51"/>
      <c r="LTZ45" s="51"/>
      <c r="LUA45" s="51"/>
      <c r="LUB45" s="51"/>
      <c r="LUC45" s="51"/>
      <c r="LUD45" s="51"/>
      <c r="LUE45" s="51"/>
      <c r="LUF45" s="51"/>
      <c r="LUG45" s="51"/>
      <c r="LUH45" s="51"/>
      <c r="LUI45" s="51"/>
      <c r="LUJ45" s="51"/>
      <c r="LUK45" s="51"/>
      <c r="LUL45" s="51"/>
      <c r="LUM45" s="51"/>
      <c r="LUN45" s="51"/>
      <c r="LUO45" s="51"/>
      <c r="LUP45" s="51"/>
      <c r="LUQ45" s="51"/>
      <c r="LUR45" s="51"/>
      <c r="LUS45" s="51"/>
      <c r="LUT45" s="51"/>
      <c r="LUU45" s="51"/>
      <c r="LUV45" s="51"/>
      <c r="LUW45" s="51"/>
      <c r="LUX45" s="51"/>
      <c r="LUY45" s="51"/>
      <c r="LUZ45" s="51"/>
      <c r="LVA45" s="51"/>
      <c r="LVB45" s="51"/>
      <c r="LVC45" s="51"/>
      <c r="LVD45" s="51"/>
      <c r="LVE45" s="51"/>
      <c r="LVF45" s="51"/>
      <c r="LVG45" s="51"/>
      <c r="LVH45" s="51"/>
      <c r="LVI45" s="51"/>
      <c r="LVJ45" s="51"/>
      <c r="LVK45" s="51"/>
      <c r="LVL45" s="51"/>
      <c r="LVM45" s="51"/>
      <c r="LVN45" s="51"/>
      <c r="LVO45" s="51"/>
      <c r="LVP45" s="51"/>
      <c r="LVQ45" s="51"/>
      <c r="LVR45" s="51"/>
      <c r="LVS45" s="51"/>
      <c r="LVT45" s="51"/>
      <c r="LVU45" s="51"/>
      <c r="LVV45" s="51"/>
      <c r="LVW45" s="51"/>
      <c r="LVX45" s="51"/>
      <c r="LVY45" s="51"/>
      <c r="LVZ45" s="51"/>
      <c r="LWA45" s="51"/>
      <c r="LWB45" s="51"/>
      <c r="LWC45" s="51"/>
      <c r="LWD45" s="51"/>
      <c r="LWE45" s="51"/>
      <c r="LWF45" s="51"/>
      <c r="LWG45" s="51"/>
      <c r="LWH45" s="51"/>
      <c r="LWI45" s="51"/>
      <c r="LWJ45" s="51"/>
      <c r="LWK45" s="51"/>
      <c r="LWL45" s="51"/>
      <c r="LWM45" s="51"/>
      <c r="LWN45" s="51"/>
      <c r="LWO45" s="51"/>
      <c r="LWP45" s="51"/>
      <c r="LWQ45" s="51"/>
      <c r="LWR45" s="51"/>
      <c r="LWS45" s="51"/>
      <c r="LWT45" s="51"/>
      <c r="LWU45" s="51"/>
      <c r="LWV45" s="51"/>
      <c r="LWW45" s="51"/>
      <c r="LWX45" s="51"/>
      <c r="LWY45" s="51"/>
      <c r="LWZ45" s="51"/>
      <c r="LXA45" s="51"/>
      <c r="LXB45" s="51"/>
      <c r="LXC45" s="51"/>
      <c r="LXD45" s="51"/>
      <c r="LXE45" s="51"/>
      <c r="LXF45" s="51"/>
      <c r="LXG45" s="51"/>
      <c r="LXH45" s="51"/>
      <c r="LXI45" s="51"/>
      <c r="LXJ45" s="51"/>
      <c r="LXK45" s="51"/>
      <c r="LXL45" s="51"/>
      <c r="LXM45" s="51"/>
      <c r="LXN45" s="51"/>
      <c r="LXO45" s="51"/>
      <c r="LXP45" s="51"/>
      <c r="LXQ45" s="51"/>
      <c r="LXR45" s="51"/>
      <c r="LXS45" s="51"/>
      <c r="LXT45" s="51"/>
      <c r="LXU45" s="51"/>
      <c r="LXV45" s="51"/>
      <c r="LXW45" s="51"/>
      <c r="LXX45" s="51"/>
      <c r="LXY45" s="51"/>
      <c r="LXZ45" s="51"/>
      <c r="LYA45" s="51"/>
      <c r="LYB45" s="51"/>
      <c r="LYC45" s="51"/>
      <c r="LYD45" s="51"/>
      <c r="LYE45" s="51"/>
      <c r="LYF45" s="51"/>
      <c r="LYG45" s="51"/>
      <c r="LYH45" s="51"/>
      <c r="LYI45" s="51"/>
      <c r="LYJ45" s="51"/>
      <c r="LYK45" s="51"/>
      <c r="LYL45" s="51"/>
      <c r="LYM45" s="51"/>
      <c r="LYN45" s="51"/>
      <c r="LYO45" s="51"/>
      <c r="LYP45" s="51"/>
      <c r="LYQ45" s="51"/>
      <c r="LYR45" s="51"/>
      <c r="LYS45" s="51"/>
      <c r="LYT45" s="51"/>
      <c r="LYU45" s="51"/>
      <c r="LYV45" s="51"/>
      <c r="LYW45" s="51"/>
      <c r="LYX45" s="51"/>
      <c r="LYY45" s="51"/>
      <c r="LYZ45" s="51"/>
      <c r="LZA45" s="51"/>
      <c r="LZB45" s="51"/>
      <c r="LZC45" s="51"/>
      <c r="LZD45" s="51"/>
      <c r="LZE45" s="51"/>
      <c r="LZF45" s="51"/>
      <c r="LZG45" s="51"/>
      <c r="LZH45" s="51"/>
      <c r="LZI45" s="51"/>
      <c r="LZJ45" s="51"/>
      <c r="LZK45" s="51"/>
      <c r="LZL45" s="51"/>
      <c r="LZM45" s="51"/>
      <c r="LZN45" s="51"/>
      <c r="LZO45" s="51"/>
      <c r="LZP45" s="51"/>
      <c r="LZQ45" s="51"/>
      <c r="LZR45" s="51"/>
      <c r="LZS45" s="51"/>
      <c r="LZT45" s="51"/>
      <c r="LZU45" s="51"/>
      <c r="LZV45" s="51"/>
      <c r="LZW45" s="51"/>
      <c r="LZX45" s="51"/>
      <c r="LZY45" s="51"/>
      <c r="LZZ45" s="51"/>
      <c r="MAA45" s="51"/>
      <c r="MAB45" s="51"/>
      <c r="MAC45" s="51"/>
      <c r="MAD45" s="51"/>
      <c r="MAE45" s="51"/>
      <c r="MAF45" s="51"/>
      <c r="MAG45" s="51"/>
      <c r="MAH45" s="51"/>
      <c r="MAI45" s="51"/>
      <c r="MAJ45" s="51"/>
      <c r="MAK45" s="51"/>
      <c r="MAL45" s="51"/>
      <c r="MAM45" s="51"/>
      <c r="MAN45" s="51"/>
      <c r="MAO45" s="51"/>
      <c r="MAP45" s="51"/>
      <c r="MAQ45" s="51"/>
      <c r="MAR45" s="51"/>
      <c r="MAS45" s="51"/>
      <c r="MAT45" s="51"/>
      <c r="MAU45" s="51"/>
      <c r="MAV45" s="51"/>
      <c r="MAW45" s="51"/>
      <c r="MAX45" s="51"/>
      <c r="MAY45" s="51"/>
      <c r="MAZ45" s="51"/>
      <c r="MBA45" s="51"/>
      <c r="MBB45" s="51"/>
      <c r="MBC45" s="51"/>
      <c r="MBD45" s="51"/>
      <c r="MBE45" s="51"/>
      <c r="MBF45" s="51"/>
      <c r="MBG45" s="51"/>
      <c r="MBH45" s="51"/>
      <c r="MBI45" s="51"/>
      <c r="MBJ45" s="51"/>
      <c r="MBK45" s="51"/>
      <c r="MBL45" s="51"/>
      <c r="MBM45" s="51"/>
      <c r="MBN45" s="51"/>
      <c r="MBO45" s="51"/>
      <c r="MBP45" s="51"/>
      <c r="MBQ45" s="51"/>
      <c r="MBR45" s="51"/>
      <c r="MBS45" s="51"/>
      <c r="MBT45" s="51"/>
      <c r="MBU45" s="51"/>
      <c r="MBV45" s="51"/>
      <c r="MBW45" s="51"/>
      <c r="MBX45" s="51"/>
      <c r="MBY45" s="51"/>
      <c r="MBZ45" s="51"/>
      <c r="MCA45" s="51"/>
      <c r="MCB45" s="51"/>
      <c r="MCC45" s="51"/>
      <c r="MCD45" s="51"/>
      <c r="MCE45" s="51"/>
      <c r="MCF45" s="51"/>
      <c r="MCG45" s="51"/>
      <c r="MCH45" s="51"/>
      <c r="MCI45" s="51"/>
      <c r="MCJ45" s="51"/>
      <c r="MCK45" s="51"/>
      <c r="MCL45" s="51"/>
      <c r="MCM45" s="51"/>
      <c r="MCN45" s="51"/>
      <c r="MCO45" s="51"/>
      <c r="MCP45" s="51"/>
      <c r="MCQ45" s="51"/>
      <c r="MCR45" s="51"/>
      <c r="MCS45" s="51"/>
      <c r="MCT45" s="51"/>
      <c r="MCU45" s="51"/>
      <c r="MCV45" s="51"/>
      <c r="MCW45" s="51"/>
      <c r="MCX45" s="51"/>
      <c r="MCY45" s="51"/>
      <c r="MCZ45" s="51"/>
      <c r="MDA45" s="51"/>
      <c r="MDB45" s="51"/>
      <c r="MDC45" s="51"/>
      <c r="MDD45" s="51"/>
      <c r="MDE45" s="51"/>
      <c r="MDF45" s="51"/>
      <c r="MDG45" s="51"/>
      <c r="MDH45" s="51"/>
      <c r="MDI45" s="51"/>
      <c r="MDJ45" s="51"/>
      <c r="MDK45" s="51"/>
      <c r="MDL45" s="51"/>
      <c r="MDM45" s="51"/>
      <c r="MDN45" s="51"/>
      <c r="MDO45" s="51"/>
      <c r="MDP45" s="51"/>
      <c r="MDQ45" s="51"/>
      <c r="MDR45" s="51"/>
      <c r="MDS45" s="51"/>
      <c r="MDT45" s="51"/>
      <c r="MDU45" s="51"/>
      <c r="MDV45" s="51"/>
      <c r="MDW45" s="51"/>
      <c r="MDX45" s="51"/>
      <c r="MDY45" s="51"/>
      <c r="MDZ45" s="51"/>
      <c r="MEA45" s="51"/>
      <c r="MEB45" s="51"/>
      <c r="MEC45" s="51"/>
      <c r="MED45" s="51"/>
      <c r="MEE45" s="51"/>
      <c r="MEF45" s="51"/>
      <c r="MEG45" s="51"/>
      <c r="MEH45" s="51"/>
      <c r="MEI45" s="51"/>
      <c r="MEJ45" s="51"/>
      <c r="MEK45" s="51"/>
      <c r="MEL45" s="51"/>
      <c r="MEM45" s="51"/>
      <c r="MEN45" s="51"/>
      <c r="MEO45" s="51"/>
      <c r="MEP45" s="51"/>
      <c r="MEQ45" s="51"/>
      <c r="MER45" s="51"/>
      <c r="MES45" s="51"/>
      <c r="MET45" s="51"/>
      <c r="MEU45" s="51"/>
      <c r="MEV45" s="51"/>
      <c r="MEW45" s="51"/>
      <c r="MEX45" s="51"/>
      <c r="MEY45" s="51"/>
      <c r="MEZ45" s="51"/>
      <c r="MFA45" s="51"/>
      <c r="MFB45" s="51"/>
      <c r="MFC45" s="51"/>
      <c r="MFD45" s="51"/>
      <c r="MFE45" s="51"/>
      <c r="MFF45" s="51"/>
      <c r="MFG45" s="51"/>
      <c r="MFH45" s="51"/>
      <c r="MFI45" s="51"/>
      <c r="MFJ45" s="51"/>
      <c r="MFK45" s="51"/>
      <c r="MFL45" s="51"/>
      <c r="MFM45" s="51"/>
      <c r="MFN45" s="51"/>
      <c r="MFO45" s="51"/>
      <c r="MFP45" s="51"/>
      <c r="MFQ45" s="51"/>
      <c r="MFR45" s="51"/>
      <c r="MFS45" s="51"/>
      <c r="MFT45" s="51"/>
      <c r="MFU45" s="51"/>
      <c r="MFV45" s="51"/>
      <c r="MFW45" s="51"/>
      <c r="MFX45" s="51"/>
      <c r="MFY45" s="51"/>
      <c r="MFZ45" s="51"/>
      <c r="MGA45" s="51"/>
      <c r="MGB45" s="51"/>
      <c r="MGC45" s="51"/>
      <c r="MGD45" s="51"/>
      <c r="MGE45" s="51"/>
      <c r="MGF45" s="51"/>
      <c r="MGG45" s="51"/>
      <c r="MGH45" s="51"/>
      <c r="MGI45" s="51"/>
      <c r="MGJ45" s="51"/>
      <c r="MGK45" s="51"/>
      <c r="MGL45" s="51"/>
      <c r="MGM45" s="51"/>
      <c r="MGN45" s="51"/>
      <c r="MGO45" s="51"/>
      <c r="MGP45" s="51"/>
      <c r="MGQ45" s="51"/>
      <c r="MGR45" s="51"/>
      <c r="MGS45" s="51"/>
      <c r="MGT45" s="51"/>
      <c r="MGU45" s="51"/>
      <c r="MGV45" s="51"/>
      <c r="MGW45" s="51"/>
      <c r="MGX45" s="51"/>
      <c r="MGY45" s="51"/>
      <c r="MGZ45" s="51"/>
      <c r="MHA45" s="51"/>
      <c r="MHB45" s="51"/>
      <c r="MHC45" s="51"/>
      <c r="MHD45" s="51"/>
      <c r="MHE45" s="51"/>
      <c r="MHF45" s="51"/>
      <c r="MHG45" s="51"/>
      <c r="MHH45" s="51"/>
      <c r="MHI45" s="51"/>
      <c r="MHJ45" s="51"/>
      <c r="MHK45" s="51"/>
      <c r="MHL45" s="51"/>
      <c r="MHM45" s="51"/>
      <c r="MHN45" s="51"/>
      <c r="MHO45" s="51"/>
      <c r="MHP45" s="51"/>
      <c r="MHQ45" s="51"/>
      <c r="MHR45" s="51"/>
      <c r="MHS45" s="51"/>
      <c r="MHT45" s="51"/>
      <c r="MHU45" s="51"/>
      <c r="MHV45" s="51"/>
      <c r="MHW45" s="51"/>
      <c r="MHX45" s="51"/>
      <c r="MHY45" s="51"/>
      <c r="MHZ45" s="51"/>
      <c r="MIA45" s="51"/>
      <c r="MIB45" s="51"/>
      <c r="MIC45" s="51"/>
      <c r="MID45" s="51"/>
      <c r="MIE45" s="51"/>
      <c r="MIF45" s="51"/>
      <c r="MIG45" s="51"/>
      <c r="MIH45" s="51"/>
      <c r="MII45" s="51"/>
      <c r="MIJ45" s="51"/>
      <c r="MIK45" s="51"/>
      <c r="MIL45" s="51"/>
      <c r="MIM45" s="51"/>
      <c r="MIN45" s="51"/>
      <c r="MIO45" s="51"/>
      <c r="MIP45" s="51"/>
      <c r="MIQ45" s="51"/>
      <c r="MIR45" s="51"/>
      <c r="MIS45" s="51"/>
      <c r="MIT45" s="51"/>
      <c r="MIU45" s="51"/>
      <c r="MIV45" s="51"/>
      <c r="MIW45" s="51"/>
      <c r="MIX45" s="51"/>
      <c r="MIY45" s="51"/>
      <c r="MIZ45" s="51"/>
      <c r="MJA45" s="51"/>
      <c r="MJB45" s="51"/>
      <c r="MJC45" s="51"/>
      <c r="MJD45" s="51"/>
      <c r="MJE45" s="51"/>
      <c r="MJF45" s="51"/>
      <c r="MJG45" s="51"/>
      <c r="MJH45" s="51"/>
      <c r="MJI45" s="51"/>
      <c r="MJJ45" s="51"/>
      <c r="MJK45" s="51"/>
      <c r="MJL45" s="51"/>
      <c r="MJM45" s="51"/>
      <c r="MJN45" s="51"/>
      <c r="MJO45" s="51"/>
      <c r="MJP45" s="51"/>
      <c r="MJQ45" s="51"/>
      <c r="MJR45" s="51"/>
      <c r="MJS45" s="51"/>
      <c r="MJT45" s="51"/>
      <c r="MJU45" s="51"/>
      <c r="MJV45" s="51"/>
      <c r="MJW45" s="51"/>
      <c r="MJX45" s="51"/>
      <c r="MJY45" s="51"/>
      <c r="MJZ45" s="51"/>
      <c r="MKA45" s="51"/>
      <c r="MKB45" s="51"/>
      <c r="MKC45" s="51"/>
      <c r="MKD45" s="51"/>
      <c r="MKE45" s="51"/>
      <c r="MKF45" s="51"/>
      <c r="MKG45" s="51"/>
      <c r="MKH45" s="51"/>
      <c r="MKI45" s="51"/>
      <c r="MKJ45" s="51"/>
      <c r="MKK45" s="51"/>
      <c r="MKL45" s="51"/>
      <c r="MKM45" s="51"/>
      <c r="MKN45" s="51"/>
      <c r="MKO45" s="51"/>
      <c r="MKP45" s="51"/>
      <c r="MKQ45" s="51"/>
      <c r="MKR45" s="51"/>
      <c r="MKS45" s="51"/>
      <c r="MKT45" s="51"/>
      <c r="MKU45" s="51"/>
      <c r="MKV45" s="51"/>
      <c r="MKW45" s="51"/>
      <c r="MKX45" s="51"/>
      <c r="MKY45" s="51"/>
      <c r="MKZ45" s="51"/>
      <c r="MLA45" s="51"/>
      <c r="MLB45" s="51"/>
      <c r="MLC45" s="51"/>
      <c r="MLD45" s="51"/>
      <c r="MLE45" s="51"/>
      <c r="MLF45" s="51"/>
      <c r="MLG45" s="51"/>
      <c r="MLH45" s="51"/>
      <c r="MLI45" s="51"/>
      <c r="MLJ45" s="51"/>
      <c r="MLK45" s="51"/>
      <c r="MLL45" s="51"/>
      <c r="MLM45" s="51"/>
      <c r="MLN45" s="51"/>
      <c r="MLO45" s="51"/>
      <c r="MLP45" s="51"/>
      <c r="MLQ45" s="51"/>
      <c r="MLR45" s="51"/>
      <c r="MLS45" s="51"/>
      <c r="MLT45" s="51"/>
      <c r="MLU45" s="51"/>
      <c r="MLV45" s="51"/>
      <c r="MLW45" s="51"/>
      <c r="MLX45" s="51"/>
      <c r="MLY45" s="51"/>
      <c r="MLZ45" s="51"/>
      <c r="MMA45" s="51"/>
      <c r="MMB45" s="51"/>
      <c r="MMC45" s="51"/>
      <c r="MMD45" s="51"/>
      <c r="MME45" s="51"/>
      <c r="MMF45" s="51"/>
      <c r="MMG45" s="51"/>
      <c r="MMH45" s="51"/>
      <c r="MMI45" s="51"/>
      <c r="MMJ45" s="51"/>
      <c r="MMK45" s="51"/>
      <c r="MML45" s="51"/>
      <c r="MMM45" s="51"/>
      <c r="MMN45" s="51"/>
      <c r="MMO45" s="51"/>
      <c r="MMP45" s="51"/>
      <c r="MMQ45" s="51"/>
      <c r="MMR45" s="51"/>
      <c r="MMS45" s="51"/>
      <c r="MMT45" s="51"/>
      <c r="MMU45" s="51"/>
      <c r="MMV45" s="51"/>
      <c r="MMW45" s="51"/>
      <c r="MMX45" s="51"/>
      <c r="MMY45" s="51"/>
      <c r="MMZ45" s="51"/>
      <c r="MNA45" s="51"/>
      <c r="MNB45" s="51"/>
      <c r="MNC45" s="51"/>
      <c r="MND45" s="51"/>
      <c r="MNE45" s="51"/>
      <c r="MNF45" s="51"/>
      <c r="MNG45" s="51"/>
      <c r="MNH45" s="51"/>
      <c r="MNI45" s="51"/>
      <c r="MNJ45" s="51"/>
      <c r="MNK45" s="51"/>
      <c r="MNL45" s="51"/>
      <c r="MNM45" s="51"/>
      <c r="MNN45" s="51"/>
      <c r="MNO45" s="51"/>
      <c r="MNP45" s="51"/>
      <c r="MNQ45" s="51"/>
      <c r="MNR45" s="51"/>
      <c r="MNS45" s="51"/>
      <c r="MNT45" s="51"/>
      <c r="MNU45" s="51"/>
      <c r="MNV45" s="51"/>
      <c r="MNW45" s="51"/>
      <c r="MNX45" s="51"/>
      <c r="MNY45" s="51"/>
      <c r="MNZ45" s="51"/>
      <c r="MOA45" s="51"/>
      <c r="MOB45" s="51"/>
      <c r="MOC45" s="51"/>
      <c r="MOD45" s="51"/>
      <c r="MOE45" s="51"/>
      <c r="MOF45" s="51"/>
      <c r="MOG45" s="51"/>
      <c r="MOH45" s="51"/>
      <c r="MOI45" s="51"/>
      <c r="MOJ45" s="51"/>
      <c r="MOK45" s="51"/>
      <c r="MOL45" s="51"/>
      <c r="MOM45" s="51"/>
      <c r="MON45" s="51"/>
      <c r="MOO45" s="51"/>
      <c r="MOP45" s="51"/>
      <c r="MOQ45" s="51"/>
      <c r="MOR45" s="51"/>
      <c r="MOS45" s="51"/>
      <c r="MOT45" s="51"/>
      <c r="MOU45" s="51"/>
      <c r="MOV45" s="51"/>
      <c r="MOW45" s="51"/>
      <c r="MOX45" s="51"/>
      <c r="MOY45" s="51"/>
      <c r="MOZ45" s="51"/>
      <c r="MPA45" s="51"/>
      <c r="MPB45" s="51"/>
      <c r="MPC45" s="51"/>
      <c r="MPD45" s="51"/>
      <c r="MPE45" s="51"/>
      <c r="MPF45" s="51"/>
      <c r="MPG45" s="51"/>
      <c r="MPH45" s="51"/>
      <c r="MPI45" s="51"/>
      <c r="MPJ45" s="51"/>
      <c r="MPK45" s="51"/>
      <c r="MPL45" s="51"/>
      <c r="MPM45" s="51"/>
      <c r="MPN45" s="51"/>
      <c r="MPO45" s="51"/>
      <c r="MPP45" s="51"/>
      <c r="MPQ45" s="51"/>
      <c r="MPR45" s="51"/>
      <c r="MPS45" s="51"/>
      <c r="MPT45" s="51"/>
      <c r="MPU45" s="51"/>
      <c r="MPV45" s="51"/>
      <c r="MPW45" s="51"/>
      <c r="MPX45" s="51"/>
      <c r="MPY45" s="51"/>
      <c r="MPZ45" s="51"/>
      <c r="MQA45" s="51"/>
      <c r="MQB45" s="51"/>
      <c r="MQC45" s="51"/>
      <c r="MQD45" s="51"/>
      <c r="MQE45" s="51"/>
      <c r="MQF45" s="51"/>
      <c r="MQG45" s="51"/>
      <c r="MQH45" s="51"/>
      <c r="MQI45" s="51"/>
      <c r="MQJ45" s="51"/>
      <c r="MQK45" s="51"/>
      <c r="MQL45" s="51"/>
      <c r="MQM45" s="51"/>
      <c r="MQN45" s="51"/>
      <c r="MQO45" s="51"/>
      <c r="MQP45" s="51"/>
      <c r="MQQ45" s="51"/>
      <c r="MQR45" s="51"/>
      <c r="MQS45" s="51"/>
      <c r="MQT45" s="51"/>
      <c r="MQU45" s="51"/>
      <c r="MQV45" s="51"/>
      <c r="MQW45" s="51"/>
      <c r="MQX45" s="51"/>
      <c r="MQY45" s="51"/>
      <c r="MQZ45" s="51"/>
      <c r="MRA45" s="51"/>
      <c r="MRB45" s="51"/>
      <c r="MRC45" s="51"/>
      <c r="MRD45" s="51"/>
      <c r="MRE45" s="51"/>
      <c r="MRF45" s="51"/>
      <c r="MRG45" s="51"/>
      <c r="MRH45" s="51"/>
      <c r="MRI45" s="51"/>
      <c r="MRJ45" s="51"/>
      <c r="MRK45" s="51"/>
      <c r="MRL45" s="51"/>
      <c r="MRM45" s="51"/>
      <c r="MRN45" s="51"/>
      <c r="MRO45" s="51"/>
      <c r="MRP45" s="51"/>
      <c r="MRQ45" s="51"/>
      <c r="MRR45" s="51"/>
      <c r="MRS45" s="51"/>
      <c r="MRT45" s="51"/>
      <c r="MRU45" s="51"/>
      <c r="MRV45" s="51"/>
      <c r="MRW45" s="51"/>
      <c r="MRX45" s="51"/>
      <c r="MRY45" s="51"/>
      <c r="MRZ45" s="51"/>
      <c r="MSA45" s="51"/>
      <c r="MSB45" s="51"/>
      <c r="MSC45" s="51"/>
      <c r="MSD45" s="51"/>
      <c r="MSE45" s="51"/>
      <c r="MSF45" s="51"/>
      <c r="MSG45" s="51"/>
      <c r="MSH45" s="51"/>
      <c r="MSI45" s="51"/>
      <c r="MSJ45" s="51"/>
      <c r="MSK45" s="51"/>
      <c r="MSL45" s="51"/>
      <c r="MSM45" s="51"/>
      <c r="MSN45" s="51"/>
      <c r="MSO45" s="51"/>
      <c r="MSP45" s="51"/>
      <c r="MSQ45" s="51"/>
      <c r="MSR45" s="51"/>
      <c r="MSS45" s="51"/>
      <c r="MST45" s="51"/>
      <c r="MSU45" s="51"/>
      <c r="MSV45" s="51"/>
      <c r="MSW45" s="51"/>
      <c r="MSX45" s="51"/>
      <c r="MSY45" s="51"/>
      <c r="MSZ45" s="51"/>
      <c r="MTA45" s="51"/>
      <c r="MTB45" s="51"/>
      <c r="MTC45" s="51"/>
      <c r="MTD45" s="51"/>
      <c r="MTE45" s="51"/>
      <c r="MTF45" s="51"/>
      <c r="MTG45" s="51"/>
      <c r="MTH45" s="51"/>
      <c r="MTI45" s="51"/>
      <c r="MTJ45" s="51"/>
      <c r="MTK45" s="51"/>
      <c r="MTL45" s="51"/>
      <c r="MTM45" s="51"/>
      <c r="MTN45" s="51"/>
      <c r="MTO45" s="51"/>
      <c r="MTP45" s="51"/>
      <c r="MTQ45" s="51"/>
      <c r="MTR45" s="51"/>
      <c r="MTS45" s="51"/>
      <c r="MTT45" s="51"/>
      <c r="MTU45" s="51"/>
      <c r="MTV45" s="51"/>
      <c r="MTW45" s="51"/>
      <c r="MTX45" s="51"/>
      <c r="MTY45" s="51"/>
      <c r="MTZ45" s="51"/>
      <c r="MUA45" s="51"/>
      <c r="MUB45" s="51"/>
      <c r="MUC45" s="51"/>
      <c r="MUD45" s="51"/>
      <c r="MUE45" s="51"/>
      <c r="MUF45" s="51"/>
      <c r="MUG45" s="51"/>
      <c r="MUH45" s="51"/>
      <c r="MUI45" s="51"/>
      <c r="MUJ45" s="51"/>
      <c r="MUK45" s="51"/>
      <c r="MUL45" s="51"/>
      <c r="MUM45" s="51"/>
      <c r="MUN45" s="51"/>
      <c r="MUO45" s="51"/>
      <c r="MUP45" s="51"/>
      <c r="MUQ45" s="51"/>
      <c r="MUR45" s="51"/>
      <c r="MUS45" s="51"/>
      <c r="MUT45" s="51"/>
      <c r="MUU45" s="51"/>
      <c r="MUV45" s="51"/>
      <c r="MUW45" s="51"/>
      <c r="MUX45" s="51"/>
      <c r="MUY45" s="51"/>
      <c r="MUZ45" s="51"/>
      <c r="MVA45" s="51"/>
      <c r="MVB45" s="51"/>
      <c r="MVC45" s="51"/>
      <c r="MVD45" s="51"/>
      <c r="MVE45" s="51"/>
      <c r="MVF45" s="51"/>
      <c r="MVG45" s="51"/>
      <c r="MVH45" s="51"/>
      <c r="MVI45" s="51"/>
      <c r="MVJ45" s="51"/>
      <c r="MVK45" s="51"/>
      <c r="MVL45" s="51"/>
      <c r="MVM45" s="51"/>
      <c r="MVN45" s="51"/>
      <c r="MVO45" s="51"/>
      <c r="MVP45" s="51"/>
      <c r="MVQ45" s="51"/>
      <c r="MVR45" s="51"/>
      <c r="MVS45" s="51"/>
      <c r="MVT45" s="51"/>
      <c r="MVU45" s="51"/>
      <c r="MVV45" s="51"/>
      <c r="MVW45" s="51"/>
      <c r="MVX45" s="51"/>
      <c r="MVY45" s="51"/>
      <c r="MVZ45" s="51"/>
      <c r="MWA45" s="51"/>
      <c r="MWB45" s="51"/>
      <c r="MWC45" s="51"/>
      <c r="MWD45" s="51"/>
      <c r="MWE45" s="51"/>
      <c r="MWF45" s="51"/>
      <c r="MWG45" s="51"/>
      <c r="MWH45" s="51"/>
      <c r="MWI45" s="51"/>
      <c r="MWJ45" s="51"/>
      <c r="MWK45" s="51"/>
      <c r="MWL45" s="51"/>
      <c r="MWM45" s="51"/>
      <c r="MWN45" s="51"/>
      <c r="MWO45" s="51"/>
      <c r="MWP45" s="51"/>
      <c r="MWQ45" s="51"/>
      <c r="MWR45" s="51"/>
      <c r="MWS45" s="51"/>
      <c r="MWT45" s="51"/>
      <c r="MWU45" s="51"/>
      <c r="MWV45" s="51"/>
      <c r="MWW45" s="51"/>
      <c r="MWX45" s="51"/>
      <c r="MWY45" s="51"/>
      <c r="MWZ45" s="51"/>
      <c r="MXA45" s="51"/>
      <c r="MXB45" s="51"/>
      <c r="MXC45" s="51"/>
      <c r="MXD45" s="51"/>
      <c r="MXE45" s="51"/>
      <c r="MXF45" s="51"/>
      <c r="MXG45" s="51"/>
      <c r="MXH45" s="51"/>
      <c r="MXI45" s="51"/>
      <c r="MXJ45" s="51"/>
      <c r="MXK45" s="51"/>
      <c r="MXL45" s="51"/>
      <c r="MXM45" s="51"/>
      <c r="MXN45" s="51"/>
      <c r="MXO45" s="51"/>
      <c r="MXP45" s="51"/>
      <c r="MXQ45" s="51"/>
      <c r="MXR45" s="51"/>
      <c r="MXS45" s="51"/>
      <c r="MXT45" s="51"/>
      <c r="MXU45" s="51"/>
      <c r="MXV45" s="51"/>
      <c r="MXW45" s="51"/>
      <c r="MXX45" s="51"/>
      <c r="MXY45" s="51"/>
      <c r="MXZ45" s="51"/>
      <c r="MYA45" s="51"/>
      <c r="MYB45" s="51"/>
      <c r="MYC45" s="51"/>
      <c r="MYD45" s="51"/>
      <c r="MYE45" s="51"/>
      <c r="MYF45" s="51"/>
      <c r="MYG45" s="51"/>
      <c r="MYH45" s="51"/>
      <c r="MYI45" s="51"/>
      <c r="MYJ45" s="51"/>
      <c r="MYK45" s="51"/>
      <c r="MYL45" s="51"/>
      <c r="MYM45" s="51"/>
      <c r="MYN45" s="51"/>
      <c r="MYO45" s="51"/>
      <c r="MYP45" s="51"/>
      <c r="MYQ45" s="51"/>
      <c r="MYR45" s="51"/>
      <c r="MYS45" s="51"/>
      <c r="MYT45" s="51"/>
      <c r="MYU45" s="51"/>
      <c r="MYV45" s="51"/>
      <c r="MYW45" s="51"/>
      <c r="MYX45" s="51"/>
      <c r="MYY45" s="51"/>
      <c r="MYZ45" s="51"/>
      <c r="MZA45" s="51"/>
      <c r="MZB45" s="51"/>
      <c r="MZC45" s="51"/>
      <c r="MZD45" s="51"/>
      <c r="MZE45" s="51"/>
      <c r="MZF45" s="51"/>
      <c r="MZG45" s="51"/>
      <c r="MZH45" s="51"/>
      <c r="MZI45" s="51"/>
      <c r="MZJ45" s="51"/>
      <c r="MZK45" s="51"/>
      <c r="MZL45" s="51"/>
      <c r="MZM45" s="51"/>
      <c r="MZN45" s="51"/>
      <c r="MZO45" s="51"/>
      <c r="MZP45" s="51"/>
      <c r="MZQ45" s="51"/>
      <c r="MZR45" s="51"/>
      <c r="MZS45" s="51"/>
      <c r="MZT45" s="51"/>
      <c r="MZU45" s="51"/>
      <c r="MZV45" s="51"/>
      <c r="MZW45" s="51"/>
      <c r="MZX45" s="51"/>
      <c r="MZY45" s="51"/>
      <c r="MZZ45" s="51"/>
      <c r="NAA45" s="51"/>
      <c r="NAB45" s="51"/>
      <c r="NAC45" s="51"/>
      <c r="NAD45" s="51"/>
      <c r="NAE45" s="51"/>
      <c r="NAF45" s="51"/>
      <c r="NAG45" s="51"/>
      <c r="NAH45" s="51"/>
      <c r="NAI45" s="51"/>
      <c r="NAJ45" s="51"/>
      <c r="NAK45" s="51"/>
      <c r="NAL45" s="51"/>
      <c r="NAM45" s="51"/>
      <c r="NAN45" s="51"/>
      <c r="NAO45" s="51"/>
      <c r="NAP45" s="51"/>
      <c r="NAQ45" s="51"/>
      <c r="NAR45" s="51"/>
      <c r="NAS45" s="51"/>
      <c r="NAT45" s="51"/>
      <c r="NAU45" s="51"/>
      <c r="NAV45" s="51"/>
      <c r="NAW45" s="51"/>
      <c r="NAX45" s="51"/>
      <c r="NAY45" s="51"/>
      <c r="NAZ45" s="51"/>
      <c r="NBA45" s="51"/>
      <c r="NBB45" s="51"/>
      <c r="NBC45" s="51"/>
      <c r="NBD45" s="51"/>
      <c r="NBE45" s="51"/>
      <c r="NBF45" s="51"/>
      <c r="NBG45" s="51"/>
      <c r="NBH45" s="51"/>
      <c r="NBI45" s="51"/>
      <c r="NBJ45" s="51"/>
      <c r="NBK45" s="51"/>
      <c r="NBL45" s="51"/>
      <c r="NBM45" s="51"/>
      <c r="NBN45" s="51"/>
      <c r="NBO45" s="51"/>
      <c r="NBP45" s="51"/>
      <c r="NBQ45" s="51"/>
      <c r="NBR45" s="51"/>
      <c r="NBS45" s="51"/>
      <c r="NBT45" s="51"/>
      <c r="NBU45" s="51"/>
      <c r="NBV45" s="51"/>
      <c r="NBW45" s="51"/>
      <c r="NBX45" s="51"/>
      <c r="NBY45" s="51"/>
      <c r="NBZ45" s="51"/>
      <c r="NCA45" s="51"/>
      <c r="NCB45" s="51"/>
      <c r="NCC45" s="51"/>
      <c r="NCD45" s="51"/>
      <c r="NCE45" s="51"/>
      <c r="NCF45" s="51"/>
      <c r="NCG45" s="51"/>
      <c r="NCH45" s="51"/>
      <c r="NCI45" s="51"/>
      <c r="NCJ45" s="51"/>
      <c r="NCK45" s="51"/>
      <c r="NCL45" s="51"/>
      <c r="NCM45" s="51"/>
      <c r="NCN45" s="51"/>
      <c r="NCO45" s="51"/>
      <c r="NCP45" s="51"/>
      <c r="NCQ45" s="51"/>
      <c r="NCR45" s="51"/>
      <c r="NCS45" s="51"/>
      <c r="NCT45" s="51"/>
      <c r="NCU45" s="51"/>
      <c r="NCV45" s="51"/>
      <c r="NCW45" s="51"/>
      <c r="NCX45" s="51"/>
      <c r="NCY45" s="51"/>
      <c r="NCZ45" s="51"/>
      <c r="NDA45" s="51"/>
      <c r="NDB45" s="51"/>
      <c r="NDC45" s="51"/>
      <c r="NDD45" s="51"/>
      <c r="NDE45" s="51"/>
      <c r="NDF45" s="51"/>
      <c r="NDG45" s="51"/>
      <c r="NDH45" s="51"/>
      <c r="NDI45" s="51"/>
      <c r="NDJ45" s="51"/>
      <c r="NDK45" s="51"/>
      <c r="NDL45" s="51"/>
      <c r="NDM45" s="51"/>
      <c r="NDN45" s="51"/>
      <c r="NDO45" s="51"/>
      <c r="NDP45" s="51"/>
      <c r="NDQ45" s="51"/>
      <c r="NDR45" s="51"/>
      <c r="NDS45" s="51"/>
      <c r="NDT45" s="51"/>
      <c r="NDU45" s="51"/>
      <c r="NDV45" s="51"/>
      <c r="NDW45" s="51"/>
      <c r="NDX45" s="51"/>
      <c r="NDY45" s="51"/>
      <c r="NDZ45" s="51"/>
      <c r="NEA45" s="51"/>
      <c r="NEB45" s="51"/>
      <c r="NEC45" s="51"/>
      <c r="NED45" s="51"/>
      <c r="NEE45" s="51"/>
      <c r="NEF45" s="51"/>
      <c r="NEG45" s="51"/>
      <c r="NEH45" s="51"/>
      <c r="NEI45" s="51"/>
      <c r="NEJ45" s="51"/>
      <c r="NEK45" s="51"/>
      <c r="NEL45" s="51"/>
      <c r="NEM45" s="51"/>
      <c r="NEN45" s="51"/>
      <c r="NEO45" s="51"/>
      <c r="NEP45" s="51"/>
      <c r="NEQ45" s="51"/>
      <c r="NER45" s="51"/>
      <c r="NES45" s="51"/>
      <c r="NET45" s="51"/>
      <c r="NEU45" s="51"/>
      <c r="NEV45" s="51"/>
      <c r="NEW45" s="51"/>
      <c r="NEX45" s="51"/>
      <c r="NEY45" s="51"/>
      <c r="NEZ45" s="51"/>
      <c r="NFA45" s="51"/>
      <c r="NFB45" s="51"/>
      <c r="NFC45" s="51"/>
      <c r="NFD45" s="51"/>
      <c r="NFE45" s="51"/>
      <c r="NFF45" s="51"/>
      <c r="NFG45" s="51"/>
      <c r="NFH45" s="51"/>
      <c r="NFI45" s="51"/>
      <c r="NFJ45" s="51"/>
      <c r="NFK45" s="51"/>
      <c r="NFL45" s="51"/>
      <c r="NFM45" s="51"/>
      <c r="NFN45" s="51"/>
      <c r="NFO45" s="51"/>
      <c r="NFP45" s="51"/>
      <c r="NFQ45" s="51"/>
      <c r="NFR45" s="51"/>
      <c r="NFS45" s="51"/>
      <c r="NFT45" s="51"/>
      <c r="NFU45" s="51"/>
      <c r="NFV45" s="51"/>
      <c r="NFW45" s="51"/>
      <c r="NFX45" s="51"/>
      <c r="NFY45" s="51"/>
      <c r="NFZ45" s="51"/>
      <c r="NGA45" s="51"/>
      <c r="NGB45" s="51"/>
      <c r="NGC45" s="51"/>
      <c r="NGD45" s="51"/>
      <c r="NGE45" s="51"/>
      <c r="NGF45" s="51"/>
      <c r="NGG45" s="51"/>
      <c r="NGH45" s="51"/>
      <c r="NGI45" s="51"/>
      <c r="NGJ45" s="51"/>
      <c r="NGK45" s="51"/>
      <c r="NGL45" s="51"/>
      <c r="NGM45" s="51"/>
      <c r="NGN45" s="51"/>
      <c r="NGO45" s="51"/>
      <c r="NGP45" s="51"/>
      <c r="NGQ45" s="51"/>
      <c r="NGR45" s="51"/>
      <c r="NGS45" s="51"/>
      <c r="NGT45" s="51"/>
      <c r="NGU45" s="51"/>
      <c r="NGV45" s="51"/>
      <c r="NGW45" s="51"/>
      <c r="NGX45" s="51"/>
      <c r="NGY45" s="51"/>
      <c r="NGZ45" s="51"/>
      <c r="NHA45" s="51"/>
      <c r="NHB45" s="51"/>
      <c r="NHC45" s="51"/>
      <c r="NHD45" s="51"/>
      <c r="NHE45" s="51"/>
      <c r="NHF45" s="51"/>
      <c r="NHG45" s="51"/>
      <c r="NHH45" s="51"/>
      <c r="NHI45" s="51"/>
      <c r="NHJ45" s="51"/>
      <c r="NHK45" s="51"/>
      <c r="NHL45" s="51"/>
      <c r="NHM45" s="51"/>
      <c r="NHN45" s="51"/>
      <c r="NHO45" s="51"/>
      <c r="NHP45" s="51"/>
      <c r="NHQ45" s="51"/>
      <c r="NHR45" s="51"/>
      <c r="NHS45" s="51"/>
      <c r="NHT45" s="51"/>
      <c r="NHU45" s="51"/>
      <c r="NHV45" s="51"/>
      <c r="NHW45" s="51"/>
      <c r="NHX45" s="51"/>
      <c r="NHY45" s="51"/>
      <c r="NHZ45" s="51"/>
      <c r="NIA45" s="51"/>
      <c r="NIB45" s="51"/>
      <c r="NIC45" s="51"/>
      <c r="NID45" s="51"/>
      <c r="NIE45" s="51"/>
      <c r="NIF45" s="51"/>
      <c r="NIG45" s="51"/>
      <c r="NIH45" s="51"/>
      <c r="NII45" s="51"/>
      <c r="NIJ45" s="51"/>
      <c r="NIK45" s="51"/>
      <c r="NIL45" s="51"/>
      <c r="NIM45" s="51"/>
      <c r="NIN45" s="51"/>
      <c r="NIO45" s="51"/>
      <c r="NIP45" s="51"/>
      <c r="NIQ45" s="51"/>
      <c r="NIR45" s="51"/>
      <c r="NIS45" s="51"/>
      <c r="NIT45" s="51"/>
      <c r="NIU45" s="51"/>
      <c r="NIV45" s="51"/>
      <c r="NIW45" s="51"/>
      <c r="NIX45" s="51"/>
      <c r="NIY45" s="51"/>
      <c r="NIZ45" s="51"/>
      <c r="NJA45" s="51"/>
      <c r="NJB45" s="51"/>
      <c r="NJC45" s="51"/>
      <c r="NJD45" s="51"/>
      <c r="NJE45" s="51"/>
      <c r="NJF45" s="51"/>
      <c r="NJG45" s="51"/>
      <c r="NJH45" s="51"/>
      <c r="NJI45" s="51"/>
      <c r="NJJ45" s="51"/>
      <c r="NJK45" s="51"/>
      <c r="NJL45" s="51"/>
      <c r="NJM45" s="51"/>
      <c r="NJN45" s="51"/>
      <c r="NJO45" s="51"/>
      <c r="NJP45" s="51"/>
      <c r="NJQ45" s="51"/>
      <c r="NJR45" s="51"/>
      <c r="NJS45" s="51"/>
      <c r="NJT45" s="51"/>
      <c r="NJU45" s="51"/>
      <c r="NJV45" s="51"/>
      <c r="NJW45" s="51"/>
      <c r="NJX45" s="51"/>
      <c r="NJY45" s="51"/>
      <c r="NJZ45" s="51"/>
      <c r="NKA45" s="51"/>
      <c r="NKB45" s="51"/>
      <c r="NKC45" s="51"/>
      <c r="NKD45" s="51"/>
      <c r="NKE45" s="51"/>
      <c r="NKF45" s="51"/>
      <c r="NKG45" s="51"/>
      <c r="NKH45" s="51"/>
      <c r="NKI45" s="51"/>
      <c r="NKJ45" s="51"/>
      <c r="NKK45" s="51"/>
      <c r="NKL45" s="51"/>
      <c r="NKM45" s="51"/>
      <c r="NKN45" s="51"/>
      <c r="NKO45" s="51"/>
      <c r="NKP45" s="51"/>
      <c r="NKQ45" s="51"/>
      <c r="NKR45" s="51"/>
      <c r="NKS45" s="51"/>
      <c r="NKT45" s="51"/>
      <c r="NKU45" s="51"/>
      <c r="NKV45" s="51"/>
      <c r="NKW45" s="51"/>
      <c r="NKX45" s="51"/>
      <c r="NKY45" s="51"/>
      <c r="NKZ45" s="51"/>
      <c r="NLA45" s="51"/>
      <c r="NLB45" s="51"/>
      <c r="NLC45" s="51"/>
      <c r="NLD45" s="51"/>
      <c r="NLE45" s="51"/>
      <c r="NLF45" s="51"/>
      <c r="NLG45" s="51"/>
      <c r="NLH45" s="51"/>
      <c r="NLI45" s="51"/>
      <c r="NLJ45" s="51"/>
      <c r="NLK45" s="51"/>
      <c r="NLL45" s="51"/>
      <c r="NLM45" s="51"/>
      <c r="NLN45" s="51"/>
      <c r="NLO45" s="51"/>
      <c r="NLP45" s="51"/>
      <c r="NLQ45" s="51"/>
      <c r="NLR45" s="51"/>
      <c r="NLS45" s="51"/>
      <c r="NLT45" s="51"/>
      <c r="NLU45" s="51"/>
      <c r="NLV45" s="51"/>
      <c r="NLW45" s="51"/>
      <c r="NLX45" s="51"/>
      <c r="NLY45" s="51"/>
      <c r="NLZ45" s="51"/>
      <c r="NMA45" s="51"/>
      <c r="NMB45" s="51"/>
      <c r="NMC45" s="51"/>
      <c r="NMD45" s="51"/>
      <c r="NME45" s="51"/>
      <c r="NMF45" s="51"/>
      <c r="NMG45" s="51"/>
      <c r="NMH45" s="51"/>
      <c r="NMI45" s="51"/>
      <c r="NMJ45" s="51"/>
      <c r="NMK45" s="51"/>
      <c r="NML45" s="51"/>
      <c r="NMM45" s="51"/>
      <c r="NMN45" s="51"/>
      <c r="NMO45" s="51"/>
      <c r="NMP45" s="51"/>
      <c r="NMQ45" s="51"/>
      <c r="NMR45" s="51"/>
      <c r="NMS45" s="51"/>
      <c r="NMT45" s="51"/>
      <c r="NMU45" s="51"/>
      <c r="NMV45" s="51"/>
      <c r="NMW45" s="51"/>
      <c r="NMX45" s="51"/>
      <c r="NMY45" s="51"/>
      <c r="NMZ45" s="51"/>
      <c r="NNA45" s="51"/>
      <c r="NNB45" s="51"/>
      <c r="NNC45" s="51"/>
      <c r="NND45" s="51"/>
      <c r="NNE45" s="51"/>
      <c r="NNF45" s="51"/>
      <c r="NNG45" s="51"/>
      <c r="NNH45" s="51"/>
      <c r="NNI45" s="51"/>
      <c r="NNJ45" s="51"/>
      <c r="NNK45" s="51"/>
      <c r="NNL45" s="51"/>
      <c r="NNM45" s="51"/>
      <c r="NNN45" s="51"/>
      <c r="NNO45" s="51"/>
      <c r="NNP45" s="51"/>
      <c r="NNQ45" s="51"/>
      <c r="NNR45" s="51"/>
      <c r="NNS45" s="51"/>
      <c r="NNT45" s="51"/>
      <c r="NNU45" s="51"/>
      <c r="NNV45" s="51"/>
      <c r="NNW45" s="51"/>
      <c r="NNX45" s="51"/>
      <c r="NNY45" s="51"/>
      <c r="NNZ45" s="51"/>
      <c r="NOA45" s="51"/>
      <c r="NOB45" s="51"/>
      <c r="NOC45" s="51"/>
      <c r="NOD45" s="51"/>
      <c r="NOE45" s="51"/>
      <c r="NOF45" s="51"/>
      <c r="NOG45" s="51"/>
      <c r="NOH45" s="51"/>
      <c r="NOI45" s="51"/>
      <c r="NOJ45" s="51"/>
      <c r="NOK45" s="51"/>
      <c r="NOL45" s="51"/>
      <c r="NOM45" s="51"/>
      <c r="NON45" s="51"/>
      <c r="NOO45" s="51"/>
      <c r="NOP45" s="51"/>
      <c r="NOQ45" s="51"/>
      <c r="NOR45" s="51"/>
      <c r="NOS45" s="51"/>
      <c r="NOT45" s="51"/>
      <c r="NOU45" s="51"/>
      <c r="NOV45" s="51"/>
      <c r="NOW45" s="51"/>
      <c r="NOX45" s="51"/>
      <c r="NOY45" s="51"/>
      <c r="NOZ45" s="51"/>
      <c r="NPA45" s="51"/>
      <c r="NPB45" s="51"/>
      <c r="NPC45" s="51"/>
      <c r="NPD45" s="51"/>
      <c r="NPE45" s="51"/>
      <c r="NPF45" s="51"/>
      <c r="NPG45" s="51"/>
      <c r="NPH45" s="51"/>
      <c r="NPI45" s="51"/>
      <c r="NPJ45" s="51"/>
      <c r="NPK45" s="51"/>
      <c r="NPL45" s="51"/>
      <c r="NPM45" s="51"/>
      <c r="NPN45" s="51"/>
      <c r="NPO45" s="51"/>
      <c r="NPP45" s="51"/>
      <c r="NPQ45" s="51"/>
      <c r="NPR45" s="51"/>
      <c r="NPS45" s="51"/>
      <c r="NPT45" s="51"/>
      <c r="NPU45" s="51"/>
      <c r="NPV45" s="51"/>
      <c r="NPW45" s="51"/>
      <c r="NPX45" s="51"/>
      <c r="NPY45" s="51"/>
      <c r="NPZ45" s="51"/>
      <c r="NQA45" s="51"/>
      <c r="NQB45" s="51"/>
      <c r="NQC45" s="51"/>
      <c r="NQD45" s="51"/>
      <c r="NQE45" s="51"/>
      <c r="NQF45" s="51"/>
      <c r="NQG45" s="51"/>
      <c r="NQH45" s="51"/>
      <c r="NQI45" s="51"/>
      <c r="NQJ45" s="51"/>
      <c r="NQK45" s="51"/>
      <c r="NQL45" s="51"/>
      <c r="NQM45" s="51"/>
      <c r="NQN45" s="51"/>
      <c r="NQO45" s="51"/>
      <c r="NQP45" s="51"/>
      <c r="NQQ45" s="51"/>
      <c r="NQR45" s="51"/>
      <c r="NQS45" s="51"/>
      <c r="NQT45" s="51"/>
      <c r="NQU45" s="51"/>
      <c r="NQV45" s="51"/>
      <c r="NQW45" s="51"/>
      <c r="NQX45" s="51"/>
      <c r="NQY45" s="51"/>
      <c r="NQZ45" s="51"/>
      <c r="NRA45" s="51"/>
      <c r="NRB45" s="51"/>
      <c r="NRC45" s="51"/>
      <c r="NRD45" s="51"/>
      <c r="NRE45" s="51"/>
      <c r="NRF45" s="51"/>
      <c r="NRG45" s="51"/>
      <c r="NRH45" s="51"/>
      <c r="NRI45" s="51"/>
      <c r="NRJ45" s="51"/>
      <c r="NRK45" s="51"/>
      <c r="NRL45" s="51"/>
      <c r="NRM45" s="51"/>
      <c r="NRN45" s="51"/>
      <c r="NRO45" s="51"/>
      <c r="NRP45" s="51"/>
      <c r="NRQ45" s="51"/>
      <c r="NRR45" s="51"/>
      <c r="NRS45" s="51"/>
      <c r="NRT45" s="51"/>
      <c r="NRU45" s="51"/>
      <c r="NRV45" s="51"/>
      <c r="NRW45" s="51"/>
      <c r="NRX45" s="51"/>
      <c r="NRY45" s="51"/>
      <c r="NRZ45" s="51"/>
      <c r="NSA45" s="51"/>
      <c r="NSB45" s="51"/>
      <c r="NSC45" s="51"/>
      <c r="NSD45" s="51"/>
      <c r="NSE45" s="51"/>
      <c r="NSF45" s="51"/>
      <c r="NSG45" s="51"/>
      <c r="NSH45" s="51"/>
      <c r="NSI45" s="51"/>
      <c r="NSJ45" s="51"/>
      <c r="NSK45" s="51"/>
      <c r="NSL45" s="51"/>
      <c r="NSM45" s="51"/>
      <c r="NSN45" s="51"/>
      <c r="NSO45" s="51"/>
      <c r="NSP45" s="51"/>
      <c r="NSQ45" s="51"/>
      <c r="NSR45" s="51"/>
      <c r="NSS45" s="51"/>
      <c r="NST45" s="51"/>
      <c r="NSU45" s="51"/>
      <c r="NSV45" s="51"/>
      <c r="NSW45" s="51"/>
      <c r="NSX45" s="51"/>
      <c r="NSY45" s="51"/>
      <c r="NSZ45" s="51"/>
      <c r="NTA45" s="51"/>
      <c r="NTB45" s="51"/>
      <c r="NTC45" s="51"/>
      <c r="NTD45" s="51"/>
      <c r="NTE45" s="51"/>
      <c r="NTF45" s="51"/>
      <c r="NTG45" s="51"/>
      <c r="NTH45" s="51"/>
      <c r="NTI45" s="51"/>
      <c r="NTJ45" s="51"/>
      <c r="NTK45" s="51"/>
      <c r="NTL45" s="51"/>
      <c r="NTM45" s="51"/>
      <c r="NTN45" s="51"/>
      <c r="NTO45" s="51"/>
      <c r="NTP45" s="51"/>
      <c r="NTQ45" s="51"/>
      <c r="NTR45" s="51"/>
      <c r="NTS45" s="51"/>
      <c r="NTT45" s="51"/>
      <c r="NTU45" s="51"/>
      <c r="NTV45" s="51"/>
      <c r="NTW45" s="51"/>
      <c r="NTX45" s="51"/>
      <c r="NTY45" s="51"/>
      <c r="NTZ45" s="51"/>
      <c r="NUA45" s="51"/>
      <c r="NUB45" s="51"/>
      <c r="NUC45" s="51"/>
      <c r="NUD45" s="51"/>
      <c r="NUE45" s="51"/>
      <c r="NUF45" s="51"/>
      <c r="NUG45" s="51"/>
      <c r="NUH45" s="51"/>
      <c r="NUI45" s="51"/>
      <c r="NUJ45" s="51"/>
      <c r="NUK45" s="51"/>
      <c r="NUL45" s="51"/>
      <c r="NUM45" s="51"/>
      <c r="NUN45" s="51"/>
      <c r="NUO45" s="51"/>
      <c r="NUP45" s="51"/>
      <c r="NUQ45" s="51"/>
      <c r="NUR45" s="51"/>
      <c r="NUS45" s="51"/>
      <c r="NUT45" s="51"/>
      <c r="NUU45" s="51"/>
      <c r="NUV45" s="51"/>
      <c r="NUW45" s="51"/>
      <c r="NUX45" s="51"/>
      <c r="NUY45" s="51"/>
      <c r="NUZ45" s="51"/>
      <c r="NVA45" s="51"/>
      <c r="NVB45" s="51"/>
      <c r="NVC45" s="51"/>
      <c r="NVD45" s="51"/>
      <c r="NVE45" s="51"/>
      <c r="NVF45" s="51"/>
      <c r="NVG45" s="51"/>
      <c r="NVH45" s="51"/>
      <c r="NVI45" s="51"/>
      <c r="NVJ45" s="51"/>
      <c r="NVK45" s="51"/>
      <c r="NVL45" s="51"/>
      <c r="NVM45" s="51"/>
      <c r="NVN45" s="51"/>
      <c r="NVO45" s="51"/>
      <c r="NVP45" s="51"/>
      <c r="NVQ45" s="51"/>
      <c r="NVR45" s="51"/>
      <c r="NVS45" s="51"/>
      <c r="NVT45" s="51"/>
      <c r="NVU45" s="51"/>
      <c r="NVV45" s="51"/>
      <c r="NVW45" s="51"/>
      <c r="NVX45" s="51"/>
      <c r="NVY45" s="51"/>
      <c r="NVZ45" s="51"/>
      <c r="NWA45" s="51"/>
      <c r="NWB45" s="51"/>
      <c r="NWC45" s="51"/>
      <c r="NWD45" s="51"/>
      <c r="NWE45" s="51"/>
      <c r="NWF45" s="51"/>
      <c r="NWG45" s="51"/>
      <c r="NWH45" s="51"/>
      <c r="NWI45" s="51"/>
      <c r="NWJ45" s="51"/>
      <c r="NWK45" s="51"/>
      <c r="NWL45" s="51"/>
      <c r="NWM45" s="51"/>
      <c r="NWN45" s="51"/>
      <c r="NWO45" s="51"/>
      <c r="NWP45" s="51"/>
      <c r="NWQ45" s="51"/>
      <c r="NWR45" s="51"/>
      <c r="NWS45" s="51"/>
      <c r="NWT45" s="51"/>
      <c r="NWU45" s="51"/>
      <c r="NWV45" s="51"/>
      <c r="NWW45" s="51"/>
      <c r="NWX45" s="51"/>
      <c r="NWY45" s="51"/>
      <c r="NWZ45" s="51"/>
      <c r="NXA45" s="51"/>
      <c r="NXB45" s="51"/>
      <c r="NXC45" s="51"/>
      <c r="NXD45" s="51"/>
      <c r="NXE45" s="51"/>
      <c r="NXF45" s="51"/>
      <c r="NXG45" s="51"/>
      <c r="NXH45" s="51"/>
      <c r="NXI45" s="51"/>
      <c r="NXJ45" s="51"/>
      <c r="NXK45" s="51"/>
      <c r="NXL45" s="51"/>
      <c r="NXM45" s="51"/>
      <c r="NXN45" s="51"/>
      <c r="NXO45" s="51"/>
      <c r="NXP45" s="51"/>
      <c r="NXQ45" s="51"/>
      <c r="NXR45" s="51"/>
      <c r="NXS45" s="51"/>
      <c r="NXT45" s="51"/>
      <c r="NXU45" s="51"/>
      <c r="NXV45" s="51"/>
      <c r="NXW45" s="51"/>
      <c r="NXX45" s="51"/>
      <c r="NXY45" s="51"/>
      <c r="NXZ45" s="51"/>
      <c r="NYA45" s="51"/>
      <c r="NYB45" s="51"/>
      <c r="NYC45" s="51"/>
      <c r="NYD45" s="51"/>
      <c r="NYE45" s="51"/>
      <c r="NYF45" s="51"/>
      <c r="NYG45" s="51"/>
      <c r="NYH45" s="51"/>
      <c r="NYI45" s="51"/>
      <c r="NYJ45" s="51"/>
      <c r="NYK45" s="51"/>
      <c r="NYL45" s="51"/>
      <c r="NYM45" s="51"/>
      <c r="NYN45" s="51"/>
      <c r="NYO45" s="51"/>
      <c r="NYP45" s="51"/>
      <c r="NYQ45" s="51"/>
      <c r="NYR45" s="51"/>
      <c r="NYS45" s="51"/>
      <c r="NYT45" s="51"/>
      <c r="NYU45" s="51"/>
      <c r="NYV45" s="51"/>
      <c r="NYW45" s="51"/>
      <c r="NYX45" s="51"/>
      <c r="NYY45" s="51"/>
      <c r="NYZ45" s="51"/>
      <c r="NZA45" s="51"/>
      <c r="NZB45" s="51"/>
      <c r="NZC45" s="51"/>
      <c r="NZD45" s="51"/>
      <c r="NZE45" s="51"/>
      <c r="NZF45" s="51"/>
      <c r="NZG45" s="51"/>
      <c r="NZH45" s="51"/>
      <c r="NZI45" s="51"/>
      <c r="NZJ45" s="51"/>
      <c r="NZK45" s="51"/>
      <c r="NZL45" s="51"/>
      <c r="NZM45" s="51"/>
      <c r="NZN45" s="51"/>
      <c r="NZO45" s="51"/>
      <c r="NZP45" s="51"/>
      <c r="NZQ45" s="51"/>
      <c r="NZR45" s="51"/>
      <c r="NZS45" s="51"/>
      <c r="NZT45" s="51"/>
      <c r="NZU45" s="51"/>
      <c r="NZV45" s="51"/>
      <c r="NZW45" s="51"/>
      <c r="NZX45" s="51"/>
      <c r="NZY45" s="51"/>
      <c r="NZZ45" s="51"/>
      <c r="OAA45" s="51"/>
      <c r="OAB45" s="51"/>
      <c r="OAC45" s="51"/>
      <c r="OAD45" s="51"/>
      <c r="OAE45" s="51"/>
      <c r="OAF45" s="51"/>
      <c r="OAG45" s="51"/>
      <c r="OAH45" s="51"/>
      <c r="OAI45" s="51"/>
      <c r="OAJ45" s="51"/>
      <c r="OAK45" s="51"/>
      <c r="OAL45" s="51"/>
      <c r="OAM45" s="51"/>
      <c r="OAN45" s="51"/>
      <c r="OAO45" s="51"/>
      <c r="OAP45" s="51"/>
      <c r="OAQ45" s="51"/>
      <c r="OAR45" s="51"/>
      <c r="OAS45" s="51"/>
      <c r="OAT45" s="51"/>
      <c r="OAU45" s="51"/>
      <c r="OAV45" s="51"/>
      <c r="OAW45" s="51"/>
      <c r="OAX45" s="51"/>
      <c r="OAY45" s="51"/>
      <c r="OAZ45" s="51"/>
      <c r="OBA45" s="51"/>
      <c r="OBB45" s="51"/>
      <c r="OBC45" s="51"/>
      <c r="OBD45" s="51"/>
      <c r="OBE45" s="51"/>
      <c r="OBF45" s="51"/>
      <c r="OBG45" s="51"/>
      <c r="OBH45" s="51"/>
      <c r="OBI45" s="51"/>
      <c r="OBJ45" s="51"/>
      <c r="OBK45" s="51"/>
      <c r="OBL45" s="51"/>
      <c r="OBM45" s="51"/>
      <c r="OBN45" s="51"/>
      <c r="OBO45" s="51"/>
      <c r="OBP45" s="51"/>
      <c r="OBQ45" s="51"/>
      <c r="OBR45" s="51"/>
      <c r="OBS45" s="51"/>
      <c r="OBT45" s="51"/>
      <c r="OBU45" s="51"/>
      <c r="OBV45" s="51"/>
      <c r="OBW45" s="51"/>
      <c r="OBX45" s="51"/>
      <c r="OBY45" s="51"/>
      <c r="OBZ45" s="51"/>
      <c r="OCA45" s="51"/>
      <c r="OCB45" s="51"/>
      <c r="OCC45" s="51"/>
      <c r="OCD45" s="51"/>
      <c r="OCE45" s="51"/>
      <c r="OCF45" s="51"/>
      <c r="OCG45" s="51"/>
      <c r="OCH45" s="51"/>
      <c r="OCI45" s="51"/>
      <c r="OCJ45" s="51"/>
      <c r="OCK45" s="51"/>
      <c r="OCL45" s="51"/>
      <c r="OCM45" s="51"/>
      <c r="OCN45" s="51"/>
      <c r="OCO45" s="51"/>
      <c r="OCP45" s="51"/>
      <c r="OCQ45" s="51"/>
      <c r="OCR45" s="51"/>
      <c r="OCS45" s="51"/>
      <c r="OCT45" s="51"/>
      <c r="OCU45" s="51"/>
      <c r="OCV45" s="51"/>
      <c r="OCW45" s="51"/>
      <c r="OCX45" s="51"/>
      <c r="OCY45" s="51"/>
      <c r="OCZ45" s="51"/>
      <c r="ODA45" s="51"/>
      <c r="ODB45" s="51"/>
      <c r="ODC45" s="51"/>
      <c r="ODD45" s="51"/>
      <c r="ODE45" s="51"/>
      <c r="ODF45" s="51"/>
      <c r="ODG45" s="51"/>
      <c r="ODH45" s="51"/>
      <c r="ODI45" s="51"/>
      <c r="ODJ45" s="51"/>
      <c r="ODK45" s="51"/>
      <c r="ODL45" s="51"/>
      <c r="ODM45" s="51"/>
      <c r="ODN45" s="51"/>
      <c r="ODO45" s="51"/>
      <c r="ODP45" s="51"/>
      <c r="ODQ45" s="51"/>
      <c r="ODR45" s="51"/>
      <c r="ODS45" s="51"/>
      <c r="ODT45" s="51"/>
      <c r="ODU45" s="51"/>
      <c r="ODV45" s="51"/>
      <c r="ODW45" s="51"/>
      <c r="ODX45" s="51"/>
      <c r="ODY45" s="51"/>
      <c r="ODZ45" s="51"/>
      <c r="OEA45" s="51"/>
      <c r="OEB45" s="51"/>
      <c r="OEC45" s="51"/>
      <c r="OED45" s="51"/>
      <c r="OEE45" s="51"/>
      <c r="OEF45" s="51"/>
      <c r="OEG45" s="51"/>
      <c r="OEH45" s="51"/>
      <c r="OEI45" s="51"/>
      <c r="OEJ45" s="51"/>
      <c r="OEK45" s="51"/>
      <c r="OEL45" s="51"/>
      <c r="OEM45" s="51"/>
      <c r="OEN45" s="51"/>
      <c r="OEO45" s="51"/>
      <c r="OEP45" s="51"/>
      <c r="OEQ45" s="51"/>
      <c r="OER45" s="51"/>
      <c r="OES45" s="51"/>
      <c r="OET45" s="51"/>
      <c r="OEU45" s="51"/>
      <c r="OEV45" s="51"/>
      <c r="OEW45" s="51"/>
      <c r="OEX45" s="51"/>
      <c r="OEY45" s="51"/>
      <c r="OEZ45" s="51"/>
      <c r="OFA45" s="51"/>
      <c r="OFB45" s="51"/>
      <c r="OFC45" s="51"/>
      <c r="OFD45" s="51"/>
      <c r="OFE45" s="51"/>
      <c r="OFF45" s="51"/>
      <c r="OFG45" s="51"/>
      <c r="OFH45" s="51"/>
      <c r="OFI45" s="51"/>
      <c r="OFJ45" s="51"/>
      <c r="OFK45" s="51"/>
      <c r="OFL45" s="51"/>
      <c r="OFM45" s="51"/>
      <c r="OFN45" s="51"/>
      <c r="OFO45" s="51"/>
      <c r="OFP45" s="51"/>
      <c r="OFQ45" s="51"/>
      <c r="OFR45" s="51"/>
      <c r="OFS45" s="51"/>
      <c r="OFT45" s="51"/>
      <c r="OFU45" s="51"/>
      <c r="OFV45" s="51"/>
      <c r="OFW45" s="51"/>
      <c r="OFX45" s="51"/>
      <c r="OFY45" s="51"/>
      <c r="OFZ45" s="51"/>
      <c r="OGA45" s="51"/>
      <c r="OGB45" s="51"/>
      <c r="OGC45" s="51"/>
      <c r="OGD45" s="51"/>
      <c r="OGE45" s="51"/>
      <c r="OGF45" s="51"/>
      <c r="OGG45" s="51"/>
      <c r="OGH45" s="51"/>
      <c r="OGI45" s="51"/>
      <c r="OGJ45" s="51"/>
      <c r="OGK45" s="51"/>
      <c r="OGL45" s="51"/>
      <c r="OGM45" s="51"/>
      <c r="OGN45" s="51"/>
      <c r="OGO45" s="51"/>
      <c r="OGP45" s="51"/>
      <c r="OGQ45" s="51"/>
      <c r="OGR45" s="51"/>
      <c r="OGS45" s="51"/>
      <c r="OGT45" s="51"/>
      <c r="OGU45" s="51"/>
      <c r="OGV45" s="51"/>
      <c r="OGW45" s="51"/>
      <c r="OGX45" s="51"/>
      <c r="OGY45" s="51"/>
      <c r="OGZ45" s="51"/>
      <c r="OHA45" s="51"/>
      <c r="OHB45" s="51"/>
      <c r="OHC45" s="51"/>
      <c r="OHD45" s="51"/>
      <c r="OHE45" s="51"/>
      <c r="OHF45" s="51"/>
      <c r="OHG45" s="51"/>
      <c r="OHH45" s="51"/>
      <c r="OHI45" s="51"/>
      <c r="OHJ45" s="51"/>
      <c r="OHK45" s="51"/>
      <c r="OHL45" s="51"/>
      <c r="OHM45" s="51"/>
      <c r="OHN45" s="51"/>
      <c r="OHO45" s="51"/>
      <c r="OHP45" s="51"/>
      <c r="OHQ45" s="51"/>
      <c r="OHR45" s="51"/>
      <c r="OHS45" s="51"/>
      <c r="OHT45" s="51"/>
      <c r="OHU45" s="51"/>
      <c r="OHV45" s="51"/>
      <c r="OHW45" s="51"/>
      <c r="OHX45" s="51"/>
      <c r="OHY45" s="51"/>
      <c r="OHZ45" s="51"/>
      <c r="OIA45" s="51"/>
      <c r="OIB45" s="51"/>
      <c r="OIC45" s="51"/>
      <c r="OID45" s="51"/>
      <c r="OIE45" s="51"/>
      <c r="OIF45" s="51"/>
      <c r="OIG45" s="51"/>
      <c r="OIH45" s="51"/>
      <c r="OII45" s="51"/>
      <c r="OIJ45" s="51"/>
      <c r="OIK45" s="51"/>
      <c r="OIL45" s="51"/>
      <c r="OIM45" s="51"/>
      <c r="OIN45" s="51"/>
      <c r="OIO45" s="51"/>
      <c r="OIP45" s="51"/>
      <c r="OIQ45" s="51"/>
      <c r="OIR45" s="51"/>
      <c r="OIS45" s="51"/>
      <c r="OIT45" s="51"/>
      <c r="OIU45" s="51"/>
      <c r="OIV45" s="51"/>
      <c r="OIW45" s="51"/>
      <c r="OIX45" s="51"/>
      <c r="OIY45" s="51"/>
      <c r="OIZ45" s="51"/>
      <c r="OJA45" s="51"/>
      <c r="OJB45" s="51"/>
      <c r="OJC45" s="51"/>
      <c r="OJD45" s="51"/>
      <c r="OJE45" s="51"/>
      <c r="OJF45" s="51"/>
      <c r="OJG45" s="51"/>
      <c r="OJH45" s="51"/>
      <c r="OJI45" s="51"/>
      <c r="OJJ45" s="51"/>
      <c r="OJK45" s="51"/>
      <c r="OJL45" s="51"/>
      <c r="OJM45" s="51"/>
      <c r="OJN45" s="51"/>
      <c r="OJO45" s="51"/>
      <c r="OJP45" s="51"/>
      <c r="OJQ45" s="51"/>
      <c r="OJR45" s="51"/>
      <c r="OJS45" s="51"/>
      <c r="OJT45" s="51"/>
      <c r="OJU45" s="51"/>
      <c r="OJV45" s="51"/>
      <c r="OJW45" s="51"/>
      <c r="OJX45" s="51"/>
      <c r="OJY45" s="51"/>
      <c r="OJZ45" s="51"/>
      <c r="OKA45" s="51"/>
      <c r="OKB45" s="51"/>
      <c r="OKC45" s="51"/>
      <c r="OKD45" s="51"/>
      <c r="OKE45" s="51"/>
      <c r="OKF45" s="51"/>
      <c r="OKG45" s="51"/>
      <c r="OKH45" s="51"/>
      <c r="OKI45" s="51"/>
      <c r="OKJ45" s="51"/>
      <c r="OKK45" s="51"/>
      <c r="OKL45" s="51"/>
      <c r="OKM45" s="51"/>
      <c r="OKN45" s="51"/>
      <c r="OKO45" s="51"/>
      <c r="OKP45" s="51"/>
      <c r="OKQ45" s="51"/>
      <c r="OKR45" s="51"/>
      <c r="OKS45" s="51"/>
      <c r="OKT45" s="51"/>
      <c r="OKU45" s="51"/>
      <c r="OKV45" s="51"/>
      <c r="OKW45" s="51"/>
      <c r="OKX45" s="51"/>
      <c r="OKY45" s="51"/>
      <c r="OKZ45" s="51"/>
      <c r="OLA45" s="51"/>
      <c r="OLB45" s="51"/>
      <c r="OLC45" s="51"/>
      <c r="OLD45" s="51"/>
      <c r="OLE45" s="51"/>
      <c r="OLF45" s="51"/>
      <c r="OLG45" s="51"/>
      <c r="OLH45" s="51"/>
      <c r="OLI45" s="51"/>
      <c r="OLJ45" s="51"/>
      <c r="OLK45" s="51"/>
      <c r="OLL45" s="51"/>
      <c r="OLM45" s="51"/>
      <c r="OLN45" s="51"/>
      <c r="OLO45" s="51"/>
      <c r="OLP45" s="51"/>
      <c r="OLQ45" s="51"/>
      <c r="OLR45" s="51"/>
      <c r="OLS45" s="51"/>
      <c r="OLT45" s="51"/>
      <c r="OLU45" s="51"/>
      <c r="OLV45" s="51"/>
      <c r="OLW45" s="51"/>
      <c r="OLX45" s="51"/>
      <c r="OLY45" s="51"/>
      <c r="OLZ45" s="51"/>
      <c r="OMA45" s="51"/>
      <c r="OMB45" s="51"/>
      <c r="OMC45" s="51"/>
      <c r="OMD45" s="51"/>
      <c r="OME45" s="51"/>
      <c r="OMF45" s="51"/>
      <c r="OMG45" s="51"/>
      <c r="OMH45" s="51"/>
      <c r="OMI45" s="51"/>
      <c r="OMJ45" s="51"/>
      <c r="OMK45" s="51"/>
      <c r="OML45" s="51"/>
      <c r="OMM45" s="51"/>
      <c r="OMN45" s="51"/>
      <c r="OMO45" s="51"/>
      <c r="OMP45" s="51"/>
      <c r="OMQ45" s="51"/>
      <c r="OMR45" s="51"/>
      <c r="OMS45" s="51"/>
      <c r="OMT45" s="51"/>
      <c r="OMU45" s="51"/>
      <c r="OMV45" s="51"/>
      <c r="OMW45" s="51"/>
      <c r="OMX45" s="51"/>
      <c r="OMY45" s="51"/>
      <c r="OMZ45" s="51"/>
      <c r="ONA45" s="51"/>
      <c r="ONB45" s="51"/>
      <c r="ONC45" s="51"/>
      <c r="OND45" s="51"/>
      <c r="ONE45" s="51"/>
      <c r="ONF45" s="51"/>
      <c r="ONG45" s="51"/>
      <c r="ONH45" s="51"/>
      <c r="ONI45" s="51"/>
      <c r="ONJ45" s="51"/>
      <c r="ONK45" s="51"/>
      <c r="ONL45" s="51"/>
      <c r="ONM45" s="51"/>
      <c r="ONN45" s="51"/>
      <c r="ONO45" s="51"/>
      <c r="ONP45" s="51"/>
      <c r="ONQ45" s="51"/>
      <c r="ONR45" s="51"/>
      <c r="ONS45" s="51"/>
      <c r="ONT45" s="51"/>
      <c r="ONU45" s="51"/>
      <c r="ONV45" s="51"/>
      <c r="ONW45" s="51"/>
      <c r="ONX45" s="51"/>
      <c r="ONY45" s="51"/>
      <c r="ONZ45" s="51"/>
      <c r="OOA45" s="51"/>
      <c r="OOB45" s="51"/>
      <c r="OOC45" s="51"/>
      <c r="OOD45" s="51"/>
      <c r="OOE45" s="51"/>
      <c r="OOF45" s="51"/>
      <c r="OOG45" s="51"/>
      <c r="OOH45" s="51"/>
      <c r="OOI45" s="51"/>
      <c r="OOJ45" s="51"/>
      <c r="OOK45" s="51"/>
      <c r="OOL45" s="51"/>
      <c r="OOM45" s="51"/>
      <c r="OON45" s="51"/>
      <c r="OOO45" s="51"/>
      <c r="OOP45" s="51"/>
      <c r="OOQ45" s="51"/>
      <c r="OOR45" s="51"/>
      <c r="OOS45" s="51"/>
      <c r="OOT45" s="51"/>
      <c r="OOU45" s="51"/>
      <c r="OOV45" s="51"/>
      <c r="OOW45" s="51"/>
      <c r="OOX45" s="51"/>
      <c r="OOY45" s="51"/>
      <c r="OOZ45" s="51"/>
      <c r="OPA45" s="51"/>
      <c r="OPB45" s="51"/>
      <c r="OPC45" s="51"/>
      <c r="OPD45" s="51"/>
      <c r="OPE45" s="51"/>
      <c r="OPF45" s="51"/>
      <c r="OPG45" s="51"/>
      <c r="OPH45" s="51"/>
      <c r="OPI45" s="51"/>
      <c r="OPJ45" s="51"/>
      <c r="OPK45" s="51"/>
      <c r="OPL45" s="51"/>
      <c r="OPM45" s="51"/>
      <c r="OPN45" s="51"/>
      <c r="OPO45" s="51"/>
      <c r="OPP45" s="51"/>
      <c r="OPQ45" s="51"/>
      <c r="OPR45" s="51"/>
      <c r="OPS45" s="51"/>
      <c r="OPT45" s="51"/>
      <c r="OPU45" s="51"/>
      <c r="OPV45" s="51"/>
      <c r="OPW45" s="51"/>
      <c r="OPX45" s="51"/>
      <c r="OPY45" s="51"/>
      <c r="OPZ45" s="51"/>
      <c r="OQA45" s="51"/>
      <c r="OQB45" s="51"/>
      <c r="OQC45" s="51"/>
      <c r="OQD45" s="51"/>
      <c r="OQE45" s="51"/>
      <c r="OQF45" s="51"/>
      <c r="OQG45" s="51"/>
      <c r="OQH45" s="51"/>
      <c r="OQI45" s="51"/>
      <c r="OQJ45" s="51"/>
      <c r="OQK45" s="51"/>
      <c r="OQL45" s="51"/>
      <c r="OQM45" s="51"/>
      <c r="OQN45" s="51"/>
      <c r="OQO45" s="51"/>
      <c r="OQP45" s="51"/>
      <c r="OQQ45" s="51"/>
      <c r="OQR45" s="51"/>
      <c r="OQS45" s="51"/>
      <c r="OQT45" s="51"/>
      <c r="OQU45" s="51"/>
      <c r="OQV45" s="51"/>
      <c r="OQW45" s="51"/>
      <c r="OQX45" s="51"/>
      <c r="OQY45" s="51"/>
      <c r="OQZ45" s="51"/>
      <c r="ORA45" s="51"/>
      <c r="ORB45" s="51"/>
      <c r="ORC45" s="51"/>
      <c r="ORD45" s="51"/>
      <c r="ORE45" s="51"/>
      <c r="ORF45" s="51"/>
      <c r="ORG45" s="51"/>
      <c r="ORH45" s="51"/>
      <c r="ORI45" s="51"/>
      <c r="ORJ45" s="51"/>
      <c r="ORK45" s="51"/>
      <c r="ORL45" s="51"/>
      <c r="ORM45" s="51"/>
      <c r="ORN45" s="51"/>
      <c r="ORO45" s="51"/>
      <c r="ORP45" s="51"/>
      <c r="ORQ45" s="51"/>
      <c r="ORR45" s="51"/>
      <c r="ORS45" s="51"/>
      <c r="ORT45" s="51"/>
      <c r="ORU45" s="51"/>
      <c r="ORV45" s="51"/>
      <c r="ORW45" s="51"/>
      <c r="ORX45" s="51"/>
      <c r="ORY45" s="51"/>
      <c r="ORZ45" s="51"/>
      <c r="OSA45" s="51"/>
      <c r="OSB45" s="51"/>
      <c r="OSC45" s="51"/>
      <c r="OSD45" s="51"/>
      <c r="OSE45" s="51"/>
      <c r="OSF45" s="51"/>
      <c r="OSG45" s="51"/>
      <c r="OSH45" s="51"/>
      <c r="OSI45" s="51"/>
      <c r="OSJ45" s="51"/>
      <c r="OSK45" s="51"/>
      <c r="OSL45" s="51"/>
      <c r="OSM45" s="51"/>
      <c r="OSN45" s="51"/>
      <c r="OSO45" s="51"/>
      <c r="OSP45" s="51"/>
      <c r="OSQ45" s="51"/>
      <c r="OSR45" s="51"/>
      <c r="OSS45" s="51"/>
      <c r="OST45" s="51"/>
      <c r="OSU45" s="51"/>
      <c r="OSV45" s="51"/>
      <c r="OSW45" s="51"/>
      <c r="OSX45" s="51"/>
      <c r="OSY45" s="51"/>
      <c r="OSZ45" s="51"/>
      <c r="OTA45" s="51"/>
      <c r="OTB45" s="51"/>
      <c r="OTC45" s="51"/>
      <c r="OTD45" s="51"/>
      <c r="OTE45" s="51"/>
      <c r="OTF45" s="51"/>
      <c r="OTG45" s="51"/>
      <c r="OTH45" s="51"/>
      <c r="OTI45" s="51"/>
      <c r="OTJ45" s="51"/>
      <c r="OTK45" s="51"/>
      <c r="OTL45" s="51"/>
      <c r="OTM45" s="51"/>
      <c r="OTN45" s="51"/>
      <c r="OTO45" s="51"/>
      <c r="OTP45" s="51"/>
      <c r="OTQ45" s="51"/>
      <c r="OTR45" s="51"/>
      <c r="OTS45" s="51"/>
      <c r="OTT45" s="51"/>
      <c r="OTU45" s="51"/>
      <c r="OTV45" s="51"/>
      <c r="OTW45" s="51"/>
      <c r="OTX45" s="51"/>
      <c r="OTY45" s="51"/>
      <c r="OTZ45" s="51"/>
      <c r="OUA45" s="51"/>
      <c r="OUB45" s="51"/>
      <c r="OUC45" s="51"/>
      <c r="OUD45" s="51"/>
      <c r="OUE45" s="51"/>
      <c r="OUF45" s="51"/>
      <c r="OUG45" s="51"/>
      <c r="OUH45" s="51"/>
      <c r="OUI45" s="51"/>
      <c r="OUJ45" s="51"/>
      <c r="OUK45" s="51"/>
      <c r="OUL45" s="51"/>
      <c r="OUM45" s="51"/>
      <c r="OUN45" s="51"/>
      <c r="OUO45" s="51"/>
      <c r="OUP45" s="51"/>
      <c r="OUQ45" s="51"/>
      <c r="OUR45" s="51"/>
      <c r="OUS45" s="51"/>
      <c r="OUT45" s="51"/>
      <c r="OUU45" s="51"/>
      <c r="OUV45" s="51"/>
      <c r="OUW45" s="51"/>
      <c r="OUX45" s="51"/>
      <c r="OUY45" s="51"/>
      <c r="OUZ45" s="51"/>
      <c r="OVA45" s="51"/>
      <c r="OVB45" s="51"/>
      <c r="OVC45" s="51"/>
      <c r="OVD45" s="51"/>
      <c r="OVE45" s="51"/>
      <c r="OVF45" s="51"/>
      <c r="OVG45" s="51"/>
      <c r="OVH45" s="51"/>
      <c r="OVI45" s="51"/>
      <c r="OVJ45" s="51"/>
      <c r="OVK45" s="51"/>
      <c r="OVL45" s="51"/>
      <c r="OVM45" s="51"/>
      <c r="OVN45" s="51"/>
      <c r="OVO45" s="51"/>
      <c r="OVP45" s="51"/>
      <c r="OVQ45" s="51"/>
      <c r="OVR45" s="51"/>
      <c r="OVS45" s="51"/>
      <c r="OVT45" s="51"/>
      <c r="OVU45" s="51"/>
      <c r="OVV45" s="51"/>
      <c r="OVW45" s="51"/>
      <c r="OVX45" s="51"/>
      <c r="OVY45" s="51"/>
      <c r="OVZ45" s="51"/>
      <c r="OWA45" s="51"/>
      <c r="OWB45" s="51"/>
      <c r="OWC45" s="51"/>
      <c r="OWD45" s="51"/>
      <c r="OWE45" s="51"/>
      <c r="OWF45" s="51"/>
      <c r="OWG45" s="51"/>
      <c r="OWH45" s="51"/>
      <c r="OWI45" s="51"/>
      <c r="OWJ45" s="51"/>
      <c r="OWK45" s="51"/>
      <c r="OWL45" s="51"/>
      <c r="OWM45" s="51"/>
      <c r="OWN45" s="51"/>
      <c r="OWO45" s="51"/>
      <c r="OWP45" s="51"/>
      <c r="OWQ45" s="51"/>
      <c r="OWR45" s="51"/>
      <c r="OWS45" s="51"/>
      <c r="OWT45" s="51"/>
      <c r="OWU45" s="51"/>
      <c r="OWV45" s="51"/>
      <c r="OWW45" s="51"/>
      <c r="OWX45" s="51"/>
      <c r="OWY45" s="51"/>
      <c r="OWZ45" s="51"/>
      <c r="OXA45" s="51"/>
      <c r="OXB45" s="51"/>
      <c r="OXC45" s="51"/>
      <c r="OXD45" s="51"/>
      <c r="OXE45" s="51"/>
      <c r="OXF45" s="51"/>
      <c r="OXG45" s="51"/>
      <c r="OXH45" s="51"/>
      <c r="OXI45" s="51"/>
      <c r="OXJ45" s="51"/>
      <c r="OXK45" s="51"/>
      <c r="OXL45" s="51"/>
      <c r="OXM45" s="51"/>
      <c r="OXN45" s="51"/>
      <c r="OXO45" s="51"/>
      <c r="OXP45" s="51"/>
      <c r="OXQ45" s="51"/>
      <c r="OXR45" s="51"/>
      <c r="OXS45" s="51"/>
      <c r="OXT45" s="51"/>
      <c r="OXU45" s="51"/>
      <c r="OXV45" s="51"/>
      <c r="OXW45" s="51"/>
      <c r="OXX45" s="51"/>
      <c r="OXY45" s="51"/>
      <c r="OXZ45" s="51"/>
      <c r="OYA45" s="51"/>
      <c r="OYB45" s="51"/>
      <c r="OYC45" s="51"/>
      <c r="OYD45" s="51"/>
      <c r="OYE45" s="51"/>
      <c r="OYF45" s="51"/>
      <c r="OYG45" s="51"/>
      <c r="OYH45" s="51"/>
      <c r="OYI45" s="51"/>
      <c r="OYJ45" s="51"/>
      <c r="OYK45" s="51"/>
      <c r="OYL45" s="51"/>
      <c r="OYM45" s="51"/>
      <c r="OYN45" s="51"/>
      <c r="OYO45" s="51"/>
      <c r="OYP45" s="51"/>
      <c r="OYQ45" s="51"/>
      <c r="OYR45" s="51"/>
      <c r="OYS45" s="51"/>
      <c r="OYT45" s="51"/>
      <c r="OYU45" s="51"/>
      <c r="OYV45" s="51"/>
      <c r="OYW45" s="51"/>
      <c r="OYX45" s="51"/>
      <c r="OYY45" s="51"/>
      <c r="OYZ45" s="51"/>
      <c r="OZA45" s="51"/>
      <c r="OZB45" s="51"/>
      <c r="OZC45" s="51"/>
      <c r="OZD45" s="51"/>
      <c r="OZE45" s="51"/>
      <c r="OZF45" s="51"/>
      <c r="OZG45" s="51"/>
      <c r="OZH45" s="51"/>
      <c r="OZI45" s="51"/>
      <c r="OZJ45" s="51"/>
      <c r="OZK45" s="51"/>
      <c r="OZL45" s="51"/>
      <c r="OZM45" s="51"/>
      <c r="OZN45" s="51"/>
      <c r="OZO45" s="51"/>
      <c r="OZP45" s="51"/>
      <c r="OZQ45" s="51"/>
      <c r="OZR45" s="51"/>
      <c r="OZS45" s="51"/>
      <c r="OZT45" s="51"/>
      <c r="OZU45" s="51"/>
      <c r="OZV45" s="51"/>
      <c r="OZW45" s="51"/>
      <c r="OZX45" s="51"/>
      <c r="OZY45" s="51"/>
      <c r="OZZ45" s="51"/>
      <c r="PAA45" s="51"/>
      <c r="PAB45" s="51"/>
      <c r="PAC45" s="51"/>
      <c r="PAD45" s="51"/>
      <c r="PAE45" s="51"/>
      <c r="PAF45" s="51"/>
      <c r="PAG45" s="51"/>
      <c r="PAH45" s="51"/>
      <c r="PAI45" s="51"/>
      <c r="PAJ45" s="51"/>
      <c r="PAK45" s="51"/>
      <c r="PAL45" s="51"/>
      <c r="PAM45" s="51"/>
      <c r="PAN45" s="51"/>
      <c r="PAO45" s="51"/>
      <c r="PAP45" s="51"/>
      <c r="PAQ45" s="51"/>
      <c r="PAR45" s="51"/>
      <c r="PAS45" s="51"/>
      <c r="PAT45" s="51"/>
      <c r="PAU45" s="51"/>
      <c r="PAV45" s="51"/>
      <c r="PAW45" s="51"/>
      <c r="PAX45" s="51"/>
      <c r="PAY45" s="51"/>
      <c r="PAZ45" s="51"/>
      <c r="PBA45" s="51"/>
      <c r="PBB45" s="51"/>
      <c r="PBC45" s="51"/>
      <c r="PBD45" s="51"/>
      <c r="PBE45" s="51"/>
      <c r="PBF45" s="51"/>
      <c r="PBG45" s="51"/>
      <c r="PBH45" s="51"/>
      <c r="PBI45" s="51"/>
      <c r="PBJ45" s="51"/>
      <c r="PBK45" s="51"/>
      <c r="PBL45" s="51"/>
      <c r="PBM45" s="51"/>
      <c r="PBN45" s="51"/>
      <c r="PBO45" s="51"/>
      <c r="PBP45" s="51"/>
      <c r="PBQ45" s="51"/>
      <c r="PBR45" s="51"/>
      <c r="PBS45" s="51"/>
      <c r="PBT45" s="51"/>
      <c r="PBU45" s="51"/>
      <c r="PBV45" s="51"/>
      <c r="PBW45" s="51"/>
      <c r="PBX45" s="51"/>
      <c r="PBY45" s="51"/>
      <c r="PBZ45" s="51"/>
      <c r="PCA45" s="51"/>
      <c r="PCB45" s="51"/>
      <c r="PCC45" s="51"/>
      <c r="PCD45" s="51"/>
      <c r="PCE45" s="51"/>
      <c r="PCF45" s="51"/>
      <c r="PCG45" s="51"/>
      <c r="PCH45" s="51"/>
      <c r="PCI45" s="51"/>
      <c r="PCJ45" s="51"/>
      <c r="PCK45" s="51"/>
      <c r="PCL45" s="51"/>
      <c r="PCM45" s="51"/>
      <c r="PCN45" s="51"/>
      <c r="PCO45" s="51"/>
      <c r="PCP45" s="51"/>
      <c r="PCQ45" s="51"/>
      <c r="PCR45" s="51"/>
      <c r="PCS45" s="51"/>
      <c r="PCT45" s="51"/>
      <c r="PCU45" s="51"/>
      <c r="PCV45" s="51"/>
      <c r="PCW45" s="51"/>
      <c r="PCX45" s="51"/>
      <c r="PCY45" s="51"/>
      <c r="PCZ45" s="51"/>
      <c r="PDA45" s="51"/>
      <c r="PDB45" s="51"/>
      <c r="PDC45" s="51"/>
      <c r="PDD45" s="51"/>
      <c r="PDE45" s="51"/>
      <c r="PDF45" s="51"/>
      <c r="PDG45" s="51"/>
      <c r="PDH45" s="51"/>
      <c r="PDI45" s="51"/>
      <c r="PDJ45" s="51"/>
      <c r="PDK45" s="51"/>
      <c r="PDL45" s="51"/>
      <c r="PDM45" s="51"/>
      <c r="PDN45" s="51"/>
      <c r="PDO45" s="51"/>
      <c r="PDP45" s="51"/>
      <c r="PDQ45" s="51"/>
      <c r="PDR45" s="51"/>
      <c r="PDS45" s="51"/>
      <c r="PDT45" s="51"/>
      <c r="PDU45" s="51"/>
      <c r="PDV45" s="51"/>
      <c r="PDW45" s="51"/>
      <c r="PDX45" s="51"/>
      <c r="PDY45" s="51"/>
      <c r="PDZ45" s="51"/>
      <c r="PEA45" s="51"/>
      <c r="PEB45" s="51"/>
      <c r="PEC45" s="51"/>
      <c r="PED45" s="51"/>
      <c r="PEE45" s="51"/>
      <c r="PEF45" s="51"/>
      <c r="PEG45" s="51"/>
      <c r="PEH45" s="51"/>
      <c r="PEI45" s="51"/>
      <c r="PEJ45" s="51"/>
      <c r="PEK45" s="51"/>
      <c r="PEL45" s="51"/>
      <c r="PEM45" s="51"/>
      <c r="PEN45" s="51"/>
      <c r="PEO45" s="51"/>
      <c r="PEP45" s="51"/>
      <c r="PEQ45" s="51"/>
      <c r="PER45" s="51"/>
      <c r="PES45" s="51"/>
      <c r="PET45" s="51"/>
      <c r="PEU45" s="51"/>
      <c r="PEV45" s="51"/>
      <c r="PEW45" s="51"/>
      <c r="PEX45" s="51"/>
      <c r="PEY45" s="51"/>
      <c r="PEZ45" s="51"/>
      <c r="PFA45" s="51"/>
      <c r="PFB45" s="51"/>
      <c r="PFC45" s="51"/>
      <c r="PFD45" s="51"/>
      <c r="PFE45" s="51"/>
      <c r="PFF45" s="51"/>
      <c r="PFG45" s="51"/>
      <c r="PFH45" s="51"/>
      <c r="PFI45" s="51"/>
      <c r="PFJ45" s="51"/>
      <c r="PFK45" s="51"/>
      <c r="PFL45" s="51"/>
      <c r="PFM45" s="51"/>
      <c r="PFN45" s="51"/>
      <c r="PFO45" s="51"/>
      <c r="PFP45" s="51"/>
      <c r="PFQ45" s="51"/>
      <c r="PFR45" s="51"/>
      <c r="PFS45" s="51"/>
      <c r="PFT45" s="51"/>
      <c r="PFU45" s="51"/>
      <c r="PFV45" s="51"/>
      <c r="PFW45" s="51"/>
      <c r="PFX45" s="51"/>
      <c r="PFY45" s="51"/>
      <c r="PFZ45" s="51"/>
      <c r="PGA45" s="51"/>
      <c r="PGB45" s="51"/>
      <c r="PGC45" s="51"/>
      <c r="PGD45" s="51"/>
      <c r="PGE45" s="51"/>
      <c r="PGF45" s="51"/>
      <c r="PGG45" s="51"/>
      <c r="PGH45" s="51"/>
      <c r="PGI45" s="51"/>
      <c r="PGJ45" s="51"/>
      <c r="PGK45" s="51"/>
      <c r="PGL45" s="51"/>
      <c r="PGM45" s="51"/>
      <c r="PGN45" s="51"/>
      <c r="PGO45" s="51"/>
      <c r="PGP45" s="51"/>
      <c r="PGQ45" s="51"/>
      <c r="PGR45" s="51"/>
      <c r="PGS45" s="51"/>
      <c r="PGT45" s="51"/>
      <c r="PGU45" s="51"/>
      <c r="PGV45" s="51"/>
      <c r="PGW45" s="51"/>
      <c r="PGX45" s="51"/>
      <c r="PGY45" s="51"/>
      <c r="PGZ45" s="51"/>
      <c r="PHA45" s="51"/>
      <c r="PHB45" s="51"/>
      <c r="PHC45" s="51"/>
      <c r="PHD45" s="51"/>
      <c r="PHE45" s="51"/>
      <c r="PHF45" s="51"/>
      <c r="PHG45" s="51"/>
      <c r="PHH45" s="51"/>
      <c r="PHI45" s="51"/>
      <c r="PHJ45" s="51"/>
      <c r="PHK45" s="51"/>
      <c r="PHL45" s="51"/>
      <c r="PHM45" s="51"/>
      <c r="PHN45" s="51"/>
      <c r="PHO45" s="51"/>
      <c r="PHP45" s="51"/>
      <c r="PHQ45" s="51"/>
      <c r="PHR45" s="51"/>
      <c r="PHS45" s="51"/>
      <c r="PHT45" s="51"/>
      <c r="PHU45" s="51"/>
      <c r="PHV45" s="51"/>
      <c r="PHW45" s="51"/>
      <c r="PHX45" s="51"/>
      <c r="PHY45" s="51"/>
      <c r="PHZ45" s="51"/>
      <c r="PIA45" s="51"/>
      <c r="PIB45" s="51"/>
      <c r="PIC45" s="51"/>
      <c r="PID45" s="51"/>
      <c r="PIE45" s="51"/>
      <c r="PIF45" s="51"/>
      <c r="PIG45" s="51"/>
      <c r="PIH45" s="51"/>
      <c r="PII45" s="51"/>
      <c r="PIJ45" s="51"/>
      <c r="PIK45" s="51"/>
      <c r="PIL45" s="51"/>
      <c r="PIM45" s="51"/>
      <c r="PIN45" s="51"/>
      <c r="PIO45" s="51"/>
      <c r="PIP45" s="51"/>
      <c r="PIQ45" s="51"/>
      <c r="PIR45" s="51"/>
      <c r="PIS45" s="51"/>
      <c r="PIT45" s="51"/>
      <c r="PIU45" s="51"/>
      <c r="PIV45" s="51"/>
      <c r="PIW45" s="51"/>
      <c r="PIX45" s="51"/>
      <c r="PIY45" s="51"/>
      <c r="PIZ45" s="51"/>
      <c r="PJA45" s="51"/>
      <c r="PJB45" s="51"/>
      <c r="PJC45" s="51"/>
      <c r="PJD45" s="51"/>
      <c r="PJE45" s="51"/>
      <c r="PJF45" s="51"/>
      <c r="PJG45" s="51"/>
      <c r="PJH45" s="51"/>
      <c r="PJI45" s="51"/>
      <c r="PJJ45" s="51"/>
      <c r="PJK45" s="51"/>
      <c r="PJL45" s="51"/>
      <c r="PJM45" s="51"/>
      <c r="PJN45" s="51"/>
      <c r="PJO45" s="51"/>
      <c r="PJP45" s="51"/>
      <c r="PJQ45" s="51"/>
      <c r="PJR45" s="51"/>
      <c r="PJS45" s="51"/>
      <c r="PJT45" s="51"/>
      <c r="PJU45" s="51"/>
      <c r="PJV45" s="51"/>
      <c r="PJW45" s="51"/>
      <c r="PJX45" s="51"/>
      <c r="PJY45" s="51"/>
      <c r="PJZ45" s="51"/>
      <c r="PKA45" s="51"/>
      <c r="PKB45" s="51"/>
      <c r="PKC45" s="51"/>
      <c r="PKD45" s="51"/>
      <c r="PKE45" s="51"/>
      <c r="PKF45" s="51"/>
      <c r="PKG45" s="51"/>
      <c r="PKH45" s="51"/>
      <c r="PKI45" s="51"/>
      <c r="PKJ45" s="51"/>
      <c r="PKK45" s="51"/>
      <c r="PKL45" s="51"/>
      <c r="PKM45" s="51"/>
      <c r="PKN45" s="51"/>
      <c r="PKO45" s="51"/>
      <c r="PKP45" s="51"/>
      <c r="PKQ45" s="51"/>
      <c r="PKR45" s="51"/>
      <c r="PKS45" s="51"/>
      <c r="PKT45" s="51"/>
      <c r="PKU45" s="51"/>
      <c r="PKV45" s="51"/>
      <c r="PKW45" s="51"/>
      <c r="PKX45" s="51"/>
      <c r="PKY45" s="51"/>
      <c r="PKZ45" s="51"/>
      <c r="PLA45" s="51"/>
      <c r="PLB45" s="51"/>
      <c r="PLC45" s="51"/>
      <c r="PLD45" s="51"/>
      <c r="PLE45" s="51"/>
      <c r="PLF45" s="51"/>
      <c r="PLG45" s="51"/>
      <c r="PLH45" s="51"/>
      <c r="PLI45" s="51"/>
      <c r="PLJ45" s="51"/>
      <c r="PLK45" s="51"/>
      <c r="PLL45" s="51"/>
      <c r="PLM45" s="51"/>
      <c r="PLN45" s="51"/>
      <c r="PLO45" s="51"/>
      <c r="PLP45" s="51"/>
      <c r="PLQ45" s="51"/>
      <c r="PLR45" s="51"/>
      <c r="PLS45" s="51"/>
      <c r="PLT45" s="51"/>
      <c r="PLU45" s="51"/>
      <c r="PLV45" s="51"/>
      <c r="PLW45" s="51"/>
      <c r="PLX45" s="51"/>
      <c r="PLY45" s="51"/>
      <c r="PLZ45" s="51"/>
      <c r="PMA45" s="51"/>
      <c r="PMB45" s="51"/>
      <c r="PMC45" s="51"/>
      <c r="PMD45" s="51"/>
      <c r="PME45" s="51"/>
      <c r="PMF45" s="51"/>
      <c r="PMG45" s="51"/>
      <c r="PMH45" s="51"/>
      <c r="PMI45" s="51"/>
      <c r="PMJ45" s="51"/>
      <c r="PMK45" s="51"/>
      <c r="PML45" s="51"/>
      <c r="PMM45" s="51"/>
      <c r="PMN45" s="51"/>
      <c r="PMO45" s="51"/>
      <c r="PMP45" s="51"/>
      <c r="PMQ45" s="51"/>
      <c r="PMR45" s="51"/>
      <c r="PMS45" s="51"/>
      <c r="PMT45" s="51"/>
      <c r="PMU45" s="51"/>
      <c r="PMV45" s="51"/>
      <c r="PMW45" s="51"/>
      <c r="PMX45" s="51"/>
      <c r="PMY45" s="51"/>
      <c r="PMZ45" s="51"/>
      <c r="PNA45" s="51"/>
      <c r="PNB45" s="51"/>
      <c r="PNC45" s="51"/>
      <c r="PND45" s="51"/>
      <c r="PNE45" s="51"/>
      <c r="PNF45" s="51"/>
      <c r="PNG45" s="51"/>
      <c r="PNH45" s="51"/>
      <c r="PNI45" s="51"/>
      <c r="PNJ45" s="51"/>
      <c r="PNK45" s="51"/>
      <c r="PNL45" s="51"/>
      <c r="PNM45" s="51"/>
      <c r="PNN45" s="51"/>
      <c r="PNO45" s="51"/>
      <c r="PNP45" s="51"/>
      <c r="PNQ45" s="51"/>
      <c r="PNR45" s="51"/>
      <c r="PNS45" s="51"/>
      <c r="PNT45" s="51"/>
      <c r="PNU45" s="51"/>
      <c r="PNV45" s="51"/>
      <c r="PNW45" s="51"/>
      <c r="PNX45" s="51"/>
      <c r="PNY45" s="51"/>
      <c r="PNZ45" s="51"/>
      <c r="POA45" s="51"/>
      <c r="POB45" s="51"/>
      <c r="POC45" s="51"/>
      <c r="POD45" s="51"/>
      <c r="POE45" s="51"/>
      <c r="POF45" s="51"/>
      <c r="POG45" s="51"/>
      <c r="POH45" s="51"/>
      <c r="POI45" s="51"/>
      <c r="POJ45" s="51"/>
      <c r="POK45" s="51"/>
      <c r="POL45" s="51"/>
      <c r="POM45" s="51"/>
      <c r="PON45" s="51"/>
      <c r="POO45" s="51"/>
      <c r="POP45" s="51"/>
      <c r="POQ45" s="51"/>
      <c r="POR45" s="51"/>
      <c r="POS45" s="51"/>
      <c r="POT45" s="51"/>
      <c r="POU45" s="51"/>
      <c r="POV45" s="51"/>
      <c r="POW45" s="51"/>
      <c r="POX45" s="51"/>
      <c r="POY45" s="51"/>
      <c r="POZ45" s="51"/>
      <c r="PPA45" s="51"/>
      <c r="PPB45" s="51"/>
      <c r="PPC45" s="51"/>
      <c r="PPD45" s="51"/>
      <c r="PPE45" s="51"/>
      <c r="PPF45" s="51"/>
      <c r="PPG45" s="51"/>
      <c r="PPH45" s="51"/>
      <c r="PPI45" s="51"/>
      <c r="PPJ45" s="51"/>
      <c r="PPK45" s="51"/>
      <c r="PPL45" s="51"/>
      <c r="PPM45" s="51"/>
      <c r="PPN45" s="51"/>
      <c r="PPO45" s="51"/>
      <c r="PPP45" s="51"/>
      <c r="PPQ45" s="51"/>
      <c r="PPR45" s="51"/>
      <c r="PPS45" s="51"/>
      <c r="PPT45" s="51"/>
      <c r="PPU45" s="51"/>
      <c r="PPV45" s="51"/>
      <c r="PPW45" s="51"/>
      <c r="PPX45" s="51"/>
      <c r="PPY45" s="51"/>
      <c r="PPZ45" s="51"/>
      <c r="PQA45" s="51"/>
      <c r="PQB45" s="51"/>
      <c r="PQC45" s="51"/>
      <c r="PQD45" s="51"/>
      <c r="PQE45" s="51"/>
      <c r="PQF45" s="51"/>
      <c r="PQG45" s="51"/>
      <c r="PQH45" s="51"/>
      <c r="PQI45" s="51"/>
      <c r="PQJ45" s="51"/>
      <c r="PQK45" s="51"/>
      <c r="PQL45" s="51"/>
      <c r="PQM45" s="51"/>
      <c r="PQN45" s="51"/>
      <c r="PQO45" s="51"/>
      <c r="PQP45" s="51"/>
      <c r="PQQ45" s="51"/>
      <c r="PQR45" s="51"/>
      <c r="PQS45" s="51"/>
      <c r="PQT45" s="51"/>
      <c r="PQU45" s="51"/>
      <c r="PQV45" s="51"/>
      <c r="PQW45" s="51"/>
      <c r="PQX45" s="51"/>
      <c r="PQY45" s="51"/>
      <c r="PQZ45" s="51"/>
      <c r="PRA45" s="51"/>
      <c r="PRB45" s="51"/>
      <c r="PRC45" s="51"/>
      <c r="PRD45" s="51"/>
      <c r="PRE45" s="51"/>
      <c r="PRF45" s="51"/>
      <c r="PRG45" s="51"/>
      <c r="PRH45" s="51"/>
      <c r="PRI45" s="51"/>
      <c r="PRJ45" s="51"/>
      <c r="PRK45" s="51"/>
      <c r="PRL45" s="51"/>
      <c r="PRM45" s="51"/>
      <c r="PRN45" s="51"/>
      <c r="PRO45" s="51"/>
      <c r="PRP45" s="51"/>
      <c r="PRQ45" s="51"/>
      <c r="PRR45" s="51"/>
      <c r="PRS45" s="51"/>
      <c r="PRT45" s="51"/>
      <c r="PRU45" s="51"/>
      <c r="PRV45" s="51"/>
      <c r="PRW45" s="51"/>
      <c r="PRX45" s="51"/>
      <c r="PRY45" s="51"/>
      <c r="PRZ45" s="51"/>
      <c r="PSA45" s="51"/>
      <c r="PSB45" s="51"/>
      <c r="PSC45" s="51"/>
      <c r="PSD45" s="51"/>
      <c r="PSE45" s="51"/>
      <c r="PSF45" s="51"/>
      <c r="PSG45" s="51"/>
      <c r="PSH45" s="51"/>
      <c r="PSI45" s="51"/>
      <c r="PSJ45" s="51"/>
      <c r="PSK45" s="51"/>
      <c r="PSL45" s="51"/>
      <c r="PSM45" s="51"/>
      <c r="PSN45" s="51"/>
      <c r="PSO45" s="51"/>
      <c r="PSP45" s="51"/>
      <c r="PSQ45" s="51"/>
      <c r="PSR45" s="51"/>
      <c r="PSS45" s="51"/>
      <c r="PST45" s="51"/>
      <c r="PSU45" s="51"/>
      <c r="PSV45" s="51"/>
      <c r="PSW45" s="51"/>
      <c r="PSX45" s="51"/>
      <c r="PSY45" s="51"/>
      <c r="PSZ45" s="51"/>
      <c r="PTA45" s="51"/>
      <c r="PTB45" s="51"/>
      <c r="PTC45" s="51"/>
      <c r="PTD45" s="51"/>
      <c r="PTE45" s="51"/>
      <c r="PTF45" s="51"/>
      <c r="PTG45" s="51"/>
      <c r="PTH45" s="51"/>
      <c r="PTI45" s="51"/>
      <c r="PTJ45" s="51"/>
      <c r="PTK45" s="51"/>
      <c r="PTL45" s="51"/>
      <c r="PTM45" s="51"/>
      <c r="PTN45" s="51"/>
      <c r="PTO45" s="51"/>
      <c r="PTP45" s="51"/>
      <c r="PTQ45" s="51"/>
      <c r="PTR45" s="51"/>
      <c r="PTS45" s="51"/>
      <c r="PTT45" s="51"/>
      <c r="PTU45" s="51"/>
      <c r="PTV45" s="51"/>
      <c r="PTW45" s="51"/>
      <c r="PTX45" s="51"/>
      <c r="PTY45" s="51"/>
      <c r="PTZ45" s="51"/>
      <c r="PUA45" s="51"/>
      <c r="PUB45" s="51"/>
      <c r="PUC45" s="51"/>
      <c r="PUD45" s="51"/>
      <c r="PUE45" s="51"/>
      <c r="PUF45" s="51"/>
      <c r="PUG45" s="51"/>
      <c r="PUH45" s="51"/>
      <c r="PUI45" s="51"/>
      <c r="PUJ45" s="51"/>
      <c r="PUK45" s="51"/>
      <c r="PUL45" s="51"/>
      <c r="PUM45" s="51"/>
      <c r="PUN45" s="51"/>
      <c r="PUO45" s="51"/>
      <c r="PUP45" s="51"/>
      <c r="PUQ45" s="51"/>
      <c r="PUR45" s="51"/>
      <c r="PUS45" s="51"/>
      <c r="PUT45" s="51"/>
      <c r="PUU45" s="51"/>
      <c r="PUV45" s="51"/>
      <c r="PUW45" s="51"/>
      <c r="PUX45" s="51"/>
      <c r="PUY45" s="51"/>
      <c r="PUZ45" s="51"/>
      <c r="PVA45" s="51"/>
      <c r="PVB45" s="51"/>
      <c r="PVC45" s="51"/>
      <c r="PVD45" s="51"/>
      <c r="PVE45" s="51"/>
      <c r="PVF45" s="51"/>
      <c r="PVG45" s="51"/>
      <c r="PVH45" s="51"/>
      <c r="PVI45" s="51"/>
      <c r="PVJ45" s="51"/>
      <c r="PVK45" s="51"/>
      <c r="PVL45" s="51"/>
      <c r="PVM45" s="51"/>
      <c r="PVN45" s="51"/>
      <c r="PVO45" s="51"/>
      <c r="PVP45" s="51"/>
      <c r="PVQ45" s="51"/>
      <c r="PVR45" s="51"/>
      <c r="PVS45" s="51"/>
      <c r="PVT45" s="51"/>
      <c r="PVU45" s="51"/>
      <c r="PVV45" s="51"/>
      <c r="PVW45" s="51"/>
      <c r="PVX45" s="51"/>
      <c r="PVY45" s="51"/>
      <c r="PVZ45" s="51"/>
      <c r="PWA45" s="51"/>
      <c r="PWB45" s="51"/>
      <c r="PWC45" s="51"/>
      <c r="PWD45" s="51"/>
      <c r="PWE45" s="51"/>
      <c r="PWF45" s="51"/>
      <c r="PWG45" s="51"/>
      <c r="PWH45" s="51"/>
      <c r="PWI45" s="51"/>
      <c r="PWJ45" s="51"/>
      <c r="PWK45" s="51"/>
      <c r="PWL45" s="51"/>
      <c r="PWM45" s="51"/>
      <c r="PWN45" s="51"/>
      <c r="PWO45" s="51"/>
      <c r="PWP45" s="51"/>
      <c r="PWQ45" s="51"/>
      <c r="PWR45" s="51"/>
      <c r="PWS45" s="51"/>
      <c r="PWT45" s="51"/>
      <c r="PWU45" s="51"/>
      <c r="PWV45" s="51"/>
      <c r="PWW45" s="51"/>
      <c r="PWX45" s="51"/>
      <c r="PWY45" s="51"/>
      <c r="PWZ45" s="51"/>
      <c r="PXA45" s="51"/>
      <c r="PXB45" s="51"/>
      <c r="PXC45" s="51"/>
      <c r="PXD45" s="51"/>
      <c r="PXE45" s="51"/>
      <c r="PXF45" s="51"/>
      <c r="PXG45" s="51"/>
      <c r="PXH45" s="51"/>
      <c r="PXI45" s="51"/>
      <c r="PXJ45" s="51"/>
      <c r="PXK45" s="51"/>
      <c r="PXL45" s="51"/>
      <c r="PXM45" s="51"/>
      <c r="PXN45" s="51"/>
      <c r="PXO45" s="51"/>
      <c r="PXP45" s="51"/>
      <c r="PXQ45" s="51"/>
      <c r="PXR45" s="51"/>
      <c r="PXS45" s="51"/>
      <c r="PXT45" s="51"/>
      <c r="PXU45" s="51"/>
      <c r="PXV45" s="51"/>
      <c r="PXW45" s="51"/>
      <c r="PXX45" s="51"/>
      <c r="PXY45" s="51"/>
      <c r="PXZ45" s="51"/>
      <c r="PYA45" s="51"/>
      <c r="PYB45" s="51"/>
      <c r="PYC45" s="51"/>
      <c r="PYD45" s="51"/>
      <c r="PYE45" s="51"/>
      <c r="PYF45" s="51"/>
      <c r="PYG45" s="51"/>
      <c r="PYH45" s="51"/>
      <c r="PYI45" s="51"/>
      <c r="PYJ45" s="51"/>
      <c r="PYK45" s="51"/>
      <c r="PYL45" s="51"/>
      <c r="PYM45" s="51"/>
      <c r="PYN45" s="51"/>
      <c r="PYO45" s="51"/>
      <c r="PYP45" s="51"/>
      <c r="PYQ45" s="51"/>
      <c r="PYR45" s="51"/>
      <c r="PYS45" s="51"/>
      <c r="PYT45" s="51"/>
      <c r="PYU45" s="51"/>
      <c r="PYV45" s="51"/>
      <c r="PYW45" s="51"/>
      <c r="PYX45" s="51"/>
      <c r="PYY45" s="51"/>
      <c r="PYZ45" s="51"/>
      <c r="PZA45" s="51"/>
      <c r="PZB45" s="51"/>
      <c r="PZC45" s="51"/>
      <c r="PZD45" s="51"/>
      <c r="PZE45" s="51"/>
      <c r="PZF45" s="51"/>
      <c r="PZG45" s="51"/>
      <c r="PZH45" s="51"/>
      <c r="PZI45" s="51"/>
      <c r="PZJ45" s="51"/>
      <c r="PZK45" s="51"/>
      <c r="PZL45" s="51"/>
      <c r="PZM45" s="51"/>
      <c r="PZN45" s="51"/>
      <c r="PZO45" s="51"/>
      <c r="PZP45" s="51"/>
      <c r="PZQ45" s="51"/>
      <c r="PZR45" s="51"/>
      <c r="PZS45" s="51"/>
      <c r="PZT45" s="51"/>
      <c r="PZU45" s="51"/>
      <c r="PZV45" s="51"/>
      <c r="PZW45" s="51"/>
      <c r="PZX45" s="51"/>
      <c r="PZY45" s="51"/>
      <c r="PZZ45" s="51"/>
      <c r="QAA45" s="51"/>
      <c r="QAB45" s="51"/>
      <c r="QAC45" s="51"/>
      <c r="QAD45" s="51"/>
      <c r="QAE45" s="51"/>
      <c r="QAF45" s="51"/>
      <c r="QAG45" s="51"/>
      <c r="QAH45" s="51"/>
      <c r="QAI45" s="51"/>
      <c r="QAJ45" s="51"/>
      <c r="QAK45" s="51"/>
      <c r="QAL45" s="51"/>
      <c r="QAM45" s="51"/>
      <c r="QAN45" s="51"/>
      <c r="QAO45" s="51"/>
      <c r="QAP45" s="51"/>
      <c r="QAQ45" s="51"/>
      <c r="QAR45" s="51"/>
      <c r="QAS45" s="51"/>
      <c r="QAT45" s="51"/>
      <c r="QAU45" s="51"/>
      <c r="QAV45" s="51"/>
      <c r="QAW45" s="51"/>
      <c r="QAX45" s="51"/>
      <c r="QAY45" s="51"/>
      <c r="QAZ45" s="51"/>
      <c r="QBA45" s="51"/>
      <c r="QBB45" s="51"/>
      <c r="QBC45" s="51"/>
      <c r="QBD45" s="51"/>
      <c r="QBE45" s="51"/>
      <c r="QBF45" s="51"/>
      <c r="QBG45" s="51"/>
      <c r="QBH45" s="51"/>
      <c r="QBI45" s="51"/>
      <c r="QBJ45" s="51"/>
      <c r="QBK45" s="51"/>
      <c r="QBL45" s="51"/>
      <c r="QBM45" s="51"/>
      <c r="QBN45" s="51"/>
      <c r="QBO45" s="51"/>
      <c r="QBP45" s="51"/>
      <c r="QBQ45" s="51"/>
      <c r="QBR45" s="51"/>
      <c r="QBS45" s="51"/>
      <c r="QBT45" s="51"/>
      <c r="QBU45" s="51"/>
      <c r="QBV45" s="51"/>
      <c r="QBW45" s="51"/>
      <c r="QBX45" s="51"/>
      <c r="QBY45" s="51"/>
      <c r="QBZ45" s="51"/>
      <c r="QCA45" s="51"/>
      <c r="QCB45" s="51"/>
      <c r="QCC45" s="51"/>
      <c r="QCD45" s="51"/>
      <c r="QCE45" s="51"/>
      <c r="QCF45" s="51"/>
      <c r="QCG45" s="51"/>
      <c r="QCH45" s="51"/>
      <c r="QCI45" s="51"/>
      <c r="QCJ45" s="51"/>
      <c r="QCK45" s="51"/>
      <c r="QCL45" s="51"/>
      <c r="QCM45" s="51"/>
      <c r="QCN45" s="51"/>
      <c r="QCO45" s="51"/>
      <c r="QCP45" s="51"/>
      <c r="QCQ45" s="51"/>
      <c r="QCR45" s="51"/>
      <c r="QCS45" s="51"/>
      <c r="QCT45" s="51"/>
      <c r="QCU45" s="51"/>
      <c r="QCV45" s="51"/>
      <c r="QCW45" s="51"/>
      <c r="QCX45" s="51"/>
      <c r="QCY45" s="51"/>
      <c r="QCZ45" s="51"/>
      <c r="QDA45" s="51"/>
      <c r="QDB45" s="51"/>
      <c r="QDC45" s="51"/>
      <c r="QDD45" s="51"/>
      <c r="QDE45" s="51"/>
      <c r="QDF45" s="51"/>
      <c r="QDG45" s="51"/>
      <c r="QDH45" s="51"/>
      <c r="QDI45" s="51"/>
      <c r="QDJ45" s="51"/>
      <c r="QDK45" s="51"/>
      <c r="QDL45" s="51"/>
      <c r="QDM45" s="51"/>
      <c r="QDN45" s="51"/>
      <c r="QDO45" s="51"/>
      <c r="QDP45" s="51"/>
      <c r="QDQ45" s="51"/>
      <c r="QDR45" s="51"/>
      <c r="QDS45" s="51"/>
      <c r="QDT45" s="51"/>
      <c r="QDU45" s="51"/>
      <c r="QDV45" s="51"/>
      <c r="QDW45" s="51"/>
      <c r="QDX45" s="51"/>
      <c r="QDY45" s="51"/>
      <c r="QDZ45" s="51"/>
      <c r="QEA45" s="51"/>
      <c r="QEB45" s="51"/>
      <c r="QEC45" s="51"/>
      <c r="QED45" s="51"/>
      <c r="QEE45" s="51"/>
      <c r="QEF45" s="51"/>
      <c r="QEG45" s="51"/>
      <c r="QEH45" s="51"/>
      <c r="QEI45" s="51"/>
      <c r="QEJ45" s="51"/>
      <c r="QEK45" s="51"/>
      <c r="QEL45" s="51"/>
      <c r="QEM45" s="51"/>
      <c r="QEN45" s="51"/>
      <c r="QEO45" s="51"/>
      <c r="QEP45" s="51"/>
      <c r="QEQ45" s="51"/>
      <c r="QER45" s="51"/>
      <c r="QES45" s="51"/>
      <c r="QET45" s="51"/>
      <c r="QEU45" s="51"/>
      <c r="QEV45" s="51"/>
      <c r="QEW45" s="51"/>
      <c r="QEX45" s="51"/>
      <c r="QEY45" s="51"/>
      <c r="QEZ45" s="51"/>
      <c r="QFA45" s="51"/>
      <c r="QFB45" s="51"/>
      <c r="QFC45" s="51"/>
      <c r="QFD45" s="51"/>
      <c r="QFE45" s="51"/>
      <c r="QFF45" s="51"/>
      <c r="QFG45" s="51"/>
      <c r="QFH45" s="51"/>
      <c r="QFI45" s="51"/>
      <c r="QFJ45" s="51"/>
      <c r="QFK45" s="51"/>
      <c r="QFL45" s="51"/>
      <c r="QFM45" s="51"/>
      <c r="QFN45" s="51"/>
      <c r="QFO45" s="51"/>
      <c r="QFP45" s="51"/>
      <c r="QFQ45" s="51"/>
      <c r="QFR45" s="51"/>
      <c r="QFS45" s="51"/>
      <c r="QFT45" s="51"/>
      <c r="QFU45" s="51"/>
      <c r="QFV45" s="51"/>
      <c r="QFW45" s="51"/>
      <c r="QFX45" s="51"/>
      <c r="QFY45" s="51"/>
      <c r="QFZ45" s="51"/>
      <c r="QGA45" s="51"/>
      <c r="QGB45" s="51"/>
      <c r="QGC45" s="51"/>
      <c r="QGD45" s="51"/>
      <c r="QGE45" s="51"/>
      <c r="QGF45" s="51"/>
      <c r="QGG45" s="51"/>
      <c r="QGH45" s="51"/>
      <c r="QGI45" s="51"/>
      <c r="QGJ45" s="51"/>
      <c r="QGK45" s="51"/>
      <c r="QGL45" s="51"/>
      <c r="QGM45" s="51"/>
      <c r="QGN45" s="51"/>
      <c r="QGO45" s="51"/>
      <c r="QGP45" s="51"/>
      <c r="QGQ45" s="51"/>
      <c r="QGR45" s="51"/>
      <c r="QGS45" s="51"/>
      <c r="QGT45" s="51"/>
      <c r="QGU45" s="51"/>
      <c r="QGV45" s="51"/>
      <c r="QGW45" s="51"/>
      <c r="QGX45" s="51"/>
      <c r="QGY45" s="51"/>
      <c r="QGZ45" s="51"/>
      <c r="QHA45" s="51"/>
      <c r="QHB45" s="51"/>
      <c r="QHC45" s="51"/>
      <c r="QHD45" s="51"/>
      <c r="QHE45" s="51"/>
      <c r="QHF45" s="51"/>
      <c r="QHG45" s="51"/>
      <c r="QHH45" s="51"/>
      <c r="QHI45" s="51"/>
      <c r="QHJ45" s="51"/>
      <c r="QHK45" s="51"/>
      <c r="QHL45" s="51"/>
      <c r="QHM45" s="51"/>
      <c r="QHN45" s="51"/>
      <c r="QHO45" s="51"/>
      <c r="QHP45" s="51"/>
      <c r="QHQ45" s="51"/>
      <c r="QHR45" s="51"/>
      <c r="QHS45" s="51"/>
      <c r="QHT45" s="51"/>
      <c r="QHU45" s="51"/>
      <c r="QHV45" s="51"/>
      <c r="QHW45" s="51"/>
      <c r="QHX45" s="51"/>
      <c r="QHY45" s="51"/>
      <c r="QHZ45" s="51"/>
      <c r="QIA45" s="51"/>
      <c r="QIB45" s="51"/>
      <c r="QIC45" s="51"/>
      <c r="QID45" s="51"/>
      <c r="QIE45" s="51"/>
      <c r="QIF45" s="51"/>
      <c r="QIG45" s="51"/>
      <c r="QIH45" s="51"/>
      <c r="QII45" s="51"/>
      <c r="QIJ45" s="51"/>
      <c r="QIK45" s="51"/>
      <c r="QIL45" s="51"/>
      <c r="QIM45" s="51"/>
      <c r="QIN45" s="51"/>
      <c r="QIO45" s="51"/>
      <c r="QIP45" s="51"/>
      <c r="QIQ45" s="51"/>
      <c r="QIR45" s="51"/>
      <c r="QIS45" s="51"/>
      <c r="QIT45" s="51"/>
      <c r="QIU45" s="51"/>
      <c r="QIV45" s="51"/>
      <c r="QIW45" s="51"/>
      <c r="QIX45" s="51"/>
      <c r="QIY45" s="51"/>
      <c r="QIZ45" s="51"/>
      <c r="QJA45" s="51"/>
      <c r="QJB45" s="51"/>
      <c r="QJC45" s="51"/>
      <c r="QJD45" s="51"/>
      <c r="QJE45" s="51"/>
      <c r="QJF45" s="51"/>
      <c r="QJG45" s="51"/>
      <c r="QJH45" s="51"/>
      <c r="QJI45" s="51"/>
      <c r="QJJ45" s="51"/>
      <c r="QJK45" s="51"/>
      <c r="QJL45" s="51"/>
      <c r="QJM45" s="51"/>
      <c r="QJN45" s="51"/>
      <c r="QJO45" s="51"/>
      <c r="QJP45" s="51"/>
      <c r="QJQ45" s="51"/>
      <c r="QJR45" s="51"/>
      <c r="QJS45" s="51"/>
      <c r="QJT45" s="51"/>
      <c r="QJU45" s="51"/>
      <c r="QJV45" s="51"/>
      <c r="QJW45" s="51"/>
      <c r="QJX45" s="51"/>
      <c r="QJY45" s="51"/>
      <c r="QJZ45" s="51"/>
      <c r="QKA45" s="51"/>
      <c r="QKB45" s="51"/>
      <c r="QKC45" s="51"/>
      <c r="QKD45" s="51"/>
      <c r="QKE45" s="51"/>
      <c r="QKF45" s="51"/>
      <c r="QKG45" s="51"/>
      <c r="QKH45" s="51"/>
      <c r="QKI45" s="51"/>
      <c r="QKJ45" s="51"/>
      <c r="QKK45" s="51"/>
      <c r="QKL45" s="51"/>
      <c r="QKM45" s="51"/>
      <c r="QKN45" s="51"/>
      <c r="QKO45" s="51"/>
      <c r="QKP45" s="51"/>
      <c r="QKQ45" s="51"/>
      <c r="QKR45" s="51"/>
      <c r="QKS45" s="51"/>
      <c r="QKT45" s="51"/>
      <c r="QKU45" s="51"/>
      <c r="QKV45" s="51"/>
      <c r="QKW45" s="51"/>
      <c r="QKX45" s="51"/>
      <c r="QKY45" s="51"/>
      <c r="QKZ45" s="51"/>
      <c r="QLA45" s="51"/>
      <c r="QLB45" s="51"/>
      <c r="QLC45" s="51"/>
      <c r="QLD45" s="51"/>
      <c r="QLE45" s="51"/>
      <c r="QLF45" s="51"/>
      <c r="QLG45" s="51"/>
      <c r="QLH45" s="51"/>
      <c r="QLI45" s="51"/>
      <c r="QLJ45" s="51"/>
      <c r="QLK45" s="51"/>
      <c r="QLL45" s="51"/>
      <c r="QLM45" s="51"/>
      <c r="QLN45" s="51"/>
      <c r="QLO45" s="51"/>
      <c r="QLP45" s="51"/>
      <c r="QLQ45" s="51"/>
      <c r="QLR45" s="51"/>
      <c r="QLS45" s="51"/>
      <c r="QLT45" s="51"/>
      <c r="QLU45" s="51"/>
      <c r="QLV45" s="51"/>
      <c r="QLW45" s="51"/>
      <c r="QLX45" s="51"/>
      <c r="QLY45" s="51"/>
      <c r="QLZ45" s="51"/>
      <c r="QMA45" s="51"/>
      <c r="QMB45" s="51"/>
      <c r="QMC45" s="51"/>
      <c r="QMD45" s="51"/>
      <c r="QME45" s="51"/>
      <c r="QMF45" s="51"/>
      <c r="QMG45" s="51"/>
      <c r="QMH45" s="51"/>
      <c r="QMI45" s="51"/>
      <c r="QMJ45" s="51"/>
      <c r="QMK45" s="51"/>
      <c r="QML45" s="51"/>
      <c r="QMM45" s="51"/>
      <c r="QMN45" s="51"/>
      <c r="QMO45" s="51"/>
      <c r="QMP45" s="51"/>
      <c r="QMQ45" s="51"/>
      <c r="QMR45" s="51"/>
      <c r="QMS45" s="51"/>
      <c r="QMT45" s="51"/>
      <c r="QMU45" s="51"/>
      <c r="QMV45" s="51"/>
      <c r="QMW45" s="51"/>
      <c r="QMX45" s="51"/>
      <c r="QMY45" s="51"/>
      <c r="QMZ45" s="51"/>
      <c r="QNA45" s="51"/>
      <c r="QNB45" s="51"/>
      <c r="QNC45" s="51"/>
      <c r="QND45" s="51"/>
      <c r="QNE45" s="51"/>
      <c r="QNF45" s="51"/>
      <c r="QNG45" s="51"/>
      <c r="QNH45" s="51"/>
      <c r="QNI45" s="51"/>
      <c r="QNJ45" s="51"/>
      <c r="QNK45" s="51"/>
      <c r="QNL45" s="51"/>
      <c r="QNM45" s="51"/>
      <c r="QNN45" s="51"/>
      <c r="QNO45" s="51"/>
      <c r="QNP45" s="51"/>
      <c r="QNQ45" s="51"/>
      <c r="QNR45" s="51"/>
      <c r="QNS45" s="51"/>
      <c r="QNT45" s="51"/>
      <c r="QNU45" s="51"/>
      <c r="QNV45" s="51"/>
      <c r="QNW45" s="51"/>
      <c r="QNX45" s="51"/>
      <c r="QNY45" s="51"/>
      <c r="QNZ45" s="51"/>
      <c r="QOA45" s="51"/>
      <c r="QOB45" s="51"/>
      <c r="QOC45" s="51"/>
      <c r="QOD45" s="51"/>
      <c r="QOE45" s="51"/>
      <c r="QOF45" s="51"/>
      <c r="QOG45" s="51"/>
      <c r="QOH45" s="51"/>
      <c r="QOI45" s="51"/>
      <c r="QOJ45" s="51"/>
      <c r="QOK45" s="51"/>
      <c r="QOL45" s="51"/>
      <c r="QOM45" s="51"/>
      <c r="QON45" s="51"/>
      <c r="QOO45" s="51"/>
      <c r="QOP45" s="51"/>
      <c r="QOQ45" s="51"/>
      <c r="QOR45" s="51"/>
      <c r="QOS45" s="51"/>
      <c r="QOT45" s="51"/>
      <c r="QOU45" s="51"/>
      <c r="QOV45" s="51"/>
      <c r="QOW45" s="51"/>
      <c r="QOX45" s="51"/>
      <c r="QOY45" s="51"/>
      <c r="QOZ45" s="51"/>
      <c r="QPA45" s="51"/>
      <c r="QPB45" s="51"/>
      <c r="QPC45" s="51"/>
      <c r="QPD45" s="51"/>
      <c r="QPE45" s="51"/>
      <c r="QPF45" s="51"/>
      <c r="QPG45" s="51"/>
      <c r="QPH45" s="51"/>
      <c r="QPI45" s="51"/>
      <c r="QPJ45" s="51"/>
      <c r="QPK45" s="51"/>
      <c r="QPL45" s="51"/>
      <c r="QPM45" s="51"/>
      <c r="QPN45" s="51"/>
      <c r="QPO45" s="51"/>
      <c r="QPP45" s="51"/>
      <c r="QPQ45" s="51"/>
      <c r="QPR45" s="51"/>
      <c r="QPS45" s="51"/>
      <c r="QPT45" s="51"/>
      <c r="QPU45" s="51"/>
      <c r="QPV45" s="51"/>
      <c r="QPW45" s="51"/>
      <c r="QPX45" s="51"/>
      <c r="QPY45" s="51"/>
      <c r="QPZ45" s="51"/>
      <c r="QQA45" s="51"/>
      <c r="QQB45" s="51"/>
      <c r="QQC45" s="51"/>
      <c r="QQD45" s="51"/>
      <c r="QQE45" s="51"/>
      <c r="QQF45" s="51"/>
      <c r="QQG45" s="51"/>
      <c r="QQH45" s="51"/>
      <c r="QQI45" s="51"/>
      <c r="QQJ45" s="51"/>
      <c r="QQK45" s="51"/>
      <c r="QQL45" s="51"/>
      <c r="QQM45" s="51"/>
      <c r="QQN45" s="51"/>
      <c r="QQO45" s="51"/>
      <c r="QQP45" s="51"/>
      <c r="QQQ45" s="51"/>
      <c r="QQR45" s="51"/>
      <c r="QQS45" s="51"/>
      <c r="QQT45" s="51"/>
      <c r="QQU45" s="51"/>
      <c r="QQV45" s="51"/>
      <c r="QQW45" s="51"/>
      <c r="QQX45" s="51"/>
      <c r="QQY45" s="51"/>
      <c r="QQZ45" s="51"/>
      <c r="QRA45" s="51"/>
      <c r="QRB45" s="51"/>
      <c r="QRC45" s="51"/>
      <c r="QRD45" s="51"/>
      <c r="QRE45" s="51"/>
      <c r="QRF45" s="51"/>
      <c r="QRG45" s="51"/>
      <c r="QRH45" s="51"/>
      <c r="QRI45" s="51"/>
      <c r="QRJ45" s="51"/>
      <c r="QRK45" s="51"/>
      <c r="QRL45" s="51"/>
      <c r="QRM45" s="51"/>
      <c r="QRN45" s="51"/>
      <c r="QRO45" s="51"/>
      <c r="QRP45" s="51"/>
      <c r="QRQ45" s="51"/>
      <c r="QRR45" s="51"/>
      <c r="QRS45" s="51"/>
      <c r="QRT45" s="51"/>
      <c r="QRU45" s="51"/>
      <c r="QRV45" s="51"/>
      <c r="QRW45" s="51"/>
      <c r="QRX45" s="51"/>
      <c r="QRY45" s="51"/>
      <c r="QRZ45" s="51"/>
      <c r="QSA45" s="51"/>
      <c r="QSB45" s="51"/>
      <c r="QSC45" s="51"/>
      <c r="QSD45" s="51"/>
      <c r="QSE45" s="51"/>
      <c r="QSF45" s="51"/>
      <c r="QSG45" s="51"/>
      <c r="QSH45" s="51"/>
      <c r="QSI45" s="51"/>
      <c r="QSJ45" s="51"/>
      <c r="QSK45" s="51"/>
      <c r="QSL45" s="51"/>
      <c r="QSM45" s="51"/>
      <c r="QSN45" s="51"/>
      <c r="QSO45" s="51"/>
      <c r="QSP45" s="51"/>
      <c r="QSQ45" s="51"/>
      <c r="QSR45" s="51"/>
      <c r="QSS45" s="51"/>
      <c r="QST45" s="51"/>
      <c r="QSU45" s="51"/>
      <c r="QSV45" s="51"/>
      <c r="QSW45" s="51"/>
      <c r="QSX45" s="51"/>
      <c r="QSY45" s="51"/>
      <c r="QSZ45" s="51"/>
      <c r="QTA45" s="51"/>
      <c r="QTB45" s="51"/>
      <c r="QTC45" s="51"/>
      <c r="QTD45" s="51"/>
      <c r="QTE45" s="51"/>
      <c r="QTF45" s="51"/>
      <c r="QTG45" s="51"/>
      <c r="QTH45" s="51"/>
      <c r="QTI45" s="51"/>
      <c r="QTJ45" s="51"/>
      <c r="QTK45" s="51"/>
      <c r="QTL45" s="51"/>
      <c r="QTM45" s="51"/>
      <c r="QTN45" s="51"/>
      <c r="QTO45" s="51"/>
      <c r="QTP45" s="51"/>
      <c r="QTQ45" s="51"/>
      <c r="QTR45" s="51"/>
      <c r="QTS45" s="51"/>
      <c r="QTT45" s="51"/>
      <c r="QTU45" s="51"/>
      <c r="QTV45" s="51"/>
      <c r="QTW45" s="51"/>
      <c r="QTX45" s="51"/>
      <c r="QTY45" s="51"/>
      <c r="QTZ45" s="51"/>
      <c r="QUA45" s="51"/>
      <c r="QUB45" s="51"/>
      <c r="QUC45" s="51"/>
      <c r="QUD45" s="51"/>
      <c r="QUE45" s="51"/>
      <c r="QUF45" s="51"/>
      <c r="QUG45" s="51"/>
      <c r="QUH45" s="51"/>
      <c r="QUI45" s="51"/>
      <c r="QUJ45" s="51"/>
      <c r="QUK45" s="51"/>
      <c r="QUL45" s="51"/>
      <c r="QUM45" s="51"/>
      <c r="QUN45" s="51"/>
      <c r="QUO45" s="51"/>
      <c r="QUP45" s="51"/>
      <c r="QUQ45" s="51"/>
      <c r="QUR45" s="51"/>
      <c r="QUS45" s="51"/>
      <c r="QUT45" s="51"/>
      <c r="QUU45" s="51"/>
      <c r="QUV45" s="51"/>
      <c r="QUW45" s="51"/>
      <c r="QUX45" s="51"/>
      <c r="QUY45" s="51"/>
      <c r="QUZ45" s="51"/>
      <c r="QVA45" s="51"/>
      <c r="QVB45" s="51"/>
      <c r="QVC45" s="51"/>
      <c r="QVD45" s="51"/>
      <c r="QVE45" s="51"/>
      <c r="QVF45" s="51"/>
      <c r="QVG45" s="51"/>
      <c r="QVH45" s="51"/>
      <c r="QVI45" s="51"/>
      <c r="QVJ45" s="51"/>
      <c r="QVK45" s="51"/>
      <c r="QVL45" s="51"/>
      <c r="QVM45" s="51"/>
      <c r="QVN45" s="51"/>
      <c r="QVO45" s="51"/>
      <c r="QVP45" s="51"/>
      <c r="QVQ45" s="51"/>
      <c r="QVR45" s="51"/>
      <c r="QVS45" s="51"/>
      <c r="QVT45" s="51"/>
      <c r="QVU45" s="51"/>
      <c r="QVV45" s="51"/>
      <c r="QVW45" s="51"/>
      <c r="QVX45" s="51"/>
      <c r="QVY45" s="51"/>
      <c r="QVZ45" s="51"/>
      <c r="QWA45" s="51"/>
      <c r="QWB45" s="51"/>
      <c r="QWC45" s="51"/>
      <c r="QWD45" s="51"/>
      <c r="QWE45" s="51"/>
      <c r="QWF45" s="51"/>
      <c r="QWG45" s="51"/>
      <c r="QWH45" s="51"/>
      <c r="QWI45" s="51"/>
      <c r="QWJ45" s="51"/>
      <c r="QWK45" s="51"/>
      <c r="QWL45" s="51"/>
      <c r="QWM45" s="51"/>
      <c r="QWN45" s="51"/>
      <c r="QWO45" s="51"/>
      <c r="QWP45" s="51"/>
      <c r="QWQ45" s="51"/>
      <c r="QWR45" s="51"/>
      <c r="QWS45" s="51"/>
      <c r="QWT45" s="51"/>
      <c r="QWU45" s="51"/>
      <c r="QWV45" s="51"/>
      <c r="QWW45" s="51"/>
      <c r="QWX45" s="51"/>
      <c r="QWY45" s="51"/>
      <c r="QWZ45" s="51"/>
      <c r="QXA45" s="51"/>
      <c r="QXB45" s="51"/>
      <c r="QXC45" s="51"/>
      <c r="QXD45" s="51"/>
      <c r="QXE45" s="51"/>
      <c r="QXF45" s="51"/>
      <c r="QXG45" s="51"/>
      <c r="QXH45" s="51"/>
      <c r="QXI45" s="51"/>
      <c r="QXJ45" s="51"/>
      <c r="QXK45" s="51"/>
      <c r="QXL45" s="51"/>
      <c r="QXM45" s="51"/>
      <c r="QXN45" s="51"/>
      <c r="QXO45" s="51"/>
      <c r="QXP45" s="51"/>
      <c r="QXQ45" s="51"/>
      <c r="QXR45" s="51"/>
      <c r="QXS45" s="51"/>
      <c r="QXT45" s="51"/>
      <c r="QXU45" s="51"/>
      <c r="QXV45" s="51"/>
      <c r="QXW45" s="51"/>
      <c r="QXX45" s="51"/>
      <c r="QXY45" s="51"/>
      <c r="QXZ45" s="51"/>
      <c r="QYA45" s="51"/>
      <c r="QYB45" s="51"/>
      <c r="QYC45" s="51"/>
      <c r="QYD45" s="51"/>
      <c r="QYE45" s="51"/>
      <c r="QYF45" s="51"/>
      <c r="QYG45" s="51"/>
      <c r="QYH45" s="51"/>
      <c r="QYI45" s="51"/>
      <c r="QYJ45" s="51"/>
      <c r="QYK45" s="51"/>
      <c r="QYL45" s="51"/>
      <c r="QYM45" s="51"/>
      <c r="QYN45" s="51"/>
      <c r="QYO45" s="51"/>
      <c r="QYP45" s="51"/>
      <c r="QYQ45" s="51"/>
      <c r="QYR45" s="51"/>
      <c r="QYS45" s="51"/>
      <c r="QYT45" s="51"/>
      <c r="QYU45" s="51"/>
      <c r="QYV45" s="51"/>
      <c r="QYW45" s="51"/>
      <c r="QYX45" s="51"/>
      <c r="QYY45" s="51"/>
      <c r="QYZ45" s="51"/>
      <c r="QZA45" s="51"/>
      <c r="QZB45" s="51"/>
      <c r="QZC45" s="51"/>
      <c r="QZD45" s="51"/>
      <c r="QZE45" s="51"/>
      <c r="QZF45" s="51"/>
      <c r="QZG45" s="51"/>
      <c r="QZH45" s="51"/>
      <c r="QZI45" s="51"/>
      <c r="QZJ45" s="51"/>
      <c r="QZK45" s="51"/>
      <c r="QZL45" s="51"/>
      <c r="QZM45" s="51"/>
      <c r="QZN45" s="51"/>
      <c r="QZO45" s="51"/>
      <c r="QZP45" s="51"/>
      <c r="QZQ45" s="51"/>
      <c r="QZR45" s="51"/>
      <c r="QZS45" s="51"/>
      <c r="QZT45" s="51"/>
      <c r="QZU45" s="51"/>
      <c r="QZV45" s="51"/>
      <c r="QZW45" s="51"/>
      <c r="QZX45" s="51"/>
      <c r="QZY45" s="51"/>
      <c r="QZZ45" s="51"/>
      <c r="RAA45" s="51"/>
      <c r="RAB45" s="51"/>
      <c r="RAC45" s="51"/>
      <c r="RAD45" s="51"/>
      <c r="RAE45" s="51"/>
      <c r="RAF45" s="51"/>
      <c r="RAG45" s="51"/>
      <c r="RAH45" s="51"/>
      <c r="RAI45" s="51"/>
      <c r="RAJ45" s="51"/>
      <c r="RAK45" s="51"/>
      <c r="RAL45" s="51"/>
      <c r="RAM45" s="51"/>
      <c r="RAN45" s="51"/>
      <c r="RAO45" s="51"/>
      <c r="RAP45" s="51"/>
      <c r="RAQ45" s="51"/>
      <c r="RAR45" s="51"/>
      <c r="RAS45" s="51"/>
      <c r="RAT45" s="51"/>
      <c r="RAU45" s="51"/>
      <c r="RAV45" s="51"/>
      <c r="RAW45" s="51"/>
      <c r="RAX45" s="51"/>
      <c r="RAY45" s="51"/>
      <c r="RAZ45" s="51"/>
      <c r="RBA45" s="51"/>
      <c r="RBB45" s="51"/>
      <c r="RBC45" s="51"/>
      <c r="RBD45" s="51"/>
      <c r="RBE45" s="51"/>
      <c r="RBF45" s="51"/>
      <c r="RBG45" s="51"/>
      <c r="RBH45" s="51"/>
      <c r="RBI45" s="51"/>
      <c r="RBJ45" s="51"/>
      <c r="RBK45" s="51"/>
      <c r="RBL45" s="51"/>
      <c r="RBM45" s="51"/>
      <c r="RBN45" s="51"/>
      <c r="RBO45" s="51"/>
      <c r="RBP45" s="51"/>
      <c r="RBQ45" s="51"/>
      <c r="RBR45" s="51"/>
      <c r="RBS45" s="51"/>
      <c r="RBT45" s="51"/>
      <c r="RBU45" s="51"/>
      <c r="RBV45" s="51"/>
      <c r="RBW45" s="51"/>
      <c r="RBX45" s="51"/>
      <c r="RBY45" s="51"/>
      <c r="RBZ45" s="51"/>
      <c r="RCA45" s="51"/>
      <c r="RCB45" s="51"/>
      <c r="RCC45" s="51"/>
      <c r="RCD45" s="51"/>
      <c r="RCE45" s="51"/>
      <c r="RCF45" s="51"/>
      <c r="RCG45" s="51"/>
      <c r="RCH45" s="51"/>
      <c r="RCI45" s="51"/>
      <c r="RCJ45" s="51"/>
      <c r="RCK45" s="51"/>
      <c r="RCL45" s="51"/>
      <c r="RCM45" s="51"/>
      <c r="RCN45" s="51"/>
      <c r="RCO45" s="51"/>
      <c r="RCP45" s="51"/>
      <c r="RCQ45" s="51"/>
      <c r="RCR45" s="51"/>
      <c r="RCS45" s="51"/>
      <c r="RCT45" s="51"/>
      <c r="RCU45" s="51"/>
      <c r="RCV45" s="51"/>
      <c r="RCW45" s="51"/>
      <c r="RCX45" s="51"/>
      <c r="RCY45" s="51"/>
      <c r="RCZ45" s="51"/>
      <c r="RDA45" s="51"/>
      <c r="RDB45" s="51"/>
      <c r="RDC45" s="51"/>
      <c r="RDD45" s="51"/>
      <c r="RDE45" s="51"/>
      <c r="RDF45" s="51"/>
      <c r="RDG45" s="51"/>
      <c r="RDH45" s="51"/>
      <c r="RDI45" s="51"/>
      <c r="RDJ45" s="51"/>
      <c r="RDK45" s="51"/>
      <c r="RDL45" s="51"/>
      <c r="RDM45" s="51"/>
      <c r="RDN45" s="51"/>
      <c r="RDO45" s="51"/>
      <c r="RDP45" s="51"/>
      <c r="RDQ45" s="51"/>
      <c r="RDR45" s="51"/>
      <c r="RDS45" s="51"/>
      <c r="RDT45" s="51"/>
      <c r="RDU45" s="51"/>
      <c r="RDV45" s="51"/>
      <c r="RDW45" s="51"/>
      <c r="RDX45" s="51"/>
      <c r="RDY45" s="51"/>
      <c r="RDZ45" s="51"/>
      <c r="REA45" s="51"/>
      <c r="REB45" s="51"/>
      <c r="REC45" s="51"/>
      <c r="RED45" s="51"/>
      <c r="REE45" s="51"/>
      <c r="REF45" s="51"/>
      <c r="REG45" s="51"/>
      <c r="REH45" s="51"/>
      <c r="REI45" s="51"/>
      <c r="REJ45" s="51"/>
      <c r="REK45" s="51"/>
      <c r="REL45" s="51"/>
      <c r="REM45" s="51"/>
      <c r="REN45" s="51"/>
      <c r="REO45" s="51"/>
      <c r="REP45" s="51"/>
      <c r="REQ45" s="51"/>
      <c r="RER45" s="51"/>
      <c r="RES45" s="51"/>
      <c r="RET45" s="51"/>
      <c r="REU45" s="51"/>
      <c r="REV45" s="51"/>
      <c r="REW45" s="51"/>
      <c r="REX45" s="51"/>
      <c r="REY45" s="51"/>
      <c r="REZ45" s="51"/>
      <c r="RFA45" s="51"/>
      <c r="RFB45" s="51"/>
      <c r="RFC45" s="51"/>
      <c r="RFD45" s="51"/>
      <c r="RFE45" s="51"/>
      <c r="RFF45" s="51"/>
      <c r="RFG45" s="51"/>
      <c r="RFH45" s="51"/>
      <c r="RFI45" s="51"/>
      <c r="RFJ45" s="51"/>
      <c r="RFK45" s="51"/>
      <c r="RFL45" s="51"/>
      <c r="RFM45" s="51"/>
      <c r="RFN45" s="51"/>
      <c r="RFO45" s="51"/>
      <c r="RFP45" s="51"/>
      <c r="RFQ45" s="51"/>
      <c r="RFR45" s="51"/>
      <c r="RFS45" s="51"/>
      <c r="RFT45" s="51"/>
      <c r="RFU45" s="51"/>
      <c r="RFV45" s="51"/>
      <c r="RFW45" s="51"/>
      <c r="RFX45" s="51"/>
      <c r="RFY45" s="51"/>
      <c r="RFZ45" s="51"/>
      <c r="RGA45" s="51"/>
      <c r="RGB45" s="51"/>
      <c r="RGC45" s="51"/>
      <c r="RGD45" s="51"/>
      <c r="RGE45" s="51"/>
      <c r="RGF45" s="51"/>
      <c r="RGG45" s="51"/>
      <c r="RGH45" s="51"/>
      <c r="RGI45" s="51"/>
      <c r="RGJ45" s="51"/>
      <c r="RGK45" s="51"/>
      <c r="RGL45" s="51"/>
      <c r="RGM45" s="51"/>
      <c r="RGN45" s="51"/>
      <c r="RGO45" s="51"/>
      <c r="RGP45" s="51"/>
      <c r="RGQ45" s="51"/>
      <c r="RGR45" s="51"/>
      <c r="RGS45" s="51"/>
      <c r="RGT45" s="51"/>
      <c r="RGU45" s="51"/>
      <c r="RGV45" s="51"/>
      <c r="RGW45" s="51"/>
      <c r="RGX45" s="51"/>
      <c r="RGY45" s="51"/>
      <c r="RGZ45" s="51"/>
      <c r="RHA45" s="51"/>
      <c r="RHB45" s="51"/>
      <c r="RHC45" s="51"/>
      <c r="RHD45" s="51"/>
      <c r="RHE45" s="51"/>
      <c r="RHF45" s="51"/>
      <c r="RHG45" s="51"/>
      <c r="RHH45" s="51"/>
      <c r="RHI45" s="51"/>
      <c r="RHJ45" s="51"/>
      <c r="RHK45" s="51"/>
      <c r="RHL45" s="51"/>
      <c r="RHM45" s="51"/>
      <c r="RHN45" s="51"/>
      <c r="RHO45" s="51"/>
      <c r="RHP45" s="51"/>
      <c r="RHQ45" s="51"/>
      <c r="RHR45" s="51"/>
      <c r="RHS45" s="51"/>
      <c r="RHT45" s="51"/>
      <c r="RHU45" s="51"/>
      <c r="RHV45" s="51"/>
      <c r="RHW45" s="51"/>
      <c r="RHX45" s="51"/>
      <c r="RHY45" s="51"/>
      <c r="RHZ45" s="51"/>
      <c r="RIA45" s="51"/>
      <c r="RIB45" s="51"/>
      <c r="RIC45" s="51"/>
      <c r="RID45" s="51"/>
      <c r="RIE45" s="51"/>
      <c r="RIF45" s="51"/>
      <c r="RIG45" s="51"/>
      <c r="RIH45" s="51"/>
      <c r="RII45" s="51"/>
      <c r="RIJ45" s="51"/>
      <c r="RIK45" s="51"/>
      <c r="RIL45" s="51"/>
      <c r="RIM45" s="51"/>
      <c r="RIN45" s="51"/>
      <c r="RIO45" s="51"/>
      <c r="RIP45" s="51"/>
      <c r="RIQ45" s="51"/>
      <c r="RIR45" s="51"/>
      <c r="RIS45" s="51"/>
      <c r="RIT45" s="51"/>
      <c r="RIU45" s="51"/>
      <c r="RIV45" s="51"/>
      <c r="RIW45" s="51"/>
      <c r="RIX45" s="51"/>
      <c r="RIY45" s="51"/>
      <c r="RIZ45" s="51"/>
      <c r="RJA45" s="51"/>
      <c r="RJB45" s="51"/>
      <c r="RJC45" s="51"/>
      <c r="RJD45" s="51"/>
      <c r="RJE45" s="51"/>
      <c r="RJF45" s="51"/>
      <c r="RJG45" s="51"/>
      <c r="RJH45" s="51"/>
      <c r="RJI45" s="51"/>
      <c r="RJJ45" s="51"/>
      <c r="RJK45" s="51"/>
      <c r="RJL45" s="51"/>
      <c r="RJM45" s="51"/>
      <c r="RJN45" s="51"/>
      <c r="RJO45" s="51"/>
      <c r="RJP45" s="51"/>
      <c r="RJQ45" s="51"/>
      <c r="RJR45" s="51"/>
      <c r="RJS45" s="51"/>
      <c r="RJT45" s="51"/>
      <c r="RJU45" s="51"/>
      <c r="RJV45" s="51"/>
      <c r="RJW45" s="51"/>
      <c r="RJX45" s="51"/>
      <c r="RJY45" s="51"/>
      <c r="RJZ45" s="51"/>
      <c r="RKA45" s="51"/>
      <c r="RKB45" s="51"/>
      <c r="RKC45" s="51"/>
      <c r="RKD45" s="51"/>
      <c r="RKE45" s="51"/>
      <c r="RKF45" s="51"/>
      <c r="RKG45" s="51"/>
      <c r="RKH45" s="51"/>
      <c r="RKI45" s="51"/>
      <c r="RKJ45" s="51"/>
      <c r="RKK45" s="51"/>
      <c r="RKL45" s="51"/>
      <c r="RKM45" s="51"/>
      <c r="RKN45" s="51"/>
      <c r="RKO45" s="51"/>
      <c r="RKP45" s="51"/>
      <c r="RKQ45" s="51"/>
      <c r="RKR45" s="51"/>
      <c r="RKS45" s="51"/>
      <c r="RKT45" s="51"/>
      <c r="RKU45" s="51"/>
      <c r="RKV45" s="51"/>
      <c r="RKW45" s="51"/>
      <c r="RKX45" s="51"/>
      <c r="RKY45" s="51"/>
      <c r="RKZ45" s="51"/>
      <c r="RLA45" s="51"/>
      <c r="RLB45" s="51"/>
      <c r="RLC45" s="51"/>
      <c r="RLD45" s="51"/>
      <c r="RLE45" s="51"/>
      <c r="RLF45" s="51"/>
      <c r="RLG45" s="51"/>
      <c r="RLH45" s="51"/>
      <c r="RLI45" s="51"/>
      <c r="RLJ45" s="51"/>
      <c r="RLK45" s="51"/>
      <c r="RLL45" s="51"/>
      <c r="RLM45" s="51"/>
      <c r="RLN45" s="51"/>
      <c r="RLO45" s="51"/>
      <c r="RLP45" s="51"/>
      <c r="RLQ45" s="51"/>
      <c r="RLR45" s="51"/>
      <c r="RLS45" s="51"/>
      <c r="RLT45" s="51"/>
      <c r="RLU45" s="51"/>
      <c r="RLV45" s="51"/>
      <c r="RLW45" s="51"/>
      <c r="RLX45" s="51"/>
      <c r="RLY45" s="51"/>
      <c r="RLZ45" s="51"/>
      <c r="RMA45" s="51"/>
      <c r="RMB45" s="51"/>
      <c r="RMC45" s="51"/>
      <c r="RMD45" s="51"/>
      <c r="RME45" s="51"/>
      <c r="RMF45" s="51"/>
      <c r="RMG45" s="51"/>
      <c r="RMH45" s="51"/>
      <c r="RMI45" s="51"/>
      <c r="RMJ45" s="51"/>
      <c r="RMK45" s="51"/>
      <c r="RML45" s="51"/>
      <c r="RMM45" s="51"/>
      <c r="RMN45" s="51"/>
      <c r="RMO45" s="51"/>
      <c r="RMP45" s="51"/>
      <c r="RMQ45" s="51"/>
      <c r="RMR45" s="51"/>
      <c r="RMS45" s="51"/>
      <c r="RMT45" s="51"/>
      <c r="RMU45" s="51"/>
      <c r="RMV45" s="51"/>
      <c r="RMW45" s="51"/>
      <c r="RMX45" s="51"/>
      <c r="RMY45" s="51"/>
      <c r="RMZ45" s="51"/>
      <c r="RNA45" s="51"/>
      <c r="RNB45" s="51"/>
      <c r="RNC45" s="51"/>
      <c r="RND45" s="51"/>
      <c r="RNE45" s="51"/>
      <c r="RNF45" s="51"/>
      <c r="RNG45" s="51"/>
      <c r="RNH45" s="51"/>
      <c r="RNI45" s="51"/>
      <c r="RNJ45" s="51"/>
      <c r="RNK45" s="51"/>
      <c r="RNL45" s="51"/>
      <c r="RNM45" s="51"/>
      <c r="RNN45" s="51"/>
      <c r="RNO45" s="51"/>
      <c r="RNP45" s="51"/>
      <c r="RNQ45" s="51"/>
      <c r="RNR45" s="51"/>
      <c r="RNS45" s="51"/>
      <c r="RNT45" s="51"/>
      <c r="RNU45" s="51"/>
      <c r="RNV45" s="51"/>
      <c r="RNW45" s="51"/>
      <c r="RNX45" s="51"/>
      <c r="RNY45" s="51"/>
      <c r="RNZ45" s="51"/>
      <c r="ROA45" s="51"/>
      <c r="ROB45" s="51"/>
      <c r="ROC45" s="51"/>
      <c r="ROD45" s="51"/>
      <c r="ROE45" s="51"/>
      <c r="ROF45" s="51"/>
      <c r="ROG45" s="51"/>
      <c r="ROH45" s="51"/>
      <c r="ROI45" s="51"/>
      <c r="ROJ45" s="51"/>
      <c r="ROK45" s="51"/>
      <c r="ROL45" s="51"/>
      <c r="ROM45" s="51"/>
      <c r="RON45" s="51"/>
      <c r="ROO45" s="51"/>
      <c r="ROP45" s="51"/>
      <c r="ROQ45" s="51"/>
      <c r="ROR45" s="51"/>
      <c r="ROS45" s="51"/>
      <c r="ROT45" s="51"/>
      <c r="ROU45" s="51"/>
      <c r="ROV45" s="51"/>
      <c r="ROW45" s="51"/>
      <c r="ROX45" s="51"/>
      <c r="ROY45" s="51"/>
      <c r="ROZ45" s="51"/>
      <c r="RPA45" s="51"/>
      <c r="RPB45" s="51"/>
      <c r="RPC45" s="51"/>
      <c r="RPD45" s="51"/>
      <c r="RPE45" s="51"/>
      <c r="RPF45" s="51"/>
      <c r="RPG45" s="51"/>
      <c r="RPH45" s="51"/>
      <c r="RPI45" s="51"/>
      <c r="RPJ45" s="51"/>
      <c r="RPK45" s="51"/>
      <c r="RPL45" s="51"/>
      <c r="RPM45" s="51"/>
      <c r="RPN45" s="51"/>
      <c r="RPO45" s="51"/>
      <c r="RPP45" s="51"/>
      <c r="RPQ45" s="51"/>
      <c r="RPR45" s="51"/>
      <c r="RPS45" s="51"/>
      <c r="RPT45" s="51"/>
      <c r="RPU45" s="51"/>
      <c r="RPV45" s="51"/>
      <c r="RPW45" s="51"/>
      <c r="RPX45" s="51"/>
      <c r="RPY45" s="51"/>
      <c r="RPZ45" s="51"/>
      <c r="RQA45" s="51"/>
      <c r="RQB45" s="51"/>
      <c r="RQC45" s="51"/>
      <c r="RQD45" s="51"/>
      <c r="RQE45" s="51"/>
      <c r="RQF45" s="51"/>
      <c r="RQG45" s="51"/>
      <c r="RQH45" s="51"/>
      <c r="RQI45" s="51"/>
      <c r="RQJ45" s="51"/>
      <c r="RQK45" s="51"/>
      <c r="RQL45" s="51"/>
      <c r="RQM45" s="51"/>
      <c r="RQN45" s="51"/>
      <c r="RQO45" s="51"/>
      <c r="RQP45" s="51"/>
      <c r="RQQ45" s="51"/>
      <c r="RQR45" s="51"/>
      <c r="RQS45" s="51"/>
      <c r="RQT45" s="51"/>
      <c r="RQU45" s="51"/>
      <c r="RQV45" s="51"/>
      <c r="RQW45" s="51"/>
      <c r="RQX45" s="51"/>
      <c r="RQY45" s="51"/>
      <c r="RQZ45" s="51"/>
      <c r="RRA45" s="51"/>
      <c r="RRB45" s="51"/>
      <c r="RRC45" s="51"/>
      <c r="RRD45" s="51"/>
      <c r="RRE45" s="51"/>
      <c r="RRF45" s="51"/>
      <c r="RRG45" s="51"/>
      <c r="RRH45" s="51"/>
      <c r="RRI45" s="51"/>
      <c r="RRJ45" s="51"/>
      <c r="RRK45" s="51"/>
      <c r="RRL45" s="51"/>
      <c r="RRM45" s="51"/>
      <c r="RRN45" s="51"/>
      <c r="RRO45" s="51"/>
      <c r="RRP45" s="51"/>
      <c r="RRQ45" s="51"/>
      <c r="RRR45" s="51"/>
      <c r="RRS45" s="51"/>
      <c r="RRT45" s="51"/>
      <c r="RRU45" s="51"/>
      <c r="RRV45" s="51"/>
      <c r="RRW45" s="51"/>
      <c r="RRX45" s="51"/>
      <c r="RRY45" s="51"/>
      <c r="RRZ45" s="51"/>
      <c r="RSA45" s="51"/>
      <c r="RSB45" s="51"/>
      <c r="RSC45" s="51"/>
      <c r="RSD45" s="51"/>
      <c r="RSE45" s="51"/>
      <c r="RSF45" s="51"/>
      <c r="RSG45" s="51"/>
      <c r="RSH45" s="51"/>
      <c r="RSI45" s="51"/>
      <c r="RSJ45" s="51"/>
      <c r="RSK45" s="51"/>
      <c r="RSL45" s="51"/>
      <c r="RSM45" s="51"/>
      <c r="RSN45" s="51"/>
      <c r="RSO45" s="51"/>
      <c r="RSP45" s="51"/>
      <c r="RSQ45" s="51"/>
      <c r="RSR45" s="51"/>
      <c r="RSS45" s="51"/>
      <c r="RST45" s="51"/>
      <c r="RSU45" s="51"/>
      <c r="RSV45" s="51"/>
      <c r="RSW45" s="51"/>
      <c r="RSX45" s="51"/>
      <c r="RSY45" s="51"/>
      <c r="RSZ45" s="51"/>
      <c r="RTA45" s="51"/>
      <c r="RTB45" s="51"/>
      <c r="RTC45" s="51"/>
      <c r="RTD45" s="51"/>
      <c r="RTE45" s="51"/>
      <c r="RTF45" s="51"/>
      <c r="RTG45" s="51"/>
      <c r="RTH45" s="51"/>
      <c r="RTI45" s="51"/>
      <c r="RTJ45" s="51"/>
      <c r="RTK45" s="51"/>
      <c r="RTL45" s="51"/>
      <c r="RTM45" s="51"/>
      <c r="RTN45" s="51"/>
      <c r="RTO45" s="51"/>
      <c r="RTP45" s="51"/>
      <c r="RTQ45" s="51"/>
      <c r="RTR45" s="51"/>
      <c r="RTS45" s="51"/>
      <c r="RTT45" s="51"/>
      <c r="RTU45" s="51"/>
      <c r="RTV45" s="51"/>
      <c r="RTW45" s="51"/>
      <c r="RTX45" s="51"/>
      <c r="RTY45" s="51"/>
      <c r="RTZ45" s="51"/>
      <c r="RUA45" s="51"/>
      <c r="RUB45" s="51"/>
      <c r="RUC45" s="51"/>
      <c r="RUD45" s="51"/>
      <c r="RUE45" s="51"/>
      <c r="RUF45" s="51"/>
      <c r="RUG45" s="51"/>
      <c r="RUH45" s="51"/>
      <c r="RUI45" s="51"/>
      <c r="RUJ45" s="51"/>
      <c r="RUK45" s="51"/>
      <c r="RUL45" s="51"/>
      <c r="RUM45" s="51"/>
      <c r="RUN45" s="51"/>
      <c r="RUO45" s="51"/>
      <c r="RUP45" s="51"/>
      <c r="RUQ45" s="51"/>
      <c r="RUR45" s="51"/>
      <c r="RUS45" s="51"/>
      <c r="RUT45" s="51"/>
      <c r="RUU45" s="51"/>
      <c r="RUV45" s="51"/>
      <c r="RUW45" s="51"/>
      <c r="RUX45" s="51"/>
      <c r="RUY45" s="51"/>
      <c r="RUZ45" s="51"/>
      <c r="RVA45" s="51"/>
      <c r="RVB45" s="51"/>
      <c r="RVC45" s="51"/>
      <c r="RVD45" s="51"/>
      <c r="RVE45" s="51"/>
      <c r="RVF45" s="51"/>
      <c r="RVG45" s="51"/>
      <c r="RVH45" s="51"/>
      <c r="RVI45" s="51"/>
      <c r="RVJ45" s="51"/>
      <c r="RVK45" s="51"/>
      <c r="RVL45" s="51"/>
      <c r="RVM45" s="51"/>
      <c r="RVN45" s="51"/>
      <c r="RVO45" s="51"/>
      <c r="RVP45" s="51"/>
      <c r="RVQ45" s="51"/>
      <c r="RVR45" s="51"/>
      <c r="RVS45" s="51"/>
      <c r="RVT45" s="51"/>
      <c r="RVU45" s="51"/>
      <c r="RVV45" s="51"/>
      <c r="RVW45" s="51"/>
      <c r="RVX45" s="51"/>
      <c r="RVY45" s="51"/>
      <c r="RVZ45" s="51"/>
      <c r="RWA45" s="51"/>
      <c r="RWB45" s="51"/>
      <c r="RWC45" s="51"/>
      <c r="RWD45" s="51"/>
      <c r="RWE45" s="51"/>
      <c r="RWF45" s="51"/>
      <c r="RWG45" s="51"/>
      <c r="RWH45" s="51"/>
      <c r="RWI45" s="51"/>
      <c r="RWJ45" s="51"/>
      <c r="RWK45" s="51"/>
      <c r="RWL45" s="51"/>
      <c r="RWM45" s="51"/>
      <c r="RWN45" s="51"/>
      <c r="RWO45" s="51"/>
      <c r="RWP45" s="51"/>
      <c r="RWQ45" s="51"/>
      <c r="RWR45" s="51"/>
      <c r="RWS45" s="51"/>
      <c r="RWT45" s="51"/>
      <c r="RWU45" s="51"/>
      <c r="RWV45" s="51"/>
      <c r="RWW45" s="51"/>
      <c r="RWX45" s="51"/>
      <c r="RWY45" s="51"/>
      <c r="RWZ45" s="51"/>
      <c r="RXA45" s="51"/>
      <c r="RXB45" s="51"/>
      <c r="RXC45" s="51"/>
      <c r="RXD45" s="51"/>
      <c r="RXE45" s="51"/>
      <c r="RXF45" s="51"/>
      <c r="RXG45" s="51"/>
      <c r="RXH45" s="51"/>
      <c r="RXI45" s="51"/>
      <c r="RXJ45" s="51"/>
      <c r="RXK45" s="51"/>
      <c r="RXL45" s="51"/>
      <c r="RXM45" s="51"/>
      <c r="RXN45" s="51"/>
      <c r="RXO45" s="51"/>
      <c r="RXP45" s="51"/>
      <c r="RXQ45" s="51"/>
      <c r="RXR45" s="51"/>
      <c r="RXS45" s="51"/>
      <c r="RXT45" s="51"/>
      <c r="RXU45" s="51"/>
      <c r="RXV45" s="51"/>
      <c r="RXW45" s="51"/>
      <c r="RXX45" s="51"/>
      <c r="RXY45" s="51"/>
      <c r="RXZ45" s="51"/>
      <c r="RYA45" s="51"/>
      <c r="RYB45" s="51"/>
      <c r="RYC45" s="51"/>
      <c r="RYD45" s="51"/>
      <c r="RYE45" s="51"/>
      <c r="RYF45" s="51"/>
      <c r="RYG45" s="51"/>
      <c r="RYH45" s="51"/>
      <c r="RYI45" s="51"/>
      <c r="RYJ45" s="51"/>
      <c r="RYK45" s="51"/>
      <c r="RYL45" s="51"/>
      <c r="RYM45" s="51"/>
      <c r="RYN45" s="51"/>
      <c r="RYO45" s="51"/>
      <c r="RYP45" s="51"/>
      <c r="RYQ45" s="51"/>
      <c r="RYR45" s="51"/>
      <c r="RYS45" s="51"/>
      <c r="RYT45" s="51"/>
      <c r="RYU45" s="51"/>
      <c r="RYV45" s="51"/>
      <c r="RYW45" s="51"/>
      <c r="RYX45" s="51"/>
      <c r="RYY45" s="51"/>
      <c r="RYZ45" s="51"/>
      <c r="RZA45" s="51"/>
      <c r="RZB45" s="51"/>
      <c r="RZC45" s="51"/>
      <c r="RZD45" s="51"/>
      <c r="RZE45" s="51"/>
      <c r="RZF45" s="51"/>
      <c r="RZG45" s="51"/>
      <c r="RZH45" s="51"/>
      <c r="RZI45" s="51"/>
      <c r="RZJ45" s="51"/>
      <c r="RZK45" s="51"/>
      <c r="RZL45" s="51"/>
      <c r="RZM45" s="51"/>
      <c r="RZN45" s="51"/>
      <c r="RZO45" s="51"/>
      <c r="RZP45" s="51"/>
      <c r="RZQ45" s="51"/>
      <c r="RZR45" s="51"/>
      <c r="RZS45" s="51"/>
      <c r="RZT45" s="51"/>
      <c r="RZU45" s="51"/>
      <c r="RZV45" s="51"/>
      <c r="RZW45" s="51"/>
      <c r="RZX45" s="51"/>
      <c r="RZY45" s="51"/>
      <c r="RZZ45" s="51"/>
      <c r="SAA45" s="51"/>
      <c r="SAB45" s="51"/>
      <c r="SAC45" s="51"/>
      <c r="SAD45" s="51"/>
      <c r="SAE45" s="51"/>
      <c r="SAF45" s="51"/>
      <c r="SAG45" s="51"/>
      <c r="SAH45" s="51"/>
      <c r="SAI45" s="51"/>
      <c r="SAJ45" s="51"/>
      <c r="SAK45" s="51"/>
      <c r="SAL45" s="51"/>
      <c r="SAM45" s="51"/>
      <c r="SAN45" s="51"/>
      <c r="SAO45" s="51"/>
      <c r="SAP45" s="51"/>
      <c r="SAQ45" s="51"/>
      <c r="SAR45" s="51"/>
      <c r="SAS45" s="51"/>
      <c r="SAT45" s="51"/>
      <c r="SAU45" s="51"/>
      <c r="SAV45" s="51"/>
      <c r="SAW45" s="51"/>
      <c r="SAX45" s="51"/>
      <c r="SAY45" s="51"/>
      <c r="SAZ45" s="51"/>
      <c r="SBA45" s="51"/>
      <c r="SBB45" s="51"/>
      <c r="SBC45" s="51"/>
      <c r="SBD45" s="51"/>
      <c r="SBE45" s="51"/>
      <c r="SBF45" s="51"/>
      <c r="SBG45" s="51"/>
      <c r="SBH45" s="51"/>
      <c r="SBI45" s="51"/>
      <c r="SBJ45" s="51"/>
      <c r="SBK45" s="51"/>
      <c r="SBL45" s="51"/>
      <c r="SBM45" s="51"/>
      <c r="SBN45" s="51"/>
      <c r="SBO45" s="51"/>
      <c r="SBP45" s="51"/>
      <c r="SBQ45" s="51"/>
      <c r="SBR45" s="51"/>
      <c r="SBS45" s="51"/>
      <c r="SBT45" s="51"/>
      <c r="SBU45" s="51"/>
      <c r="SBV45" s="51"/>
      <c r="SBW45" s="51"/>
      <c r="SBX45" s="51"/>
      <c r="SBY45" s="51"/>
      <c r="SBZ45" s="51"/>
      <c r="SCA45" s="51"/>
      <c r="SCB45" s="51"/>
      <c r="SCC45" s="51"/>
      <c r="SCD45" s="51"/>
      <c r="SCE45" s="51"/>
      <c r="SCF45" s="51"/>
      <c r="SCG45" s="51"/>
      <c r="SCH45" s="51"/>
      <c r="SCI45" s="51"/>
      <c r="SCJ45" s="51"/>
      <c r="SCK45" s="51"/>
      <c r="SCL45" s="51"/>
      <c r="SCM45" s="51"/>
      <c r="SCN45" s="51"/>
      <c r="SCO45" s="51"/>
      <c r="SCP45" s="51"/>
      <c r="SCQ45" s="51"/>
      <c r="SCR45" s="51"/>
      <c r="SCS45" s="51"/>
      <c r="SCT45" s="51"/>
      <c r="SCU45" s="51"/>
      <c r="SCV45" s="51"/>
      <c r="SCW45" s="51"/>
      <c r="SCX45" s="51"/>
      <c r="SCY45" s="51"/>
      <c r="SCZ45" s="51"/>
      <c r="SDA45" s="51"/>
      <c r="SDB45" s="51"/>
      <c r="SDC45" s="51"/>
      <c r="SDD45" s="51"/>
      <c r="SDE45" s="51"/>
      <c r="SDF45" s="51"/>
      <c r="SDG45" s="51"/>
      <c r="SDH45" s="51"/>
      <c r="SDI45" s="51"/>
      <c r="SDJ45" s="51"/>
      <c r="SDK45" s="51"/>
      <c r="SDL45" s="51"/>
      <c r="SDM45" s="51"/>
      <c r="SDN45" s="51"/>
      <c r="SDO45" s="51"/>
      <c r="SDP45" s="51"/>
      <c r="SDQ45" s="51"/>
      <c r="SDR45" s="51"/>
      <c r="SDS45" s="51"/>
      <c r="SDT45" s="51"/>
      <c r="SDU45" s="51"/>
      <c r="SDV45" s="51"/>
      <c r="SDW45" s="51"/>
      <c r="SDX45" s="51"/>
      <c r="SDY45" s="51"/>
      <c r="SDZ45" s="51"/>
      <c r="SEA45" s="51"/>
      <c r="SEB45" s="51"/>
      <c r="SEC45" s="51"/>
      <c r="SED45" s="51"/>
      <c r="SEE45" s="51"/>
      <c r="SEF45" s="51"/>
      <c r="SEG45" s="51"/>
      <c r="SEH45" s="51"/>
      <c r="SEI45" s="51"/>
      <c r="SEJ45" s="51"/>
      <c r="SEK45" s="51"/>
      <c r="SEL45" s="51"/>
      <c r="SEM45" s="51"/>
      <c r="SEN45" s="51"/>
      <c r="SEO45" s="51"/>
      <c r="SEP45" s="51"/>
      <c r="SEQ45" s="51"/>
      <c r="SER45" s="51"/>
      <c r="SES45" s="51"/>
      <c r="SET45" s="51"/>
      <c r="SEU45" s="51"/>
      <c r="SEV45" s="51"/>
      <c r="SEW45" s="51"/>
      <c r="SEX45" s="51"/>
      <c r="SEY45" s="51"/>
      <c r="SEZ45" s="51"/>
      <c r="SFA45" s="51"/>
      <c r="SFB45" s="51"/>
      <c r="SFC45" s="51"/>
      <c r="SFD45" s="51"/>
      <c r="SFE45" s="51"/>
      <c r="SFF45" s="51"/>
      <c r="SFG45" s="51"/>
      <c r="SFH45" s="51"/>
      <c r="SFI45" s="51"/>
      <c r="SFJ45" s="51"/>
      <c r="SFK45" s="51"/>
      <c r="SFL45" s="51"/>
      <c r="SFM45" s="51"/>
      <c r="SFN45" s="51"/>
      <c r="SFO45" s="51"/>
      <c r="SFP45" s="51"/>
      <c r="SFQ45" s="51"/>
      <c r="SFR45" s="51"/>
      <c r="SFS45" s="51"/>
      <c r="SFT45" s="51"/>
      <c r="SFU45" s="51"/>
      <c r="SFV45" s="51"/>
      <c r="SFW45" s="51"/>
      <c r="SFX45" s="51"/>
      <c r="SFY45" s="51"/>
      <c r="SFZ45" s="51"/>
      <c r="SGA45" s="51"/>
      <c r="SGB45" s="51"/>
      <c r="SGC45" s="51"/>
      <c r="SGD45" s="51"/>
      <c r="SGE45" s="51"/>
      <c r="SGF45" s="51"/>
      <c r="SGG45" s="51"/>
      <c r="SGH45" s="51"/>
      <c r="SGI45" s="51"/>
      <c r="SGJ45" s="51"/>
      <c r="SGK45" s="51"/>
      <c r="SGL45" s="51"/>
      <c r="SGM45" s="51"/>
      <c r="SGN45" s="51"/>
      <c r="SGO45" s="51"/>
      <c r="SGP45" s="51"/>
      <c r="SGQ45" s="51"/>
      <c r="SGR45" s="51"/>
      <c r="SGS45" s="51"/>
      <c r="SGT45" s="51"/>
      <c r="SGU45" s="51"/>
      <c r="SGV45" s="51"/>
      <c r="SGW45" s="51"/>
      <c r="SGX45" s="51"/>
      <c r="SGY45" s="51"/>
      <c r="SGZ45" s="51"/>
      <c r="SHA45" s="51"/>
      <c r="SHB45" s="51"/>
      <c r="SHC45" s="51"/>
      <c r="SHD45" s="51"/>
      <c r="SHE45" s="51"/>
      <c r="SHF45" s="51"/>
      <c r="SHG45" s="51"/>
      <c r="SHH45" s="51"/>
      <c r="SHI45" s="51"/>
      <c r="SHJ45" s="51"/>
      <c r="SHK45" s="51"/>
      <c r="SHL45" s="51"/>
      <c r="SHM45" s="51"/>
      <c r="SHN45" s="51"/>
      <c r="SHO45" s="51"/>
      <c r="SHP45" s="51"/>
      <c r="SHQ45" s="51"/>
      <c r="SHR45" s="51"/>
      <c r="SHS45" s="51"/>
      <c r="SHT45" s="51"/>
      <c r="SHU45" s="51"/>
      <c r="SHV45" s="51"/>
      <c r="SHW45" s="51"/>
      <c r="SHX45" s="51"/>
      <c r="SHY45" s="51"/>
      <c r="SHZ45" s="51"/>
      <c r="SIA45" s="51"/>
      <c r="SIB45" s="51"/>
      <c r="SIC45" s="51"/>
      <c r="SID45" s="51"/>
      <c r="SIE45" s="51"/>
      <c r="SIF45" s="51"/>
      <c r="SIG45" s="51"/>
      <c r="SIH45" s="51"/>
      <c r="SII45" s="51"/>
      <c r="SIJ45" s="51"/>
      <c r="SIK45" s="51"/>
      <c r="SIL45" s="51"/>
      <c r="SIM45" s="51"/>
      <c r="SIN45" s="51"/>
      <c r="SIO45" s="51"/>
      <c r="SIP45" s="51"/>
      <c r="SIQ45" s="51"/>
      <c r="SIR45" s="51"/>
      <c r="SIS45" s="51"/>
      <c r="SIT45" s="51"/>
      <c r="SIU45" s="51"/>
      <c r="SIV45" s="51"/>
      <c r="SIW45" s="51"/>
      <c r="SIX45" s="51"/>
      <c r="SIY45" s="51"/>
      <c r="SIZ45" s="51"/>
      <c r="SJA45" s="51"/>
      <c r="SJB45" s="51"/>
      <c r="SJC45" s="51"/>
      <c r="SJD45" s="51"/>
      <c r="SJE45" s="51"/>
      <c r="SJF45" s="51"/>
      <c r="SJG45" s="51"/>
      <c r="SJH45" s="51"/>
      <c r="SJI45" s="51"/>
      <c r="SJJ45" s="51"/>
      <c r="SJK45" s="51"/>
      <c r="SJL45" s="51"/>
      <c r="SJM45" s="51"/>
      <c r="SJN45" s="51"/>
      <c r="SJO45" s="51"/>
      <c r="SJP45" s="51"/>
      <c r="SJQ45" s="51"/>
      <c r="SJR45" s="51"/>
      <c r="SJS45" s="51"/>
      <c r="SJT45" s="51"/>
      <c r="SJU45" s="51"/>
      <c r="SJV45" s="51"/>
      <c r="SJW45" s="51"/>
      <c r="SJX45" s="51"/>
      <c r="SJY45" s="51"/>
      <c r="SJZ45" s="51"/>
      <c r="SKA45" s="51"/>
      <c r="SKB45" s="51"/>
      <c r="SKC45" s="51"/>
      <c r="SKD45" s="51"/>
      <c r="SKE45" s="51"/>
      <c r="SKF45" s="51"/>
      <c r="SKG45" s="51"/>
      <c r="SKH45" s="51"/>
      <c r="SKI45" s="51"/>
      <c r="SKJ45" s="51"/>
      <c r="SKK45" s="51"/>
      <c r="SKL45" s="51"/>
      <c r="SKM45" s="51"/>
      <c r="SKN45" s="51"/>
      <c r="SKO45" s="51"/>
      <c r="SKP45" s="51"/>
      <c r="SKQ45" s="51"/>
      <c r="SKR45" s="51"/>
      <c r="SKS45" s="51"/>
      <c r="SKT45" s="51"/>
      <c r="SKU45" s="51"/>
      <c r="SKV45" s="51"/>
      <c r="SKW45" s="51"/>
      <c r="SKX45" s="51"/>
      <c r="SKY45" s="51"/>
      <c r="SKZ45" s="51"/>
      <c r="SLA45" s="51"/>
      <c r="SLB45" s="51"/>
      <c r="SLC45" s="51"/>
      <c r="SLD45" s="51"/>
      <c r="SLE45" s="51"/>
      <c r="SLF45" s="51"/>
      <c r="SLG45" s="51"/>
      <c r="SLH45" s="51"/>
      <c r="SLI45" s="51"/>
      <c r="SLJ45" s="51"/>
      <c r="SLK45" s="51"/>
      <c r="SLL45" s="51"/>
      <c r="SLM45" s="51"/>
      <c r="SLN45" s="51"/>
      <c r="SLO45" s="51"/>
      <c r="SLP45" s="51"/>
      <c r="SLQ45" s="51"/>
      <c r="SLR45" s="51"/>
      <c r="SLS45" s="51"/>
      <c r="SLT45" s="51"/>
      <c r="SLU45" s="51"/>
      <c r="SLV45" s="51"/>
      <c r="SLW45" s="51"/>
      <c r="SLX45" s="51"/>
      <c r="SLY45" s="51"/>
      <c r="SLZ45" s="51"/>
      <c r="SMA45" s="51"/>
      <c r="SMB45" s="51"/>
      <c r="SMC45" s="51"/>
      <c r="SMD45" s="51"/>
      <c r="SME45" s="51"/>
      <c r="SMF45" s="51"/>
      <c r="SMG45" s="51"/>
      <c r="SMH45" s="51"/>
      <c r="SMI45" s="51"/>
      <c r="SMJ45" s="51"/>
      <c r="SMK45" s="51"/>
      <c r="SML45" s="51"/>
      <c r="SMM45" s="51"/>
      <c r="SMN45" s="51"/>
      <c r="SMO45" s="51"/>
      <c r="SMP45" s="51"/>
      <c r="SMQ45" s="51"/>
      <c r="SMR45" s="51"/>
      <c r="SMS45" s="51"/>
      <c r="SMT45" s="51"/>
      <c r="SMU45" s="51"/>
      <c r="SMV45" s="51"/>
      <c r="SMW45" s="51"/>
      <c r="SMX45" s="51"/>
      <c r="SMY45" s="51"/>
      <c r="SMZ45" s="51"/>
      <c r="SNA45" s="51"/>
      <c r="SNB45" s="51"/>
      <c r="SNC45" s="51"/>
      <c r="SND45" s="51"/>
      <c r="SNE45" s="51"/>
      <c r="SNF45" s="51"/>
      <c r="SNG45" s="51"/>
      <c r="SNH45" s="51"/>
      <c r="SNI45" s="51"/>
      <c r="SNJ45" s="51"/>
      <c r="SNK45" s="51"/>
      <c r="SNL45" s="51"/>
      <c r="SNM45" s="51"/>
      <c r="SNN45" s="51"/>
      <c r="SNO45" s="51"/>
      <c r="SNP45" s="51"/>
      <c r="SNQ45" s="51"/>
      <c r="SNR45" s="51"/>
      <c r="SNS45" s="51"/>
      <c r="SNT45" s="51"/>
      <c r="SNU45" s="51"/>
      <c r="SNV45" s="51"/>
      <c r="SNW45" s="51"/>
      <c r="SNX45" s="51"/>
      <c r="SNY45" s="51"/>
      <c r="SNZ45" s="51"/>
      <c r="SOA45" s="51"/>
      <c r="SOB45" s="51"/>
      <c r="SOC45" s="51"/>
      <c r="SOD45" s="51"/>
      <c r="SOE45" s="51"/>
      <c r="SOF45" s="51"/>
      <c r="SOG45" s="51"/>
      <c r="SOH45" s="51"/>
      <c r="SOI45" s="51"/>
      <c r="SOJ45" s="51"/>
      <c r="SOK45" s="51"/>
      <c r="SOL45" s="51"/>
      <c r="SOM45" s="51"/>
      <c r="SON45" s="51"/>
      <c r="SOO45" s="51"/>
      <c r="SOP45" s="51"/>
      <c r="SOQ45" s="51"/>
      <c r="SOR45" s="51"/>
      <c r="SOS45" s="51"/>
      <c r="SOT45" s="51"/>
      <c r="SOU45" s="51"/>
      <c r="SOV45" s="51"/>
      <c r="SOW45" s="51"/>
      <c r="SOX45" s="51"/>
      <c r="SOY45" s="51"/>
      <c r="SOZ45" s="51"/>
      <c r="SPA45" s="51"/>
      <c r="SPB45" s="51"/>
      <c r="SPC45" s="51"/>
      <c r="SPD45" s="51"/>
      <c r="SPE45" s="51"/>
      <c r="SPF45" s="51"/>
      <c r="SPG45" s="51"/>
      <c r="SPH45" s="51"/>
      <c r="SPI45" s="51"/>
      <c r="SPJ45" s="51"/>
      <c r="SPK45" s="51"/>
      <c r="SPL45" s="51"/>
      <c r="SPM45" s="51"/>
      <c r="SPN45" s="51"/>
      <c r="SPO45" s="51"/>
      <c r="SPP45" s="51"/>
      <c r="SPQ45" s="51"/>
      <c r="SPR45" s="51"/>
      <c r="SPS45" s="51"/>
      <c r="SPT45" s="51"/>
      <c r="SPU45" s="51"/>
      <c r="SPV45" s="51"/>
      <c r="SPW45" s="51"/>
      <c r="SPX45" s="51"/>
      <c r="SPY45" s="51"/>
      <c r="SPZ45" s="51"/>
      <c r="SQA45" s="51"/>
      <c r="SQB45" s="51"/>
      <c r="SQC45" s="51"/>
      <c r="SQD45" s="51"/>
      <c r="SQE45" s="51"/>
      <c r="SQF45" s="51"/>
      <c r="SQG45" s="51"/>
      <c r="SQH45" s="51"/>
      <c r="SQI45" s="51"/>
      <c r="SQJ45" s="51"/>
      <c r="SQK45" s="51"/>
      <c r="SQL45" s="51"/>
      <c r="SQM45" s="51"/>
      <c r="SQN45" s="51"/>
      <c r="SQO45" s="51"/>
      <c r="SQP45" s="51"/>
      <c r="SQQ45" s="51"/>
      <c r="SQR45" s="51"/>
      <c r="SQS45" s="51"/>
      <c r="SQT45" s="51"/>
      <c r="SQU45" s="51"/>
      <c r="SQV45" s="51"/>
      <c r="SQW45" s="51"/>
      <c r="SQX45" s="51"/>
      <c r="SQY45" s="51"/>
      <c r="SQZ45" s="51"/>
      <c r="SRA45" s="51"/>
      <c r="SRB45" s="51"/>
      <c r="SRC45" s="51"/>
      <c r="SRD45" s="51"/>
      <c r="SRE45" s="51"/>
      <c r="SRF45" s="51"/>
      <c r="SRG45" s="51"/>
      <c r="SRH45" s="51"/>
      <c r="SRI45" s="51"/>
      <c r="SRJ45" s="51"/>
      <c r="SRK45" s="51"/>
      <c r="SRL45" s="51"/>
      <c r="SRM45" s="51"/>
      <c r="SRN45" s="51"/>
      <c r="SRO45" s="51"/>
      <c r="SRP45" s="51"/>
      <c r="SRQ45" s="51"/>
      <c r="SRR45" s="51"/>
      <c r="SRS45" s="51"/>
      <c r="SRT45" s="51"/>
      <c r="SRU45" s="51"/>
      <c r="SRV45" s="51"/>
      <c r="SRW45" s="51"/>
      <c r="SRX45" s="51"/>
      <c r="SRY45" s="51"/>
      <c r="SRZ45" s="51"/>
      <c r="SSA45" s="51"/>
      <c r="SSB45" s="51"/>
      <c r="SSC45" s="51"/>
      <c r="SSD45" s="51"/>
      <c r="SSE45" s="51"/>
      <c r="SSF45" s="51"/>
      <c r="SSG45" s="51"/>
      <c r="SSH45" s="51"/>
      <c r="SSI45" s="51"/>
      <c r="SSJ45" s="51"/>
      <c r="SSK45" s="51"/>
      <c r="SSL45" s="51"/>
      <c r="SSM45" s="51"/>
      <c r="SSN45" s="51"/>
      <c r="SSO45" s="51"/>
      <c r="SSP45" s="51"/>
      <c r="SSQ45" s="51"/>
      <c r="SSR45" s="51"/>
      <c r="SSS45" s="51"/>
      <c r="SST45" s="51"/>
      <c r="SSU45" s="51"/>
      <c r="SSV45" s="51"/>
      <c r="SSW45" s="51"/>
      <c r="SSX45" s="51"/>
      <c r="SSY45" s="51"/>
      <c r="SSZ45" s="51"/>
      <c r="STA45" s="51"/>
      <c r="STB45" s="51"/>
      <c r="STC45" s="51"/>
      <c r="STD45" s="51"/>
      <c r="STE45" s="51"/>
      <c r="STF45" s="51"/>
      <c r="STG45" s="51"/>
      <c r="STH45" s="51"/>
      <c r="STI45" s="51"/>
      <c r="STJ45" s="51"/>
      <c r="STK45" s="51"/>
      <c r="STL45" s="51"/>
      <c r="STM45" s="51"/>
      <c r="STN45" s="51"/>
      <c r="STO45" s="51"/>
      <c r="STP45" s="51"/>
      <c r="STQ45" s="51"/>
      <c r="STR45" s="51"/>
      <c r="STS45" s="51"/>
      <c r="STT45" s="51"/>
      <c r="STU45" s="51"/>
      <c r="STV45" s="51"/>
      <c r="STW45" s="51"/>
      <c r="STX45" s="51"/>
      <c r="STY45" s="51"/>
      <c r="STZ45" s="51"/>
      <c r="SUA45" s="51"/>
      <c r="SUB45" s="51"/>
      <c r="SUC45" s="51"/>
      <c r="SUD45" s="51"/>
      <c r="SUE45" s="51"/>
      <c r="SUF45" s="51"/>
      <c r="SUG45" s="51"/>
      <c r="SUH45" s="51"/>
      <c r="SUI45" s="51"/>
      <c r="SUJ45" s="51"/>
      <c r="SUK45" s="51"/>
      <c r="SUL45" s="51"/>
      <c r="SUM45" s="51"/>
      <c r="SUN45" s="51"/>
      <c r="SUO45" s="51"/>
      <c r="SUP45" s="51"/>
      <c r="SUQ45" s="51"/>
      <c r="SUR45" s="51"/>
      <c r="SUS45" s="51"/>
      <c r="SUT45" s="51"/>
      <c r="SUU45" s="51"/>
      <c r="SUV45" s="51"/>
      <c r="SUW45" s="51"/>
      <c r="SUX45" s="51"/>
      <c r="SUY45" s="51"/>
      <c r="SUZ45" s="51"/>
      <c r="SVA45" s="51"/>
      <c r="SVB45" s="51"/>
      <c r="SVC45" s="51"/>
      <c r="SVD45" s="51"/>
      <c r="SVE45" s="51"/>
      <c r="SVF45" s="51"/>
      <c r="SVG45" s="51"/>
      <c r="SVH45" s="51"/>
      <c r="SVI45" s="51"/>
      <c r="SVJ45" s="51"/>
      <c r="SVK45" s="51"/>
      <c r="SVL45" s="51"/>
      <c r="SVM45" s="51"/>
      <c r="SVN45" s="51"/>
      <c r="SVO45" s="51"/>
      <c r="SVP45" s="51"/>
      <c r="SVQ45" s="51"/>
      <c r="SVR45" s="51"/>
      <c r="SVS45" s="51"/>
      <c r="SVT45" s="51"/>
      <c r="SVU45" s="51"/>
      <c r="SVV45" s="51"/>
      <c r="SVW45" s="51"/>
      <c r="SVX45" s="51"/>
      <c r="SVY45" s="51"/>
      <c r="SVZ45" s="51"/>
      <c r="SWA45" s="51"/>
      <c r="SWB45" s="51"/>
      <c r="SWC45" s="51"/>
      <c r="SWD45" s="51"/>
      <c r="SWE45" s="51"/>
      <c r="SWF45" s="51"/>
      <c r="SWG45" s="51"/>
      <c r="SWH45" s="51"/>
      <c r="SWI45" s="51"/>
      <c r="SWJ45" s="51"/>
      <c r="SWK45" s="51"/>
      <c r="SWL45" s="51"/>
      <c r="SWM45" s="51"/>
      <c r="SWN45" s="51"/>
      <c r="SWO45" s="51"/>
      <c r="SWP45" s="51"/>
      <c r="SWQ45" s="51"/>
      <c r="SWR45" s="51"/>
      <c r="SWS45" s="51"/>
      <c r="SWT45" s="51"/>
      <c r="SWU45" s="51"/>
      <c r="SWV45" s="51"/>
      <c r="SWW45" s="51"/>
      <c r="SWX45" s="51"/>
      <c r="SWY45" s="51"/>
      <c r="SWZ45" s="51"/>
      <c r="SXA45" s="51"/>
      <c r="SXB45" s="51"/>
      <c r="SXC45" s="51"/>
      <c r="SXD45" s="51"/>
      <c r="SXE45" s="51"/>
      <c r="SXF45" s="51"/>
      <c r="SXG45" s="51"/>
      <c r="SXH45" s="51"/>
      <c r="SXI45" s="51"/>
      <c r="SXJ45" s="51"/>
      <c r="SXK45" s="51"/>
      <c r="SXL45" s="51"/>
      <c r="SXM45" s="51"/>
      <c r="SXN45" s="51"/>
      <c r="SXO45" s="51"/>
      <c r="SXP45" s="51"/>
      <c r="SXQ45" s="51"/>
      <c r="SXR45" s="51"/>
      <c r="SXS45" s="51"/>
      <c r="SXT45" s="51"/>
      <c r="SXU45" s="51"/>
      <c r="SXV45" s="51"/>
      <c r="SXW45" s="51"/>
      <c r="SXX45" s="51"/>
      <c r="SXY45" s="51"/>
      <c r="SXZ45" s="51"/>
      <c r="SYA45" s="51"/>
      <c r="SYB45" s="51"/>
      <c r="SYC45" s="51"/>
      <c r="SYD45" s="51"/>
      <c r="SYE45" s="51"/>
      <c r="SYF45" s="51"/>
      <c r="SYG45" s="51"/>
      <c r="SYH45" s="51"/>
      <c r="SYI45" s="51"/>
      <c r="SYJ45" s="51"/>
      <c r="SYK45" s="51"/>
      <c r="SYL45" s="51"/>
      <c r="SYM45" s="51"/>
      <c r="SYN45" s="51"/>
      <c r="SYO45" s="51"/>
      <c r="SYP45" s="51"/>
      <c r="SYQ45" s="51"/>
      <c r="SYR45" s="51"/>
      <c r="SYS45" s="51"/>
      <c r="SYT45" s="51"/>
      <c r="SYU45" s="51"/>
      <c r="SYV45" s="51"/>
      <c r="SYW45" s="51"/>
      <c r="SYX45" s="51"/>
      <c r="SYY45" s="51"/>
      <c r="SYZ45" s="51"/>
      <c r="SZA45" s="51"/>
      <c r="SZB45" s="51"/>
      <c r="SZC45" s="51"/>
      <c r="SZD45" s="51"/>
      <c r="SZE45" s="51"/>
      <c r="SZF45" s="51"/>
      <c r="SZG45" s="51"/>
      <c r="SZH45" s="51"/>
      <c r="SZI45" s="51"/>
      <c r="SZJ45" s="51"/>
      <c r="SZK45" s="51"/>
      <c r="SZL45" s="51"/>
      <c r="SZM45" s="51"/>
      <c r="SZN45" s="51"/>
      <c r="SZO45" s="51"/>
      <c r="SZP45" s="51"/>
      <c r="SZQ45" s="51"/>
      <c r="SZR45" s="51"/>
      <c r="SZS45" s="51"/>
      <c r="SZT45" s="51"/>
      <c r="SZU45" s="51"/>
      <c r="SZV45" s="51"/>
      <c r="SZW45" s="51"/>
      <c r="SZX45" s="51"/>
      <c r="SZY45" s="51"/>
      <c r="SZZ45" s="51"/>
      <c r="TAA45" s="51"/>
      <c r="TAB45" s="51"/>
      <c r="TAC45" s="51"/>
      <c r="TAD45" s="51"/>
      <c r="TAE45" s="51"/>
      <c r="TAF45" s="51"/>
      <c r="TAG45" s="51"/>
      <c r="TAH45" s="51"/>
      <c r="TAI45" s="51"/>
      <c r="TAJ45" s="51"/>
      <c r="TAK45" s="51"/>
      <c r="TAL45" s="51"/>
      <c r="TAM45" s="51"/>
      <c r="TAN45" s="51"/>
      <c r="TAO45" s="51"/>
      <c r="TAP45" s="51"/>
      <c r="TAQ45" s="51"/>
      <c r="TAR45" s="51"/>
      <c r="TAS45" s="51"/>
      <c r="TAT45" s="51"/>
      <c r="TAU45" s="51"/>
      <c r="TAV45" s="51"/>
      <c r="TAW45" s="51"/>
      <c r="TAX45" s="51"/>
      <c r="TAY45" s="51"/>
      <c r="TAZ45" s="51"/>
      <c r="TBA45" s="51"/>
      <c r="TBB45" s="51"/>
      <c r="TBC45" s="51"/>
      <c r="TBD45" s="51"/>
      <c r="TBE45" s="51"/>
      <c r="TBF45" s="51"/>
      <c r="TBG45" s="51"/>
      <c r="TBH45" s="51"/>
      <c r="TBI45" s="51"/>
      <c r="TBJ45" s="51"/>
      <c r="TBK45" s="51"/>
      <c r="TBL45" s="51"/>
      <c r="TBM45" s="51"/>
      <c r="TBN45" s="51"/>
      <c r="TBO45" s="51"/>
      <c r="TBP45" s="51"/>
      <c r="TBQ45" s="51"/>
      <c r="TBR45" s="51"/>
      <c r="TBS45" s="51"/>
      <c r="TBT45" s="51"/>
      <c r="TBU45" s="51"/>
      <c r="TBV45" s="51"/>
      <c r="TBW45" s="51"/>
      <c r="TBX45" s="51"/>
      <c r="TBY45" s="51"/>
      <c r="TBZ45" s="51"/>
      <c r="TCA45" s="51"/>
      <c r="TCB45" s="51"/>
      <c r="TCC45" s="51"/>
      <c r="TCD45" s="51"/>
      <c r="TCE45" s="51"/>
      <c r="TCF45" s="51"/>
      <c r="TCG45" s="51"/>
      <c r="TCH45" s="51"/>
      <c r="TCI45" s="51"/>
      <c r="TCJ45" s="51"/>
      <c r="TCK45" s="51"/>
      <c r="TCL45" s="51"/>
      <c r="TCM45" s="51"/>
      <c r="TCN45" s="51"/>
      <c r="TCO45" s="51"/>
      <c r="TCP45" s="51"/>
      <c r="TCQ45" s="51"/>
      <c r="TCR45" s="51"/>
      <c r="TCS45" s="51"/>
      <c r="TCT45" s="51"/>
      <c r="TCU45" s="51"/>
      <c r="TCV45" s="51"/>
      <c r="TCW45" s="51"/>
      <c r="TCX45" s="51"/>
      <c r="TCY45" s="51"/>
      <c r="TCZ45" s="51"/>
      <c r="TDA45" s="51"/>
      <c r="TDB45" s="51"/>
      <c r="TDC45" s="51"/>
      <c r="TDD45" s="51"/>
      <c r="TDE45" s="51"/>
      <c r="TDF45" s="51"/>
      <c r="TDG45" s="51"/>
      <c r="TDH45" s="51"/>
      <c r="TDI45" s="51"/>
      <c r="TDJ45" s="51"/>
      <c r="TDK45" s="51"/>
      <c r="TDL45" s="51"/>
      <c r="TDM45" s="51"/>
      <c r="TDN45" s="51"/>
      <c r="TDO45" s="51"/>
      <c r="TDP45" s="51"/>
      <c r="TDQ45" s="51"/>
      <c r="TDR45" s="51"/>
      <c r="TDS45" s="51"/>
      <c r="TDT45" s="51"/>
      <c r="TDU45" s="51"/>
      <c r="TDV45" s="51"/>
      <c r="TDW45" s="51"/>
      <c r="TDX45" s="51"/>
      <c r="TDY45" s="51"/>
      <c r="TDZ45" s="51"/>
      <c r="TEA45" s="51"/>
      <c r="TEB45" s="51"/>
      <c r="TEC45" s="51"/>
      <c r="TED45" s="51"/>
      <c r="TEE45" s="51"/>
      <c r="TEF45" s="51"/>
      <c r="TEG45" s="51"/>
      <c r="TEH45" s="51"/>
      <c r="TEI45" s="51"/>
      <c r="TEJ45" s="51"/>
      <c r="TEK45" s="51"/>
      <c r="TEL45" s="51"/>
      <c r="TEM45" s="51"/>
      <c r="TEN45" s="51"/>
      <c r="TEO45" s="51"/>
      <c r="TEP45" s="51"/>
      <c r="TEQ45" s="51"/>
      <c r="TER45" s="51"/>
      <c r="TES45" s="51"/>
      <c r="TET45" s="51"/>
      <c r="TEU45" s="51"/>
      <c r="TEV45" s="51"/>
      <c r="TEW45" s="51"/>
      <c r="TEX45" s="51"/>
      <c r="TEY45" s="51"/>
      <c r="TEZ45" s="51"/>
      <c r="TFA45" s="51"/>
      <c r="TFB45" s="51"/>
      <c r="TFC45" s="51"/>
      <c r="TFD45" s="51"/>
      <c r="TFE45" s="51"/>
      <c r="TFF45" s="51"/>
      <c r="TFG45" s="51"/>
      <c r="TFH45" s="51"/>
      <c r="TFI45" s="51"/>
      <c r="TFJ45" s="51"/>
      <c r="TFK45" s="51"/>
      <c r="TFL45" s="51"/>
      <c r="TFM45" s="51"/>
      <c r="TFN45" s="51"/>
      <c r="TFO45" s="51"/>
      <c r="TFP45" s="51"/>
      <c r="TFQ45" s="51"/>
      <c r="TFR45" s="51"/>
      <c r="TFS45" s="51"/>
      <c r="TFT45" s="51"/>
      <c r="TFU45" s="51"/>
      <c r="TFV45" s="51"/>
      <c r="TFW45" s="51"/>
      <c r="TFX45" s="51"/>
      <c r="TFY45" s="51"/>
      <c r="TFZ45" s="51"/>
      <c r="TGA45" s="51"/>
      <c r="TGB45" s="51"/>
      <c r="TGC45" s="51"/>
      <c r="TGD45" s="51"/>
      <c r="TGE45" s="51"/>
      <c r="TGF45" s="51"/>
      <c r="TGG45" s="51"/>
      <c r="TGH45" s="51"/>
      <c r="TGI45" s="51"/>
      <c r="TGJ45" s="51"/>
      <c r="TGK45" s="51"/>
      <c r="TGL45" s="51"/>
      <c r="TGM45" s="51"/>
      <c r="TGN45" s="51"/>
      <c r="TGO45" s="51"/>
      <c r="TGP45" s="51"/>
      <c r="TGQ45" s="51"/>
      <c r="TGR45" s="51"/>
      <c r="TGS45" s="51"/>
      <c r="TGT45" s="51"/>
      <c r="TGU45" s="51"/>
      <c r="TGV45" s="51"/>
      <c r="TGW45" s="51"/>
      <c r="TGX45" s="51"/>
      <c r="TGY45" s="51"/>
      <c r="TGZ45" s="51"/>
      <c r="THA45" s="51"/>
      <c r="THB45" s="51"/>
      <c r="THC45" s="51"/>
      <c r="THD45" s="51"/>
      <c r="THE45" s="51"/>
      <c r="THF45" s="51"/>
      <c r="THG45" s="51"/>
      <c r="THH45" s="51"/>
      <c r="THI45" s="51"/>
      <c r="THJ45" s="51"/>
      <c r="THK45" s="51"/>
      <c r="THL45" s="51"/>
      <c r="THM45" s="51"/>
      <c r="THN45" s="51"/>
      <c r="THO45" s="51"/>
      <c r="THP45" s="51"/>
      <c r="THQ45" s="51"/>
      <c r="THR45" s="51"/>
      <c r="THS45" s="51"/>
      <c r="THT45" s="51"/>
      <c r="THU45" s="51"/>
      <c r="THV45" s="51"/>
      <c r="THW45" s="51"/>
      <c r="THX45" s="51"/>
      <c r="THY45" s="51"/>
      <c r="THZ45" s="51"/>
      <c r="TIA45" s="51"/>
      <c r="TIB45" s="51"/>
      <c r="TIC45" s="51"/>
      <c r="TID45" s="51"/>
      <c r="TIE45" s="51"/>
      <c r="TIF45" s="51"/>
      <c r="TIG45" s="51"/>
      <c r="TIH45" s="51"/>
      <c r="TII45" s="51"/>
      <c r="TIJ45" s="51"/>
      <c r="TIK45" s="51"/>
      <c r="TIL45" s="51"/>
      <c r="TIM45" s="51"/>
      <c r="TIN45" s="51"/>
      <c r="TIO45" s="51"/>
      <c r="TIP45" s="51"/>
      <c r="TIQ45" s="51"/>
      <c r="TIR45" s="51"/>
      <c r="TIS45" s="51"/>
      <c r="TIT45" s="51"/>
      <c r="TIU45" s="51"/>
      <c r="TIV45" s="51"/>
      <c r="TIW45" s="51"/>
      <c r="TIX45" s="51"/>
      <c r="TIY45" s="51"/>
      <c r="TIZ45" s="51"/>
      <c r="TJA45" s="51"/>
      <c r="TJB45" s="51"/>
      <c r="TJC45" s="51"/>
      <c r="TJD45" s="51"/>
      <c r="TJE45" s="51"/>
      <c r="TJF45" s="51"/>
      <c r="TJG45" s="51"/>
      <c r="TJH45" s="51"/>
      <c r="TJI45" s="51"/>
      <c r="TJJ45" s="51"/>
      <c r="TJK45" s="51"/>
      <c r="TJL45" s="51"/>
      <c r="TJM45" s="51"/>
      <c r="TJN45" s="51"/>
      <c r="TJO45" s="51"/>
      <c r="TJP45" s="51"/>
      <c r="TJQ45" s="51"/>
      <c r="TJR45" s="51"/>
      <c r="TJS45" s="51"/>
      <c r="TJT45" s="51"/>
      <c r="TJU45" s="51"/>
      <c r="TJV45" s="51"/>
      <c r="TJW45" s="51"/>
      <c r="TJX45" s="51"/>
      <c r="TJY45" s="51"/>
      <c r="TJZ45" s="51"/>
      <c r="TKA45" s="51"/>
      <c r="TKB45" s="51"/>
      <c r="TKC45" s="51"/>
      <c r="TKD45" s="51"/>
      <c r="TKE45" s="51"/>
      <c r="TKF45" s="51"/>
      <c r="TKG45" s="51"/>
      <c r="TKH45" s="51"/>
      <c r="TKI45" s="51"/>
      <c r="TKJ45" s="51"/>
      <c r="TKK45" s="51"/>
      <c r="TKL45" s="51"/>
      <c r="TKM45" s="51"/>
      <c r="TKN45" s="51"/>
      <c r="TKO45" s="51"/>
      <c r="TKP45" s="51"/>
      <c r="TKQ45" s="51"/>
      <c r="TKR45" s="51"/>
      <c r="TKS45" s="51"/>
      <c r="TKT45" s="51"/>
      <c r="TKU45" s="51"/>
      <c r="TKV45" s="51"/>
      <c r="TKW45" s="51"/>
      <c r="TKX45" s="51"/>
      <c r="TKY45" s="51"/>
      <c r="TKZ45" s="51"/>
      <c r="TLA45" s="51"/>
      <c r="TLB45" s="51"/>
      <c r="TLC45" s="51"/>
      <c r="TLD45" s="51"/>
      <c r="TLE45" s="51"/>
      <c r="TLF45" s="51"/>
      <c r="TLG45" s="51"/>
      <c r="TLH45" s="51"/>
      <c r="TLI45" s="51"/>
      <c r="TLJ45" s="51"/>
      <c r="TLK45" s="51"/>
      <c r="TLL45" s="51"/>
      <c r="TLM45" s="51"/>
      <c r="TLN45" s="51"/>
      <c r="TLO45" s="51"/>
      <c r="TLP45" s="51"/>
      <c r="TLQ45" s="51"/>
      <c r="TLR45" s="51"/>
      <c r="TLS45" s="51"/>
      <c r="TLT45" s="51"/>
      <c r="TLU45" s="51"/>
      <c r="TLV45" s="51"/>
      <c r="TLW45" s="51"/>
      <c r="TLX45" s="51"/>
      <c r="TLY45" s="51"/>
      <c r="TLZ45" s="51"/>
      <c r="TMA45" s="51"/>
      <c r="TMB45" s="51"/>
      <c r="TMC45" s="51"/>
      <c r="TMD45" s="51"/>
      <c r="TME45" s="51"/>
      <c r="TMF45" s="51"/>
      <c r="TMG45" s="51"/>
      <c r="TMH45" s="51"/>
      <c r="TMI45" s="51"/>
      <c r="TMJ45" s="51"/>
      <c r="TMK45" s="51"/>
      <c r="TML45" s="51"/>
      <c r="TMM45" s="51"/>
      <c r="TMN45" s="51"/>
      <c r="TMO45" s="51"/>
      <c r="TMP45" s="51"/>
      <c r="TMQ45" s="51"/>
      <c r="TMR45" s="51"/>
      <c r="TMS45" s="51"/>
      <c r="TMT45" s="51"/>
      <c r="TMU45" s="51"/>
      <c r="TMV45" s="51"/>
      <c r="TMW45" s="51"/>
      <c r="TMX45" s="51"/>
      <c r="TMY45" s="51"/>
      <c r="TMZ45" s="51"/>
      <c r="TNA45" s="51"/>
      <c r="TNB45" s="51"/>
      <c r="TNC45" s="51"/>
      <c r="TND45" s="51"/>
      <c r="TNE45" s="51"/>
      <c r="TNF45" s="51"/>
      <c r="TNG45" s="51"/>
      <c r="TNH45" s="51"/>
      <c r="TNI45" s="51"/>
      <c r="TNJ45" s="51"/>
      <c r="TNK45" s="51"/>
      <c r="TNL45" s="51"/>
      <c r="TNM45" s="51"/>
      <c r="TNN45" s="51"/>
      <c r="TNO45" s="51"/>
      <c r="TNP45" s="51"/>
      <c r="TNQ45" s="51"/>
      <c r="TNR45" s="51"/>
      <c r="TNS45" s="51"/>
      <c r="TNT45" s="51"/>
      <c r="TNU45" s="51"/>
      <c r="TNV45" s="51"/>
      <c r="TNW45" s="51"/>
      <c r="TNX45" s="51"/>
      <c r="TNY45" s="51"/>
      <c r="TNZ45" s="51"/>
      <c r="TOA45" s="51"/>
      <c r="TOB45" s="51"/>
      <c r="TOC45" s="51"/>
      <c r="TOD45" s="51"/>
      <c r="TOE45" s="51"/>
      <c r="TOF45" s="51"/>
      <c r="TOG45" s="51"/>
      <c r="TOH45" s="51"/>
      <c r="TOI45" s="51"/>
      <c r="TOJ45" s="51"/>
      <c r="TOK45" s="51"/>
      <c r="TOL45" s="51"/>
      <c r="TOM45" s="51"/>
      <c r="TON45" s="51"/>
      <c r="TOO45" s="51"/>
      <c r="TOP45" s="51"/>
      <c r="TOQ45" s="51"/>
      <c r="TOR45" s="51"/>
      <c r="TOS45" s="51"/>
      <c r="TOT45" s="51"/>
      <c r="TOU45" s="51"/>
      <c r="TOV45" s="51"/>
      <c r="TOW45" s="51"/>
      <c r="TOX45" s="51"/>
      <c r="TOY45" s="51"/>
      <c r="TOZ45" s="51"/>
      <c r="TPA45" s="51"/>
      <c r="TPB45" s="51"/>
      <c r="TPC45" s="51"/>
      <c r="TPD45" s="51"/>
      <c r="TPE45" s="51"/>
      <c r="TPF45" s="51"/>
      <c r="TPG45" s="51"/>
      <c r="TPH45" s="51"/>
      <c r="TPI45" s="51"/>
      <c r="TPJ45" s="51"/>
      <c r="TPK45" s="51"/>
      <c r="TPL45" s="51"/>
      <c r="TPM45" s="51"/>
      <c r="TPN45" s="51"/>
      <c r="TPO45" s="51"/>
      <c r="TPP45" s="51"/>
      <c r="TPQ45" s="51"/>
      <c r="TPR45" s="51"/>
      <c r="TPS45" s="51"/>
      <c r="TPT45" s="51"/>
      <c r="TPU45" s="51"/>
      <c r="TPV45" s="51"/>
      <c r="TPW45" s="51"/>
      <c r="TPX45" s="51"/>
      <c r="TPY45" s="51"/>
      <c r="TPZ45" s="51"/>
      <c r="TQA45" s="51"/>
      <c r="TQB45" s="51"/>
      <c r="TQC45" s="51"/>
      <c r="TQD45" s="51"/>
      <c r="TQE45" s="51"/>
      <c r="TQF45" s="51"/>
      <c r="TQG45" s="51"/>
      <c r="TQH45" s="51"/>
      <c r="TQI45" s="51"/>
      <c r="TQJ45" s="51"/>
      <c r="TQK45" s="51"/>
      <c r="TQL45" s="51"/>
      <c r="TQM45" s="51"/>
      <c r="TQN45" s="51"/>
      <c r="TQO45" s="51"/>
      <c r="TQP45" s="51"/>
      <c r="TQQ45" s="51"/>
      <c r="TQR45" s="51"/>
      <c r="TQS45" s="51"/>
      <c r="TQT45" s="51"/>
      <c r="TQU45" s="51"/>
      <c r="TQV45" s="51"/>
      <c r="TQW45" s="51"/>
      <c r="TQX45" s="51"/>
      <c r="TQY45" s="51"/>
      <c r="TQZ45" s="51"/>
      <c r="TRA45" s="51"/>
      <c r="TRB45" s="51"/>
      <c r="TRC45" s="51"/>
      <c r="TRD45" s="51"/>
      <c r="TRE45" s="51"/>
      <c r="TRF45" s="51"/>
      <c r="TRG45" s="51"/>
      <c r="TRH45" s="51"/>
      <c r="TRI45" s="51"/>
      <c r="TRJ45" s="51"/>
      <c r="TRK45" s="51"/>
      <c r="TRL45" s="51"/>
      <c r="TRM45" s="51"/>
      <c r="TRN45" s="51"/>
      <c r="TRO45" s="51"/>
      <c r="TRP45" s="51"/>
      <c r="TRQ45" s="51"/>
      <c r="TRR45" s="51"/>
      <c r="TRS45" s="51"/>
      <c r="TRT45" s="51"/>
      <c r="TRU45" s="51"/>
      <c r="TRV45" s="51"/>
      <c r="TRW45" s="51"/>
      <c r="TRX45" s="51"/>
      <c r="TRY45" s="51"/>
      <c r="TRZ45" s="51"/>
      <c r="TSA45" s="51"/>
      <c r="TSB45" s="51"/>
      <c r="TSC45" s="51"/>
      <c r="TSD45" s="51"/>
      <c r="TSE45" s="51"/>
      <c r="TSF45" s="51"/>
      <c r="TSG45" s="51"/>
      <c r="TSH45" s="51"/>
      <c r="TSI45" s="51"/>
      <c r="TSJ45" s="51"/>
      <c r="TSK45" s="51"/>
      <c r="TSL45" s="51"/>
      <c r="TSM45" s="51"/>
      <c r="TSN45" s="51"/>
      <c r="TSO45" s="51"/>
      <c r="TSP45" s="51"/>
      <c r="TSQ45" s="51"/>
      <c r="TSR45" s="51"/>
      <c r="TSS45" s="51"/>
      <c r="TST45" s="51"/>
      <c r="TSU45" s="51"/>
      <c r="TSV45" s="51"/>
      <c r="TSW45" s="51"/>
      <c r="TSX45" s="51"/>
      <c r="TSY45" s="51"/>
      <c r="TSZ45" s="51"/>
      <c r="TTA45" s="51"/>
      <c r="TTB45" s="51"/>
      <c r="TTC45" s="51"/>
      <c r="TTD45" s="51"/>
      <c r="TTE45" s="51"/>
      <c r="TTF45" s="51"/>
      <c r="TTG45" s="51"/>
      <c r="TTH45" s="51"/>
      <c r="TTI45" s="51"/>
      <c r="TTJ45" s="51"/>
      <c r="TTK45" s="51"/>
      <c r="TTL45" s="51"/>
      <c r="TTM45" s="51"/>
      <c r="TTN45" s="51"/>
      <c r="TTO45" s="51"/>
      <c r="TTP45" s="51"/>
      <c r="TTQ45" s="51"/>
      <c r="TTR45" s="51"/>
      <c r="TTS45" s="51"/>
      <c r="TTT45" s="51"/>
      <c r="TTU45" s="51"/>
      <c r="TTV45" s="51"/>
      <c r="TTW45" s="51"/>
      <c r="TTX45" s="51"/>
      <c r="TTY45" s="51"/>
      <c r="TTZ45" s="51"/>
      <c r="TUA45" s="51"/>
      <c r="TUB45" s="51"/>
      <c r="TUC45" s="51"/>
      <c r="TUD45" s="51"/>
      <c r="TUE45" s="51"/>
      <c r="TUF45" s="51"/>
      <c r="TUG45" s="51"/>
      <c r="TUH45" s="51"/>
      <c r="TUI45" s="51"/>
      <c r="TUJ45" s="51"/>
      <c r="TUK45" s="51"/>
      <c r="TUL45" s="51"/>
      <c r="TUM45" s="51"/>
      <c r="TUN45" s="51"/>
      <c r="TUO45" s="51"/>
      <c r="TUP45" s="51"/>
      <c r="TUQ45" s="51"/>
      <c r="TUR45" s="51"/>
      <c r="TUS45" s="51"/>
      <c r="TUT45" s="51"/>
      <c r="TUU45" s="51"/>
      <c r="TUV45" s="51"/>
      <c r="TUW45" s="51"/>
      <c r="TUX45" s="51"/>
      <c r="TUY45" s="51"/>
      <c r="TUZ45" s="51"/>
      <c r="TVA45" s="51"/>
      <c r="TVB45" s="51"/>
      <c r="TVC45" s="51"/>
      <c r="TVD45" s="51"/>
      <c r="TVE45" s="51"/>
      <c r="TVF45" s="51"/>
      <c r="TVG45" s="51"/>
      <c r="TVH45" s="51"/>
      <c r="TVI45" s="51"/>
      <c r="TVJ45" s="51"/>
      <c r="TVK45" s="51"/>
      <c r="TVL45" s="51"/>
      <c r="TVM45" s="51"/>
      <c r="TVN45" s="51"/>
      <c r="TVO45" s="51"/>
      <c r="TVP45" s="51"/>
      <c r="TVQ45" s="51"/>
      <c r="TVR45" s="51"/>
      <c r="TVS45" s="51"/>
      <c r="TVT45" s="51"/>
      <c r="TVU45" s="51"/>
      <c r="TVV45" s="51"/>
      <c r="TVW45" s="51"/>
      <c r="TVX45" s="51"/>
      <c r="TVY45" s="51"/>
      <c r="TVZ45" s="51"/>
      <c r="TWA45" s="51"/>
      <c r="TWB45" s="51"/>
      <c r="TWC45" s="51"/>
      <c r="TWD45" s="51"/>
      <c r="TWE45" s="51"/>
      <c r="TWF45" s="51"/>
      <c r="TWG45" s="51"/>
      <c r="TWH45" s="51"/>
      <c r="TWI45" s="51"/>
      <c r="TWJ45" s="51"/>
      <c r="TWK45" s="51"/>
      <c r="TWL45" s="51"/>
      <c r="TWM45" s="51"/>
      <c r="TWN45" s="51"/>
      <c r="TWO45" s="51"/>
      <c r="TWP45" s="51"/>
      <c r="TWQ45" s="51"/>
      <c r="TWR45" s="51"/>
      <c r="TWS45" s="51"/>
      <c r="TWT45" s="51"/>
      <c r="TWU45" s="51"/>
      <c r="TWV45" s="51"/>
      <c r="TWW45" s="51"/>
      <c r="TWX45" s="51"/>
      <c r="TWY45" s="51"/>
      <c r="TWZ45" s="51"/>
      <c r="TXA45" s="51"/>
      <c r="TXB45" s="51"/>
      <c r="TXC45" s="51"/>
      <c r="TXD45" s="51"/>
      <c r="TXE45" s="51"/>
      <c r="TXF45" s="51"/>
      <c r="TXG45" s="51"/>
      <c r="TXH45" s="51"/>
      <c r="TXI45" s="51"/>
      <c r="TXJ45" s="51"/>
      <c r="TXK45" s="51"/>
      <c r="TXL45" s="51"/>
      <c r="TXM45" s="51"/>
      <c r="TXN45" s="51"/>
      <c r="TXO45" s="51"/>
      <c r="TXP45" s="51"/>
      <c r="TXQ45" s="51"/>
      <c r="TXR45" s="51"/>
      <c r="TXS45" s="51"/>
      <c r="TXT45" s="51"/>
      <c r="TXU45" s="51"/>
      <c r="TXV45" s="51"/>
      <c r="TXW45" s="51"/>
      <c r="TXX45" s="51"/>
      <c r="TXY45" s="51"/>
      <c r="TXZ45" s="51"/>
      <c r="TYA45" s="51"/>
      <c r="TYB45" s="51"/>
      <c r="TYC45" s="51"/>
      <c r="TYD45" s="51"/>
      <c r="TYE45" s="51"/>
      <c r="TYF45" s="51"/>
      <c r="TYG45" s="51"/>
      <c r="TYH45" s="51"/>
      <c r="TYI45" s="51"/>
      <c r="TYJ45" s="51"/>
      <c r="TYK45" s="51"/>
      <c r="TYL45" s="51"/>
      <c r="TYM45" s="51"/>
      <c r="TYN45" s="51"/>
      <c r="TYO45" s="51"/>
      <c r="TYP45" s="51"/>
      <c r="TYQ45" s="51"/>
      <c r="TYR45" s="51"/>
      <c r="TYS45" s="51"/>
      <c r="TYT45" s="51"/>
      <c r="TYU45" s="51"/>
      <c r="TYV45" s="51"/>
      <c r="TYW45" s="51"/>
      <c r="TYX45" s="51"/>
      <c r="TYY45" s="51"/>
      <c r="TYZ45" s="51"/>
      <c r="TZA45" s="51"/>
      <c r="TZB45" s="51"/>
      <c r="TZC45" s="51"/>
      <c r="TZD45" s="51"/>
      <c r="TZE45" s="51"/>
      <c r="TZF45" s="51"/>
      <c r="TZG45" s="51"/>
      <c r="TZH45" s="51"/>
      <c r="TZI45" s="51"/>
      <c r="TZJ45" s="51"/>
      <c r="TZK45" s="51"/>
      <c r="TZL45" s="51"/>
      <c r="TZM45" s="51"/>
      <c r="TZN45" s="51"/>
      <c r="TZO45" s="51"/>
      <c r="TZP45" s="51"/>
      <c r="TZQ45" s="51"/>
      <c r="TZR45" s="51"/>
      <c r="TZS45" s="51"/>
      <c r="TZT45" s="51"/>
      <c r="TZU45" s="51"/>
      <c r="TZV45" s="51"/>
      <c r="TZW45" s="51"/>
      <c r="TZX45" s="51"/>
      <c r="TZY45" s="51"/>
      <c r="TZZ45" s="51"/>
      <c r="UAA45" s="51"/>
      <c r="UAB45" s="51"/>
      <c r="UAC45" s="51"/>
      <c r="UAD45" s="51"/>
      <c r="UAE45" s="51"/>
      <c r="UAF45" s="51"/>
      <c r="UAG45" s="51"/>
      <c r="UAH45" s="51"/>
      <c r="UAI45" s="51"/>
      <c r="UAJ45" s="51"/>
      <c r="UAK45" s="51"/>
      <c r="UAL45" s="51"/>
      <c r="UAM45" s="51"/>
      <c r="UAN45" s="51"/>
      <c r="UAO45" s="51"/>
      <c r="UAP45" s="51"/>
      <c r="UAQ45" s="51"/>
      <c r="UAR45" s="51"/>
      <c r="UAS45" s="51"/>
      <c r="UAT45" s="51"/>
      <c r="UAU45" s="51"/>
      <c r="UAV45" s="51"/>
      <c r="UAW45" s="51"/>
      <c r="UAX45" s="51"/>
      <c r="UAY45" s="51"/>
      <c r="UAZ45" s="51"/>
      <c r="UBA45" s="51"/>
      <c r="UBB45" s="51"/>
      <c r="UBC45" s="51"/>
      <c r="UBD45" s="51"/>
      <c r="UBE45" s="51"/>
      <c r="UBF45" s="51"/>
      <c r="UBG45" s="51"/>
      <c r="UBH45" s="51"/>
      <c r="UBI45" s="51"/>
      <c r="UBJ45" s="51"/>
      <c r="UBK45" s="51"/>
      <c r="UBL45" s="51"/>
      <c r="UBM45" s="51"/>
      <c r="UBN45" s="51"/>
      <c r="UBO45" s="51"/>
      <c r="UBP45" s="51"/>
      <c r="UBQ45" s="51"/>
      <c r="UBR45" s="51"/>
      <c r="UBS45" s="51"/>
      <c r="UBT45" s="51"/>
      <c r="UBU45" s="51"/>
      <c r="UBV45" s="51"/>
      <c r="UBW45" s="51"/>
      <c r="UBX45" s="51"/>
      <c r="UBY45" s="51"/>
      <c r="UBZ45" s="51"/>
      <c r="UCA45" s="51"/>
      <c r="UCB45" s="51"/>
      <c r="UCC45" s="51"/>
      <c r="UCD45" s="51"/>
      <c r="UCE45" s="51"/>
      <c r="UCF45" s="51"/>
      <c r="UCG45" s="51"/>
      <c r="UCH45" s="51"/>
      <c r="UCI45" s="51"/>
      <c r="UCJ45" s="51"/>
      <c r="UCK45" s="51"/>
      <c r="UCL45" s="51"/>
      <c r="UCM45" s="51"/>
      <c r="UCN45" s="51"/>
      <c r="UCO45" s="51"/>
      <c r="UCP45" s="51"/>
      <c r="UCQ45" s="51"/>
      <c r="UCR45" s="51"/>
      <c r="UCS45" s="51"/>
      <c r="UCT45" s="51"/>
      <c r="UCU45" s="51"/>
      <c r="UCV45" s="51"/>
      <c r="UCW45" s="51"/>
      <c r="UCX45" s="51"/>
      <c r="UCY45" s="51"/>
      <c r="UCZ45" s="51"/>
      <c r="UDA45" s="51"/>
      <c r="UDB45" s="51"/>
      <c r="UDC45" s="51"/>
      <c r="UDD45" s="51"/>
      <c r="UDE45" s="51"/>
      <c r="UDF45" s="51"/>
      <c r="UDG45" s="51"/>
      <c r="UDH45" s="51"/>
      <c r="UDI45" s="51"/>
      <c r="UDJ45" s="51"/>
      <c r="UDK45" s="51"/>
      <c r="UDL45" s="51"/>
      <c r="UDM45" s="51"/>
      <c r="UDN45" s="51"/>
      <c r="UDO45" s="51"/>
      <c r="UDP45" s="51"/>
      <c r="UDQ45" s="51"/>
      <c r="UDR45" s="51"/>
      <c r="UDS45" s="51"/>
      <c r="UDT45" s="51"/>
      <c r="UDU45" s="51"/>
      <c r="UDV45" s="51"/>
      <c r="UDW45" s="51"/>
      <c r="UDX45" s="51"/>
      <c r="UDY45" s="51"/>
      <c r="UDZ45" s="51"/>
      <c r="UEA45" s="51"/>
      <c r="UEB45" s="51"/>
      <c r="UEC45" s="51"/>
      <c r="UED45" s="51"/>
      <c r="UEE45" s="51"/>
      <c r="UEF45" s="51"/>
      <c r="UEG45" s="51"/>
      <c r="UEH45" s="51"/>
      <c r="UEI45" s="51"/>
      <c r="UEJ45" s="51"/>
      <c r="UEK45" s="51"/>
      <c r="UEL45" s="51"/>
      <c r="UEM45" s="51"/>
      <c r="UEN45" s="51"/>
      <c r="UEO45" s="51"/>
      <c r="UEP45" s="51"/>
      <c r="UEQ45" s="51"/>
      <c r="UER45" s="51"/>
      <c r="UES45" s="51"/>
      <c r="UET45" s="51"/>
      <c r="UEU45" s="51"/>
      <c r="UEV45" s="51"/>
      <c r="UEW45" s="51"/>
      <c r="UEX45" s="51"/>
      <c r="UEY45" s="51"/>
      <c r="UEZ45" s="51"/>
      <c r="UFA45" s="51"/>
      <c r="UFB45" s="51"/>
      <c r="UFC45" s="51"/>
      <c r="UFD45" s="51"/>
      <c r="UFE45" s="51"/>
      <c r="UFF45" s="51"/>
      <c r="UFG45" s="51"/>
      <c r="UFH45" s="51"/>
      <c r="UFI45" s="51"/>
      <c r="UFJ45" s="51"/>
      <c r="UFK45" s="51"/>
      <c r="UFL45" s="51"/>
      <c r="UFM45" s="51"/>
      <c r="UFN45" s="51"/>
      <c r="UFO45" s="51"/>
      <c r="UFP45" s="51"/>
      <c r="UFQ45" s="51"/>
      <c r="UFR45" s="51"/>
      <c r="UFS45" s="51"/>
      <c r="UFT45" s="51"/>
      <c r="UFU45" s="51"/>
      <c r="UFV45" s="51"/>
      <c r="UFW45" s="51"/>
      <c r="UFX45" s="51"/>
      <c r="UFY45" s="51"/>
      <c r="UFZ45" s="51"/>
      <c r="UGA45" s="51"/>
      <c r="UGB45" s="51"/>
      <c r="UGC45" s="51"/>
      <c r="UGD45" s="51"/>
      <c r="UGE45" s="51"/>
      <c r="UGF45" s="51"/>
      <c r="UGG45" s="51"/>
      <c r="UGH45" s="51"/>
      <c r="UGI45" s="51"/>
      <c r="UGJ45" s="51"/>
      <c r="UGK45" s="51"/>
      <c r="UGL45" s="51"/>
      <c r="UGM45" s="51"/>
      <c r="UGN45" s="51"/>
      <c r="UGO45" s="51"/>
      <c r="UGP45" s="51"/>
      <c r="UGQ45" s="51"/>
      <c r="UGR45" s="51"/>
      <c r="UGS45" s="51"/>
      <c r="UGT45" s="51"/>
      <c r="UGU45" s="51"/>
      <c r="UGV45" s="51"/>
      <c r="UGW45" s="51"/>
      <c r="UGX45" s="51"/>
      <c r="UGY45" s="51"/>
      <c r="UGZ45" s="51"/>
      <c r="UHA45" s="51"/>
      <c r="UHB45" s="51"/>
      <c r="UHC45" s="51"/>
      <c r="UHD45" s="51"/>
      <c r="UHE45" s="51"/>
      <c r="UHF45" s="51"/>
      <c r="UHG45" s="51"/>
      <c r="UHH45" s="51"/>
      <c r="UHI45" s="51"/>
      <c r="UHJ45" s="51"/>
      <c r="UHK45" s="51"/>
      <c r="UHL45" s="51"/>
      <c r="UHM45" s="51"/>
      <c r="UHN45" s="51"/>
      <c r="UHO45" s="51"/>
      <c r="UHP45" s="51"/>
      <c r="UHQ45" s="51"/>
      <c r="UHR45" s="51"/>
      <c r="UHS45" s="51"/>
      <c r="UHT45" s="51"/>
      <c r="UHU45" s="51"/>
      <c r="UHV45" s="51"/>
      <c r="UHW45" s="51"/>
      <c r="UHX45" s="51"/>
      <c r="UHY45" s="51"/>
      <c r="UHZ45" s="51"/>
      <c r="UIA45" s="51"/>
      <c r="UIB45" s="51"/>
      <c r="UIC45" s="51"/>
      <c r="UID45" s="51"/>
      <c r="UIE45" s="51"/>
      <c r="UIF45" s="51"/>
      <c r="UIG45" s="51"/>
      <c r="UIH45" s="51"/>
      <c r="UII45" s="51"/>
      <c r="UIJ45" s="51"/>
      <c r="UIK45" s="51"/>
      <c r="UIL45" s="51"/>
      <c r="UIM45" s="51"/>
      <c r="UIN45" s="51"/>
      <c r="UIO45" s="51"/>
      <c r="UIP45" s="51"/>
      <c r="UIQ45" s="51"/>
      <c r="UIR45" s="51"/>
      <c r="UIS45" s="51"/>
      <c r="UIT45" s="51"/>
      <c r="UIU45" s="51"/>
      <c r="UIV45" s="51"/>
      <c r="UIW45" s="51"/>
      <c r="UIX45" s="51"/>
      <c r="UIY45" s="51"/>
      <c r="UIZ45" s="51"/>
      <c r="UJA45" s="51"/>
      <c r="UJB45" s="51"/>
      <c r="UJC45" s="51"/>
      <c r="UJD45" s="51"/>
      <c r="UJE45" s="51"/>
      <c r="UJF45" s="51"/>
      <c r="UJG45" s="51"/>
      <c r="UJH45" s="51"/>
      <c r="UJI45" s="51"/>
      <c r="UJJ45" s="51"/>
      <c r="UJK45" s="51"/>
      <c r="UJL45" s="51"/>
      <c r="UJM45" s="51"/>
      <c r="UJN45" s="51"/>
      <c r="UJO45" s="51"/>
      <c r="UJP45" s="51"/>
      <c r="UJQ45" s="51"/>
      <c r="UJR45" s="51"/>
      <c r="UJS45" s="51"/>
      <c r="UJT45" s="51"/>
      <c r="UJU45" s="51"/>
      <c r="UJV45" s="51"/>
      <c r="UJW45" s="51"/>
      <c r="UJX45" s="51"/>
      <c r="UJY45" s="51"/>
      <c r="UJZ45" s="51"/>
      <c r="UKA45" s="51"/>
      <c r="UKB45" s="51"/>
      <c r="UKC45" s="51"/>
      <c r="UKD45" s="51"/>
      <c r="UKE45" s="51"/>
      <c r="UKF45" s="51"/>
      <c r="UKG45" s="51"/>
      <c r="UKH45" s="51"/>
      <c r="UKI45" s="51"/>
      <c r="UKJ45" s="51"/>
      <c r="UKK45" s="51"/>
      <c r="UKL45" s="51"/>
      <c r="UKM45" s="51"/>
      <c r="UKN45" s="51"/>
      <c r="UKO45" s="51"/>
      <c r="UKP45" s="51"/>
      <c r="UKQ45" s="51"/>
      <c r="UKR45" s="51"/>
      <c r="UKS45" s="51"/>
      <c r="UKT45" s="51"/>
      <c r="UKU45" s="51"/>
      <c r="UKV45" s="51"/>
      <c r="UKW45" s="51"/>
      <c r="UKX45" s="51"/>
      <c r="UKY45" s="51"/>
      <c r="UKZ45" s="51"/>
      <c r="ULA45" s="51"/>
      <c r="ULB45" s="51"/>
      <c r="ULC45" s="51"/>
      <c r="ULD45" s="51"/>
      <c r="ULE45" s="51"/>
      <c r="ULF45" s="51"/>
      <c r="ULG45" s="51"/>
      <c r="ULH45" s="51"/>
      <c r="ULI45" s="51"/>
      <c r="ULJ45" s="51"/>
      <c r="ULK45" s="51"/>
      <c r="ULL45" s="51"/>
      <c r="ULM45" s="51"/>
      <c r="ULN45" s="51"/>
      <c r="ULO45" s="51"/>
      <c r="ULP45" s="51"/>
      <c r="ULQ45" s="51"/>
      <c r="ULR45" s="51"/>
      <c r="ULS45" s="51"/>
      <c r="ULT45" s="51"/>
      <c r="ULU45" s="51"/>
      <c r="ULV45" s="51"/>
      <c r="ULW45" s="51"/>
      <c r="ULX45" s="51"/>
      <c r="ULY45" s="51"/>
      <c r="ULZ45" s="51"/>
      <c r="UMA45" s="51"/>
      <c r="UMB45" s="51"/>
      <c r="UMC45" s="51"/>
      <c r="UMD45" s="51"/>
      <c r="UME45" s="51"/>
      <c r="UMF45" s="51"/>
      <c r="UMG45" s="51"/>
      <c r="UMH45" s="51"/>
      <c r="UMI45" s="51"/>
      <c r="UMJ45" s="51"/>
      <c r="UMK45" s="51"/>
      <c r="UML45" s="51"/>
      <c r="UMM45" s="51"/>
      <c r="UMN45" s="51"/>
      <c r="UMO45" s="51"/>
      <c r="UMP45" s="51"/>
      <c r="UMQ45" s="51"/>
      <c r="UMR45" s="51"/>
      <c r="UMS45" s="51"/>
      <c r="UMT45" s="51"/>
      <c r="UMU45" s="51"/>
      <c r="UMV45" s="51"/>
      <c r="UMW45" s="51"/>
      <c r="UMX45" s="51"/>
      <c r="UMY45" s="51"/>
      <c r="UMZ45" s="51"/>
      <c r="UNA45" s="51"/>
      <c r="UNB45" s="51"/>
      <c r="UNC45" s="51"/>
      <c r="UND45" s="51"/>
      <c r="UNE45" s="51"/>
      <c r="UNF45" s="51"/>
      <c r="UNG45" s="51"/>
      <c r="UNH45" s="51"/>
      <c r="UNI45" s="51"/>
      <c r="UNJ45" s="51"/>
      <c r="UNK45" s="51"/>
      <c r="UNL45" s="51"/>
      <c r="UNM45" s="51"/>
      <c r="UNN45" s="51"/>
      <c r="UNO45" s="51"/>
      <c r="UNP45" s="51"/>
      <c r="UNQ45" s="51"/>
      <c r="UNR45" s="51"/>
      <c r="UNS45" s="51"/>
      <c r="UNT45" s="51"/>
      <c r="UNU45" s="51"/>
      <c r="UNV45" s="51"/>
      <c r="UNW45" s="51"/>
      <c r="UNX45" s="51"/>
      <c r="UNY45" s="51"/>
      <c r="UNZ45" s="51"/>
      <c r="UOA45" s="51"/>
      <c r="UOB45" s="51"/>
      <c r="UOC45" s="51"/>
      <c r="UOD45" s="51"/>
      <c r="UOE45" s="51"/>
      <c r="UOF45" s="51"/>
      <c r="UOG45" s="51"/>
      <c r="UOH45" s="51"/>
      <c r="UOI45" s="51"/>
      <c r="UOJ45" s="51"/>
      <c r="UOK45" s="51"/>
      <c r="UOL45" s="51"/>
      <c r="UOM45" s="51"/>
      <c r="UON45" s="51"/>
      <c r="UOO45" s="51"/>
      <c r="UOP45" s="51"/>
      <c r="UOQ45" s="51"/>
      <c r="UOR45" s="51"/>
      <c r="UOS45" s="51"/>
      <c r="UOT45" s="51"/>
      <c r="UOU45" s="51"/>
      <c r="UOV45" s="51"/>
      <c r="UOW45" s="51"/>
      <c r="UOX45" s="51"/>
      <c r="UOY45" s="51"/>
      <c r="UOZ45" s="51"/>
      <c r="UPA45" s="51"/>
      <c r="UPB45" s="51"/>
      <c r="UPC45" s="51"/>
      <c r="UPD45" s="51"/>
      <c r="UPE45" s="51"/>
      <c r="UPF45" s="51"/>
      <c r="UPG45" s="51"/>
      <c r="UPH45" s="51"/>
      <c r="UPI45" s="51"/>
      <c r="UPJ45" s="51"/>
      <c r="UPK45" s="51"/>
      <c r="UPL45" s="51"/>
      <c r="UPM45" s="51"/>
      <c r="UPN45" s="51"/>
      <c r="UPO45" s="51"/>
      <c r="UPP45" s="51"/>
      <c r="UPQ45" s="51"/>
      <c r="UPR45" s="51"/>
      <c r="UPS45" s="51"/>
      <c r="UPT45" s="51"/>
      <c r="UPU45" s="51"/>
      <c r="UPV45" s="51"/>
      <c r="UPW45" s="51"/>
      <c r="UPX45" s="51"/>
      <c r="UPY45" s="51"/>
      <c r="UPZ45" s="51"/>
      <c r="UQA45" s="51"/>
      <c r="UQB45" s="51"/>
      <c r="UQC45" s="51"/>
      <c r="UQD45" s="51"/>
      <c r="UQE45" s="51"/>
      <c r="UQF45" s="51"/>
      <c r="UQG45" s="51"/>
      <c r="UQH45" s="51"/>
      <c r="UQI45" s="51"/>
      <c r="UQJ45" s="51"/>
      <c r="UQK45" s="51"/>
      <c r="UQL45" s="51"/>
      <c r="UQM45" s="51"/>
      <c r="UQN45" s="51"/>
      <c r="UQO45" s="51"/>
      <c r="UQP45" s="51"/>
      <c r="UQQ45" s="51"/>
      <c r="UQR45" s="51"/>
      <c r="UQS45" s="51"/>
      <c r="UQT45" s="51"/>
      <c r="UQU45" s="51"/>
      <c r="UQV45" s="51"/>
      <c r="UQW45" s="51"/>
      <c r="UQX45" s="51"/>
      <c r="UQY45" s="51"/>
      <c r="UQZ45" s="51"/>
      <c r="URA45" s="51"/>
      <c r="URB45" s="51"/>
      <c r="URC45" s="51"/>
      <c r="URD45" s="51"/>
      <c r="URE45" s="51"/>
      <c r="URF45" s="51"/>
      <c r="URG45" s="51"/>
      <c r="URH45" s="51"/>
      <c r="URI45" s="51"/>
      <c r="URJ45" s="51"/>
      <c r="URK45" s="51"/>
      <c r="URL45" s="51"/>
      <c r="URM45" s="51"/>
      <c r="URN45" s="51"/>
      <c r="URO45" s="51"/>
      <c r="URP45" s="51"/>
      <c r="URQ45" s="51"/>
      <c r="URR45" s="51"/>
      <c r="URS45" s="51"/>
      <c r="URT45" s="51"/>
      <c r="URU45" s="51"/>
      <c r="URV45" s="51"/>
      <c r="URW45" s="51"/>
      <c r="URX45" s="51"/>
      <c r="URY45" s="51"/>
      <c r="URZ45" s="51"/>
      <c r="USA45" s="51"/>
      <c r="USB45" s="51"/>
      <c r="USC45" s="51"/>
      <c r="USD45" s="51"/>
      <c r="USE45" s="51"/>
      <c r="USF45" s="51"/>
      <c r="USG45" s="51"/>
      <c r="USH45" s="51"/>
      <c r="USI45" s="51"/>
      <c r="USJ45" s="51"/>
      <c r="USK45" s="51"/>
      <c r="USL45" s="51"/>
      <c r="USM45" s="51"/>
      <c r="USN45" s="51"/>
      <c r="USO45" s="51"/>
      <c r="USP45" s="51"/>
      <c r="USQ45" s="51"/>
      <c r="USR45" s="51"/>
      <c r="USS45" s="51"/>
      <c r="UST45" s="51"/>
      <c r="USU45" s="51"/>
      <c r="USV45" s="51"/>
      <c r="USW45" s="51"/>
      <c r="USX45" s="51"/>
      <c r="USY45" s="51"/>
      <c r="USZ45" s="51"/>
      <c r="UTA45" s="51"/>
      <c r="UTB45" s="51"/>
      <c r="UTC45" s="51"/>
      <c r="UTD45" s="51"/>
      <c r="UTE45" s="51"/>
      <c r="UTF45" s="51"/>
      <c r="UTG45" s="51"/>
      <c r="UTH45" s="51"/>
      <c r="UTI45" s="51"/>
      <c r="UTJ45" s="51"/>
      <c r="UTK45" s="51"/>
      <c r="UTL45" s="51"/>
      <c r="UTM45" s="51"/>
      <c r="UTN45" s="51"/>
      <c r="UTO45" s="51"/>
      <c r="UTP45" s="51"/>
      <c r="UTQ45" s="51"/>
      <c r="UTR45" s="51"/>
      <c r="UTS45" s="51"/>
      <c r="UTT45" s="51"/>
      <c r="UTU45" s="51"/>
      <c r="UTV45" s="51"/>
      <c r="UTW45" s="51"/>
      <c r="UTX45" s="51"/>
      <c r="UTY45" s="51"/>
      <c r="UTZ45" s="51"/>
      <c r="UUA45" s="51"/>
      <c r="UUB45" s="51"/>
      <c r="UUC45" s="51"/>
      <c r="UUD45" s="51"/>
      <c r="UUE45" s="51"/>
      <c r="UUF45" s="51"/>
      <c r="UUG45" s="51"/>
      <c r="UUH45" s="51"/>
      <c r="UUI45" s="51"/>
      <c r="UUJ45" s="51"/>
      <c r="UUK45" s="51"/>
      <c r="UUL45" s="51"/>
      <c r="UUM45" s="51"/>
      <c r="UUN45" s="51"/>
      <c r="UUO45" s="51"/>
      <c r="UUP45" s="51"/>
      <c r="UUQ45" s="51"/>
      <c r="UUR45" s="51"/>
      <c r="UUS45" s="51"/>
      <c r="UUT45" s="51"/>
      <c r="UUU45" s="51"/>
      <c r="UUV45" s="51"/>
      <c r="UUW45" s="51"/>
      <c r="UUX45" s="51"/>
      <c r="UUY45" s="51"/>
      <c r="UUZ45" s="51"/>
      <c r="UVA45" s="51"/>
      <c r="UVB45" s="51"/>
      <c r="UVC45" s="51"/>
      <c r="UVD45" s="51"/>
      <c r="UVE45" s="51"/>
      <c r="UVF45" s="51"/>
      <c r="UVG45" s="51"/>
      <c r="UVH45" s="51"/>
      <c r="UVI45" s="51"/>
      <c r="UVJ45" s="51"/>
      <c r="UVK45" s="51"/>
      <c r="UVL45" s="51"/>
      <c r="UVM45" s="51"/>
      <c r="UVN45" s="51"/>
      <c r="UVO45" s="51"/>
      <c r="UVP45" s="51"/>
      <c r="UVQ45" s="51"/>
      <c r="UVR45" s="51"/>
      <c r="UVS45" s="51"/>
      <c r="UVT45" s="51"/>
      <c r="UVU45" s="51"/>
      <c r="UVV45" s="51"/>
      <c r="UVW45" s="51"/>
      <c r="UVX45" s="51"/>
      <c r="UVY45" s="51"/>
      <c r="UVZ45" s="51"/>
      <c r="UWA45" s="51"/>
      <c r="UWB45" s="51"/>
      <c r="UWC45" s="51"/>
      <c r="UWD45" s="51"/>
      <c r="UWE45" s="51"/>
      <c r="UWF45" s="51"/>
      <c r="UWG45" s="51"/>
      <c r="UWH45" s="51"/>
      <c r="UWI45" s="51"/>
      <c r="UWJ45" s="51"/>
      <c r="UWK45" s="51"/>
      <c r="UWL45" s="51"/>
      <c r="UWM45" s="51"/>
      <c r="UWN45" s="51"/>
      <c r="UWO45" s="51"/>
      <c r="UWP45" s="51"/>
      <c r="UWQ45" s="51"/>
      <c r="UWR45" s="51"/>
      <c r="UWS45" s="51"/>
      <c r="UWT45" s="51"/>
      <c r="UWU45" s="51"/>
      <c r="UWV45" s="51"/>
      <c r="UWW45" s="51"/>
      <c r="UWX45" s="51"/>
      <c r="UWY45" s="51"/>
      <c r="UWZ45" s="51"/>
      <c r="UXA45" s="51"/>
      <c r="UXB45" s="51"/>
      <c r="UXC45" s="51"/>
      <c r="UXD45" s="51"/>
      <c r="UXE45" s="51"/>
      <c r="UXF45" s="51"/>
      <c r="UXG45" s="51"/>
      <c r="UXH45" s="51"/>
      <c r="UXI45" s="51"/>
      <c r="UXJ45" s="51"/>
      <c r="UXK45" s="51"/>
      <c r="UXL45" s="51"/>
      <c r="UXM45" s="51"/>
      <c r="UXN45" s="51"/>
      <c r="UXO45" s="51"/>
      <c r="UXP45" s="51"/>
      <c r="UXQ45" s="51"/>
      <c r="UXR45" s="51"/>
      <c r="UXS45" s="51"/>
      <c r="UXT45" s="51"/>
      <c r="UXU45" s="51"/>
      <c r="UXV45" s="51"/>
      <c r="UXW45" s="51"/>
      <c r="UXX45" s="51"/>
      <c r="UXY45" s="51"/>
      <c r="UXZ45" s="51"/>
      <c r="UYA45" s="51"/>
      <c r="UYB45" s="51"/>
      <c r="UYC45" s="51"/>
      <c r="UYD45" s="51"/>
      <c r="UYE45" s="51"/>
      <c r="UYF45" s="51"/>
      <c r="UYG45" s="51"/>
      <c r="UYH45" s="51"/>
      <c r="UYI45" s="51"/>
      <c r="UYJ45" s="51"/>
      <c r="UYK45" s="51"/>
      <c r="UYL45" s="51"/>
      <c r="UYM45" s="51"/>
      <c r="UYN45" s="51"/>
      <c r="UYO45" s="51"/>
      <c r="UYP45" s="51"/>
      <c r="UYQ45" s="51"/>
      <c r="UYR45" s="51"/>
      <c r="UYS45" s="51"/>
      <c r="UYT45" s="51"/>
      <c r="UYU45" s="51"/>
      <c r="UYV45" s="51"/>
      <c r="UYW45" s="51"/>
      <c r="UYX45" s="51"/>
      <c r="UYY45" s="51"/>
      <c r="UYZ45" s="51"/>
      <c r="UZA45" s="51"/>
      <c r="UZB45" s="51"/>
      <c r="UZC45" s="51"/>
      <c r="UZD45" s="51"/>
      <c r="UZE45" s="51"/>
      <c r="UZF45" s="51"/>
      <c r="UZG45" s="51"/>
      <c r="UZH45" s="51"/>
      <c r="UZI45" s="51"/>
      <c r="UZJ45" s="51"/>
      <c r="UZK45" s="51"/>
      <c r="UZL45" s="51"/>
      <c r="UZM45" s="51"/>
      <c r="UZN45" s="51"/>
      <c r="UZO45" s="51"/>
      <c r="UZP45" s="51"/>
      <c r="UZQ45" s="51"/>
      <c r="UZR45" s="51"/>
      <c r="UZS45" s="51"/>
      <c r="UZT45" s="51"/>
      <c r="UZU45" s="51"/>
      <c r="UZV45" s="51"/>
      <c r="UZW45" s="51"/>
      <c r="UZX45" s="51"/>
      <c r="UZY45" s="51"/>
      <c r="UZZ45" s="51"/>
      <c r="VAA45" s="51"/>
      <c r="VAB45" s="51"/>
      <c r="VAC45" s="51"/>
      <c r="VAD45" s="51"/>
      <c r="VAE45" s="51"/>
      <c r="VAF45" s="51"/>
      <c r="VAG45" s="51"/>
      <c r="VAH45" s="51"/>
      <c r="VAI45" s="51"/>
      <c r="VAJ45" s="51"/>
      <c r="VAK45" s="51"/>
      <c r="VAL45" s="51"/>
      <c r="VAM45" s="51"/>
      <c r="VAN45" s="51"/>
      <c r="VAO45" s="51"/>
      <c r="VAP45" s="51"/>
      <c r="VAQ45" s="51"/>
      <c r="VAR45" s="51"/>
      <c r="VAS45" s="51"/>
      <c r="VAT45" s="51"/>
      <c r="VAU45" s="51"/>
      <c r="VAV45" s="51"/>
      <c r="VAW45" s="51"/>
      <c r="VAX45" s="51"/>
      <c r="VAY45" s="51"/>
      <c r="VAZ45" s="51"/>
      <c r="VBA45" s="51"/>
      <c r="VBB45" s="51"/>
      <c r="VBC45" s="51"/>
      <c r="VBD45" s="51"/>
      <c r="VBE45" s="51"/>
      <c r="VBF45" s="51"/>
      <c r="VBG45" s="51"/>
      <c r="VBH45" s="51"/>
      <c r="VBI45" s="51"/>
      <c r="VBJ45" s="51"/>
      <c r="VBK45" s="51"/>
      <c r="VBL45" s="51"/>
      <c r="VBM45" s="51"/>
      <c r="VBN45" s="51"/>
      <c r="VBO45" s="51"/>
      <c r="VBP45" s="51"/>
      <c r="VBQ45" s="51"/>
      <c r="VBR45" s="51"/>
      <c r="VBS45" s="51"/>
      <c r="VBT45" s="51"/>
      <c r="VBU45" s="51"/>
      <c r="VBV45" s="51"/>
      <c r="VBW45" s="51"/>
      <c r="VBX45" s="51"/>
      <c r="VBY45" s="51"/>
      <c r="VBZ45" s="51"/>
      <c r="VCA45" s="51"/>
      <c r="VCB45" s="51"/>
      <c r="VCC45" s="51"/>
      <c r="VCD45" s="51"/>
      <c r="VCE45" s="51"/>
      <c r="VCF45" s="51"/>
      <c r="VCG45" s="51"/>
      <c r="VCH45" s="51"/>
      <c r="VCI45" s="51"/>
      <c r="VCJ45" s="51"/>
      <c r="VCK45" s="51"/>
      <c r="VCL45" s="51"/>
      <c r="VCM45" s="51"/>
      <c r="VCN45" s="51"/>
      <c r="VCO45" s="51"/>
      <c r="VCP45" s="51"/>
      <c r="VCQ45" s="51"/>
      <c r="VCR45" s="51"/>
      <c r="VCS45" s="51"/>
      <c r="VCT45" s="51"/>
      <c r="VCU45" s="51"/>
      <c r="VCV45" s="51"/>
      <c r="VCW45" s="51"/>
      <c r="VCX45" s="51"/>
      <c r="VCY45" s="51"/>
      <c r="VCZ45" s="51"/>
      <c r="VDA45" s="51"/>
      <c r="VDB45" s="51"/>
      <c r="VDC45" s="51"/>
      <c r="VDD45" s="51"/>
      <c r="VDE45" s="51"/>
      <c r="VDF45" s="51"/>
      <c r="VDG45" s="51"/>
      <c r="VDH45" s="51"/>
      <c r="VDI45" s="51"/>
      <c r="VDJ45" s="51"/>
      <c r="VDK45" s="51"/>
      <c r="VDL45" s="51"/>
      <c r="VDM45" s="51"/>
      <c r="VDN45" s="51"/>
      <c r="VDO45" s="51"/>
      <c r="VDP45" s="51"/>
      <c r="VDQ45" s="51"/>
      <c r="VDR45" s="51"/>
      <c r="VDS45" s="51"/>
      <c r="VDT45" s="51"/>
      <c r="VDU45" s="51"/>
      <c r="VDV45" s="51"/>
      <c r="VDW45" s="51"/>
      <c r="VDX45" s="51"/>
      <c r="VDY45" s="51"/>
      <c r="VDZ45" s="51"/>
      <c r="VEA45" s="51"/>
      <c r="VEB45" s="51"/>
      <c r="VEC45" s="51"/>
      <c r="VED45" s="51"/>
      <c r="VEE45" s="51"/>
      <c r="VEF45" s="51"/>
      <c r="VEG45" s="51"/>
      <c r="VEH45" s="51"/>
      <c r="VEI45" s="51"/>
      <c r="VEJ45" s="51"/>
      <c r="VEK45" s="51"/>
      <c r="VEL45" s="51"/>
      <c r="VEM45" s="51"/>
      <c r="VEN45" s="51"/>
      <c r="VEO45" s="51"/>
      <c r="VEP45" s="51"/>
      <c r="VEQ45" s="51"/>
      <c r="VER45" s="51"/>
      <c r="VES45" s="51"/>
      <c r="VET45" s="51"/>
      <c r="VEU45" s="51"/>
      <c r="VEV45" s="51"/>
      <c r="VEW45" s="51"/>
      <c r="VEX45" s="51"/>
      <c r="VEY45" s="51"/>
      <c r="VEZ45" s="51"/>
      <c r="VFA45" s="51"/>
      <c r="VFB45" s="51"/>
      <c r="VFC45" s="51"/>
      <c r="VFD45" s="51"/>
      <c r="VFE45" s="51"/>
      <c r="VFF45" s="51"/>
      <c r="VFG45" s="51"/>
      <c r="VFH45" s="51"/>
      <c r="VFI45" s="51"/>
      <c r="VFJ45" s="51"/>
      <c r="VFK45" s="51"/>
      <c r="VFL45" s="51"/>
      <c r="VFM45" s="51"/>
      <c r="VFN45" s="51"/>
      <c r="VFO45" s="51"/>
      <c r="VFP45" s="51"/>
      <c r="VFQ45" s="51"/>
      <c r="VFR45" s="51"/>
      <c r="VFS45" s="51"/>
      <c r="VFT45" s="51"/>
      <c r="VFU45" s="51"/>
      <c r="VFV45" s="51"/>
      <c r="VFW45" s="51"/>
      <c r="VFX45" s="51"/>
      <c r="VFY45" s="51"/>
      <c r="VFZ45" s="51"/>
      <c r="VGA45" s="51"/>
      <c r="VGB45" s="51"/>
      <c r="VGC45" s="51"/>
      <c r="VGD45" s="51"/>
      <c r="VGE45" s="51"/>
      <c r="VGF45" s="51"/>
      <c r="VGG45" s="51"/>
      <c r="VGH45" s="51"/>
      <c r="VGI45" s="51"/>
      <c r="VGJ45" s="51"/>
      <c r="VGK45" s="51"/>
      <c r="VGL45" s="51"/>
      <c r="VGM45" s="51"/>
      <c r="VGN45" s="51"/>
      <c r="VGO45" s="51"/>
      <c r="VGP45" s="51"/>
      <c r="VGQ45" s="51"/>
      <c r="VGR45" s="51"/>
      <c r="VGS45" s="51"/>
      <c r="VGT45" s="51"/>
      <c r="VGU45" s="51"/>
      <c r="VGV45" s="51"/>
      <c r="VGW45" s="51"/>
      <c r="VGX45" s="51"/>
      <c r="VGY45" s="51"/>
      <c r="VGZ45" s="51"/>
      <c r="VHA45" s="51"/>
      <c r="VHB45" s="51"/>
      <c r="VHC45" s="51"/>
      <c r="VHD45" s="51"/>
      <c r="VHE45" s="51"/>
      <c r="VHF45" s="51"/>
      <c r="VHG45" s="51"/>
      <c r="VHH45" s="51"/>
      <c r="VHI45" s="51"/>
      <c r="VHJ45" s="51"/>
      <c r="VHK45" s="51"/>
      <c r="VHL45" s="51"/>
      <c r="VHM45" s="51"/>
      <c r="VHN45" s="51"/>
      <c r="VHO45" s="51"/>
      <c r="VHP45" s="51"/>
      <c r="VHQ45" s="51"/>
      <c r="VHR45" s="51"/>
      <c r="VHS45" s="51"/>
      <c r="VHT45" s="51"/>
      <c r="VHU45" s="51"/>
      <c r="VHV45" s="51"/>
      <c r="VHW45" s="51"/>
      <c r="VHX45" s="51"/>
      <c r="VHY45" s="51"/>
      <c r="VHZ45" s="51"/>
      <c r="VIA45" s="51"/>
      <c r="VIB45" s="51"/>
      <c r="VIC45" s="51"/>
      <c r="VID45" s="51"/>
      <c r="VIE45" s="51"/>
      <c r="VIF45" s="51"/>
      <c r="VIG45" s="51"/>
      <c r="VIH45" s="51"/>
      <c r="VII45" s="51"/>
      <c r="VIJ45" s="51"/>
      <c r="VIK45" s="51"/>
      <c r="VIL45" s="51"/>
      <c r="VIM45" s="51"/>
      <c r="VIN45" s="51"/>
      <c r="VIO45" s="51"/>
      <c r="VIP45" s="51"/>
      <c r="VIQ45" s="51"/>
      <c r="VIR45" s="51"/>
      <c r="VIS45" s="51"/>
      <c r="VIT45" s="51"/>
      <c r="VIU45" s="51"/>
      <c r="VIV45" s="51"/>
      <c r="VIW45" s="51"/>
      <c r="VIX45" s="51"/>
      <c r="VIY45" s="51"/>
      <c r="VIZ45" s="51"/>
      <c r="VJA45" s="51"/>
      <c r="VJB45" s="51"/>
      <c r="VJC45" s="51"/>
      <c r="VJD45" s="51"/>
      <c r="VJE45" s="51"/>
      <c r="VJF45" s="51"/>
      <c r="VJG45" s="51"/>
      <c r="VJH45" s="51"/>
      <c r="VJI45" s="51"/>
      <c r="VJJ45" s="51"/>
      <c r="VJK45" s="51"/>
      <c r="VJL45" s="51"/>
      <c r="VJM45" s="51"/>
      <c r="VJN45" s="51"/>
      <c r="VJO45" s="51"/>
      <c r="VJP45" s="51"/>
      <c r="VJQ45" s="51"/>
      <c r="VJR45" s="51"/>
      <c r="VJS45" s="51"/>
      <c r="VJT45" s="51"/>
      <c r="VJU45" s="51"/>
      <c r="VJV45" s="51"/>
      <c r="VJW45" s="51"/>
      <c r="VJX45" s="51"/>
      <c r="VJY45" s="51"/>
      <c r="VJZ45" s="51"/>
      <c r="VKA45" s="51"/>
      <c r="VKB45" s="51"/>
      <c r="VKC45" s="51"/>
      <c r="VKD45" s="51"/>
      <c r="VKE45" s="51"/>
      <c r="VKF45" s="51"/>
      <c r="VKG45" s="51"/>
      <c r="VKH45" s="51"/>
      <c r="VKI45" s="51"/>
      <c r="VKJ45" s="51"/>
      <c r="VKK45" s="51"/>
      <c r="VKL45" s="51"/>
      <c r="VKM45" s="51"/>
      <c r="VKN45" s="51"/>
      <c r="VKO45" s="51"/>
      <c r="VKP45" s="51"/>
      <c r="VKQ45" s="51"/>
      <c r="VKR45" s="51"/>
      <c r="VKS45" s="51"/>
      <c r="VKT45" s="51"/>
      <c r="VKU45" s="51"/>
      <c r="VKV45" s="51"/>
      <c r="VKW45" s="51"/>
      <c r="VKX45" s="51"/>
      <c r="VKY45" s="51"/>
      <c r="VKZ45" s="51"/>
      <c r="VLA45" s="51"/>
      <c r="VLB45" s="51"/>
      <c r="VLC45" s="51"/>
      <c r="VLD45" s="51"/>
      <c r="VLE45" s="51"/>
      <c r="VLF45" s="51"/>
      <c r="VLG45" s="51"/>
      <c r="VLH45" s="51"/>
      <c r="VLI45" s="51"/>
      <c r="VLJ45" s="51"/>
      <c r="VLK45" s="51"/>
      <c r="VLL45" s="51"/>
      <c r="VLM45" s="51"/>
      <c r="VLN45" s="51"/>
      <c r="VLO45" s="51"/>
      <c r="VLP45" s="51"/>
      <c r="VLQ45" s="51"/>
      <c r="VLR45" s="51"/>
      <c r="VLS45" s="51"/>
      <c r="VLT45" s="51"/>
      <c r="VLU45" s="51"/>
      <c r="VLV45" s="51"/>
      <c r="VLW45" s="51"/>
      <c r="VLX45" s="51"/>
      <c r="VLY45" s="51"/>
      <c r="VLZ45" s="51"/>
      <c r="VMA45" s="51"/>
      <c r="VMB45" s="51"/>
      <c r="VMC45" s="51"/>
      <c r="VMD45" s="51"/>
      <c r="VME45" s="51"/>
      <c r="VMF45" s="51"/>
      <c r="VMG45" s="51"/>
      <c r="VMH45" s="51"/>
      <c r="VMI45" s="51"/>
      <c r="VMJ45" s="51"/>
      <c r="VMK45" s="51"/>
      <c r="VML45" s="51"/>
      <c r="VMM45" s="51"/>
      <c r="VMN45" s="51"/>
      <c r="VMO45" s="51"/>
      <c r="VMP45" s="51"/>
      <c r="VMQ45" s="51"/>
      <c r="VMR45" s="51"/>
      <c r="VMS45" s="51"/>
      <c r="VMT45" s="51"/>
      <c r="VMU45" s="51"/>
      <c r="VMV45" s="51"/>
      <c r="VMW45" s="51"/>
      <c r="VMX45" s="51"/>
      <c r="VMY45" s="51"/>
      <c r="VMZ45" s="51"/>
      <c r="VNA45" s="51"/>
      <c r="VNB45" s="51"/>
      <c r="VNC45" s="51"/>
      <c r="VND45" s="51"/>
      <c r="VNE45" s="51"/>
      <c r="VNF45" s="51"/>
      <c r="VNG45" s="51"/>
      <c r="VNH45" s="51"/>
      <c r="VNI45" s="51"/>
      <c r="VNJ45" s="51"/>
      <c r="VNK45" s="51"/>
      <c r="VNL45" s="51"/>
      <c r="VNM45" s="51"/>
      <c r="VNN45" s="51"/>
      <c r="VNO45" s="51"/>
      <c r="VNP45" s="51"/>
      <c r="VNQ45" s="51"/>
      <c r="VNR45" s="51"/>
      <c r="VNS45" s="51"/>
      <c r="VNT45" s="51"/>
      <c r="VNU45" s="51"/>
      <c r="VNV45" s="51"/>
      <c r="VNW45" s="51"/>
      <c r="VNX45" s="51"/>
      <c r="VNY45" s="51"/>
      <c r="VNZ45" s="51"/>
      <c r="VOA45" s="51"/>
      <c r="VOB45" s="51"/>
      <c r="VOC45" s="51"/>
      <c r="VOD45" s="51"/>
      <c r="VOE45" s="51"/>
      <c r="VOF45" s="51"/>
      <c r="VOG45" s="51"/>
      <c r="VOH45" s="51"/>
      <c r="VOI45" s="51"/>
      <c r="VOJ45" s="51"/>
      <c r="VOK45" s="51"/>
      <c r="VOL45" s="51"/>
      <c r="VOM45" s="51"/>
      <c r="VON45" s="51"/>
      <c r="VOO45" s="51"/>
      <c r="VOP45" s="51"/>
      <c r="VOQ45" s="51"/>
      <c r="VOR45" s="51"/>
      <c r="VOS45" s="51"/>
      <c r="VOT45" s="51"/>
      <c r="VOU45" s="51"/>
      <c r="VOV45" s="51"/>
      <c r="VOW45" s="51"/>
      <c r="VOX45" s="51"/>
      <c r="VOY45" s="51"/>
      <c r="VOZ45" s="51"/>
      <c r="VPA45" s="51"/>
      <c r="VPB45" s="51"/>
      <c r="VPC45" s="51"/>
      <c r="VPD45" s="51"/>
      <c r="VPE45" s="51"/>
      <c r="VPF45" s="51"/>
      <c r="VPG45" s="51"/>
      <c r="VPH45" s="51"/>
      <c r="VPI45" s="51"/>
      <c r="VPJ45" s="51"/>
      <c r="VPK45" s="51"/>
      <c r="VPL45" s="51"/>
      <c r="VPM45" s="51"/>
      <c r="VPN45" s="51"/>
      <c r="VPO45" s="51"/>
      <c r="VPP45" s="51"/>
      <c r="VPQ45" s="51"/>
      <c r="VPR45" s="51"/>
      <c r="VPS45" s="51"/>
      <c r="VPT45" s="51"/>
      <c r="VPU45" s="51"/>
      <c r="VPV45" s="51"/>
      <c r="VPW45" s="51"/>
      <c r="VPX45" s="51"/>
      <c r="VPY45" s="51"/>
      <c r="VPZ45" s="51"/>
      <c r="VQA45" s="51"/>
      <c r="VQB45" s="51"/>
      <c r="VQC45" s="51"/>
      <c r="VQD45" s="51"/>
      <c r="VQE45" s="51"/>
      <c r="VQF45" s="51"/>
      <c r="VQG45" s="51"/>
      <c r="VQH45" s="51"/>
      <c r="VQI45" s="51"/>
      <c r="VQJ45" s="51"/>
      <c r="VQK45" s="51"/>
      <c r="VQL45" s="51"/>
      <c r="VQM45" s="51"/>
      <c r="VQN45" s="51"/>
      <c r="VQO45" s="51"/>
      <c r="VQP45" s="51"/>
      <c r="VQQ45" s="51"/>
      <c r="VQR45" s="51"/>
      <c r="VQS45" s="51"/>
      <c r="VQT45" s="51"/>
      <c r="VQU45" s="51"/>
      <c r="VQV45" s="51"/>
      <c r="VQW45" s="51"/>
      <c r="VQX45" s="51"/>
      <c r="VQY45" s="51"/>
      <c r="VQZ45" s="51"/>
      <c r="VRA45" s="51"/>
      <c r="VRB45" s="51"/>
      <c r="VRC45" s="51"/>
      <c r="VRD45" s="51"/>
      <c r="VRE45" s="51"/>
      <c r="VRF45" s="51"/>
      <c r="VRG45" s="51"/>
      <c r="VRH45" s="51"/>
      <c r="VRI45" s="51"/>
      <c r="VRJ45" s="51"/>
      <c r="VRK45" s="51"/>
      <c r="VRL45" s="51"/>
      <c r="VRM45" s="51"/>
      <c r="VRN45" s="51"/>
      <c r="VRO45" s="51"/>
      <c r="VRP45" s="51"/>
      <c r="VRQ45" s="51"/>
      <c r="VRR45" s="51"/>
      <c r="VRS45" s="51"/>
      <c r="VRT45" s="51"/>
      <c r="VRU45" s="51"/>
      <c r="VRV45" s="51"/>
      <c r="VRW45" s="51"/>
      <c r="VRX45" s="51"/>
      <c r="VRY45" s="51"/>
      <c r="VRZ45" s="51"/>
      <c r="VSA45" s="51"/>
      <c r="VSB45" s="51"/>
      <c r="VSC45" s="51"/>
      <c r="VSD45" s="51"/>
      <c r="VSE45" s="51"/>
      <c r="VSF45" s="51"/>
      <c r="VSG45" s="51"/>
      <c r="VSH45" s="51"/>
      <c r="VSI45" s="51"/>
      <c r="VSJ45" s="51"/>
      <c r="VSK45" s="51"/>
      <c r="VSL45" s="51"/>
      <c r="VSM45" s="51"/>
      <c r="VSN45" s="51"/>
      <c r="VSO45" s="51"/>
      <c r="VSP45" s="51"/>
      <c r="VSQ45" s="51"/>
      <c r="VSR45" s="51"/>
      <c r="VSS45" s="51"/>
      <c r="VST45" s="51"/>
      <c r="VSU45" s="51"/>
      <c r="VSV45" s="51"/>
      <c r="VSW45" s="51"/>
      <c r="VSX45" s="51"/>
      <c r="VSY45" s="51"/>
      <c r="VSZ45" s="51"/>
      <c r="VTA45" s="51"/>
      <c r="VTB45" s="51"/>
      <c r="VTC45" s="51"/>
      <c r="VTD45" s="51"/>
      <c r="VTE45" s="51"/>
      <c r="VTF45" s="51"/>
      <c r="VTG45" s="51"/>
      <c r="VTH45" s="51"/>
      <c r="VTI45" s="51"/>
      <c r="VTJ45" s="51"/>
      <c r="VTK45" s="51"/>
      <c r="VTL45" s="51"/>
      <c r="VTM45" s="51"/>
      <c r="VTN45" s="51"/>
      <c r="VTO45" s="51"/>
      <c r="VTP45" s="51"/>
      <c r="VTQ45" s="51"/>
      <c r="VTR45" s="51"/>
      <c r="VTS45" s="51"/>
      <c r="VTT45" s="51"/>
      <c r="VTU45" s="51"/>
      <c r="VTV45" s="51"/>
      <c r="VTW45" s="51"/>
      <c r="VTX45" s="51"/>
      <c r="VTY45" s="51"/>
      <c r="VTZ45" s="51"/>
      <c r="VUA45" s="51"/>
      <c r="VUB45" s="51"/>
      <c r="VUC45" s="51"/>
      <c r="VUD45" s="51"/>
      <c r="VUE45" s="51"/>
      <c r="VUF45" s="51"/>
      <c r="VUG45" s="51"/>
      <c r="VUH45" s="51"/>
      <c r="VUI45" s="51"/>
      <c r="VUJ45" s="51"/>
      <c r="VUK45" s="51"/>
      <c r="VUL45" s="51"/>
      <c r="VUM45" s="51"/>
      <c r="VUN45" s="51"/>
      <c r="VUO45" s="51"/>
      <c r="VUP45" s="51"/>
      <c r="VUQ45" s="51"/>
      <c r="VUR45" s="51"/>
      <c r="VUS45" s="51"/>
      <c r="VUT45" s="51"/>
      <c r="VUU45" s="51"/>
      <c r="VUV45" s="51"/>
      <c r="VUW45" s="51"/>
      <c r="VUX45" s="51"/>
      <c r="VUY45" s="51"/>
      <c r="VUZ45" s="51"/>
      <c r="VVA45" s="51"/>
      <c r="VVB45" s="51"/>
      <c r="VVC45" s="51"/>
      <c r="VVD45" s="51"/>
      <c r="VVE45" s="51"/>
      <c r="VVF45" s="51"/>
      <c r="VVG45" s="51"/>
      <c r="VVH45" s="51"/>
      <c r="VVI45" s="51"/>
      <c r="VVJ45" s="51"/>
      <c r="VVK45" s="51"/>
      <c r="VVL45" s="51"/>
      <c r="VVM45" s="51"/>
      <c r="VVN45" s="51"/>
      <c r="VVO45" s="51"/>
      <c r="VVP45" s="51"/>
      <c r="VVQ45" s="51"/>
      <c r="VVR45" s="51"/>
      <c r="VVS45" s="51"/>
      <c r="VVT45" s="51"/>
      <c r="VVU45" s="51"/>
      <c r="VVV45" s="51"/>
      <c r="VVW45" s="51"/>
      <c r="VVX45" s="51"/>
      <c r="VVY45" s="51"/>
      <c r="VVZ45" s="51"/>
      <c r="VWA45" s="51"/>
      <c r="VWB45" s="51"/>
      <c r="VWC45" s="51"/>
      <c r="VWD45" s="51"/>
      <c r="VWE45" s="51"/>
      <c r="VWF45" s="51"/>
      <c r="VWG45" s="51"/>
      <c r="VWH45" s="51"/>
      <c r="VWI45" s="51"/>
      <c r="VWJ45" s="51"/>
      <c r="VWK45" s="51"/>
      <c r="VWL45" s="51"/>
      <c r="VWM45" s="51"/>
      <c r="VWN45" s="51"/>
      <c r="VWO45" s="51"/>
      <c r="VWP45" s="51"/>
      <c r="VWQ45" s="51"/>
      <c r="VWR45" s="51"/>
      <c r="VWS45" s="51"/>
      <c r="VWT45" s="51"/>
      <c r="VWU45" s="51"/>
      <c r="VWV45" s="51"/>
      <c r="VWW45" s="51"/>
      <c r="VWX45" s="51"/>
      <c r="VWY45" s="51"/>
      <c r="VWZ45" s="51"/>
      <c r="VXA45" s="51"/>
      <c r="VXB45" s="51"/>
      <c r="VXC45" s="51"/>
      <c r="VXD45" s="51"/>
      <c r="VXE45" s="51"/>
      <c r="VXF45" s="51"/>
      <c r="VXG45" s="51"/>
      <c r="VXH45" s="51"/>
      <c r="VXI45" s="51"/>
      <c r="VXJ45" s="51"/>
      <c r="VXK45" s="51"/>
      <c r="VXL45" s="51"/>
      <c r="VXM45" s="51"/>
      <c r="VXN45" s="51"/>
      <c r="VXO45" s="51"/>
      <c r="VXP45" s="51"/>
      <c r="VXQ45" s="51"/>
      <c r="VXR45" s="51"/>
      <c r="VXS45" s="51"/>
      <c r="VXT45" s="51"/>
      <c r="VXU45" s="51"/>
      <c r="VXV45" s="51"/>
      <c r="VXW45" s="51"/>
      <c r="VXX45" s="51"/>
      <c r="VXY45" s="51"/>
      <c r="VXZ45" s="51"/>
      <c r="VYA45" s="51"/>
      <c r="VYB45" s="51"/>
      <c r="VYC45" s="51"/>
      <c r="VYD45" s="51"/>
      <c r="VYE45" s="51"/>
      <c r="VYF45" s="51"/>
      <c r="VYG45" s="51"/>
      <c r="VYH45" s="51"/>
      <c r="VYI45" s="51"/>
      <c r="VYJ45" s="51"/>
      <c r="VYK45" s="51"/>
      <c r="VYL45" s="51"/>
      <c r="VYM45" s="51"/>
      <c r="VYN45" s="51"/>
      <c r="VYO45" s="51"/>
      <c r="VYP45" s="51"/>
      <c r="VYQ45" s="51"/>
      <c r="VYR45" s="51"/>
      <c r="VYS45" s="51"/>
      <c r="VYT45" s="51"/>
      <c r="VYU45" s="51"/>
      <c r="VYV45" s="51"/>
      <c r="VYW45" s="51"/>
      <c r="VYX45" s="51"/>
      <c r="VYY45" s="51"/>
      <c r="VYZ45" s="51"/>
      <c r="VZA45" s="51"/>
      <c r="VZB45" s="51"/>
      <c r="VZC45" s="51"/>
      <c r="VZD45" s="51"/>
      <c r="VZE45" s="51"/>
      <c r="VZF45" s="51"/>
      <c r="VZG45" s="51"/>
      <c r="VZH45" s="51"/>
      <c r="VZI45" s="51"/>
      <c r="VZJ45" s="51"/>
      <c r="VZK45" s="51"/>
      <c r="VZL45" s="51"/>
      <c r="VZM45" s="51"/>
      <c r="VZN45" s="51"/>
      <c r="VZO45" s="51"/>
      <c r="VZP45" s="51"/>
      <c r="VZQ45" s="51"/>
      <c r="VZR45" s="51"/>
      <c r="VZS45" s="51"/>
      <c r="VZT45" s="51"/>
      <c r="VZU45" s="51"/>
      <c r="VZV45" s="51"/>
      <c r="VZW45" s="51"/>
      <c r="VZX45" s="51"/>
      <c r="VZY45" s="51"/>
      <c r="VZZ45" s="51"/>
      <c r="WAA45" s="51"/>
      <c r="WAB45" s="51"/>
      <c r="WAC45" s="51"/>
      <c r="WAD45" s="51"/>
      <c r="WAE45" s="51"/>
      <c r="WAF45" s="51"/>
      <c r="WAG45" s="51"/>
      <c r="WAH45" s="51"/>
      <c r="WAI45" s="51"/>
      <c r="WAJ45" s="51"/>
      <c r="WAK45" s="51"/>
      <c r="WAL45" s="51"/>
      <c r="WAM45" s="51"/>
      <c r="WAN45" s="51"/>
      <c r="WAO45" s="51"/>
      <c r="WAP45" s="51"/>
      <c r="WAQ45" s="51"/>
      <c r="WAR45" s="51"/>
      <c r="WAS45" s="51"/>
      <c r="WAT45" s="51"/>
      <c r="WAU45" s="51"/>
      <c r="WAV45" s="51"/>
      <c r="WAW45" s="51"/>
      <c r="WAX45" s="51"/>
      <c r="WAY45" s="51"/>
      <c r="WAZ45" s="51"/>
      <c r="WBA45" s="51"/>
      <c r="WBB45" s="51"/>
      <c r="WBC45" s="51"/>
      <c r="WBD45" s="51"/>
      <c r="WBE45" s="51"/>
      <c r="WBF45" s="51"/>
      <c r="WBG45" s="51"/>
      <c r="WBH45" s="51"/>
      <c r="WBI45" s="51"/>
      <c r="WBJ45" s="51"/>
      <c r="WBK45" s="51"/>
      <c r="WBL45" s="51"/>
      <c r="WBM45" s="51"/>
      <c r="WBN45" s="51"/>
      <c r="WBO45" s="51"/>
      <c r="WBP45" s="51"/>
      <c r="WBQ45" s="51"/>
      <c r="WBR45" s="51"/>
      <c r="WBS45" s="51"/>
      <c r="WBT45" s="51"/>
      <c r="WBU45" s="51"/>
      <c r="WBV45" s="51"/>
      <c r="WBW45" s="51"/>
      <c r="WBX45" s="51"/>
      <c r="WBY45" s="51"/>
      <c r="WBZ45" s="51"/>
      <c r="WCA45" s="51"/>
      <c r="WCB45" s="51"/>
      <c r="WCC45" s="51"/>
      <c r="WCD45" s="51"/>
      <c r="WCE45" s="51"/>
      <c r="WCF45" s="51"/>
      <c r="WCG45" s="51"/>
      <c r="WCH45" s="51"/>
      <c r="WCI45" s="51"/>
      <c r="WCJ45" s="51"/>
      <c r="WCK45" s="51"/>
      <c r="WCL45" s="51"/>
      <c r="WCM45" s="51"/>
      <c r="WCN45" s="51"/>
      <c r="WCO45" s="51"/>
      <c r="WCP45" s="51"/>
      <c r="WCQ45" s="51"/>
      <c r="WCR45" s="51"/>
      <c r="WCS45" s="51"/>
      <c r="WCT45" s="51"/>
      <c r="WCU45" s="51"/>
      <c r="WCV45" s="51"/>
      <c r="WCW45" s="51"/>
      <c r="WCX45" s="51"/>
      <c r="WCY45" s="51"/>
      <c r="WCZ45" s="51"/>
      <c r="WDA45" s="51"/>
      <c r="WDB45" s="51"/>
      <c r="WDC45" s="51"/>
      <c r="WDD45" s="51"/>
      <c r="WDE45" s="51"/>
      <c r="WDF45" s="51"/>
      <c r="WDG45" s="51"/>
      <c r="WDH45" s="51"/>
      <c r="WDI45" s="51"/>
      <c r="WDJ45" s="51"/>
      <c r="WDK45" s="51"/>
      <c r="WDL45" s="51"/>
      <c r="WDM45" s="51"/>
      <c r="WDN45" s="51"/>
      <c r="WDO45" s="51"/>
      <c r="WDP45" s="51"/>
      <c r="WDQ45" s="51"/>
      <c r="WDR45" s="51"/>
      <c r="WDS45" s="51"/>
      <c r="WDT45" s="51"/>
      <c r="WDU45" s="51"/>
      <c r="WDV45" s="51"/>
      <c r="WDW45" s="51"/>
      <c r="WDX45" s="51"/>
      <c r="WDY45" s="51"/>
      <c r="WDZ45" s="51"/>
      <c r="WEA45" s="51"/>
      <c r="WEB45" s="51"/>
      <c r="WEC45" s="51"/>
      <c r="WED45" s="51"/>
      <c r="WEE45" s="51"/>
      <c r="WEF45" s="51"/>
      <c r="WEG45" s="51"/>
      <c r="WEH45" s="51"/>
      <c r="WEI45" s="51"/>
      <c r="WEJ45" s="51"/>
      <c r="WEK45" s="51"/>
      <c r="WEL45" s="51"/>
      <c r="WEM45" s="51"/>
      <c r="WEN45" s="51"/>
      <c r="WEO45" s="51"/>
      <c r="WEP45" s="51"/>
      <c r="WEQ45" s="51"/>
      <c r="WER45" s="51"/>
      <c r="WES45" s="51"/>
      <c r="WET45" s="51"/>
      <c r="WEU45" s="51"/>
      <c r="WEV45" s="51"/>
      <c r="WEW45" s="51"/>
      <c r="WEX45" s="51"/>
      <c r="WEY45" s="51"/>
      <c r="WEZ45" s="51"/>
      <c r="WFA45" s="51"/>
      <c r="WFB45" s="51"/>
      <c r="WFC45" s="51"/>
      <c r="WFD45" s="51"/>
      <c r="WFE45" s="51"/>
      <c r="WFF45" s="51"/>
      <c r="WFG45" s="51"/>
      <c r="WFH45" s="51"/>
      <c r="WFI45" s="51"/>
      <c r="WFJ45" s="51"/>
      <c r="WFK45" s="51"/>
      <c r="WFL45" s="51"/>
      <c r="WFM45" s="51"/>
      <c r="WFN45" s="51"/>
      <c r="WFO45" s="51"/>
      <c r="WFP45" s="51"/>
      <c r="WFQ45" s="51"/>
      <c r="WFR45" s="51"/>
      <c r="WFS45" s="51"/>
      <c r="WFT45" s="51"/>
      <c r="WFU45" s="51"/>
      <c r="WFV45" s="51"/>
      <c r="WFW45" s="51"/>
      <c r="WFX45" s="51"/>
      <c r="WFY45" s="51"/>
      <c r="WFZ45" s="51"/>
      <c r="WGA45" s="51"/>
      <c r="WGB45" s="51"/>
      <c r="WGC45" s="51"/>
      <c r="WGD45" s="51"/>
      <c r="WGE45" s="51"/>
      <c r="WGF45" s="51"/>
      <c r="WGG45" s="51"/>
      <c r="WGH45" s="51"/>
      <c r="WGI45" s="51"/>
      <c r="WGJ45" s="51"/>
      <c r="WGK45" s="51"/>
      <c r="WGL45" s="51"/>
      <c r="WGM45" s="51"/>
      <c r="WGN45" s="51"/>
      <c r="WGO45" s="51"/>
      <c r="WGP45" s="51"/>
      <c r="WGQ45" s="51"/>
      <c r="WGR45" s="51"/>
      <c r="WGS45" s="51"/>
      <c r="WGT45" s="51"/>
      <c r="WGU45" s="51"/>
      <c r="WGV45" s="51"/>
      <c r="WGW45" s="51"/>
      <c r="WGX45" s="51"/>
      <c r="WGY45" s="51"/>
      <c r="WGZ45" s="51"/>
      <c r="WHA45" s="51"/>
      <c r="WHB45" s="51"/>
      <c r="WHC45" s="51"/>
      <c r="WHD45" s="51"/>
      <c r="WHE45" s="51"/>
      <c r="WHF45" s="51"/>
      <c r="WHG45" s="51"/>
      <c r="WHH45" s="51"/>
      <c r="WHI45" s="51"/>
      <c r="WHJ45" s="51"/>
      <c r="WHK45" s="51"/>
      <c r="WHL45" s="51"/>
      <c r="WHM45" s="51"/>
      <c r="WHN45" s="51"/>
      <c r="WHO45" s="51"/>
      <c r="WHP45" s="51"/>
      <c r="WHQ45" s="51"/>
      <c r="WHR45" s="51"/>
      <c r="WHS45" s="51"/>
      <c r="WHT45" s="51"/>
      <c r="WHU45" s="51"/>
      <c r="WHV45" s="51"/>
      <c r="WHW45" s="51"/>
      <c r="WHX45" s="51"/>
      <c r="WHY45" s="51"/>
      <c r="WHZ45" s="51"/>
      <c r="WIA45" s="51"/>
      <c r="WIB45" s="51"/>
      <c r="WIC45" s="51"/>
      <c r="WID45" s="51"/>
      <c r="WIE45" s="51"/>
      <c r="WIF45" s="51"/>
      <c r="WIG45" s="51"/>
      <c r="WIH45" s="51"/>
      <c r="WII45" s="51"/>
      <c r="WIJ45" s="51"/>
      <c r="WIK45" s="51"/>
      <c r="WIL45" s="51"/>
      <c r="WIM45" s="51"/>
      <c r="WIN45" s="51"/>
      <c r="WIO45" s="51"/>
      <c r="WIP45" s="51"/>
      <c r="WIQ45" s="51"/>
      <c r="WIR45" s="51"/>
      <c r="WIS45" s="51"/>
      <c r="WIT45" s="51"/>
      <c r="WIU45" s="51"/>
      <c r="WIV45" s="51"/>
      <c r="WIW45" s="51"/>
      <c r="WIX45" s="51"/>
      <c r="WIY45" s="51"/>
      <c r="WIZ45" s="51"/>
      <c r="WJA45" s="51"/>
      <c r="WJB45" s="51"/>
      <c r="WJC45" s="51"/>
      <c r="WJD45" s="51"/>
      <c r="WJE45" s="51"/>
      <c r="WJF45" s="51"/>
      <c r="WJG45" s="51"/>
      <c r="WJH45" s="51"/>
      <c r="WJI45" s="51"/>
      <c r="WJJ45" s="51"/>
      <c r="WJK45" s="51"/>
      <c r="WJL45" s="51"/>
      <c r="WJM45" s="51"/>
      <c r="WJN45" s="51"/>
      <c r="WJO45" s="51"/>
      <c r="WJP45" s="51"/>
      <c r="WJQ45" s="51"/>
      <c r="WJR45" s="51"/>
      <c r="WJS45" s="51"/>
      <c r="WJT45" s="51"/>
      <c r="WJU45" s="51"/>
      <c r="WJV45" s="51"/>
      <c r="WJW45" s="51"/>
      <c r="WJX45" s="51"/>
      <c r="WJY45" s="51"/>
      <c r="WJZ45" s="51"/>
      <c r="WKA45" s="51"/>
      <c r="WKB45" s="51"/>
      <c r="WKC45" s="51"/>
      <c r="WKD45" s="51"/>
      <c r="WKE45" s="51"/>
      <c r="WKF45" s="51"/>
      <c r="WKG45" s="51"/>
      <c r="WKH45" s="51"/>
      <c r="WKI45" s="51"/>
      <c r="WKJ45" s="51"/>
      <c r="WKK45" s="51"/>
      <c r="WKL45" s="51"/>
      <c r="WKM45" s="51"/>
      <c r="WKN45" s="51"/>
      <c r="WKO45" s="51"/>
      <c r="WKP45" s="51"/>
      <c r="WKQ45" s="51"/>
      <c r="WKR45" s="51"/>
      <c r="WKS45" s="51"/>
      <c r="WKT45" s="51"/>
      <c r="WKU45" s="51"/>
      <c r="WKV45" s="51"/>
      <c r="WKW45" s="51"/>
      <c r="WKX45" s="51"/>
      <c r="WKY45" s="51"/>
      <c r="WKZ45" s="51"/>
      <c r="WLA45" s="51"/>
      <c r="WLB45" s="51"/>
      <c r="WLC45" s="51"/>
      <c r="WLD45" s="51"/>
      <c r="WLE45" s="51"/>
      <c r="WLF45" s="51"/>
      <c r="WLG45" s="51"/>
      <c r="WLH45" s="51"/>
      <c r="WLI45" s="51"/>
      <c r="WLJ45" s="51"/>
      <c r="WLK45" s="51"/>
      <c r="WLL45" s="51"/>
      <c r="WLM45" s="51"/>
      <c r="WLN45" s="51"/>
      <c r="WLO45" s="51"/>
      <c r="WLP45" s="51"/>
      <c r="WLQ45" s="51"/>
      <c r="WLR45" s="51"/>
      <c r="WLS45" s="51"/>
      <c r="WLT45" s="51"/>
      <c r="WLU45" s="51"/>
      <c r="WLV45" s="51"/>
      <c r="WLW45" s="51"/>
      <c r="WLX45" s="51"/>
      <c r="WLY45" s="51"/>
      <c r="WLZ45" s="51"/>
      <c r="WMA45" s="51"/>
      <c r="WMB45" s="51"/>
      <c r="WMC45" s="51"/>
      <c r="WMD45" s="51"/>
      <c r="WME45" s="51"/>
      <c r="WMF45" s="51"/>
      <c r="WMG45" s="51"/>
      <c r="WMH45" s="51"/>
      <c r="WMI45" s="51"/>
      <c r="WMJ45" s="51"/>
      <c r="WMK45" s="51"/>
      <c r="WML45" s="51"/>
      <c r="WMM45" s="51"/>
      <c r="WMN45" s="51"/>
      <c r="WMO45" s="51"/>
      <c r="WMP45" s="51"/>
      <c r="WMQ45" s="51"/>
      <c r="WMR45" s="51"/>
      <c r="WMS45" s="51"/>
      <c r="WMT45" s="51"/>
      <c r="WMU45" s="51"/>
      <c r="WMV45" s="51"/>
      <c r="WMW45" s="51"/>
      <c r="WMX45" s="51"/>
      <c r="WMY45" s="51"/>
      <c r="WMZ45" s="51"/>
      <c r="WNA45" s="51"/>
      <c r="WNB45" s="51"/>
      <c r="WNC45" s="51"/>
      <c r="WND45" s="51"/>
      <c r="WNE45" s="51"/>
      <c r="WNF45" s="51"/>
      <c r="WNG45" s="51"/>
      <c r="WNH45" s="51"/>
      <c r="WNI45" s="51"/>
      <c r="WNJ45" s="51"/>
      <c r="WNK45" s="51"/>
      <c r="WNL45" s="51"/>
      <c r="WNM45" s="51"/>
      <c r="WNN45" s="51"/>
      <c r="WNO45" s="51"/>
      <c r="WNP45" s="51"/>
      <c r="WNQ45" s="51"/>
      <c r="WNR45" s="51"/>
      <c r="WNS45" s="51"/>
      <c r="WNT45" s="51"/>
      <c r="WNU45" s="51"/>
      <c r="WNV45" s="51"/>
      <c r="WNW45" s="51"/>
      <c r="WNX45" s="51"/>
      <c r="WNY45" s="51"/>
      <c r="WNZ45" s="51"/>
      <c r="WOA45" s="51"/>
      <c r="WOB45" s="51"/>
      <c r="WOC45" s="51"/>
      <c r="WOD45" s="51"/>
      <c r="WOE45" s="51"/>
      <c r="WOF45" s="51"/>
      <c r="WOG45" s="51"/>
      <c r="WOH45" s="51"/>
      <c r="WOI45" s="51"/>
      <c r="WOJ45" s="51"/>
      <c r="WOK45" s="51"/>
      <c r="WOL45" s="51"/>
      <c r="WOM45" s="51"/>
      <c r="WON45" s="51"/>
      <c r="WOO45" s="51"/>
      <c r="WOP45" s="51"/>
      <c r="WOQ45" s="51"/>
      <c r="WOR45" s="51"/>
      <c r="WOS45" s="51"/>
      <c r="WOT45" s="51"/>
      <c r="WOU45" s="51"/>
      <c r="WOV45" s="51"/>
      <c r="WOW45" s="51"/>
      <c r="WOX45" s="51"/>
      <c r="WOY45" s="51"/>
      <c r="WOZ45" s="51"/>
      <c r="WPA45" s="51"/>
      <c r="WPB45" s="51"/>
      <c r="WPC45" s="51"/>
      <c r="WPD45" s="51"/>
      <c r="WPE45" s="51"/>
      <c r="WPF45" s="51"/>
      <c r="WPG45" s="51"/>
      <c r="WPH45" s="51"/>
      <c r="WPI45" s="51"/>
      <c r="WPJ45" s="51"/>
      <c r="WPK45" s="51"/>
      <c r="WPL45" s="51"/>
      <c r="WPM45" s="51"/>
      <c r="WPN45" s="51"/>
      <c r="WPO45" s="51"/>
      <c r="WPP45" s="51"/>
      <c r="WPQ45" s="51"/>
      <c r="WPR45" s="51"/>
      <c r="WPS45" s="51"/>
      <c r="WPT45" s="51"/>
      <c r="WPU45" s="51"/>
      <c r="WPV45" s="51"/>
      <c r="WPW45" s="51"/>
      <c r="WPX45" s="51"/>
      <c r="WPY45" s="51"/>
      <c r="WPZ45" s="51"/>
      <c r="WQA45" s="51"/>
      <c r="WQB45" s="51"/>
      <c r="WQC45" s="51"/>
      <c r="WQD45" s="51"/>
      <c r="WQE45" s="51"/>
      <c r="WQF45" s="51"/>
      <c r="WQG45" s="51"/>
      <c r="WQH45" s="51"/>
      <c r="WQI45" s="51"/>
      <c r="WQJ45" s="51"/>
      <c r="WQK45" s="51"/>
      <c r="WQL45" s="51"/>
      <c r="WQM45" s="51"/>
      <c r="WQN45" s="51"/>
      <c r="WQO45" s="51"/>
      <c r="WQP45" s="51"/>
      <c r="WQQ45" s="51"/>
      <c r="WQR45" s="51"/>
      <c r="WQS45" s="51"/>
      <c r="WQT45" s="51"/>
      <c r="WQU45" s="51"/>
      <c r="WQV45" s="51"/>
      <c r="WQW45" s="51"/>
      <c r="WQX45" s="51"/>
      <c r="WQY45" s="51"/>
      <c r="WQZ45" s="51"/>
      <c r="WRA45" s="51"/>
      <c r="WRB45" s="51"/>
      <c r="WRC45" s="51"/>
      <c r="WRD45" s="51"/>
      <c r="WRE45" s="51"/>
      <c r="WRF45" s="51"/>
      <c r="WRG45" s="51"/>
      <c r="WRH45" s="51"/>
      <c r="WRI45" s="51"/>
      <c r="WRJ45" s="51"/>
      <c r="WRK45" s="51"/>
      <c r="WRL45" s="51"/>
      <c r="WRM45" s="51"/>
      <c r="WRN45" s="51"/>
      <c r="WRO45" s="51"/>
      <c r="WRP45" s="51"/>
      <c r="WRQ45" s="51"/>
      <c r="WRR45" s="51"/>
      <c r="WRS45" s="51"/>
      <c r="WRT45" s="51"/>
      <c r="WRU45" s="51"/>
      <c r="WRV45" s="51"/>
      <c r="WRW45" s="51"/>
      <c r="WRX45" s="51"/>
      <c r="WRY45" s="51"/>
      <c r="WRZ45" s="51"/>
      <c r="WSA45" s="51"/>
      <c r="WSB45" s="51"/>
      <c r="WSC45" s="51"/>
      <c r="WSD45" s="51"/>
      <c r="WSE45" s="51"/>
      <c r="WSF45" s="51"/>
      <c r="WSG45" s="51"/>
      <c r="WSH45" s="51"/>
      <c r="WSI45" s="51"/>
      <c r="WSJ45" s="51"/>
      <c r="WSK45" s="51"/>
      <c r="WSL45" s="51"/>
      <c r="WSM45" s="51"/>
      <c r="WSN45" s="51"/>
      <c r="WSO45" s="51"/>
      <c r="WSP45" s="51"/>
      <c r="WSQ45" s="51"/>
      <c r="WSR45" s="51"/>
      <c r="WSS45" s="51"/>
      <c r="WST45" s="51"/>
      <c r="WSU45" s="51"/>
      <c r="WSV45" s="51"/>
      <c r="WSW45" s="51"/>
      <c r="WSX45" s="51"/>
      <c r="WSY45" s="51"/>
      <c r="WSZ45" s="51"/>
      <c r="WTA45" s="51"/>
      <c r="WTB45" s="51"/>
      <c r="WTC45" s="51"/>
      <c r="WTD45" s="51"/>
      <c r="WTE45" s="51"/>
      <c r="WTF45" s="51"/>
      <c r="WTG45" s="51"/>
      <c r="WTH45" s="51"/>
      <c r="WTI45" s="51"/>
      <c r="WTJ45" s="51"/>
      <c r="WTK45" s="51"/>
      <c r="WTL45" s="51"/>
      <c r="WTM45" s="51"/>
      <c r="WTN45" s="51"/>
      <c r="WTO45" s="51"/>
      <c r="WTP45" s="51"/>
      <c r="WTQ45" s="51"/>
      <c r="WTR45" s="51"/>
      <c r="WTS45" s="51"/>
      <c r="WTT45" s="51"/>
      <c r="WTU45" s="51"/>
      <c r="WTV45" s="51"/>
      <c r="WTW45" s="51"/>
      <c r="WTX45" s="51"/>
      <c r="WTY45" s="51"/>
      <c r="WTZ45" s="51"/>
      <c r="WUA45" s="51"/>
      <c r="WUB45" s="51"/>
      <c r="WUC45" s="51"/>
      <c r="WUD45" s="51"/>
      <c r="WUE45" s="51"/>
      <c r="WUF45" s="51"/>
      <c r="WUG45" s="51"/>
      <c r="WUH45" s="51"/>
      <c r="WUI45" s="51"/>
      <c r="WUJ45" s="51"/>
      <c r="WUK45" s="51"/>
      <c r="WUL45" s="51"/>
      <c r="WUM45" s="51"/>
      <c r="WUN45" s="51"/>
      <c r="WUO45" s="51"/>
      <c r="WUP45" s="51"/>
      <c r="WUQ45" s="51"/>
      <c r="WUR45" s="51"/>
      <c r="WUS45" s="51"/>
      <c r="WUT45" s="51"/>
      <c r="WUU45" s="51"/>
      <c r="WUV45" s="51"/>
      <c r="WUW45" s="51"/>
      <c r="WUX45" s="51"/>
      <c r="WUY45" s="51"/>
      <c r="WUZ45" s="51"/>
      <c r="WVA45" s="51"/>
      <c r="WVB45" s="51"/>
      <c r="WVC45" s="51"/>
      <c r="WVD45" s="51"/>
      <c r="WVE45" s="51"/>
      <c r="WVF45" s="51"/>
      <c r="WVG45" s="51"/>
      <c r="WVH45" s="51"/>
      <c r="WVI45" s="51"/>
      <c r="WVJ45" s="51"/>
      <c r="WVK45" s="51"/>
      <c r="WVL45" s="51"/>
      <c r="WVM45" s="51"/>
      <c r="WVN45" s="51"/>
      <c r="WVO45" s="51"/>
      <c r="WVP45" s="51"/>
      <c r="WVQ45" s="51"/>
      <c r="WVR45" s="51"/>
      <c r="WVS45" s="51"/>
      <c r="WVT45" s="51"/>
      <c r="WVU45" s="51"/>
      <c r="WVV45" s="51"/>
      <c r="WVW45" s="51"/>
      <c r="WVX45" s="51"/>
      <c r="WVY45" s="51"/>
      <c r="WVZ45" s="51"/>
      <c r="WWA45" s="51"/>
      <c r="WWB45" s="51"/>
      <c r="WWC45" s="51"/>
      <c r="WWD45" s="51"/>
      <c r="WWE45" s="51"/>
      <c r="WWF45" s="51"/>
      <c r="WWG45" s="51"/>
      <c r="WWH45" s="51"/>
      <c r="WWI45" s="51"/>
      <c r="WWJ45" s="51"/>
      <c r="WWK45" s="51"/>
      <c r="WWL45" s="51"/>
      <c r="WWM45" s="51"/>
      <c r="WWN45" s="51"/>
      <c r="WWO45" s="51"/>
      <c r="WWP45" s="51"/>
      <c r="WWQ45" s="51"/>
      <c r="WWR45" s="51"/>
      <c r="WWS45" s="51"/>
      <c r="WWT45" s="51"/>
      <c r="WWU45" s="51"/>
      <c r="WWV45" s="51"/>
      <c r="WWW45" s="51"/>
      <c r="WWX45" s="51"/>
      <c r="WWY45" s="51"/>
      <c r="WWZ45" s="51"/>
      <c r="WXA45" s="51"/>
      <c r="WXB45" s="51"/>
      <c r="WXC45" s="51"/>
      <c r="WXD45" s="51"/>
      <c r="WXE45" s="51"/>
      <c r="WXF45" s="51"/>
      <c r="WXG45" s="51"/>
      <c r="WXH45" s="51"/>
      <c r="WXI45" s="51"/>
      <c r="WXJ45" s="51"/>
      <c r="WXK45" s="51"/>
      <c r="WXL45" s="51"/>
      <c r="WXM45" s="51"/>
      <c r="WXN45" s="51"/>
      <c r="WXO45" s="51"/>
      <c r="WXP45" s="51"/>
      <c r="WXQ45" s="51"/>
      <c r="WXR45" s="51"/>
      <c r="WXS45" s="51"/>
      <c r="WXT45" s="51"/>
      <c r="WXU45" s="51"/>
      <c r="WXV45" s="51"/>
      <c r="WXW45" s="51"/>
      <c r="WXX45" s="51"/>
      <c r="WXY45" s="51"/>
      <c r="WXZ45" s="51"/>
      <c r="WYA45" s="51"/>
      <c r="WYB45" s="51"/>
      <c r="WYC45" s="51"/>
      <c r="WYD45" s="51"/>
      <c r="WYE45" s="51"/>
      <c r="WYF45" s="51"/>
      <c r="WYG45" s="51"/>
      <c r="WYH45" s="51"/>
      <c r="WYI45" s="51"/>
      <c r="WYJ45" s="51"/>
      <c r="WYK45" s="51"/>
      <c r="WYL45" s="51"/>
      <c r="WYM45" s="51"/>
      <c r="WYN45" s="51"/>
      <c r="WYO45" s="51"/>
      <c r="WYP45" s="51"/>
      <c r="WYQ45" s="51"/>
      <c r="WYR45" s="51"/>
      <c r="WYS45" s="51"/>
      <c r="WYT45" s="51"/>
      <c r="WYU45" s="51"/>
      <c r="WYV45" s="51"/>
      <c r="WYW45" s="51"/>
      <c r="WYX45" s="51"/>
      <c r="WYY45" s="51"/>
      <c r="WYZ45" s="51"/>
      <c r="WZA45" s="51"/>
      <c r="WZB45" s="51"/>
      <c r="WZC45" s="51"/>
      <c r="WZD45" s="51"/>
      <c r="WZE45" s="51"/>
      <c r="WZF45" s="51"/>
      <c r="WZG45" s="51"/>
      <c r="WZH45" s="51"/>
      <c r="WZI45" s="51"/>
      <c r="WZJ45" s="51"/>
      <c r="WZK45" s="51"/>
      <c r="WZL45" s="51"/>
      <c r="WZM45" s="51"/>
      <c r="WZN45" s="51"/>
      <c r="WZO45" s="51"/>
      <c r="WZP45" s="51"/>
      <c r="WZQ45" s="51"/>
      <c r="WZR45" s="51"/>
      <c r="WZS45" s="51"/>
      <c r="WZT45" s="51"/>
      <c r="WZU45" s="51"/>
      <c r="WZV45" s="51"/>
      <c r="WZW45" s="51"/>
      <c r="WZX45" s="51"/>
      <c r="WZY45" s="51"/>
      <c r="WZZ45" s="51"/>
      <c r="XAA45" s="51"/>
      <c r="XAB45" s="51"/>
      <c r="XAC45" s="51"/>
      <c r="XAD45" s="51"/>
      <c r="XAE45" s="51"/>
      <c r="XAF45" s="51"/>
      <c r="XAG45" s="51"/>
      <c r="XAH45" s="51"/>
      <c r="XAI45" s="51"/>
      <c r="XAJ45" s="51"/>
      <c r="XAK45" s="51"/>
      <c r="XAL45" s="51"/>
      <c r="XAM45" s="51"/>
      <c r="XAN45" s="51"/>
      <c r="XAO45" s="51"/>
      <c r="XAP45" s="51"/>
      <c r="XAQ45" s="51"/>
      <c r="XAR45" s="51"/>
      <c r="XAS45" s="51"/>
      <c r="XAT45" s="51"/>
      <c r="XAU45" s="51"/>
      <c r="XAV45" s="51"/>
      <c r="XAW45" s="51"/>
      <c r="XAX45" s="51"/>
      <c r="XAY45" s="51"/>
      <c r="XAZ45" s="51"/>
      <c r="XBA45" s="51"/>
      <c r="XBB45" s="51"/>
      <c r="XBC45" s="51"/>
      <c r="XBD45" s="51"/>
      <c r="XBE45" s="51"/>
      <c r="XBF45" s="51"/>
      <c r="XBG45" s="51"/>
      <c r="XBH45" s="51"/>
      <c r="XBI45" s="51"/>
      <c r="XBJ45" s="51"/>
      <c r="XBK45" s="51"/>
      <c r="XBL45" s="51"/>
      <c r="XBM45" s="51"/>
      <c r="XBN45" s="51"/>
      <c r="XBO45" s="51"/>
      <c r="XBP45" s="51"/>
      <c r="XBQ45" s="51"/>
      <c r="XBR45" s="51"/>
      <c r="XBS45" s="51"/>
      <c r="XBT45" s="51"/>
      <c r="XBU45" s="51"/>
      <c r="XBV45" s="51"/>
      <c r="XBW45" s="51"/>
      <c r="XBX45" s="51"/>
      <c r="XBY45" s="51"/>
      <c r="XBZ45" s="51"/>
      <c r="XCA45" s="51"/>
      <c r="XCB45" s="51"/>
      <c r="XCC45" s="51"/>
      <c r="XCD45" s="51"/>
      <c r="XCE45" s="51"/>
      <c r="XCF45" s="51"/>
      <c r="XCG45" s="51"/>
      <c r="XCH45" s="51"/>
      <c r="XCI45" s="51"/>
      <c r="XCJ45" s="51"/>
      <c r="XCK45" s="51"/>
      <c r="XCL45" s="51"/>
      <c r="XCM45" s="51"/>
      <c r="XCN45" s="51"/>
      <c r="XCO45" s="51"/>
      <c r="XCP45" s="51"/>
      <c r="XCQ45" s="51"/>
      <c r="XCR45" s="51"/>
      <c r="XCS45" s="51"/>
      <c r="XCT45" s="51"/>
      <c r="XCU45" s="51"/>
      <c r="XCV45" s="51"/>
      <c r="XCW45" s="51"/>
      <c r="XCX45" s="51"/>
      <c r="XCY45" s="51"/>
      <c r="XCZ45" s="51"/>
      <c r="XDA45" s="51"/>
      <c r="XDB45" s="51"/>
      <c r="XDC45" s="51"/>
      <c r="XDD45" s="51"/>
      <c r="XDE45" s="51"/>
      <c r="XDF45" s="51"/>
      <c r="XDG45" s="51"/>
      <c r="XDH45" s="51"/>
      <c r="XDI45" s="51"/>
      <c r="XDJ45" s="51"/>
      <c r="XDK45" s="51"/>
      <c r="XDL45" s="51"/>
      <c r="XDM45" s="51"/>
      <c r="XDN45" s="51"/>
      <c r="XDO45" s="51"/>
      <c r="XDP45" s="51"/>
      <c r="XDQ45" s="51"/>
      <c r="XDR45" s="51"/>
      <c r="XDS45" s="51"/>
      <c r="XDT45" s="51"/>
      <c r="XDU45" s="51"/>
      <c r="XDV45" s="51"/>
      <c r="XDW45" s="51"/>
      <c r="XDX45" s="51"/>
      <c r="XDY45" s="51"/>
      <c r="XDZ45" s="51"/>
      <c r="XEA45" s="51"/>
      <c r="XEB45" s="51"/>
      <c r="XEC45" s="51"/>
      <c r="XED45" s="51"/>
      <c r="XEE45" s="51"/>
      <c r="XEF45" s="51"/>
      <c r="XEG45" s="51"/>
      <c r="XEH45" s="51"/>
      <c r="XEI45" s="51"/>
      <c r="XEJ45" s="51"/>
      <c r="XEK45" s="51"/>
      <c r="XEL45" s="51"/>
      <c r="XEM45" s="51"/>
      <c r="XEN45" s="51"/>
      <c r="XEO45" s="51"/>
      <c r="XEP45" s="51"/>
      <c r="XEQ45" s="51"/>
      <c r="XER45" s="51"/>
      <c r="XES45" s="51"/>
      <c r="XET45" s="51"/>
      <c r="XEU45" s="51"/>
      <c r="XEV45" s="51"/>
      <c r="XEW45" s="51"/>
      <c r="XEX45" s="51"/>
      <c r="XEY45" s="51"/>
      <c r="XEZ45" s="51"/>
      <c r="XFA45" s="51"/>
      <c r="XFB45" s="51"/>
      <c r="XFC45" s="51"/>
      <c r="XFD45" s="51"/>
    </row>
    <row r="46" spans="1:16384" s="258" customFormat="1">
      <c r="B46" s="27" t="s">
        <v>1034</v>
      </c>
    </row>
    <row r="47" spans="1:16384" s="258" customFormat="1">
      <c r="B47" s="51" t="s">
        <v>1035</v>
      </c>
      <c r="D47" s="258" t="s">
        <v>186</v>
      </c>
      <c r="F47" s="87">
        <v>20526000</v>
      </c>
    </row>
    <row r="48" spans="1:16384" s="258" customFormat="1">
      <c r="B48" s="51" t="s">
        <v>1036</v>
      </c>
      <c r="D48" s="51" t="s">
        <v>130</v>
      </c>
      <c r="G48" s="98">
        <f>SUM(G52:G54)</f>
        <v>19985273.597241011</v>
      </c>
      <c r="H48" s="98">
        <f t="shared" ref="H48:O48" si="3">SUM(H52:H54)</f>
        <v>25842899.396344915</v>
      </c>
      <c r="I48" s="98">
        <f t="shared" si="3"/>
        <v>55951317.580227047</v>
      </c>
      <c r="J48" s="98">
        <f t="shared" si="3"/>
        <v>285864717.62611955</v>
      </c>
      <c r="K48" s="98">
        <f t="shared" si="3"/>
        <v>303823427.93078792</v>
      </c>
      <c r="L48" s="98">
        <f t="shared" si="3"/>
        <v>14478725.84568538</v>
      </c>
      <c r="M48" s="98">
        <f t="shared" si="3"/>
        <v>254083461.48785806</v>
      </c>
      <c r="N48" s="98">
        <f t="shared" si="3"/>
        <v>7003402.6006437773</v>
      </c>
      <c r="O48" s="98">
        <f t="shared" si="3"/>
        <v>0</v>
      </c>
    </row>
    <row r="49" spans="2:15" s="258" customFormat="1">
      <c r="B49" s="51" t="s">
        <v>1037</v>
      </c>
      <c r="D49" s="258" t="s">
        <v>186</v>
      </c>
      <c r="F49" s="408">
        <f>SUM(G49:O49)</f>
        <v>20526000.000000004</v>
      </c>
      <c r="G49" s="98">
        <f>$F$47*(G48/SUM($G$48:$O$48))</f>
        <v>424202.30742871604</v>
      </c>
      <c r="H49" s="98">
        <f t="shared" ref="H49:O49" si="4">$F$47*(H48/SUM($G$48:$O$48))</f>
        <v>548534.77493003092</v>
      </c>
      <c r="I49" s="98">
        <f t="shared" si="4"/>
        <v>1187608.3610126707</v>
      </c>
      <c r="J49" s="98">
        <f t="shared" si="4"/>
        <v>6067691.4048451642</v>
      </c>
      <c r="K49" s="98">
        <f t="shared" si="4"/>
        <v>6448878.3979887497</v>
      </c>
      <c r="L49" s="98">
        <f t="shared" si="4"/>
        <v>307321.73279906576</v>
      </c>
      <c r="M49" s="98">
        <f t="shared" si="4"/>
        <v>5393110.5880634151</v>
      </c>
      <c r="N49" s="98">
        <f t="shared" si="4"/>
        <v>148652.43293219121</v>
      </c>
      <c r="O49" s="98">
        <f t="shared" si="4"/>
        <v>0</v>
      </c>
    </row>
    <row r="50" spans="2:15" s="258" customFormat="1">
      <c r="B50" s="51" t="s">
        <v>1039</v>
      </c>
      <c r="D50" s="258" t="s">
        <v>186</v>
      </c>
      <c r="F50" s="408">
        <f>SUM(G50:O50)</f>
        <v>-5176855.5348366806</v>
      </c>
      <c r="G50" s="87">
        <v>-108357.91199833773</v>
      </c>
      <c r="H50" s="87">
        <v>-137802.89852453323</v>
      </c>
      <c r="I50" s="87">
        <v>-293485.80450981267</v>
      </c>
      <c r="J50" s="87">
        <v>-1513004.1740142321</v>
      </c>
      <c r="K50" s="87">
        <v>-1622894.6422065566</v>
      </c>
      <c r="L50" s="87">
        <v>-89152.319996917315</v>
      </c>
      <c r="M50" s="87">
        <v>-1375785.8328529987</v>
      </c>
      <c r="N50" s="87">
        <v>-36371.9507332918</v>
      </c>
      <c r="O50" s="87">
        <v>0</v>
      </c>
    </row>
    <row r="52" spans="2:15">
      <c r="B52" s="248" t="s">
        <v>1186</v>
      </c>
      <c r="G52" s="98">
        <f>'Standaardisatie Output'!G97</f>
        <v>2460004.1538461535</v>
      </c>
      <c r="H52" s="98">
        <f>'Standaardisatie Output'!H97</f>
        <v>3335249</v>
      </c>
      <c r="I52" s="98">
        <f>'Standaardisatie Output'!I97</f>
        <v>7015242</v>
      </c>
      <c r="J52" s="98">
        <f>'Standaardisatie Output'!J97</f>
        <v>36335481.066730432</v>
      </c>
      <c r="K52" s="98">
        <f>'Standaardisatie Output'!K97</f>
        <v>39810433.299085908</v>
      </c>
      <c r="L52" s="98">
        <f>'Standaardisatie Output'!L97</f>
        <v>1820733.5999999999</v>
      </c>
      <c r="M52" s="98">
        <f>'Standaardisatie Output'!M97</f>
        <v>33859604.852220193</v>
      </c>
      <c r="N52" s="98">
        <f>'Standaardisatie Output'!N97</f>
        <v>897106.07674902538</v>
      </c>
      <c r="O52" s="98">
        <f>'Standaardisatie Output'!O97</f>
        <v>0</v>
      </c>
    </row>
    <row r="53" spans="2:15">
      <c r="B53" s="248" t="s">
        <v>1187</v>
      </c>
      <c r="G53" s="98">
        <f>'Standaardisatie Output'!G98</f>
        <v>14206173.876464965</v>
      </c>
      <c r="H53" s="98">
        <f>'Standaardisatie Output'!H98</f>
        <v>18028552.908958472</v>
      </c>
      <c r="I53" s="98">
        <f>'Standaardisatie Output'!I98</f>
        <v>39442321.454020187</v>
      </c>
      <c r="J53" s="98">
        <f>'Standaardisatie Output'!J98</f>
        <v>200624923.77728325</v>
      </c>
      <c r="K53" s="98">
        <f>'Standaardisatie Output'!K98</f>
        <v>210660279.26201135</v>
      </c>
      <c r="L53" s="98">
        <f>'Standaardisatie Output'!L98</f>
        <v>10205870.642235575</v>
      </c>
      <c r="M53" s="98">
        <f>'Standaardisatie Output'!M98</f>
        <v>175004125.17108148</v>
      </c>
      <c r="N53" s="98">
        <f>'Standaardisatie Output'!N98</f>
        <v>4882175.9691055454</v>
      </c>
      <c r="O53" s="98">
        <f>'Standaardisatie Output'!O98</f>
        <v>0</v>
      </c>
    </row>
    <row r="54" spans="2:15">
      <c r="B54" s="248" t="s">
        <v>1189</v>
      </c>
      <c r="G54" s="98">
        <f>SUMPRODUCT('Berekening wegingsfactoren'!$F$516:$F$528,'Berekening rekenvolumes'!G35:G47)</f>
        <v>3319095.5669298908</v>
      </c>
      <c r="H54" s="98">
        <f>SUMPRODUCT('Berekening wegingsfactoren'!$F$516:$F$528,'Berekening rekenvolumes'!H35:H47)</f>
        <v>4479097.4873864437</v>
      </c>
      <c r="I54" s="98">
        <f>SUMPRODUCT('Berekening wegingsfactoren'!$F$516:$F$528,'Berekening rekenvolumes'!I35:I47)</f>
        <v>9493754.1262068581</v>
      </c>
      <c r="J54" s="98">
        <f>SUMPRODUCT('Berekening wegingsfactoren'!$F$516:$F$528,'Berekening rekenvolumes'!J35:J47)</f>
        <v>48904312.782105841</v>
      </c>
      <c r="K54" s="98">
        <f>SUMPRODUCT('Berekening wegingsfactoren'!$F$516:$F$528,'Berekening rekenvolumes'!K35:K47)</f>
        <v>53352715.369690649</v>
      </c>
      <c r="L54" s="98">
        <f>SUMPRODUCT('Berekening wegingsfactoren'!$F$516:$F$528,'Berekening rekenvolumes'!L35:L47)</f>
        <v>2452121.6034498052</v>
      </c>
      <c r="M54" s="98">
        <f>SUMPRODUCT('Berekening wegingsfactoren'!$F$516:$F$528,'Berekening rekenvolumes'!M35:M47)</f>
        <v>45219731.464556389</v>
      </c>
      <c r="N54" s="98">
        <f>SUMPRODUCT('Berekening wegingsfactoren'!$F$516:$F$528,'Berekening rekenvolumes'!N35:N47)</f>
        <v>1224120.5547892067</v>
      </c>
      <c r="O54" s="98">
        <f>SUMPRODUCT('Berekening wegingsfactoren'!$F$516:$F$528,'Berekening rekenvolumes'!O35:O47)</f>
        <v>0</v>
      </c>
    </row>
  </sheetData>
  <pageMargins left="0.25" right="0.25" top="0.75" bottom="0.75" header="0.3" footer="0.3"/>
  <pageSetup scale="77"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G10:S12"/>
  <sheetViews>
    <sheetView showGridLines="0" zoomScale="85" zoomScaleNormal="85" workbookViewId="0"/>
  </sheetViews>
  <sheetFormatPr defaultRowHeight="12.75"/>
  <cols>
    <col min="1" max="16384" width="9.140625" style="273"/>
  </cols>
  <sheetData>
    <row r="10" spans="7:19">
      <c r="H10" s="512" t="s">
        <v>806</v>
      </c>
      <c r="I10" s="515" t="s">
        <v>807</v>
      </c>
      <c r="J10" s="515" t="s">
        <v>808</v>
      </c>
      <c r="K10" s="515" t="s">
        <v>807</v>
      </c>
      <c r="L10" s="515" t="s">
        <v>809</v>
      </c>
      <c r="M10" s="515" t="s">
        <v>810</v>
      </c>
      <c r="N10" s="515" t="s">
        <v>811</v>
      </c>
      <c r="O10" s="515" t="s">
        <v>812</v>
      </c>
      <c r="P10" s="515" t="s">
        <v>813</v>
      </c>
      <c r="Q10" s="515" t="s">
        <v>814</v>
      </c>
      <c r="R10" s="515" t="s">
        <v>807</v>
      </c>
      <c r="S10" s="509" t="s">
        <v>815</v>
      </c>
    </row>
    <row r="11" spans="7:19">
      <c r="G11" s="274"/>
      <c r="H11" s="513"/>
      <c r="I11" s="516" t="s">
        <v>807</v>
      </c>
      <c r="J11" s="516" t="s">
        <v>808</v>
      </c>
      <c r="K11" s="516" t="s">
        <v>807</v>
      </c>
      <c r="L11" s="516" t="s">
        <v>809</v>
      </c>
      <c r="M11" s="516" t="s">
        <v>810</v>
      </c>
      <c r="N11" s="516" t="s">
        <v>811</v>
      </c>
      <c r="O11" s="516" t="s">
        <v>812</v>
      </c>
      <c r="P11" s="516" t="s">
        <v>813</v>
      </c>
      <c r="Q11" s="516" t="s">
        <v>814</v>
      </c>
      <c r="R11" s="516" t="s">
        <v>807</v>
      </c>
      <c r="S11" s="510" t="s">
        <v>815</v>
      </c>
    </row>
    <row r="12" spans="7:19">
      <c r="H12" s="514"/>
      <c r="I12" s="517"/>
      <c r="J12" s="517"/>
      <c r="K12" s="517"/>
      <c r="L12" s="517"/>
      <c r="M12" s="517"/>
      <c r="N12" s="517"/>
      <c r="O12" s="517"/>
      <c r="P12" s="517"/>
      <c r="Q12" s="517"/>
      <c r="R12" s="517"/>
      <c r="S12" s="511"/>
    </row>
  </sheetData>
  <mergeCells count="12">
    <mergeCell ref="S10:S12"/>
    <mergeCell ref="H10:H12"/>
    <mergeCell ref="I10:I12"/>
    <mergeCell ref="J10:J12"/>
    <mergeCell ref="K10:K12"/>
    <mergeCell ref="L10:L12"/>
    <mergeCell ref="M10:M12"/>
    <mergeCell ref="N10:N12"/>
    <mergeCell ref="O10:O12"/>
    <mergeCell ref="P10:P12"/>
    <mergeCell ref="Q10:Q12"/>
    <mergeCell ref="R10:R12"/>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2:K98"/>
  <sheetViews>
    <sheetView showGridLines="0" zoomScale="85" zoomScaleNormal="85" workbookViewId="0"/>
  </sheetViews>
  <sheetFormatPr defaultRowHeight="12.75"/>
  <cols>
    <col min="1" max="1" width="9.140625" style="277"/>
    <col min="2" max="2" width="50.7109375" style="277" customWidth="1"/>
    <col min="3" max="3" width="2.42578125" style="277" customWidth="1"/>
    <col min="4" max="4" width="4" style="277" customWidth="1"/>
    <col min="5" max="5" width="16" style="277" customWidth="1"/>
    <col min="6" max="6" width="2.85546875" style="277" customWidth="1"/>
    <col min="7" max="7" width="52.28515625" style="277" customWidth="1"/>
    <col min="8" max="8" width="2.42578125" style="277" customWidth="1"/>
    <col min="9" max="9" width="4" style="277" customWidth="1"/>
    <col min="10" max="10" width="13.5703125" style="277" customWidth="1"/>
    <col min="11" max="16384" width="9.140625" style="277"/>
  </cols>
  <sheetData>
    <row r="2" spans="2:10" ht="19.5" customHeight="1">
      <c r="B2" s="489" t="s">
        <v>1177</v>
      </c>
      <c r="C2" s="275"/>
      <c r="D2" s="275"/>
      <c r="E2" s="275"/>
      <c r="F2" s="275"/>
      <c r="G2" s="275"/>
      <c r="H2" s="275"/>
      <c r="I2" s="275"/>
      <c r="J2" s="276"/>
    </row>
    <row r="3" spans="2:10" ht="4.5" customHeight="1">
      <c r="B3" s="278"/>
      <c r="C3" s="279"/>
      <c r="D3" s="279"/>
      <c r="E3" s="279"/>
      <c r="F3" s="279"/>
      <c r="G3" s="279"/>
      <c r="H3" s="279"/>
      <c r="I3" s="279"/>
      <c r="J3" s="282"/>
    </row>
    <row r="4" spans="2:10">
      <c r="B4" s="299" t="s">
        <v>1011</v>
      </c>
      <c r="C4" s="279"/>
      <c r="D4" s="279"/>
      <c r="E4" s="281"/>
      <c r="F4" s="279"/>
      <c r="G4" s="279"/>
      <c r="H4" s="279"/>
      <c r="I4" s="279"/>
      <c r="J4" s="282"/>
    </row>
    <row r="5" spans="2:10" ht="4.5" customHeight="1">
      <c r="B5" s="278"/>
      <c r="C5" s="279"/>
      <c r="D5" s="279"/>
      <c r="E5" s="279"/>
      <c r="F5" s="279"/>
      <c r="G5" s="279"/>
      <c r="H5" s="279"/>
      <c r="I5" s="279"/>
      <c r="J5" s="282"/>
    </row>
    <row r="6" spans="2:10" ht="4.5" customHeight="1">
      <c r="B6" s="283"/>
      <c r="C6" s="284"/>
      <c r="D6" s="284"/>
      <c r="E6" s="284"/>
      <c r="F6" s="284"/>
      <c r="G6" s="284"/>
      <c r="H6" s="284"/>
      <c r="I6" s="284"/>
      <c r="J6" s="285"/>
    </row>
    <row r="7" spans="2:10">
      <c r="B7" s="294" t="s">
        <v>28</v>
      </c>
      <c r="C7" s="275"/>
      <c r="D7" s="275"/>
      <c r="E7" s="275"/>
      <c r="F7" s="275"/>
      <c r="G7" s="275"/>
      <c r="H7" s="275"/>
      <c r="I7" s="275"/>
      <c r="J7" s="276"/>
    </row>
    <row r="8" spans="2:10">
      <c r="B8" s="286"/>
      <c r="C8" s="287"/>
      <c r="D8" s="287"/>
      <c r="E8" s="287"/>
      <c r="F8" s="287"/>
      <c r="G8" s="287"/>
      <c r="H8" s="287"/>
      <c r="I8" s="287"/>
      <c r="J8" s="280"/>
    </row>
    <row r="9" spans="2:10">
      <c r="B9" s="288" t="s">
        <v>265</v>
      </c>
      <c r="C9" s="279"/>
      <c r="D9" s="279"/>
      <c r="E9" s="308" t="s">
        <v>820</v>
      </c>
      <c r="F9" s="279"/>
      <c r="G9" s="279"/>
      <c r="H9" s="279"/>
      <c r="I9" s="279"/>
      <c r="J9" s="282"/>
    </row>
    <row r="10" spans="2:10">
      <c r="B10" s="289" t="s">
        <v>201</v>
      </c>
      <c r="C10" s="279"/>
      <c r="D10" s="279"/>
      <c r="E10" s="300">
        <f>'Berekening rekenvolumes'!G10</f>
        <v>136666.89743589741</v>
      </c>
      <c r="F10" s="279"/>
      <c r="G10" s="279"/>
      <c r="H10" s="279"/>
      <c r="I10" s="279"/>
      <c r="J10" s="282"/>
    </row>
    <row r="11" spans="2:10">
      <c r="B11" s="290" t="s">
        <v>202</v>
      </c>
      <c r="C11" s="279"/>
      <c r="D11" s="279"/>
      <c r="E11" s="301">
        <f>'Berekening rekenvolumes'!G11</f>
        <v>477360.217948718</v>
      </c>
      <c r="F11" s="279"/>
      <c r="G11" s="279"/>
      <c r="H11" s="279"/>
      <c r="I11" s="279"/>
      <c r="J11" s="282"/>
    </row>
    <row r="12" spans="2:10">
      <c r="B12" s="290"/>
      <c r="C12" s="279"/>
      <c r="D12" s="279"/>
      <c r="E12" s="281"/>
      <c r="F12" s="279"/>
      <c r="G12" s="279"/>
      <c r="H12" s="279"/>
      <c r="I12" s="279"/>
      <c r="J12" s="282"/>
    </row>
    <row r="13" spans="2:10">
      <c r="B13" s="291" t="s">
        <v>266</v>
      </c>
      <c r="C13" s="279"/>
      <c r="D13" s="279"/>
      <c r="E13" s="308" t="s">
        <v>820</v>
      </c>
      <c r="F13" s="279"/>
      <c r="G13" s="279"/>
      <c r="H13" s="279"/>
      <c r="I13" s="279"/>
      <c r="J13" s="282"/>
    </row>
    <row r="14" spans="2:10">
      <c r="B14" s="289" t="s">
        <v>201</v>
      </c>
      <c r="C14" s="279"/>
      <c r="D14" s="279"/>
      <c r="E14" s="300">
        <f>'Berekening rekenvolumes'!G14</f>
        <v>509.4871794871795</v>
      </c>
      <c r="F14" s="279"/>
      <c r="G14" s="279"/>
      <c r="H14" s="279"/>
      <c r="I14" s="279"/>
      <c r="J14" s="282"/>
    </row>
    <row r="15" spans="2:10">
      <c r="B15" s="290" t="s">
        <v>202</v>
      </c>
      <c r="C15" s="279"/>
      <c r="D15" s="279"/>
      <c r="E15" s="301">
        <f>'Berekening rekenvolumes'!G15</f>
        <v>35170.128205128211</v>
      </c>
      <c r="F15" s="279"/>
      <c r="G15" s="279"/>
      <c r="H15" s="279"/>
      <c r="I15" s="279"/>
      <c r="J15" s="282"/>
    </row>
    <row r="16" spans="2:10">
      <c r="B16" s="292"/>
      <c r="C16" s="279"/>
      <c r="D16" s="279"/>
      <c r="E16" s="281"/>
      <c r="F16" s="279"/>
      <c r="G16" s="279"/>
      <c r="H16" s="279"/>
      <c r="I16" s="279"/>
      <c r="J16" s="282"/>
    </row>
    <row r="17" spans="1:11">
      <c r="B17" s="288" t="s">
        <v>204</v>
      </c>
      <c r="C17" s="279"/>
      <c r="D17" s="279"/>
      <c r="E17" s="308" t="s">
        <v>820</v>
      </c>
      <c r="F17" s="279"/>
      <c r="G17" s="279"/>
      <c r="H17" s="279"/>
      <c r="I17" s="279"/>
      <c r="J17" s="282"/>
    </row>
    <row r="18" spans="1:11">
      <c r="B18" s="289" t="s">
        <v>201</v>
      </c>
      <c r="C18" s="279"/>
      <c r="D18" s="279"/>
      <c r="E18" s="300">
        <f>'Berekening rekenvolumes'!G18</f>
        <v>113.33333333333333</v>
      </c>
      <c r="F18" s="279"/>
      <c r="G18" s="279"/>
      <c r="H18" s="279"/>
      <c r="I18" s="279"/>
      <c r="J18" s="282"/>
    </row>
    <row r="19" spans="1:11">
      <c r="B19" s="290" t="s">
        <v>262</v>
      </c>
      <c r="C19" s="279"/>
      <c r="D19" s="279"/>
      <c r="E19" s="300">
        <f>'Berekening rekenvolumes'!G19</f>
        <v>7366.3888888888878</v>
      </c>
      <c r="F19" s="279"/>
      <c r="G19" s="279"/>
      <c r="H19" s="279"/>
      <c r="I19" s="279"/>
      <c r="J19" s="282"/>
    </row>
    <row r="20" spans="1:11">
      <c r="B20" s="289" t="s">
        <v>263</v>
      </c>
      <c r="C20" s="279"/>
      <c r="D20" s="279"/>
      <c r="E20" s="300">
        <f>'Berekening rekenvolumes'!G20</f>
        <v>23341.638888888891</v>
      </c>
      <c r="F20" s="279"/>
      <c r="G20" s="279"/>
      <c r="H20" s="279"/>
      <c r="I20" s="279"/>
      <c r="J20" s="282"/>
    </row>
    <row r="21" spans="1:11">
      <c r="B21" s="290" t="s">
        <v>264</v>
      </c>
      <c r="C21" s="279"/>
      <c r="D21" s="279"/>
      <c r="E21" s="300">
        <f>'Berekening rekenvolumes'!G21</f>
        <v>0</v>
      </c>
      <c r="F21" s="279"/>
      <c r="G21" s="279"/>
      <c r="H21" s="279"/>
      <c r="I21" s="279"/>
      <c r="J21" s="282"/>
    </row>
    <row r="22" spans="1:11">
      <c r="B22" s="293"/>
      <c r="C22" s="279"/>
      <c r="D22" s="279"/>
      <c r="E22" s="281"/>
      <c r="F22" s="279"/>
      <c r="G22" s="279"/>
      <c r="H22" s="279"/>
      <c r="I22" s="279"/>
      <c r="J22" s="282"/>
    </row>
    <row r="23" spans="1:11">
      <c r="B23" s="288" t="s">
        <v>206</v>
      </c>
      <c r="C23" s="279"/>
      <c r="D23" s="279"/>
      <c r="E23" s="308" t="s">
        <v>820</v>
      </c>
      <c r="F23" s="279"/>
      <c r="G23" s="279"/>
      <c r="H23" s="279"/>
      <c r="I23" s="279"/>
      <c r="J23" s="282"/>
    </row>
    <row r="24" spans="1:11">
      <c r="B24" s="289" t="s">
        <v>201</v>
      </c>
      <c r="C24" s="279"/>
      <c r="D24" s="279"/>
      <c r="E24" s="300">
        <f>'Berekening rekenvolumes'!G25</f>
        <v>0</v>
      </c>
      <c r="F24" s="279"/>
      <c r="G24" s="279"/>
      <c r="H24" s="279"/>
      <c r="I24" s="279"/>
      <c r="J24" s="282"/>
    </row>
    <row r="25" spans="1:11">
      <c r="B25" s="290" t="s">
        <v>202</v>
      </c>
      <c r="C25" s="279"/>
      <c r="D25" s="279"/>
      <c r="E25" s="301">
        <f>'Berekening rekenvolumes'!G26</f>
        <v>0</v>
      </c>
      <c r="F25" s="279"/>
      <c r="G25" s="279"/>
      <c r="H25" s="279"/>
      <c r="I25" s="279"/>
      <c r="J25" s="282"/>
    </row>
    <row r="26" spans="1:11" ht="4.5" customHeight="1">
      <c r="B26" s="278"/>
      <c r="C26" s="279"/>
      <c r="D26" s="279"/>
      <c r="E26" s="279"/>
      <c r="F26" s="279"/>
      <c r="G26" s="279"/>
      <c r="H26" s="279"/>
      <c r="I26" s="279"/>
      <c r="J26" s="282"/>
    </row>
    <row r="27" spans="1:11" ht="4.5" customHeight="1">
      <c r="B27" s="283"/>
      <c r="C27" s="284"/>
      <c r="D27" s="284"/>
      <c r="E27" s="284"/>
      <c r="F27" s="284"/>
      <c r="G27" s="284"/>
      <c r="H27" s="284"/>
      <c r="I27" s="284"/>
      <c r="J27" s="285"/>
    </row>
    <row r="28" spans="1:11" ht="19.5" customHeight="1">
      <c r="A28" s="279"/>
      <c r="B28" s="284"/>
      <c r="C28" s="284"/>
      <c r="D28" s="284"/>
      <c r="E28" s="284"/>
      <c r="F28" s="284"/>
      <c r="G28" s="284"/>
      <c r="H28" s="284"/>
      <c r="I28" s="284"/>
      <c r="J28" s="284"/>
      <c r="K28" s="279"/>
    </row>
    <row r="29" spans="1:11" ht="19.5" customHeight="1">
      <c r="B29" s="489" t="s">
        <v>1177</v>
      </c>
      <c r="C29" s="275"/>
      <c r="D29" s="275"/>
      <c r="E29" s="275"/>
      <c r="F29" s="275"/>
      <c r="G29" s="275"/>
      <c r="H29" s="275"/>
      <c r="I29" s="275"/>
      <c r="J29" s="276"/>
    </row>
    <row r="30" spans="1:11" ht="4.5" customHeight="1">
      <c r="B30" s="278"/>
      <c r="C30" s="279"/>
      <c r="D30" s="279"/>
      <c r="E30" s="279"/>
      <c r="F30" s="279"/>
      <c r="G30" s="279"/>
      <c r="H30" s="279"/>
      <c r="I30" s="279"/>
      <c r="J30" s="282"/>
    </row>
    <row r="31" spans="1:11">
      <c r="B31" s="299" t="s">
        <v>1011</v>
      </c>
      <c r="C31" s="279"/>
      <c r="D31" s="279"/>
      <c r="E31" s="281"/>
      <c r="F31" s="279"/>
      <c r="G31" s="279"/>
      <c r="H31" s="279"/>
      <c r="I31" s="279"/>
      <c r="J31" s="282"/>
    </row>
    <row r="32" spans="1:11" ht="4.5" customHeight="1">
      <c r="B32" s="278"/>
      <c r="C32" s="279"/>
      <c r="D32" s="279"/>
      <c r="E32" s="279"/>
      <c r="F32" s="279"/>
      <c r="G32" s="279"/>
      <c r="H32" s="279"/>
      <c r="I32" s="279"/>
      <c r="J32" s="282"/>
    </row>
    <row r="33" spans="2:10" ht="4.5" customHeight="1">
      <c r="B33" s="283"/>
      <c r="C33" s="284"/>
      <c r="D33" s="284"/>
      <c r="E33" s="284"/>
      <c r="F33" s="284"/>
      <c r="G33" s="284"/>
      <c r="H33" s="284"/>
      <c r="I33" s="284"/>
      <c r="J33" s="285"/>
    </row>
    <row r="34" spans="2:10" ht="12.75" customHeight="1">
      <c r="B34" s="294" t="s">
        <v>136</v>
      </c>
      <c r="C34" s="275"/>
      <c r="D34" s="275"/>
      <c r="E34" s="275"/>
      <c r="F34" s="275"/>
      <c r="G34" s="275"/>
      <c r="H34" s="275"/>
      <c r="I34" s="275"/>
      <c r="J34" s="276"/>
    </row>
    <row r="35" spans="2:10" ht="12.75" customHeight="1">
      <c r="B35" s="278"/>
      <c r="C35" s="279"/>
      <c r="D35" s="279"/>
      <c r="E35" s="279"/>
      <c r="F35" s="279"/>
      <c r="G35" s="279"/>
      <c r="H35" s="279"/>
      <c r="I35" s="279"/>
      <c r="J35" s="305"/>
    </row>
    <row r="36" spans="2:10" ht="12.75" customHeight="1">
      <c r="B36" s="295" t="s">
        <v>816</v>
      </c>
      <c r="C36" s="296"/>
      <c r="D36" s="296"/>
      <c r="E36" s="297"/>
      <c r="F36" s="279"/>
      <c r="G36" s="295" t="s">
        <v>817</v>
      </c>
      <c r="H36" s="296"/>
      <c r="I36" s="296"/>
      <c r="J36" s="297"/>
    </row>
    <row r="37" spans="2:10" ht="12.75" customHeight="1">
      <c r="B37" s="286"/>
      <c r="C37" s="287"/>
      <c r="D37" s="287"/>
      <c r="E37" s="280"/>
      <c r="F37" s="279"/>
      <c r="G37" s="278"/>
      <c r="H37" s="279"/>
      <c r="I37" s="279"/>
      <c r="J37" s="282"/>
    </row>
    <row r="38" spans="2:10" ht="12.75" customHeight="1">
      <c r="B38" s="298" t="s">
        <v>284</v>
      </c>
      <c r="C38" s="279"/>
      <c r="D38" s="279"/>
      <c r="E38" s="309" t="s">
        <v>820</v>
      </c>
      <c r="F38" s="279"/>
      <c r="G38" s="298" t="s">
        <v>284</v>
      </c>
      <c r="H38" s="279"/>
      <c r="I38" s="279"/>
      <c r="J38" s="309" t="s">
        <v>820</v>
      </c>
    </row>
    <row r="39" spans="2:10" ht="12.75" customHeight="1">
      <c r="B39" s="278" t="s">
        <v>292</v>
      </c>
      <c r="C39" s="279"/>
      <c r="D39" s="279"/>
      <c r="E39" s="303">
        <f>'Berekening rekenvolumes'!G121</f>
        <v>3.6666666666666665</v>
      </c>
      <c r="F39" s="279"/>
      <c r="G39" s="278" t="s">
        <v>292</v>
      </c>
      <c r="H39" s="279"/>
      <c r="I39" s="279"/>
      <c r="J39" s="303">
        <f>'Berekening rekenvolumes'!G53</f>
        <v>233.51282051282053</v>
      </c>
    </row>
    <row r="40" spans="2:10" ht="12.75" customHeight="1">
      <c r="B40" s="278" t="s">
        <v>293</v>
      </c>
      <c r="C40" s="279"/>
      <c r="D40" s="279"/>
      <c r="E40" s="303">
        <f>'Berekening rekenvolumes'!G122</f>
        <v>1.6666666666666667</v>
      </c>
      <c r="F40" s="279"/>
      <c r="G40" s="278" t="s">
        <v>293</v>
      </c>
      <c r="H40" s="279"/>
      <c r="I40" s="279"/>
      <c r="J40" s="303">
        <f>'Berekening rekenvolumes'!G54</f>
        <v>182.71794871794873</v>
      </c>
    </row>
    <row r="41" spans="2:10" ht="12.75" customHeight="1">
      <c r="B41" s="278" t="s">
        <v>294</v>
      </c>
      <c r="C41" s="279"/>
      <c r="D41" s="279"/>
      <c r="E41" s="303">
        <f>'Berekening rekenvolumes'!G123</f>
        <v>0.66666666666666663</v>
      </c>
      <c r="F41" s="279"/>
      <c r="G41" s="278" t="s">
        <v>294</v>
      </c>
      <c r="H41" s="279"/>
      <c r="I41" s="279"/>
      <c r="J41" s="303">
        <f>'Berekening rekenvolumes'!G55</f>
        <v>63.717948717948723</v>
      </c>
    </row>
    <row r="42" spans="2:10" ht="12.75" customHeight="1">
      <c r="B42" s="278" t="s">
        <v>295</v>
      </c>
      <c r="C42" s="279"/>
      <c r="D42" s="279"/>
      <c r="E42" s="303">
        <f>'Berekening rekenvolumes'!G124</f>
        <v>0</v>
      </c>
      <c r="F42" s="279"/>
      <c r="G42" s="278" t="s">
        <v>295</v>
      </c>
      <c r="H42" s="279"/>
      <c r="I42" s="279"/>
      <c r="J42" s="303">
        <f>'Berekening rekenvolumes'!G56</f>
        <v>62.564102564102562</v>
      </c>
    </row>
    <row r="43" spans="2:10" ht="12.75" customHeight="1">
      <c r="B43" s="299" t="s">
        <v>296</v>
      </c>
      <c r="C43" s="279"/>
      <c r="D43" s="279"/>
      <c r="E43" s="303">
        <f>'Berekening rekenvolumes'!G125</f>
        <v>0</v>
      </c>
      <c r="F43" s="279"/>
      <c r="G43" s="299" t="s">
        <v>296</v>
      </c>
      <c r="H43" s="279"/>
      <c r="I43" s="279"/>
      <c r="J43" s="303">
        <f>'Berekening rekenvolumes'!G57</f>
        <v>18.076923076923077</v>
      </c>
    </row>
    <row r="44" spans="2:10" ht="12.75" customHeight="1">
      <c r="B44" s="278" t="s">
        <v>297</v>
      </c>
      <c r="C44" s="279"/>
      <c r="D44" s="279"/>
      <c r="E44" s="303">
        <f>'Berekening rekenvolumes'!G126</f>
        <v>0</v>
      </c>
      <c r="F44" s="279"/>
      <c r="G44" s="278" t="s">
        <v>297</v>
      </c>
      <c r="H44" s="279"/>
      <c r="I44" s="279"/>
      <c r="J44" s="303">
        <f>'Berekening rekenvolumes'!G58</f>
        <v>8</v>
      </c>
    </row>
    <row r="45" spans="2:10" ht="12.75" customHeight="1">
      <c r="B45" s="278" t="s">
        <v>298</v>
      </c>
      <c r="C45" s="279"/>
      <c r="D45" s="279"/>
      <c r="E45" s="303">
        <f>'Berekening rekenvolumes'!G127</f>
        <v>0</v>
      </c>
      <c r="F45" s="279"/>
      <c r="G45" s="278" t="s">
        <v>298</v>
      </c>
      <c r="H45" s="279"/>
      <c r="I45" s="279"/>
      <c r="J45" s="303">
        <f>'Berekening rekenvolumes'!G59</f>
        <v>7.6923076923076941E-2</v>
      </c>
    </row>
    <row r="46" spans="2:10" ht="12.75" customHeight="1">
      <c r="B46" s="278" t="s">
        <v>299</v>
      </c>
      <c r="C46" s="279"/>
      <c r="D46" s="279"/>
      <c r="E46" s="303">
        <f>'Berekening rekenvolumes'!G128</f>
        <v>0</v>
      </c>
      <c r="F46" s="279"/>
      <c r="G46" s="278" t="s">
        <v>299</v>
      </c>
      <c r="H46" s="279"/>
      <c r="I46" s="279"/>
      <c r="J46" s="303">
        <f>'Berekening rekenvolumes'!G60</f>
        <v>0</v>
      </c>
    </row>
    <row r="47" spans="2:10" ht="12.75" customHeight="1">
      <c r="B47" s="278" t="s">
        <v>300</v>
      </c>
      <c r="C47" s="279"/>
      <c r="D47" s="279"/>
      <c r="E47" s="303">
        <f>'Berekening rekenvolumes'!G129</f>
        <v>0</v>
      </c>
      <c r="F47" s="279"/>
      <c r="G47" s="278" t="s">
        <v>300</v>
      </c>
      <c r="H47" s="279"/>
      <c r="I47" s="279"/>
      <c r="J47" s="303">
        <f>'Berekening rekenvolumes'!G61</f>
        <v>0</v>
      </c>
    </row>
    <row r="48" spans="2:10" ht="12.75" customHeight="1">
      <c r="B48" s="278" t="s">
        <v>301</v>
      </c>
      <c r="C48" s="279"/>
      <c r="D48" s="279"/>
      <c r="E48" s="303">
        <f>'Berekening rekenvolumes'!G130</f>
        <v>0</v>
      </c>
      <c r="F48" s="279"/>
      <c r="G48" s="278" t="s">
        <v>301</v>
      </c>
      <c r="H48" s="279"/>
      <c r="I48" s="279"/>
      <c r="J48" s="303">
        <f>'Berekening rekenvolumes'!G62</f>
        <v>0</v>
      </c>
    </row>
    <row r="49" spans="2:10" ht="12.75" customHeight="1">
      <c r="B49" s="278"/>
      <c r="C49" s="279"/>
      <c r="D49" s="279"/>
      <c r="E49" s="282"/>
      <c r="F49" s="279"/>
      <c r="G49" s="278"/>
      <c r="H49" s="279"/>
      <c r="I49" s="279"/>
      <c r="J49" s="282"/>
    </row>
    <row r="50" spans="2:10" ht="12.75" customHeight="1">
      <c r="B50" s="298" t="s">
        <v>289</v>
      </c>
      <c r="C50" s="279"/>
      <c r="D50" s="279"/>
      <c r="E50" s="309" t="s">
        <v>820</v>
      </c>
      <c r="F50" s="279"/>
      <c r="G50" s="298" t="s">
        <v>289</v>
      </c>
      <c r="H50" s="279"/>
      <c r="I50" s="279"/>
      <c r="J50" s="309" t="s">
        <v>820</v>
      </c>
    </row>
    <row r="51" spans="2:10" ht="12.75" customHeight="1">
      <c r="B51" s="278" t="s">
        <v>292</v>
      </c>
      <c r="C51" s="279"/>
      <c r="D51" s="279"/>
      <c r="E51" s="303">
        <f>'Berekening rekenvolumes'!G133</f>
        <v>0</v>
      </c>
      <c r="F51" s="279"/>
      <c r="G51" s="278" t="s">
        <v>292</v>
      </c>
      <c r="H51" s="279"/>
      <c r="I51" s="279"/>
      <c r="J51" s="303">
        <f>'Berekening rekenvolumes'!G65</f>
        <v>0</v>
      </c>
    </row>
    <row r="52" spans="2:10" ht="12.75" customHeight="1">
      <c r="B52" s="278" t="s">
        <v>293</v>
      </c>
      <c r="C52" s="279"/>
      <c r="D52" s="279"/>
      <c r="E52" s="303">
        <f>'Berekening rekenvolumes'!G134</f>
        <v>0.33333333333333331</v>
      </c>
      <c r="F52" s="279"/>
      <c r="G52" s="278" t="s">
        <v>293</v>
      </c>
      <c r="H52" s="279"/>
      <c r="I52" s="279"/>
      <c r="J52" s="303">
        <f>'Berekening rekenvolumes'!G66</f>
        <v>4.666666666666667</v>
      </c>
    </row>
    <row r="53" spans="2:10" ht="12.75" customHeight="1">
      <c r="B53" s="278" t="s">
        <v>294</v>
      </c>
      <c r="C53" s="279"/>
      <c r="D53" s="279"/>
      <c r="E53" s="303">
        <f>'Berekening rekenvolumes'!G135</f>
        <v>0</v>
      </c>
      <c r="F53" s="279"/>
      <c r="G53" s="278" t="s">
        <v>294</v>
      </c>
      <c r="H53" s="279"/>
      <c r="I53" s="279"/>
      <c r="J53" s="303">
        <f>'Berekening rekenvolumes'!G67</f>
        <v>3.6666666666666665</v>
      </c>
    </row>
    <row r="54" spans="2:10" ht="12.75" customHeight="1">
      <c r="B54" s="278" t="s">
        <v>295</v>
      </c>
      <c r="C54" s="279"/>
      <c r="D54" s="279"/>
      <c r="E54" s="303">
        <f>'Berekening rekenvolumes'!G136</f>
        <v>0</v>
      </c>
      <c r="F54" s="279"/>
      <c r="G54" s="278" t="s">
        <v>295</v>
      </c>
      <c r="H54" s="279"/>
      <c r="I54" s="279"/>
      <c r="J54" s="303">
        <f>'Berekening rekenvolumes'!G68</f>
        <v>22</v>
      </c>
    </row>
    <row r="55" spans="2:10" ht="12.75" customHeight="1">
      <c r="B55" s="299" t="s">
        <v>296</v>
      </c>
      <c r="C55" s="279"/>
      <c r="D55" s="279"/>
      <c r="E55" s="303">
        <f>'Berekening rekenvolumes'!G137</f>
        <v>0</v>
      </c>
      <c r="F55" s="279"/>
      <c r="G55" s="299" t="s">
        <v>296</v>
      </c>
      <c r="H55" s="279"/>
      <c r="I55" s="279"/>
      <c r="J55" s="303">
        <f>'Berekening rekenvolumes'!G69</f>
        <v>17</v>
      </c>
    </row>
    <row r="56" spans="2:10" ht="12.75" customHeight="1">
      <c r="B56" s="278" t="s">
        <v>297</v>
      </c>
      <c r="C56" s="279"/>
      <c r="D56" s="279"/>
      <c r="E56" s="303">
        <f>'Berekening rekenvolumes'!G138</f>
        <v>0</v>
      </c>
      <c r="F56" s="279"/>
      <c r="G56" s="278" t="s">
        <v>297</v>
      </c>
      <c r="H56" s="279"/>
      <c r="I56" s="279"/>
      <c r="J56" s="303">
        <f>'Berekening rekenvolumes'!G70</f>
        <v>8</v>
      </c>
    </row>
    <row r="57" spans="2:10" ht="12.75" customHeight="1">
      <c r="B57" s="278" t="s">
        <v>298</v>
      </c>
      <c r="C57" s="279"/>
      <c r="D57" s="279"/>
      <c r="E57" s="303">
        <f>'Berekening rekenvolumes'!G139</f>
        <v>0</v>
      </c>
      <c r="F57" s="279"/>
      <c r="G57" s="278" t="s">
        <v>298</v>
      </c>
      <c r="H57" s="279"/>
      <c r="I57" s="279"/>
      <c r="J57" s="303">
        <f>'Berekening rekenvolumes'!G71</f>
        <v>3</v>
      </c>
    </row>
    <row r="58" spans="2:10" ht="12.75" customHeight="1">
      <c r="B58" s="278" t="s">
        <v>299</v>
      </c>
      <c r="C58" s="279"/>
      <c r="D58" s="279"/>
      <c r="E58" s="303">
        <f>'Berekening rekenvolumes'!G140</f>
        <v>0</v>
      </c>
      <c r="F58" s="279"/>
      <c r="G58" s="278" t="s">
        <v>299</v>
      </c>
      <c r="H58" s="279"/>
      <c r="I58" s="279"/>
      <c r="J58" s="303">
        <f>'Berekening rekenvolumes'!G72</f>
        <v>0</v>
      </c>
    </row>
    <row r="59" spans="2:10" ht="12.75" customHeight="1">
      <c r="B59" s="278" t="s">
        <v>300</v>
      </c>
      <c r="C59" s="279"/>
      <c r="D59" s="279"/>
      <c r="E59" s="303">
        <f>'Berekening rekenvolumes'!G141</f>
        <v>0</v>
      </c>
      <c r="F59" s="279"/>
      <c r="G59" s="278" t="s">
        <v>300</v>
      </c>
      <c r="H59" s="279"/>
      <c r="I59" s="279"/>
      <c r="J59" s="303">
        <f>'Berekening rekenvolumes'!G73</f>
        <v>0</v>
      </c>
    </row>
    <row r="60" spans="2:10" ht="12.75" customHeight="1">
      <c r="B60" s="278" t="s">
        <v>301</v>
      </c>
      <c r="C60" s="279"/>
      <c r="D60" s="279"/>
      <c r="E60" s="303">
        <f>'Berekening rekenvolumes'!G142</f>
        <v>0</v>
      </c>
      <c r="F60" s="279"/>
      <c r="G60" s="278" t="s">
        <v>301</v>
      </c>
      <c r="H60" s="279"/>
      <c r="I60" s="279"/>
      <c r="J60" s="303">
        <f>'Berekening rekenvolumes'!G74</f>
        <v>0</v>
      </c>
    </row>
    <row r="61" spans="2:10" ht="12.75" customHeight="1">
      <c r="B61" s="278"/>
      <c r="C61" s="279"/>
      <c r="D61" s="279"/>
      <c r="E61" s="282"/>
      <c r="F61" s="279"/>
      <c r="G61" s="278"/>
      <c r="H61" s="279"/>
      <c r="I61" s="279"/>
      <c r="J61" s="282"/>
    </row>
    <row r="62" spans="2:10" ht="12.75" customHeight="1">
      <c r="B62" s="298" t="s">
        <v>290</v>
      </c>
      <c r="C62" s="279"/>
      <c r="D62" s="279"/>
      <c r="E62" s="309" t="s">
        <v>820</v>
      </c>
      <c r="F62" s="279"/>
      <c r="G62" s="298" t="s">
        <v>290</v>
      </c>
      <c r="H62" s="279"/>
      <c r="I62" s="279"/>
      <c r="J62" s="309" t="s">
        <v>820</v>
      </c>
    </row>
    <row r="63" spans="2:10" ht="12.75" customHeight="1">
      <c r="B63" s="283" t="s">
        <v>302</v>
      </c>
      <c r="C63" s="284"/>
      <c r="D63" s="284"/>
      <c r="E63" s="304">
        <f>'Berekening rekenvolumes'!F145</f>
        <v>0</v>
      </c>
      <c r="F63" s="279"/>
      <c r="G63" s="283" t="s">
        <v>302</v>
      </c>
      <c r="H63" s="284"/>
      <c r="I63" s="284"/>
      <c r="J63" s="304">
        <f>'Berekening rekenvolumes'!G77</f>
        <v>0</v>
      </c>
    </row>
    <row r="64" spans="2:10" ht="12.75" customHeight="1">
      <c r="B64" s="278"/>
      <c r="C64" s="279"/>
      <c r="D64" s="279"/>
      <c r="E64" s="279"/>
      <c r="F64" s="279"/>
      <c r="G64" s="279"/>
      <c r="H64" s="279"/>
      <c r="I64" s="279"/>
      <c r="J64" s="280"/>
    </row>
    <row r="65" spans="2:10" ht="12.75" customHeight="1">
      <c r="B65" s="295" t="s">
        <v>818</v>
      </c>
      <c r="C65" s="296"/>
      <c r="D65" s="296"/>
      <c r="E65" s="297"/>
      <c r="F65" s="279"/>
      <c r="G65" s="295" t="s">
        <v>306</v>
      </c>
      <c r="H65" s="296"/>
      <c r="I65" s="296"/>
      <c r="J65" s="297"/>
    </row>
    <row r="66" spans="2:10" ht="12.75" customHeight="1">
      <c r="B66" s="286"/>
      <c r="C66" s="287"/>
      <c r="D66" s="287"/>
      <c r="E66" s="280"/>
      <c r="F66" s="279"/>
      <c r="G66" s="286"/>
      <c r="H66" s="287"/>
      <c r="I66" s="287"/>
      <c r="J66" s="280"/>
    </row>
    <row r="67" spans="2:10" ht="12.75" customHeight="1">
      <c r="B67" s="298" t="s">
        <v>284</v>
      </c>
      <c r="C67" s="279"/>
      <c r="D67" s="279"/>
      <c r="E67" s="309" t="s">
        <v>820</v>
      </c>
      <c r="F67" s="279"/>
      <c r="G67" s="298" t="s">
        <v>284</v>
      </c>
      <c r="H67" s="279"/>
      <c r="I67" s="279"/>
      <c r="J67" s="309" t="s">
        <v>820</v>
      </c>
    </row>
    <row r="68" spans="2:10" ht="12.75" customHeight="1">
      <c r="B68" s="278" t="s">
        <v>285</v>
      </c>
      <c r="C68" s="279"/>
      <c r="D68" s="279"/>
      <c r="E68" s="303">
        <f>'Berekening rekenvolumes'!G85</f>
        <v>1101.3333333333333</v>
      </c>
      <c r="F68" s="279"/>
      <c r="G68" s="278" t="s">
        <v>285</v>
      </c>
      <c r="H68" s="279"/>
      <c r="I68" s="279"/>
      <c r="J68" s="303">
        <f>'Berekening rekenvolumes'!G35</f>
        <v>133669.8205128205</v>
      </c>
    </row>
    <row r="69" spans="2:10" ht="12.75" customHeight="1">
      <c r="B69" s="278" t="s">
        <v>286</v>
      </c>
      <c r="C69" s="279"/>
      <c r="D69" s="279"/>
      <c r="E69" s="303">
        <f>'Berekening rekenvolumes'!G86</f>
        <v>1</v>
      </c>
      <c r="F69" s="279"/>
      <c r="G69" s="278" t="s">
        <v>286</v>
      </c>
      <c r="H69" s="279"/>
      <c r="I69" s="279"/>
      <c r="J69" s="303">
        <f>'Berekening rekenvolumes'!G36</f>
        <v>3</v>
      </c>
    </row>
    <row r="70" spans="2:10" ht="12.75" customHeight="1">
      <c r="B70" s="278" t="s">
        <v>287</v>
      </c>
      <c r="C70" s="279"/>
      <c r="D70" s="279"/>
      <c r="E70" s="303">
        <f>'Berekening rekenvolumes'!G87</f>
        <v>16.666666666666668</v>
      </c>
      <c r="F70" s="279"/>
      <c r="G70" s="278" t="s">
        <v>287</v>
      </c>
      <c r="H70" s="279"/>
      <c r="I70" s="279"/>
      <c r="J70" s="303">
        <f>'Berekening rekenvolumes'!G37</f>
        <v>2278.8717948717949</v>
      </c>
    </row>
    <row r="71" spans="2:10" ht="12.75" customHeight="1">
      <c r="B71" s="278" t="s">
        <v>288</v>
      </c>
      <c r="C71" s="279"/>
      <c r="D71" s="279"/>
      <c r="E71" s="307">
        <f>'Berekening rekenvolumes'!G88</f>
        <v>4</v>
      </c>
      <c r="F71" s="279"/>
      <c r="G71" s="278" t="s">
        <v>288</v>
      </c>
      <c r="H71" s="279"/>
      <c r="I71" s="279"/>
      <c r="J71" s="307">
        <f>'Berekening rekenvolumes'!G38</f>
        <v>719.53846153846155</v>
      </c>
    </row>
    <row r="72" spans="2:10" ht="12.75" customHeight="1">
      <c r="B72" s="278"/>
      <c r="C72" s="279"/>
      <c r="D72" s="279"/>
      <c r="E72" s="282"/>
      <c r="F72" s="279"/>
      <c r="G72" s="278"/>
      <c r="H72" s="279"/>
      <c r="I72" s="279"/>
      <c r="J72" s="282"/>
    </row>
    <row r="73" spans="2:10" ht="12.75" customHeight="1">
      <c r="B73" s="298" t="s">
        <v>289</v>
      </c>
      <c r="C73" s="279"/>
      <c r="D73" s="279"/>
      <c r="E73" s="309" t="s">
        <v>820</v>
      </c>
      <c r="F73" s="279"/>
      <c r="G73" s="298" t="s">
        <v>289</v>
      </c>
      <c r="H73" s="279"/>
      <c r="I73" s="279"/>
      <c r="J73" s="309" t="s">
        <v>820</v>
      </c>
    </row>
    <row r="74" spans="2:10" ht="12.75" customHeight="1">
      <c r="B74" s="278" t="s">
        <v>285</v>
      </c>
      <c r="C74" s="279"/>
      <c r="D74" s="279"/>
      <c r="E74" s="303">
        <f>'Berekening rekenvolumes'!G91</f>
        <v>0</v>
      </c>
      <c r="F74" s="279"/>
      <c r="G74" s="278" t="s">
        <v>285</v>
      </c>
      <c r="H74" s="279"/>
      <c r="I74" s="279"/>
      <c r="J74" s="303">
        <f>'Berekening rekenvolumes'!G41</f>
        <v>0</v>
      </c>
    </row>
    <row r="75" spans="2:10" ht="12.75" customHeight="1">
      <c r="B75" s="278" t="s">
        <v>286</v>
      </c>
      <c r="C75" s="279"/>
      <c r="D75" s="279"/>
      <c r="E75" s="303">
        <f>'Berekening rekenvolumes'!G92</f>
        <v>0</v>
      </c>
      <c r="F75" s="279"/>
      <c r="G75" s="278" t="s">
        <v>286</v>
      </c>
      <c r="H75" s="279"/>
      <c r="I75" s="279"/>
      <c r="J75" s="303">
        <f>'Berekening rekenvolumes'!G42</f>
        <v>0</v>
      </c>
    </row>
    <row r="76" spans="2:10" ht="12.75" customHeight="1">
      <c r="B76" s="278" t="s">
        <v>287</v>
      </c>
      <c r="C76" s="279"/>
      <c r="D76" s="279"/>
      <c r="E76" s="303">
        <f>'Berekening rekenvolumes'!G93</f>
        <v>0</v>
      </c>
      <c r="F76" s="279"/>
      <c r="G76" s="278" t="s">
        <v>287</v>
      </c>
      <c r="H76" s="279"/>
      <c r="I76" s="279"/>
      <c r="J76" s="303">
        <f>'Berekening rekenvolumes'!G43</f>
        <v>0</v>
      </c>
    </row>
    <row r="77" spans="2:10" ht="12.75" customHeight="1">
      <c r="B77" s="278" t="s">
        <v>288</v>
      </c>
      <c r="C77" s="279"/>
      <c r="D77" s="279"/>
      <c r="E77" s="307">
        <f>'Berekening rekenvolumes'!G94</f>
        <v>0</v>
      </c>
      <c r="F77" s="279"/>
      <c r="G77" s="278" t="s">
        <v>288</v>
      </c>
      <c r="H77" s="279"/>
      <c r="I77" s="279"/>
      <c r="J77" s="307">
        <f>'Berekening rekenvolumes'!G44</f>
        <v>1</v>
      </c>
    </row>
    <row r="78" spans="2:10" ht="12.75" customHeight="1">
      <c r="B78" s="278"/>
      <c r="C78" s="279"/>
      <c r="D78" s="279"/>
      <c r="E78" s="282"/>
      <c r="F78" s="279"/>
      <c r="G78" s="278"/>
      <c r="H78" s="279"/>
      <c r="I78" s="279"/>
      <c r="J78" s="282"/>
    </row>
    <row r="79" spans="2:10" ht="12.75" customHeight="1">
      <c r="B79" s="298" t="s">
        <v>290</v>
      </c>
      <c r="C79" s="279"/>
      <c r="D79" s="279"/>
      <c r="E79" s="309" t="s">
        <v>820</v>
      </c>
      <c r="F79" s="279"/>
      <c r="G79" s="298" t="s">
        <v>290</v>
      </c>
      <c r="H79" s="279"/>
      <c r="I79" s="279"/>
      <c r="J79" s="309" t="s">
        <v>820</v>
      </c>
    </row>
    <row r="80" spans="2:10" ht="12.75" customHeight="1">
      <c r="B80" s="283" t="s">
        <v>291</v>
      </c>
      <c r="C80" s="284"/>
      <c r="D80" s="284"/>
      <c r="E80" s="304">
        <f>'Berekening rekenvolumes'!G97</f>
        <v>0</v>
      </c>
      <c r="F80" s="279"/>
      <c r="G80" s="283" t="s">
        <v>291</v>
      </c>
      <c r="H80" s="284"/>
      <c r="I80" s="284"/>
      <c r="J80" s="304">
        <f>'Berekening rekenvolumes'!G47</f>
        <v>0</v>
      </c>
    </row>
    <row r="81" spans="2:10" ht="12.75" customHeight="1">
      <c r="B81" s="278"/>
      <c r="C81" s="279"/>
      <c r="D81" s="279"/>
      <c r="E81" s="279"/>
      <c r="F81" s="279"/>
      <c r="G81" s="279"/>
      <c r="H81" s="279"/>
      <c r="I81" s="279"/>
      <c r="J81" s="282"/>
    </row>
    <row r="82" spans="2:10" ht="12.75" customHeight="1">
      <c r="B82" s="295" t="s">
        <v>819</v>
      </c>
      <c r="C82" s="296"/>
      <c r="D82" s="296"/>
      <c r="E82" s="297"/>
      <c r="F82" s="279"/>
      <c r="G82" s="279"/>
      <c r="H82" s="279"/>
      <c r="I82" s="279"/>
      <c r="J82" s="282"/>
    </row>
    <row r="83" spans="2:10" ht="12.75" customHeight="1">
      <c r="B83" s="286"/>
      <c r="C83" s="287"/>
      <c r="D83" s="287"/>
      <c r="E83" s="280"/>
      <c r="F83" s="279"/>
      <c r="G83" s="279"/>
      <c r="H83" s="279"/>
      <c r="I83" s="279"/>
      <c r="J83" s="282"/>
    </row>
    <row r="84" spans="2:10" ht="12.75" customHeight="1">
      <c r="B84" s="298" t="s">
        <v>284</v>
      </c>
      <c r="C84" s="279"/>
      <c r="D84" s="279"/>
      <c r="E84" s="309" t="s">
        <v>820</v>
      </c>
      <c r="F84" s="279"/>
      <c r="G84" s="279"/>
      <c r="H84" s="279"/>
      <c r="I84" s="279"/>
      <c r="J84" s="282"/>
    </row>
    <row r="85" spans="2:10" ht="12.75" customHeight="1">
      <c r="B85" s="278" t="s">
        <v>285</v>
      </c>
      <c r="C85" s="279"/>
      <c r="D85" s="279"/>
      <c r="E85" s="303">
        <f>'Berekening rekenvolumes'!G103</f>
        <v>1621</v>
      </c>
      <c r="F85" s="279"/>
      <c r="G85" s="279"/>
      <c r="H85" s="279"/>
      <c r="I85" s="279"/>
      <c r="J85" s="282"/>
    </row>
    <row r="86" spans="2:10" ht="12.75" customHeight="1">
      <c r="B86" s="278" t="s">
        <v>286</v>
      </c>
      <c r="C86" s="279"/>
      <c r="D86" s="279"/>
      <c r="E86" s="303">
        <f>'Berekening rekenvolumes'!G104</f>
        <v>483.33333333333331</v>
      </c>
      <c r="F86" s="279"/>
      <c r="G86" s="279"/>
      <c r="H86" s="279"/>
      <c r="I86" s="279"/>
      <c r="J86" s="282"/>
    </row>
    <row r="87" spans="2:10" ht="12.75" customHeight="1">
      <c r="B87" s="278" t="s">
        <v>287</v>
      </c>
      <c r="C87" s="279"/>
      <c r="D87" s="279"/>
      <c r="E87" s="303">
        <f>'Berekening rekenvolumes'!G105</f>
        <v>362</v>
      </c>
      <c r="F87" s="279"/>
      <c r="G87" s="279"/>
      <c r="H87" s="279"/>
      <c r="I87" s="279"/>
      <c r="J87" s="282"/>
    </row>
    <row r="88" spans="2:10" ht="12.75" customHeight="1">
      <c r="B88" s="278" t="s">
        <v>288</v>
      </c>
      <c r="C88" s="279"/>
      <c r="D88" s="279"/>
      <c r="E88" s="307">
        <f>'Berekening rekenvolumes'!G106</f>
        <v>113</v>
      </c>
      <c r="F88" s="279"/>
      <c r="G88" s="279"/>
      <c r="H88" s="279"/>
      <c r="I88" s="279"/>
      <c r="J88" s="282"/>
    </row>
    <row r="89" spans="2:10" ht="12.75" customHeight="1">
      <c r="B89" s="278"/>
      <c r="C89" s="279"/>
      <c r="D89" s="279"/>
      <c r="E89" s="282"/>
      <c r="F89" s="279"/>
      <c r="G89" s="279"/>
      <c r="H89" s="279"/>
      <c r="I89" s="279"/>
      <c r="J89" s="282"/>
    </row>
    <row r="90" spans="2:10" ht="12.75" customHeight="1">
      <c r="B90" s="298" t="s">
        <v>289</v>
      </c>
      <c r="C90" s="279"/>
      <c r="D90" s="279"/>
      <c r="E90" s="309" t="s">
        <v>820</v>
      </c>
      <c r="F90" s="279"/>
      <c r="G90" s="279"/>
      <c r="H90" s="279"/>
      <c r="I90" s="279"/>
      <c r="J90" s="282"/>
    </row>
    <row r="91" spans="2:10" ht="12.75" customHeight="1">
      <c r="B91" s="278" t="s">
        <v>285</v>
      </c>
      <c r="C91" s="279"/>
      <c r="D91" s="279"/>
      <c r="E91" s="303">
        <f>'Berekening rekenvolumes'!G109</f>
        <v>0</v>
      </c>
      <c r="F91" s="279"/>
      <c r="G91" s="279"/>
      <c r="H91" s="279"/>
      <c r="I91" s="279"/>
      <c r="J91" s="306"/>
    </row>
    <row r="92" spans="2:10" ht="12.75" customHeight="1">
      <c r="B92" s="278" t="s">
        <v>286</v>
      </c>
      <c r="C92" s="279"/>
      <c r="D92" s="279"/>
      <c r="E92" s="303">
        <f>'Berekening rekenvolumes'!G110</f>
        <v>0</v>
      </c>
      <c r="F92" s="279"/>
      <c r="G92" s="279"/>
      <c r="H92" s="279"/>
      <c r="I92" s="279"/>
      <c r="J92" s="306"/>
    </row>
    <row r="93" spans="2:10" ht="12.75" customHeight="1">
      <c r="B93" s="278" t="s">
        <v>287</v>
      </c>
      <c r="C93" s="279"/>
      <c r="D93" s="279"/>
      <c r="E93" s="303">
        <f>'Berekening rekenvolumes'!G111</f>
        <v>0</v>
      </c>
      <c r="F93" s="279"/>
      <c r="G93" s="279"/>
      <c r="H93" s="279"/>
      <c r="I93" s="279"/>
      <c r="J93" s="306"/>
    </row>
    <row r="94" spans="2:10" ht="12.75" customHeight="1">
      <c r="B94" s="278" t="s">
        <v>288</v>
      </c>
      <c r="C94" s="279"/>
      <c r="D94" s="279"/>
      <c r="E94" s="307">
        <f>'Berekening rekenvolumes'!G112</f>
        <v>86.333333333333329</v>
      </c>
      <c r="F94" s="279"/>
      <c r="G94" s="518" t="s">
        <v>1347</v>
      </c>
      <c r="H94" s="518"/>
      <c r="I94" s="518"/>
      <c r="J94" s="282"/>
    </row>
    <row r="95" spans="2:10" ht="12.75" customHeight="1">
      <c r="B95" s="278"/>
      <c r="C95" s="279"/>
      <c r="D95" s="279"/>
      <c r="E95" s="282"/>
      <c r="F95" s="279"/>
      <c r="G95" s="518"/>
      <c r="H95" s="518"/>
      <c r="I95" s="518"/>
      <c r="J95" s="302"/>
    </row>
    <row r="96" spans="2:10" ht="12.75" customHeight="1">
      <c r="B96" s="298" t="s">
        <v>290</v>
      </c>
      <c r="C96" s="279"/>
      <c r="D96" s="279"/>
      <c r="E96" s="309" t="s">
        <v>820</v>
      </c>
      <c r="F96" s="279"/>
      <c r="G96" s="518"/>
      <c r="H96" s="518"/>
      <c r="I96" s="518"/>
      <c r="J96" s="490"/>
    </row>
    <row r="97" spans="2:10" ht="12.75" customHeight="1">
      <c r="B97" s="283" t="s">
        <v>291</v>
      </c>
      <c r="C97" s="284"/>
      <c r="D97" s="284"/>
      <c r="E97" s="304">
        <f>'Berekening rekenvolumes'!G115</f>
        <v>0</v>
      </c>
      <c r="F97" s="279"/>
      <c r="G97" s="518"/>
      <c r="H97" s="518"/>
      <c r="I97" s="518"/>
      <c r="J97" s="491"/>
    </row>
    <row r="98" spans="2:10" ht="12.75" customHeight="1">
      <c r="B98" s="283"/>
      <c r="C98" s="284"/>
      <c r="D98" s="284"/>
      <c r="E98" s="284"/>
      <c r="F98" s="284"/>
      <c r="G98" s="284"/>
      <c r="H98" s="284"/>
      <c r="I98" s="284"/>
      <c r="J98" s="285"/>
    </row>
  </sheetData>
  <mergeCells count="1">
    <mergeCell ref="G94:I97"/>
  </mergeCells>
  <pageMargins left="0.7" right="0.7" top="0.75" bottom="0.75" header="0.3" footer="0.3"/>
  <pageSetup paperSize="9" scale="5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2"/>
  </sheetPr>
  <dimension ref="A1:AY398"/>
  <sheetViews>
    <sheetView showGridLines="0" zoomScale="85" zoomScaleNormal="85"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honeticPr fontId="4" type="noConversion"/>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2:K99"/>
  <sheetViews>
    <sheetView showGridLines="0" zoomScale="85" zoomScaleNormal="85" workbookViewId="0"/>
  </sheetViews>
  <sheetFormatPr defaultRowHeight="12.75"/>
  <cols>
    <col min="1" max="1" width="9.140625" style="277"/>
    <col min="2" max="2" width="50.7109375" style="277" customWidth="1"/>
    <col min="3" max="3" width="2.42578125" style="277" customWidth="1"/>
    <col min="4" max="4" width="4" style="277" customWidth="1"/>
    <col min="5" max="5" width="16" style="277" customWidth="1"/>
    <col min="6" max="6" width="2.85546875" style="277" customWidth="1"/>
    <col min="7" max="7" width="52.28515625" style="277" customWidth="1"/>
    <col min="8" max="8" width="2.42578125" style="277" customWidth="1"/>
    <col min="9" max="9" width="4" style="277" customWidth="1"/>
    <col min="10" max="10" width="13.5703125" style="277" customWidth="1"/>
    <col min="11" max="16384" width="9.140625" style="277"/>
  </cols>
  <sheetData>
    <row r="2" spans="2:10" ht="19.5" customHeight="1">
      <c r="B2" s="489" t="s">
        <v>1178</v>
      </c>
      <c r="C2" s="275"/>
      <c r="D2" s="275"/>
      <c r="E2" s="275"/>
      <c r="F2" s="275"/>
      <c r="G2" s="275"/>
      <c r="H2" s="275"/>
      <c r="I2" s="275"/>
      <c r="J2" s="276"/>
    </row>
    <row r="3" spans="2:10" ht="4.5" customHeight="1">
      <c r="B3" s="278"/>
      <c r="C3" s="279"/>
      <c r="D3" s="279"/>
      <c r="E3" s="279"/>
      <c r="F3" s="279"/>
      <c r="G3" s="279"/>
      <c r="H3" s="279"/>
      <c r="I3" s="279"/>
      <c r="J3" s="282"/>
    </row>
    <row r="4" spans="2:10">
      <c r="B4" s="299" t="s">
        <v>132</v>
      </c>
      <c r="C4" s="279"/>
      <c r="D4" s="279"/>
      <c r="E4" s="281"/>
      <c r="F4" s="279"/>
      <c r="G4" s="279"/>
      <c r="H4" s="279"/>
      <c r="I4" s="279"/>
      <c r="J4" s="282"/>
    </row>
    <row r="5" spans="2:10" ht="4.5" customHeight="1">
      <c r="B5" s="278"/>
      <c r="C5" s="279"/>
      <c r="D5" s="279"/>
      <c r="E5" s="279"/>
      <c r="F5" s="279"/>
      <c r="G5" s="279"/>
      <c r="H5" s="279"/>
      <c r="I5" s="279"/>
      <c r="J5" s="282"/>
    </row>
    <row r="6" spans="2:10" ht="4.5" customHeight="1">
      <c r="B6" s="283"/>
      <c r="C6" s="284"/>
      <c r="D6" s="284"/>
      <c r="E6" s="284"/>
      <c r="F6" s="284"/>
      <c r="G6" s="284"/>
      <c r="H6" s="284"/>
      <c r="I6" s="284"/>
      <c r="J6" s="285"/>
    </row>
    <row r="7" spans="2:10">
      <c r="B7" s="294" t="s">
        <v>28</v>
      </c>
      <c r="C7" s="275"/>
      <c r="D7" s="275"/>
      <c r="E7" s="275"/>
      <c r="F7" s="275"/>
      <c r="G7" s="275"/>
      <c r="H7" s="275"/>
      <c r="I7" s="275"/>
      <c r="J7" s="276"/>
    </row>
    <row r="8" spans="2:10">
      <c r="B8" s="286"/>
      <c r="C8" s="287"/>
      <c r="D8" s="287"/>
      <c r="E8" s="287"/>
      <c r="F8" s="287"/>
      <c r="G8" s="287"/>
      <c r="H8" s="287"/>
      <c r="I8" s="287"/>
      <c r="J8" s="280"/>
    </row>
    <row r="9" spans="2:10">
      <c r="B9" s="288" t="s">
        <v>265</v>
      </c>
      <c r="C9" s="279"/>
      <c r="D9" s="279"/>
      <c r="E9" s="308" t="s">
        <v>820</v>
      </c>
      <c r="F9" s="279"/>
      <c r="G9" s="279"/>
      <c r="H9" s="279"/>
      <c r="I9" s="279"/>
      <c r="J9" s="282"/>
    </row>
    <row r="10" spans="2:10">
      <c r="B10" s="289" t="s">
        <v>201</v>
      </c>
      <c r="C10" s="279"/>
      <c r="D10" s="279"/>
      <c r="E10" s="300">
        <f>'Berekening rekenvolumes'!H10</f>
        <v>185291.61111111112</v>
      </c>
      <c r="F10" s="279"/>
      <c r="G10" s="279"/>
      <c r="H10" s="279"/>
      <c r="I10" s="279"/>
      <c r="J10" s="282"/>
    </row>
    <row r="11" spans="2:10">
      <c r="B11" s="290" t="s">
        <v>202</v>
      </c>
      <c r="C11" s="279"/>
      <c r="D11" s="279"/>
      <c r="E11" s="301">
        <f>'Berekening rekenvolumes'!H11</f>
        <v>605800.97222222213</v>
      </c>
      <c r="F11" s="279"/>
      <c r="G11" s="279"/>
      <c r="H11" s="279"/>
      <c r="I11" s="279"/>
      <c r="J11" s="282"/>
    </row>
    <row r="12" spans="2:10">
      <c r="B12" s="290"/>
      <c r="C12" s="279"/>
      <c r="D12" s="279"/>
      <c r="E12" s="281"/>
      <c r="F12" s="279"/>
      <c r="G12" s="279"/>
      <c r="H12" s="279"/>
      <c r="I12" s="279"/>
      <c r="J12" s="282"/>
    </row>
    <row r="13" spans="2:10">
      <c r="B13" s="291" t="s">
        <v>266</v>
      </c>
      <c r="C13" s="279"/>
      <c r="D13" s="279"/>
      <c r="E13" s="308" t="s">
        <v>820</v>
      </c>
      <c r="F13" s="279"/>
      <c r="G13" s="279"/>
      <c r="H13" s="279"/>
      <c r="I13" s="279"/>
      <c r="J13" s="282"/>
    </row>
    <row r="14" spans="2:10">
      <c r="B14" s="289" t="s">
        <v>201</v>
      </c>
      <c r="C14" s="279"/>
      <c r="D14" s="279"/>
      <c r="E14" s="300">
        <f>'Berekening rekenvolumes'!H14</f>
        <v>561.11139359698655</v>
      </c>
      <c r="F14" s="279"/>
      <c r="G14" s="279"/>
      <c r="H14" s="279"/>
      <c r="I14" s="279"/>
      <c r="J14" s="282"/>
    </row>
    <row r="15" spans="2:10">
      <c r="B15" s="290" t="s">
        <v>202</v>
      </c>
      <c r="C15" s="279"/>
      <c r="D15" s="279"/>
      <c r="E15" s="301">
        <f>'Berekening rekenvolumes'!H15</f>
        <v>39622.650188323903</v>
      </c>
      <c r="F15" s="279"/>
      <c r="G15" s="279"/>
      <c r="H15" s="279"/>
      <c r="I15" s="279"/>
      <c r="J15" s="282"/>
    </row>
    <row r="16" spans="2:10">
      <c r="B16" s="292"/>
      <c r="C16" s="279"/>
      <c r="D16" s="279"/>
      <c r="E16" s="281"/>
      <c r="F16" s="279"/>
      <c r="G16" s="279"/>
      <c r="H16" s="279"/>
      <c r="I16" s="279"/>
      <c r="J16" s="282"/>
    </row>
    <row r="17" spans="1:11">
      <c r="B17" s="288" t="s">
        <v>204</v>
      </c>
      <c r="C17" s="279"/>
      <c r="D17" s="279"/>
      <c r="E17" s="308" t="s">
        <v>820</v>
      </c>
      <c r="F17" s="279"/>
      <c r="G17" s="279"/>
      <c r="H17" s="279"/>
      <c r="I17" s="279"/>
      <c r="J17" s="282"/>
    </row>
    <row r="18" spans="1:11">
      <c r="B18" s="289" t="s">
        <v>201</v>
      </c>
      <c r="C18" s="279"/>
      <c r="D18" s="279"/>
      <c r="E18" s="300">
        <f>'Berekening rekenvolumes'!H18</f>
        <v>184.19444444444443</v>
      </c>
      <c r="F18" s="279"/>
      <c r="G18" s="279"/>
      <c r="H18" s="279"/>
      <c r="I18" s="279"/>
      <c r="J18" s="282"/>
    </row>
    <row r="19" spans="1:11">
      <c r="B19" s="290" t="s">
        <v>262</v>
      </c>
      <c r="C19" s="279"/>
      <c r="D19" s="279"/>
      <c r="E19" s="300">
        <f>'Berekening rekenvolumes'!H19</f>
        <v>12207.361111111109</v>
      </c>
      <c r="F19" s="279"/>
      <c r="G19" s="279"/>
      <c r="H19" s="279"/>
      <c r="I19" s="279"/>
      <c r="J19" s="282"/>
    </row>
    <row r="20" spans="1:11">
      <c r="B20" s="289" t="s">
        <v>263</v>
      </c>
      <c r="C20" s="279"/>
      <c r="D20" s="279"/>
      <c r="E20" s="300">
        <f>'Berekening rekenvolumes'!H20</f>
        <v>48604.709229772852</v>
      </c>
      <c r="F20" s="279"/>
      <c r="G20" s="279"/>
      <c r="H20" s="279"/>
      <c r="I20" s="279"/>
      <c r="J20" s="282"/>
    </row>
    <row r="21" spans="1:11">
      <c r="B21" s="290" t="s">
        <v>264</v>
      </c>
      <c r="C21" s="279"/>
      <c r="D21" s="279"/>
      <c r="E21" s="300">
        <f>'Berekening rekenvolumes'!H21</f>
        <v>0</v>
      </c>
      <c r="F21" s="279"/>
      <c r="G21" s="279"/>
      <c r="H21" s="279"/>
      <c r="I21" s="279"/>
      <c r="J21" s="282"/>
    </row>
    <row r="22" spans="1:11">
      <c r="B22" s="293"/>
      <c r="C22" s="279"/>
      <c r="D22" s="279"/>
      <c r="E22" s="281"/>
      <c r="F22" s="279"/>
      <c r="G22" s="279"/>
      <c r="H22" s="279"/>
      <c r="I22" s="279"/>
      <c r="J22" s="282"/>
    </row>
    <row r="23" spans="1:11">
      <c r="B23" s="288" t="s">
        <v>206</v>
      </c>
      <c r="C23" s="279"/>
      <c r="D23" s="279"/>
      <c r="E23" s="308" t="s">
        <v>820</v>
      </c>
      <c r="F23" s="279"/>
      <c r="G23" s="279"/>
      <c r="H23" s="279"/>
      <c r="I23" s="279"/>
      <c r="J23" s="282"/>
    </row>
    <row r="24" spans="1:11">
      <c r="B24" s="289" t="s">
        <v>201</v>
      </c>
      <c r="C24" s="279"/>
      <c r="D24" s="279"/>
      <c r="E24" s="300">
        <f>'Berekening rekenvolumes'!H25</f>
        <v>4</v>
      </c>
      <c r="F24" s="279"/>
      <c r="G24" s="279"/>
      <c r="H24" s="279"/>
      <c r="I24" s="279"/>
      <c r="J24" s="282"/>
    </row>
    <row r="25" spans="1:11">
      <c r="B25" s="290" t="s">
        <v>202</v>
      </c>
      <c r="C25" s="279"/>
      <c r="D25" s="279"/>
      <c r="E25" s="301">
        <f>'Berekening rekenvolumes'!H26</f>
        <v>76157.666666666672</v>
      </c>
      <c r="F25" s="279"/>
      <c r="G25" s="279"/>
      <c r="H25" s="279"/>
      <c r="I25" s="279"/>
      <c r="J25" s="282"/>
    </row>
    <row r="26" spans="1:11" ht="4.5" customHeight="1">
      <c r="B26" s="283"/>
      <c r="C26" s="284"/>
      <c r="D26" s="284"/>
      <c r="E26" s="284"/>
      <c r="F26" s="284"/>
      <c r="G26" s="284"/>
      <c r="H26" s="284"/>
      <c r="I26" s="284"/>
      <c r="J26" s="285"/>
    </row>
    <row r="27" spans="1:11" ht="4.5" customHeight="1">
      <c r="A27" s="279"/>
      <c r="B27" s="279"/>
      <c r="C27" s="279"/>
      <c r="D27" s="279"/>
      <c r="E27" s="279"/>
      <c r="F27" s="279"/>
      <c r="G27" s="279"/>
      <c r="H27" s="279"/>
      <c r="I27" s="279"/>
      <c r="J27" s="279"/>
      <c r="K27" s="279"/>
    </row>
    <row r="28" spans="1:11" ht="4.5" customHeight="1">
      <c r="A28" s="279"/>
      <c r="B28" s="284"/>
      <c r="C28" s="284"/>
      <c r="D28" s="284"/>
      <c r="E28" s="284"/>
      <c r="F28" s="284"/>
      <c r="G28" s="284"/>
      <c r="H28" s="284"/>
      <c r="I28" s="284"/>
      <c r="J28" s="284"/>
      <c r="K28" s="279"/>
    </row>
    <row r="29" spans="1:11" ht="19.5" customHeight="1">
      <c r="B29" s="489" t="s">
        <v>1178</v>
      </c>
      <c r="C29" s="275"/>
      <c r="D29" s="275"/>
      <c r="E29" s="275"/>
      <c r="F29" s="275"/>
      <c r="G29" s="275"/>
      <c r="H29" s="275"/>
      <c r="I29" s="275"/>
      <c r="J29" s="276"/>
    </row>
    <row r="30" spans="1:11" ht="4.5" customHeight="1">
      <c r="B30" s="278"/>
      <c r="C30" s="279"/>
      <c r="D30" s="279"/>
      <c r="E30" s="279"/>
      <c r="F30" s="279"/>
      <c r="G30" s="279"/>
      <c r="H30" s="279"/>
      <c r="I30" s="279"/>
      <c r="J30" s="282"/>
    </row>
    <row r="31" spans="1:11">
      <c r="B31" s="299" t="s">
        <v>132</v>
      </c>
      <c r="C31" s="279"/>
      <c r="D31" s="279"/>
      <c r="E31" s="281"/>
      <c r="F31" s="279"/>
      <c r="G31" s="279"/>
      <c r="H31" s="279"/>
      <c r="I31" s="279"/>
      <c r="J31" s="282"/>
    </row>
    <row r="32" spans="1:11" ht="4.5" customHeight="1">
      <c r="B32" s="278"/>
      <c r="C32" s="279"/>
      <c r="D32" s="279"/>
      <c r="E32" s="279"/>
      <c r="F32" s="279"/>
      <c r="G32" s="279"/>
      <c r="H32" s="279"/>
      <c r="I32" s="279"/>
      <c r="J32" s="282"/>
    </row>
    <row r="33" spans="2:10" ht="4.5" customHeight="1">
      <c r="B33" s="283"/>
      <c r="C33" s="284"/>
      <c r="D33" s="284"/>
      <c r="E33" s="284"/>
      <c r="F33" s="284"/>
      <c r="G33" s="284"/>
      <c r="H33" s="284"/>
      <c r="I33" s="284"/>
      <c r="J33" s="285"/>
    </row>
    <row r="34" spans="2:10" ht="12.75" customHeight="1">
      <c r="B34" s="294" t="s">
        <v>136</v>
      </c>
      <c r="C34" s="275"/>
      <c r="D34" s="275"/>
      <c r="E34" s="275"/>
      <c r="F34" s="275"/>
      <c r="G34" s="275"/>
      <c r="H34" s="275"/>
      <c r="I34" s="275"/>
      <c r="J34" s="276"/>
    </row>
    <row r="35" spans="2:10" ht="12.75" customHeight="1">
      <c r="B35" s="278"/>
      <c r="C35" s="279"/>
      <c r="D35" s="279"/>
      <c r="E35" s="279"/>
      <c r="F35" s="279"/>
      <c r="G35" s="279"/>
      <c r="H35" s="279"/>
      <c r="I35" s="279"/>
      <c r="J35" s="305"/>
    </row>
    <row r="36" spans="2:10" ht="12.75" customHeight="1">
      <c r="B36" s="295" t="s">
        <v>816</v>
      </c>
      <c r="C36" s="296"/>
      <c r="D36" s="296"/>
      <c r="E36" s="297"/>
      <c r="F36" s="279"/>
      <c r="G36" s="295" t="s">
        <v>817</v>
      </c>
      <c r="H36" s="296"/>
      <c r="I36" s="296"/>
      <c r="J36" s="297"/>
    </row>
    <row r="37" spans="2:10" ht="12.75" customHeight="1">
      <c r="B37" s="286"/>
      <c r="C37" s="287"/>
      <c r="D37" s="287"/>
      <c r="E37" s="280"/>
      <c r="F37" s="279"/>
      <c r="G37" s="278"/>
      <c r="H37" s="279"/>
      <c r="I37" s="279"/>
      <c r="J37" s="282"/>
    </row>
    <row r="38" spans="2:10" ht="12.75" customHeight="1">
      <c r="B38" s="298" t="s">
        <v>284</v>
      </c>
      <c r="C38" s="279"/>
      <c r="D38" s="279"/>
      <c r="E38" s="309" t="s">
        <v>820</v>
      </c>
      <c r="F38" s="279"/>
      <c r="G38" s="298" t="s">
        <v>284</v>
      </c>
      <c r="H38" s="279"/>
      <c r="I38" s="279"/>
      <c r="J38" s="309" t="s">
        <v>820</v>
      </c>
    </row>
    <row r="39" spans="2:10" ht="12.75" customHeight="1">
      <c r="B39" s="278" t="s">
        <v>292</v>
      </c>
      <c r="C39" s="279"/>
      <c r="D39" s="279"/>
      <c r="E39" s="303">
        <f>'Berekening rekenvolumes'!H121</f>
        <v>1.6666666666666667</v>
      </c>
      <c r="F39" s="279"/>
      <c r="G39" s="278" t="s">
        <v>292</v>
      </c>
      <c r="H39" s="279"/>
      <c r="I39" s="279"/>
      <c r="J39" s="303">
        <f>'Berekening rekenvolumes'!H53</f>
        <v>191.47222222222206</v>
      </c>
    </row>
    <row r="40" spans="2:10" ht="12.75" customHeight="1">
      <c r="B40" s="278" t="s">
        <v>293</v>
      </c>
      <c r="C40" s="279"/>
      <c r="D40" s="279"/>
      <c r="E40" s="303">
        <f>'Berekening rekenvolumes'!H122</f>
        <v>2</v>
      </c>
      <c r="F40" s="279"/>
      <c r="G40" s="278" t="s">
        <v>293</v>
      </c>
      <c r="H40" s="279"/>
      <c r="I40" s="279"/>
      <c r="J40" s="303">
        <f>'Berekening rekenvolumes'!H54</f>
        <v>257.77777777777777</v>
      </c>
    </row>
    <row r="41" spans="2:10" ht="12.75" customHeight="1">
      <c r="B41" s="278" t="s">
        <v>294</v>
      </c>
      <c r="C41" s="279"/>
      <c r="D41" s="279"/>
      <c r="E41" s="303">
        <f>'Berekening rekenvolumes'!H123</f>
        <v>1.3333333333333333</v>
      </c>
      <c r="F41" s="279"/>
      <c r="G41" s="278" t="s">
        <v>294</v>
      </c>
      <c r="H41" s="279"/>
      <c r="I41" s="279"/>
      <c r="J41" s="303">
        <f>'Berekening rekenvolumes'!H55</f>
        <v>99.25</v>
      </c>
    </row>
    <row r="42" spans="2:10" ht="12.75" customHeight="1">
      <c r="B42" s="278" t="s">
        <v>295</v>
      </c>
      <c r="C42" s="279"/>
      <c r="D42" s="279"/>
      <c r="E42" s="303">
        <f>'Berekening rekenvolumes'!H124</f>
        <v>0</v>
      </c>
      <c r="F42" s="279"/>
      <c r="G42" s="278" t="s">
        <v>295</v>
      </c>
      <c r="H42" s="279"/>
      <c r="I42" s="279"/>
      <c r="J42" s="303">
        <f>'Berekening rekenvolumes'!H56</f>
        <v>58.888888888888879</v>
      </c>
    </row>
    <row r="43" spans="2:10" ht="12.75" customHeight="1">
      <c r="B43" s="299" t="s">
        <v>296</v>
      </c>
      <c r="C43" s="279"/>
      <c r="D43" s="279"/>
      <c r="E43" s="303">
        <f>'Berekening rekenvolumes'!H125</f>
        <v>0.66666666666666663</v>
      </c>
      <c r="F43" s="279"/>
      <c r="G43" s="299" t="s">
        <v>296</v>
      </c>
      <c r="H43" s="279"/>
      <c r="I43" s="279"/>
      <c r="J43" s="303">
        <f>'Berekening rekenvolumes'!H57</f>
        <v>9.3333333333333339</v>
      </c>
    </row>
    <row r="44" spans="2:10" ht="12.75" customHeight="1">
      <c r="B44" s="278" t="s">
        <v>297</v>
      </c>
      <c r="C44" s="279"/>
      <c r="D44" s="279"/>
      <c r="E44" s="303">
        <f>'Berekening rekenvolumes'!H126</f>
        <v>0</v>
      </c>
      <c r="F44" s="279"/>
      <c r="G44" s="278" t="s">
        <v>297</v>
      </c>
      <c r="H44" s="279"/>
      <c r="I44" s="279"/>
      <c r="J44" s="303">
        <f>'Berekening rekenvolumes'!H58</f>
        <v>0</v>
      </c>
    </row>
    <row r="45" spans="2:10" ht="12.75" customHeight="1">
      <c r="B45" s="278" t="s">
        <v>298</v>
      </c>
      <c r="C45" s="279"/>
      <c r="D45" s="279"/>
      <c r="E45" s="303">
        <f>'Berekening rekenvolumes'!H127</f>
        <v>0</v>
      </c>
      <c r="F45" s="279"/>
      <c r="G45" s="278" t="s">
        <v>298</v>
      </c>
      <c r="H45" s="279"/>
      <c r="I45" s="279"/>
      <c r="J45" s="303">
        <f>'Berekening rekenvolumes'!H59</f>
        <v>1</v>
      </c>
    </row>
    <row r="46" spans="2:10" ht="12.75" customHeight="1">
      <c r="B46" s="278" t="s">
        <v>299</v>
      </c>
      <c r="C46" s="279"/>
      <c r="D46" s="279"/>
      <c r="E46" s="303">
        <f>'Berekening rekenvolumes'!H128</f>
        <v>0</v>
      </c>
      <c r="F46" s="279"/>
      <c r="G46" s="278" t="s">
        <v>299</v>
      </c>
      <c r="H46" s="279"/>
      <c r="I46" s="279"/>
      <c r="J46" s="303">
        <f>'Berekening rekenvolumes'!H60</f>
        <v>0</v>
      </c>
    </row>
    <row r="47" spans="2:10" ht="12.75" customHeight="1">
      <c r="B47" s="278" t="s">
        <v>300</v>
      </c>
      <c r="C47" s="279"/>
      <c r="D47" s="279"/>
      <c r="E47" s="303">
        <f>'Berekening rekenvolumes'!H129</f>
        <v>0</v>
      </c>
      <c r="F47" s="279"/>
      <c r="G47" s="278" t="s">
        <v>300</v>
      </c>
      <c r="H47" s="279"/>
      <c r="I47" s="279"/>
      <c r="J47" s="303">
        <f>'Berekening rekenvolumes'!H61</f>
        <v>0</v>
      </c>
    </row>
    <row r="48" spans="2:10" ht="12.75" customHeight="1">
      <c r="B48" s="278" t="s">
        <v>301</v>
      </c>
      <c r="C48" s="279"/>
      <c r="D48" s="279"/>
      <c r="E48" s="303">
        <f>'Berekening rekenvolumes'!H130</f>
        <v>0</v>
      </c>
      <c r="F48" s="279"/>
      <c r="G48" s="278" t="s">
        <v>301</v>
      </c>
      <c r="H48" s="279"/>
      <c r="I48" s="279"/>
      <c r="J48" s="303">
        <f>'Berekening rekenvolumes'!H62</f>
        <v>0</v>
      </c>
    </row>
    <row r="49" spans="2:10" ht="12.75" customHeight="1">
      <c r="B49" s="278"/>
      <c r="C49" s="279"/>
      <c r="D49" s="279"/>
      <c r="E49" s="282"/>
      <c r="F49" s="279"/>
      <c r="G49" s="278"/>
      <c r="H49" s="279"/>
      <c r="I49" s="279"/>
      <c r="J49" s="282"/>
    </row>
    <row r="50" spans="2:10" ht="12.75" customHeight="1">
      <c r="B50" s="298" t="s">
        <v>289</v>
      </c>
      <c r="C50" s="279"/>
      <c r="D50" s="279"/>
      <c r="E50" s="309" t="s">
        <v>820</v>
      </c>
      <c r="F50" s="279"/>
      <c r="G50" s="298" t="s">
        <v>289</v>
      </c>
      <c r="H50" s="279"/>
      <c r="I50" s="279"/>
      <c r="J50" s="309" t="s">
        <v>820</v>
      </c>
    </row>
    <row r="51" spans="2:10" ht="12.75" customHeight="1">
      <c r="B51" s="278" t="s">
        <v>292</v>
      </c>
      <c r="C51" s="279"/>
      <c r="D51" s="279"/>
      <c r="E51" s="303">
        <f>'Berekening rekenvolumes'!H133</f>
        <v>0</v>
      </c>
      <c r="F51" s="279"/>
      <c r="G51" s="278" t="s">
        <v>292</v>
      </c>
      <c r="H51" s="279"/>
      <c r="I51" s="279"/>
      <c r="J51" s="303">
        <f>'Berekening rekenvolumes'!H65</f>
        <v>1.1944444444444444</v>
      </c>
    </row>
    <row r="52" spans="2:10" ht="12.75" customHeight="1">
      <c r="B52" s="278" t="s">
        <v>293</v>
      </c>
      <c r="C52" s="279"/>
      <c r="D52" s="279"/>
      <c r="E52" s="303">
        <f>'Berekening rekenvolumes'!H134</f>
        <v>0.33333333333333331</v>
      </c>
      <c r="F52" s="279"/>
      <c r="G52" s="278" t="s">
        <v>293</v>
      </c>
      <c r="H52" s="279"/>
      <c r="I52" s="279"/>
      <c r="J52" s="303">
        <f>'Berekening rekenvolumes'!H66</f>
        <v>22</v>
      </c>
    </row>
    <row r="53" spans="2:10" ht="12.75" customHeight="1">
      <c r="B53" s="278" t="s">
        <v>294</v>
      </c>
      <c r="C53" s="279"/>
      <c r="D53" s="279"/>
      <c r="E53" s="303">
        <f>'Berekening rekenvolumes'!H135</f>
        <v>0</v>
      </c>
      <c r="F53" s="279"/>
      <c r="G53" s="278" t="s">
        <v>294</v>
      </c>
      <c r="H53" s="279"/>
      <c r="I53" s="279"/>
      <c r="J53" s="303">
        <f>'Berekening rekenvolumes'!H67</f>
        <v>9.3333333333333339</v>
      </c>
    </row>
    <row r="54" spans="2:10" ht="12.75" customHeight="1">
      <c r="B54" s="278" t="s">
        <v>295</v>
      </c>
      <c r="C54" s="279"/>
      <c r="D54" s="279"/>
      <c r="E54" s="303">
        <f>'Berekening rekenvolumes'!H136</f>
        <v>0.33333333333333331</v>
      </c>
      <c r="F54" s="279"/>
      <c r="G54" s="278" t="s">
        <v>295</v>
      </c>
      <c r="H54" s="279"/>
      <c r="I54" s="279"/>
      <c r="J54" s="303">
        <f>'Berekening rekenvolumes'!H68</f>
        <v>37.333333333333336</v>
      </c>
    </row>
    <row r="55" spans="2:10" ht="12.75" customHeight="1">
      <c r="B55" s="299" t="s">
        <v>296</v>
      </c>
      <c r="C55" s="279"/>
      <c r="D55" s="279"/>
      <c r="E55" s="303">
        <f>'Berekening rekenvolumes'!H137</f>
        <v>0</v>
      </c>
      <c r="F55" s="279"/>
      <c r="G55" s="299" t="s">
        <v>296</v>
      </c>
      <c r="H55" s="279"/>
      <c r="I55" s="279"/>
      <c r="J55" s="303">
        <f>'Berekening rekenvolumes'!H69</f>
        <v>33.666666666666664</v>
      </c>
    </row>
    <row r="56" spans="2:10" ht="12.75" customHeight="1">
      <c r="B56" s="278" t="s">
        <v>297</v>
      </c>
      <c r="C56" s="279"/>
      <c r="D56" s="279"/>
      <c r="E56" s="303">
        <f>'Berekening rekenvolumes'!H138</f>
        <v>0</v>
      </c>
      <c r="F56" s="279"/>
      <c r="G56" s="278" t="s">
        <v>297</v>
      </c>
      <c r="H56" s="279"/>
      <c r="I56" s="279"/>
      <c r="J56" s="303">
        <f>'Berekening rekenvolumes'!H70</f>
        <v>17</v>
      </c>
    </row>
    <row r="57" spans="2:10" ht="12.75" customHeight="1">
      <c r="B57" s="278" t="s">
        <v>298</v>
      </c>
      <c r="C57" s="279"/>
      <c r="D57" s="279"/>
      <c r="E57" s="303">
        <f>'Berekening rekenvolumes'!H139</f>
        <v>0</v>
      </c>
      <c r="F57" s="279"/>
      <c r="G57" s="278" t="s">
        <v>298</v>
      </c>
      <c r="H57" s="279"/>
      <c r="I57" s="279"/>
      <c r="J57" s="303">
        <f>'Berekening rekenvolumes'!H71</f>
        <v>3</v>
      </c>
    </row>
    <row r="58" spans="2:10" ht="12.75" customHeight="1">
      <c r="B58" s="278" t="s">
        <v>299</v>
      </c>
      <c r="C58" s="279"/>
      <c r="D58" s="279"/>
      <c r="E58" s="303">
        <f>'Berekening rekenvolumes'!H140</f>
        <v>0</v>
      </c>
      <c r="F58" s="279"/>
      <c r="G58" s="278" t="s">
        <v>299</v>
      </c>
      <c r="H58" s="279"/>
      <c r="I58" s="279"/>
      <c r="J58" s="303">
        <f>'Berekening rekenvolumes'!H72</f>
        <v>2.3333333333333335</v>
      </c>
    </row>
    <row r="59" spans="2:10" ht="12.75" customHeight="1">
      <c r="B59" s="278" t="s">
        <v>300</v>
      </c>
      <c r="C59" s="279"/>
      <c r="D59" s="279"/>
      <c r="E59" s="303">
        <f>'Berekening rekenvolumes'!H141</f>
        <v>0</v>
      </c>
      <c r="F59" s="279"/>
      <c r="G59" s="278" t="s">
        <v>300</v>
      </c>
      <c r="H59" s="279"/>
      <c r="I59" s="279"/>
      <c r="J59" s="303">
        <f>'Berekening rekenvolumes'!H73</f>
        <v>0.66666666666666663</v>
      </c>
    </row>
    <row r="60" spans="2:10" ht="12.75" customHeight="1">
      <c r="B60" s="278" t="s">
        <v>301</v>
      </c>
      <c r="C60" s="279"/>
      <c r="D60" s="279"/>
      <c r="E60" s="303">
        <f>'Berekening rekenvolumes'!H142</f>
        <v>0</v>
      </c>
      <c r="F60" s="279"/>
      <c r="G60" s="278" t="s">
        <v>301</v>
      </c>
      <c r="H60" s="279"/>
      <c r="I60" s="279"/>
      <c r="J60" s="303">
        <f>'Berekening rekenvolumes'!H74</f>
        <v>0.66666666666666663</v>
      </c>
    </row>
    <row r="61" spans="2:10" ht="12.75" customHeight="1">
      <c r="B61" s="278"/>
      <c r="C61" s="279"/>
      <c r="D61" s="279"/>
      <c r="E61" s="282"/>
      <c r="F61" s="279"/>
      <c r="G61" s="278"/>
      <c r="H61" s="279"/>
      <c r="I61" s="279"/>
      <c r="J61" s="282"/>
    </row>
    <row r="62" spans="2:10" ht="12.75" customHeight="1">
      <c r="B62" s="298" t="s">
        <v>290</v>
      </c>
      <c r="C62" s="279"/>
      <c r="D62" s="279"/>
      <c r="E62" s="309" t="s">
        <v>820</v>
      </c>
      <c r="F62" s="279"/>
      <c r="G62" s="298" t="s">
        <v>290</v>
      </c>
      <c r="H62" s="279"/>
      <c r="I62" s="279"/>
      <c r="J62" s="309" t="s">
        <v>820</v>
      </c>
    </row>
    <row r="63" spans="2:10" ht="12.75" customHeight="1">
      <c r="B63" s="283" t="s">
        <v>302</v>
      </c>
      <c r="C63" s="284"/>
      <c r="D63" s="284"/>
      <c r="E63" s="304">
        <f>'Berekening rekenvolumes'!F145</f>
        <v>0</v>
      </c>
      <c r="F63" s="279"/>
      <c r="G63" s="283" t="s">
        <v>302</v>
      </c>
      <c r="H63" s="284"/>
      <c r="I63" s="284"/>
      <c r="J63" s="304">
        <f>'Berekening rekenvolumes'!H77</f>
        <v>4</v>
      </c>
    </row>
    <row r="64" spans="2:10" ht="12.75" customHeight="1">
      <c r="B64" s="278"/>
      <c r="C64" s="279"/>
      <c r="D64" s="279"/>
      <c r="E64" s="279"/>
      <c r="F64" s="279"/>
      <c r="G64" s="279"/>
      <c r="H64" s="279"/>
      <c r="I64" s="279"/>
      <c r="J64" s="280"/>
    </row>
    <row r="65" spans="2:10" ht="12.75" customHeight="1">
      <c r="B65" s="295" t="s">
        <v>818</v>
      </c>
      <c r="C65" s="296"/>
      <c r="D65" s="296"/>
      <c r="E65" s="297"/>
      <c r="F65" s="279"/>
      <c r="G65" s="295" t="s">
        <v>306</v>
      </c>
      <c r="H65" s="296"/>
      <c r="I65" s="296"/>
      <c r="J65" s="297"/>
    </row>
    <row r="66" spans="2:10" ht="12.75" customHeight="1">
      <c r="B66" s="286"/>
      <c r="C66" s="287"/>
      <c r="D66" s="287"/>
      <c r="E66" s="280"/>
      <c r="F66" s="279"/>
      <c r="G66" s="286"/>
      <c r="H66" s="287"/>
      <c r="I66" s="287"/>
      <c r="J66" s="280"/>
    </row>
    <row r="67" spans="2:10" ht="12.75" customHeight="1">
      <c r="B67" s="298" t="s">
        <v>284</v>
      </c>
      <c r="C67" s="279"/>
      <c r="D67" s="279"/>
      <c r="E67" s="309" t="s">
        <v>820</v>
      </c>
      <c r="F67" s="279"/>
      <c r="G67" s="298" t="s">
        <v>284</v>
      </c>
      <c r="H67" s="279"/>
      <c r="I67" s="279"/>
      <c r="J67" s="309" t="s">
        <v>820</v>
      </c>
    </row>
    <row r="68" spans="2:10" ht="12.75" customHeight="1">
      <c r="B68" s="278" t="s">
        <v>285</v>
      </c>
      <c r="C68" s="279"/>
      <c r="D68" s="279"/>
      <c r="E68" s="303">
        <f>'Berekening rekenvolumes'!H85</f>
        <v>1577.3333333333333</v>
      </c>
      <c r="F68" s="279"/>
      <c r="G68" s="278" t="s">
        <v>285</v>
      </c>
      <c r="H68" s="279"/>
      <c r="I68" s="279"/>
      <c r="J68" s="303">
        <f>'Berekening rekenvolumes'!H35</f>
        <v>181856.27777777778</v>
      </c>
    </row>
    <row r="69" spans="2:10" ht="12.75" customHeight="1">
      <c r="B69" s="278" t="s">
        <v>286</v>
      </c>
      <c r="C69" s="279"/>
      <c r="D69" s="279"/>
      <c r="E69" s="303">
        <f>'Berekening rekenvolumes'!H86</f>
        <v>14.333333333333334</v>
      </c>
      <c r="F69" s="279"/>
      <c r="G69" s="278" t="s">
        <v>286</v>
      </c>
      <c r="H69" s="279"/>
      <c r="I69" s="279"/>
      <c r="J69" s="303">
        <f>'Berekening rekenvolumes'!H36</f>
        <v>21.305555555555557</v>
      </c>
    </row>
    <row r="70" spans="2:10" ht="12.75" customHeight="1">
      <c r="B70" s="278" t="s">
        <v>287</v>
      </c>
      <c r="C70" s="279"/>
      <c r="D70" s="279"/>
      <c r="E70" s="303">
        <f>'Berekening rekenvolumes'!H87</f>
        <v>20.666666666666668</v>
      </c>
      <c r="F70" s="279"/>
      <c r="G70" s="278" t="s">
        <v>287</v>
      </c>
      <c r="H70" s="279"/>
      <c r="I70" s="279"/>
      <c r="J70" s="303">
        <f>'Berekening rekenvolumes'!H37</f>
        <v>2749.1111111111113</v>
      </c>
    </row>
    <row r="71" spans="2:10" ht="12.75" customHeight="1">
      <c r="B71" s="278" t="s">
        <v>288</v>
      </c>
      <c r="C71" s="279"/>
      <c r="D71" s="279"/>
      <c r="E71" s="307">
        <f>'Berekening rekenvolumes'!H88</f>
        <v>12</v>
      </c>
      <c r="F71" s="279"/>
      <c r="G71" s="278" t="s">
        <v>288</v>
      </c>
      <c r="H71" s="279"/>
      <c r="I71" s="279"/>
      <c r="J71" s="307">
        <f>'Berekening rekenvolumes'!H38</f>
        <v>665.1388888888888</v>
      </c>
    </row>
    <row r="72" spans="2:10" ht="12.75" customHeight="1">
      <c r="B72" s="278"/>
      <c r="C72" s="279"/>
      <c r="D72" s="279"/>
      <c r="E72" s="282"/>
      <c r="F72" s="279"/>
      <c r="G72" s="278"/>
      <c r="H72" s="279"/>
      <c r="I72" s="279"/>
      <c r="J72" s="282"/>
    </row>
    <row r="73" spans="2:10" ht="12.75" customHeight="1">
      <c r="B73" s="298" t="s">
        <v>289</v>
      </c>
      <c r="C73" s="279"/>
      <c r="D73" s="279"/>
      <c r="E73" s="309" t="s">
        <v>820</v>
      </c>
      <c r="F73" s="279"/>
      <c r="G73" s="298" t="s">
        <v>289</v>
      </c>
      <c r="H73" s="279"/>
      <c r="I73" s="279"/>
      <c r="J73" s="309" t="s">
        <v>820</v>
      </c>
    </row>
    <row r="74" spans="2:10" ht="12.75" customHeight="1">
      <c r="B74" s="278" t="s">
        <v>285</v>
      </c>
      <c r="C74" s="279"/>
      <c r="D74" s="279"/>
      <c r="E74" s="303">
        <f>'Berekening rekenvolumes'!H91</f>
        <v>0</v>
      </c>
      <c r="F74" s="279"/>
      <c r="G74" s="278" t="s">
        <v>285</v>
      </c>
      <c r="H74" s="279"/>
      <c r="I74" s="279"/>
      <c r="J74" s="303">
        <f>'Berekening rekenvolumes'!H41</f>
        <v>0</v>
      </c>
    </row>
    <row r="75" spans="2:10" ht="12.75" customHeight="1">
      <c r="B75" s="278" t="s">
        <v>286</v>
      </c>
      <c r="C75" s="279"/>
      <c r="D75" s="279"/>
      <c r="E75" s="303">
        <f>'Berekening rekenvolumes'!H92</f>
        <v>0</v>
      </c>
      <c r="F75" s="279"/>
      <c r="G75" s="278" t="s">
        <v>286</v>
      </c>
      <c r="H75" s="279"/>
      <c r="I75" s="279"/>
      <c r="J75" s="303">
        <f>'Berekening rekenvolumes'!H42</f>
        <v>0</v>
      </c>
    </row>
    <row r="76" spans="2:10" ht="12.75" customHeight="1">
      <c r="B76" s="278" t="s">
        <v>287</v>
      </c>
      <c r="C76" s="279"/>
      <c r="D76" s="279"/>
      <c r="E76" s="303">
        <f>'Berekening rekenvolumes'!H93</f>
        <v>0</v>
      </c>
      <c r="F76" s="279"/>
      <c r="G76" s="278" t="s">
        <v>287</v>
      </c>
      <c r="H76" s="279"/>
      <c r="I76" s="279"/>
      <c r="J76" s="303">
        <f>'Berekening rekenvolumes'!H43</f>
        <v>0</v>
      </c>
    </row>
    <row r="77" spans="2:10" ht="12.75" customHeight="1">
      <c r="B77" s="278" t="s">
        <v>288</v>
      </c>
      <c r="C77" s="279"/>
      <c r="D77" s="279"/>
      <c r="E77" s="307">
        <f>'Berekening rekenvolumes'!H94</f>
        <v>0</v>
      </c>
      <c r="F77" s="279"/>
      <c r="G77" s="278" t="s">
        <v>288</v>
      </c>
      <c r="H77" s="279"/>
      <c r="I77" s="279"/>
      <c r="J77" s="307">
        <f>'Berekening rekenvolumes'!H44</f>
        <v>0</v>
      </c>
    </row>
    <row r="78" spans="2:10" ht="12.75" customHeight="1">
      <c r="B78" s="278"/>
      <c r="C78" s="279"/>
      <c r="D78" s="279"/>
      <c r="E78" s="282"/>
      <c r="F78" s="279"/>
      <c r="G78" s="278"/>
      <c r="H78" s="279"/>
      <c r="I78" s="279"/>
      <c r="J78" s="282"/>
    </row>
    <row r="79" spans="2:10" ht="12.75" customHeight="1">
      <c r="B79" s="298" t="s">
        <v>290</v>
      </c>
      <c r="C79" s="279"/>
      <c r="D79" s="279"/>
      <c r="E79" s="309" t="s">
        <v>820</v>
      </c>
      <c r="F79" s="279"/>
      <c r="G79" s="298" t="s">
        <v>290</v>
      </c>
      <c r="H79" s="279"/>
      <c r="I79" s="279"/>
      <c r="J79" s="309" t="s">
        <v>820</v>
      </c>
    </row>
    <row r="80" spans="2:10" ht="12.75" customHeight="1">
      <c r="B80" s="283" t="s">
        <v>291</v>
      </c>
      <c r="C80" s="284"/>
      <c r="D80" s="284"/>
      <c r="E80" s="304">
        <f>'Berekening rekenvolumes'!H97</f>
        <v>0</v>
      </c>
      <c r="F80" s="279"/>
      <c r="G80" s="283" t="s">
        <v>291</v>
      </c>
      <c r="H80" s="284"/>
      <c r="I80" s="284"/>
      <c r="J80" s="304">
        <f>'Berekening rekenvolumes'!H47</f>
        <v>0</v>
      </c>
    </row>
    <row r="81" spans="2:10" ht="12.75" customHeight="1">
      <c r="B81" s="278"/>
      <c r="C81" s="279"/>
      <c r="D81" s="279"/>
      <c r="E81" s="279"/>
      <c r="F81" s="279"/>
      <c r="G81" s="279"/>
      <c r="H81" s="279"/>
      <c r="I81" s="279"/>
      <c r="J81" s="282"/>
    </row>
    <row r="82" spans="2:10" ht="12.75" customHeight="1">
      <c r="B82" s="295" t="s">
        <v>819</v>
      </c>
      <c r="C82" s="296"/>
      <c r="D82" s="296"/>
      <c r="E82" s="297"/>
      <c r="F82" s="279"/>
      <c r="G82" s="279"/>
      <c r="H82" s="279"/>
      <c r="I82" s="279"/>
      <c r="J82" s="282"/>
    </row>
    <row r="83" spans="2:10" ht="12.75" customHeight="1">
      <c r="B83" s="286"/>
      <c r="C83" s="287"/>
      <c r="D83" s="287"/>
      <c r="E83" s="280"/>
      <c r="F83" s="279"/>
      <c r="G83" s="279"/>
      <c r="H83" s="279"/>
      <c r="I83" s="279"/>
      <c r="J83" s="282"/>
    </row>
    <row r="84" spans="2:10" ht="12.75" customHeight="1">
      <c r="B84" s="298" t="s">
        <v>284</v>
      </c>
      <c r="C84" s="279"/>
      <c r="D84" s="279"/>
      <c r="E84" s="309" t="s">
        <v>820</v>
      </c>
      <c r="F84" s="279"/>
      <c r="G84" s="279"/>
      <c r="H84" s="279"/>
      <c r="I84" s="279"/>
      <c r="J84" s="282"/>
    </row>
    <row r="85" spans="2:10" ht="12.75" customHeight="1">
      <c r="B85" s="278" t="s">
        <v>285</v>
      </c>
      <c r="C85" s="279"/>
      <c r="D85" s="279"/>
      <c r="E85" s="303">
        <f>'Berekening rekenvolumes'!H103</f>
        <v>1370.6666666666667</v>
      </c>
      <c r="F85" s="279"/>
      <c r="G85" s="279"/>
      <c r="H85" s="279"/>
      <c r="I85" s="279"/>
      <c r="J85" s="282"/>
    </row>
    <row r="86" spans="2:10" ht="12.75" customHeight="1">
      <c r="B86" s="278" t="s">
        <v>286</v>
      </c>
      <c r="C86" s="279"/>
      <c r="D86" s="279"/>
      <c r="E86" s="303">
        <f>'Berekening rekenvolumes'!H104</f>
        <v>235</v>
      </c>
      <c r="F86" s="279"/>
      <c r="G86" s="279"/>
      <c r="H86" s="279"/>
      <c r="I86" s="279"/>
      <c r="J86" s="282"/>
    </row>
    <row r="87" spans="2:10" ht="12.75" customHeight="1">
      <c r="B87" s="278" t="s">
        <v>287</v>
      </c>
      <c r="C87" s="279"/>
      <c r="D87" s="279"/>
      <c r="E87" s="303">
        <f>'Berekening rekenvolumes'!H105</f>
        <v>296</v>
      </c>
      <c r="F87" s="279"/>
      <c r="G87" s="279"/>
      <c r="H87" s="279"/>
      <c r="I87" s="279"/>
      <c r="J87" s="282"/>
    </row>
    <row r="88" spans="2:10" ht="12.75" customHeight="1">
      <c r="B88" s="278" t="s">
        <v>288</v>
      </c>
      <c r="C88" s="279"/>
      <c r="D88" s="279"/>
      <c r="E88" s="307">
        <f>'Berekening rekenvolumes'!H106</f>
        <v>94</v>
      </c>
      <c r="F88" s="279"/>
      <c r="G88" s="279"/>
      <c r="H88" s="279"/>
      <c r="I88" s="279"/>
      <c r="J88" s="282"/>
    </row>
    <row r="89" spans="2:10" ht="12.75" customHeight="1">
      <c r="B89" s="278"/>
      <c r="C89" s="279"/>
      <c r="D89" s="279"/>
      <c r="E89" s="282"/>
      <c r="F89" s="279"/>
      <c r="G89" s="279"/>
      <c r="H89" s="279"/>
      <c r="I89" s="279"/>
      <c r="J89" s="282"/>
    </row>
    <row r="90" spans="2:10" ht="12.75" customHeight="1">
      <c r="B90" s="298" t="s">
        <v>289</v>
      </c>
      <c r="C90" s="279"/>
      <c r="D90" s="279"/>
      <c r="E90" s="309" t="s">
        <v>820</v>
      </c>
      <c r="F90" s="279"/>
      <c r="G90" s="279"/>
      <c r="H90" s="279"/>
      <c r="I90" s="279"/>
      <c r="J90" s="282"/>
    </row>
    <row r="91" spans="2:10" ht="12.75" customHeight="1">
      <c r="B91" s="278" t="s">
        <v>285</v>
      </c>
      <c r="C91" s="279"/>
      <c r="D91" s="279"/>
      <c r="E91" s="303">
        <f>'Berekening rekenvolumes'!H109</f>
        <v>0</v>
      </c>
      <c r="F91" s="279"/>
      <c r="G91" s="279"/>
      <c r="H91" s="279"/>
      <c r="I91" s="279"/>
      <c r="J91" s="306"/>
    </row>
    <row r="92" spans="2:10" ht="12.75" customHeight="1">
      <c r="B92" s="278" t="s">
        <v>286</v>
      </c>
      <c r="C92" s="279"/>
      <c r="D92" s="279"/>
      <c r="E92" s="303">
        <f>'Berekening rekenvolumes'!H110</f>
        <v>0</v>
      </c>
      <c r="F92" s="279"/>
      <c r="G92" s="279"/>
      <c r="H92" s="279"/>
      <c r="I92" s="279"/>
      <c r="J92" s="306"/>
    </row>
    <row r="93" spans="2:10" ht="12.75" customHeight="1">
      <c r="B93" s="278" t="s">
        <v>287</v>
      </c>
      <c r="C93" s="279"/>
      <c r="D93" s="279"/>
      <c r="E93" s="303">
        <f>'Berekening rekenvolumes'!H111</f>
        <v>0</v>
      </c>
      <c r="F93" s="279"/>
      <c r="G93" s="279"/>
      <c r="H93" s="279"/>
      <c r="I93" s="279"/>
      <c r="J93" s="306"/>
    </row>
    <row r="94" spans="2:10" ht="12.75" customHeight="1">
      <c r="B94" s="278" t="s">
        <v>288</v>
      </c>
      <c r="C94" s="279"/>
      <c r="D94" s="279"/>
      <c r="E94" s="307">
        <f>'Berekening rekenvolumes'!H112</f>
        <v>0</v>
      </c>
      <c r="F94" s="279"/>
      <c r="G94" s="519" t="s">
        <v>1347</v>
      </c>
      <c r="H94" s="519"/>
      <c r="I94" s="519"/>
      <c r="J94" s="282"/>
    </row>
    <row r="95" spans="2:10" ht="12.75" customHeight="1">
      <c r="B95" s="278"/>
      <c r="C95" s="279"/>
      <c r="D95" s="279"/>
      <c r="E95" s="282"/>
      <c r="F95" s="279"/>
      <c r="G95" s="519"/>
      <c r="H95" s="519"/>
      <c r="I95" s="519"/>
      <c r="J95" s="302"/>
    </row>
    <row r="96" spans="2:10" ht="12.75" customHeight="1">
      <c r="B96" s="298" t="s">
        <v>290</v>
      </c>
      <c r="C96" s="279"/>
      <c r="D96" s="279"/>
      <c r="E96" s="309" t="s">
        <v>820</v>
      </c>
      <c r="F96" s="279"/>
      <c r="G96" s="519"/>
      <c r="H96" s="519"/>
      <c r="I96" s="519"/>
      <c r="J96" s="306"/>
    </row>
    <row r="97" spans="2:10" ht="12.75" customHeight="1">
      <c r="B97" s="283" t="s">
        <v>291</v>
      </c>
      <c r="C97" s="284"/>
      <c r="D97" s="284"/>
      <c r="E97" s="304">
        <f>'Berekening rekenvolumes'!H115</f>
        <v>0</v>
      </c>
      <c r="F97" s="279"/>
      <c r="G97" s="279"/>
      <c r="H97" s="279"/>
      <c r="I97" s="279"/>
      <c r="J97" s="282"/>
    </row>
    <row r="98" spans="2:10" ht="9" customHeight="1">
      <c r="B98" s="283"/>
      <c r="C98" s="284"/>
      <c r="D98" s="284"/>
      <c r="E98" s="284"/>
      <c r="F98" s="284"/>
      <c r="G98" s="284"/>
      <c r="H98" s="284"/>
      <c r="I98" s="284"/>
      <c r="J98" s="285"/>
    </row>
    <row r="99" spans="2:10" ht="12.75" customHeight="1">
      <c r="G99" s="279"/>
      <c r="H99" s="279"/>
      <c r="I99" s="279"/>
      <c r="J99" s="279"/>
    </row>
  </sheetData>
  <mergeCells count="1">
    <mergeCell ref="G94:I96"/>
  </mergeCells>
  <pageMargins left="0.7" right="0.7" top="0.75" bottom="0.75" header="0.3" footer="0.3"/>
  <pageSetup paperSize="9" scale="5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2:K99"/>
  <sheetViews>
    <sheetView showGridLines="0" zoomScale="85" zoomScaleNormal="85" workbookViewId="0"/>
  </sheetViews>
  <sheetFormatPr defaultRowHeight="12.75"/>
  <cols>
    <col min="1" max="1" width="9.140625" style="277"/>
    <col min="2" max="2" width="50.7109375" style="277" customWidth="1"/>
    <col min="3" max="3" width="2.42578125" style="277" customWidth="1"/>
    <col min="4" max="4" width="4" style="277" customWidth="1"/>
    <col min="5" max="5" width="16" style="277" customWidth="1"/>
    <col min="6" max="6" width="2.85546875" style="277" customWidth="1"/>
    <col min="7" max="7" width="52.28515625" style="277" customWidth="1"/>
    <col min="8" max="8" width="2.42578125" style="277" customWidth="1"/>
    <col min="9" max="9" width="4" style="277" customWidth="1"/>
    <col min="10" max="10" width="13.5703125" style="277" customWidth="1"/>
    <col min="11" max="16384" width="9.140625" style="277"/>
  </cols>
  <sheetData>
    <row r="2" spans="2:10" ht="19.5" customHeight="1">
      <c r="B2" s="489" t="s">
        <v>1179</v>
      </c>
      <c r="C2" s="275"/>
      <c r="D2" s="275"/>
      <c r="E2" s="275"/>
      <c r="F2" s="275"/>
      <c r="G2" s="275"/>
      <c r="H2" s="275"/>
      <c r="I2" s="275"/>
      <c r="J2" s="276"/>
    </row>
    <row r="3" spans="2:10" ht="4.5" customHeight="1">
      <c r="B3" s="278"/>
      <c r="C3" s="279"/>
      <c r="D3" s="279"/>
      <c r="E3" s="279"/>
      <c r="F3" s="279"/>
      <c r="G3" s="279"/>
      <c r="H3" s="279"/>
      <c r="I3" s="279"/>
      <c r="J3" s="282"/>
    </row>
    <row r="4" spans="2:10">
      <c r="B4" s="299" t="s">
        <v>132</v>
      </c>
      <c r="C4" s="279"/>
      <c r="D4" s="279"/>
      <c r="E4" s="281"/>
      <c r="F4" s="279"/>
      <c r="G4" s="279"/>
      <c r="H4" s="279"/>
      <c r="I4" s="279"/>
      <c r="J4" s="282"/>
    </row>
    <row r="5" spans="2:10" ht="4.5" customHeight="1">
      <c r="B5" s="278"/>
      <c r="C5" s="279"/>
      <c r="D5" s="279"/>
      <c r="E5" s="279"/>
      <c r="F5" s="279"/>
      <c r="G5" s="279"/>
      <c r="H5" s="279"/>
      <c r="I5" s="279"/>
      <c r="J5" s="282"/>
    </row>
    <row r="6" spans="2:10" ht="4.5" customHeight="1">
      <c r="B6" s="283"/>
      <c r="C6" s="284"/>
      <c r="D6" s="284"/>
      <c r="E6" s="284"/>
      <c r="F6" s="284"/>
      <c r="G6" s="284"/>
      <c r="H6" s="284"/>
      <c r="I6" s="284"/>
      <c r="J6" s="285"/>
    </row>
    <row r="7" spans="2:10">
      <c r="B7" s="294" t="s">
        <v>28</v>
      </c>
      <c r="C7" s="275"/>
      <c r="D7" s="275"/>
      <c r="E7" s="275"/>
      <c r="F7" s="275"/>
      <c r="G7" s="275"/>
      <c r="H7" s="275"/>
      <c r="I7" s="275"/>
      <c r="J7" s="276"/>
    </row>
    <row r="8" spans="2:10">
      <c r="B8" s="286"/>
      <c r="C8" s="287"/>
      <c r="D8" s="287"/>
      <c r="E8" s="287"/>
      <c r="F8" s="287"/>
      <c r="G8" s="287"/>
      <c r="H8" s="287"/>
      <c r="I8" s="287"/>
      <c r="J8" s="280"/>
    </row>
    <row r="9" spans="2:10">
      <c r="B9" s="288" t="s">
        <v>265</v>
      </c>
      <c r="C9" s="279"/>
      <c r="D9" s="279"/>
      <c r="E9" s="308" t="s">
        <v>820</v>
      </c>
      <c r="F9" s="279"/>
      <c r="G9" s="279"/>
      <c r="H9" s="279"/>
      <c r="I9" s="279"/>
      <c r="J9" s="282"/>
    </row>
    <row r="10" spans="2:10">
      <c r="B10" s="289" t="s">
        <v>201</v>
      </c>
      <c r="C10" s="279"/>
      <c r="D10" s="279"/>
      <c r="E10" s="300">
        <f>'Berekening rekenvolumes'!I10</f>
        <v>389735.66666666669</v>
      </c>
      <c r="F10" s="279"/>
      <c r="G10" s="279"/>
      <c r="H10" s="279"/>
      <c r="I10" s="279"/>
      <c r="J10" s="282"/>
    </row>
    <row r="11" spans="2:10">
      <c r="B11" s="290" t="s">
        <v>202</v>
      </c>
      <c r="C11" s="279"/>
      <c r="D11" s="279"/>
      <c r="E11" s="301">
        <f>'Berekening rekenvolumes'!I11</f>
        <v>1325353</v>
      </c>
      <c r="F11" s="279"/>
      <c r="G11" s="279"/>
      <c r="H11" s="279"/>
      <c r="I11" s="279"/>
      <c r="J11" s="282"/>
    </row>
    <row r="12" spans="2:10">
      <c r="B12" s="290"/>
      <c r="C12" s="279"/>
      <c r="D12" s="279"/>
      <c r="E12" s="281"/>
      <c r="F12" s="279"/>
      <c r="G12" s="279"/>
      <c r="H12" s="279"/>
      <c r="I12" s="279"/>
      <c r="J12" s="282"/>
    </row>
    <row r="13" spans="2:10">
      <c r="B13" s="291" t="s">
        <v>266</v>
      </c>
      <c r="C13" s="279"/>
      <c r="D13" s="279"/>
      <c r="E13" s="308" t="s">
        <v>820</v>
      </c>
      <c r="F13" s="279"/>
      <c r="G13" s="279"/>
      <c r="H13" s="279"/>
      <c r="I13" s="279"/>
      <c r="J13" s="282"/>
    </row>
    <row r="14" spans="2:10">
      <c r="B14" s="289" t="s">
        <v>201</v>
      </c>
      <c r="C14" s="279"/>
      <c r="D14" s="279"/>
      <c r="E14" s="300">
        <f>'Berekening rekenvolumes'!I14</f>
        <v>1684.3333333333333</v>
      </c>
      <c r="F14" s="279"/>
      <c r="G14" s="279"/>
      <c r="H14" s="279"/>
      <c r="I14" s="279"/>
      <c r="J14" s="282"/>
    </row>
    <row r="15" spans="2:10">
      <c r="B15" s="290" t="s">
        <v>202</v>
      </c>
      <c r="C15" s="279"/>
      <c r="D15" s="279"/>
      <c r="E15" s="301">
        <f>'Berekening rekenvolumes'!I15</f>
        <v>110935</v>
      </c>
      <c r="F15" s="279"/>
      <c r="G15" s="279"/>
      <c r="H15" s="279"/>
      <c r="I15" s="279"/>
      <c r="J15" s="282"/>
    </row>
    <row r="16" spans="2:10">
      <c r="B16" s="292"/>
      <c r="C16" s="279"/>
      <c r="D16" s="279"/>
      <c r="E16" s="281"/>
      <c r="F16" s="279"/>
      <c r="G16" s="279"/>
      <c r="H16" s="279"/>
      <c r="I16" s="279"/>
      <c r="J16" s="282"/>
    </row>
    <row r="17" spans="1:11">
      <c r="B17" s="288" t="s">
        <v>204</v>
      </c>
      <c r="C17" s="279"/>
      <c r="D17" s="279"/>
      <c r="E17" s="308" t="s">
        <v>820</v>
      </c>
      <c r="F17" s="279"/>
      <c r="G17" s="279"/>
      <c r="H17" s="279"/>
      <c r="I17" s="279"/>
      <c r="J17" s="282"/>
    </row>
    <row r="18" spans="1:11">
      <c r="B18" s="289" t="s">
        <v>201</v>
      </c>
      <c r="C18" s="279"/>
      <c r="D18" s="279"/>
      <c r="E18" s="300">
        <f>'Berekening rekenvolumes'!I18</f>
        <v>501</v>
      </c>
      <c r="F18" s="279"/>
      <c r="G18" s="279"/>
      <c r="H18" s="279"/>
      <c r="I18" s="279"/>
      <c r="J18" s="282"/>
    </row>
    <row r="19" spans="1:11">
      <c r="B19" s="290" t="s">
        <v>262</v>
      </c>
      <c r="C19" s="279"/>
      <c r="D19" s="279"/>
      <c r="E19" s="300">
        <f>'Berekening rekenvolumes'!I19</f>
        <v>0</v>
      </c>
      <c r="F19" s="279"/>
      <c r="G19" s="279"/>
      <c r="H19" s="279"/>
      <c r="I19" s="279"/>
      <c r="J19" s="282"/>
    </row>
    <row r="20" spans="1:11">
      <c r="B20" s="289" t="s">
        <v>263</v>
      </c>
      <c r="C20" s="279"/>
      <c r="D20" s="279"/>
      <c r="E20" s="300">
        <f>'Berekening rekenvolumes'!I20</f>
        <v>0</v>
      </c>
      <c r="F20" s="279"/>
      <c r="G20" s="279"/>
      <c r="H20" s="279"/>
      <c r="I20" s="279"/>
      <c r="J20" s="282"/>
    </row>
    <row r="21" spans="1:11">
      <c r="B21" s="290" t="s">
        <v>264</v>
      </c>
      <c r="C21" s="279"/>
      <c r="D21" s="279"/>
      <c r="E21" s="300">
        <f>'Berekening rekenvolumes'!I21</f>
        <v>153419.88261245476</v>
      </c>
      <c r="F21" s="279"/>
      <c r="G21" s="279"/>
      <c r="H21" s="279"/>
      <c r="I21" s="279"/>
      <c r="J21" s="282"/>
    </row>
    <row r="22" spans="1:11">
      <c r="B22" s="293"/>
      <c r="C22" s="279"/>
      <c r="D22" s="279"/>
      <c r="E22" s="281"/>
      <c r="F22" s="279"/>
      <c r="G22" s="279"/>
      <c r="H22" s="279"/>
      <c r="I22" s="279"/>
      <c r="J22" s="282"/>
    </row>
    <row r="23" spans="1:11">
      <c r="B23" s="288" t="s">
        <v>206</v>
      </c>
      <c r="C23" s="279"/>
      <c r="D23" s="279"/>
      <c r="E23" s="308" t="s">
        <v>820</v>
      </c>
      <c r="F23" s="279"/>
      <c r="G23" s="279"/>
      <c r="H23" s="279"/>
      <c r="I23" s="279"/>
      <c r="J23" s="282"/>
    </row>
    <row r="24" spans="1:11">
      <c r="B24" s="289" t="s">
        <v>201</v>
      </c>
      <c r="C24" s="279"/>
      <c r="D24" s="279"/>
      <c r="E24" s="300">
        <f>'Berekening rekenvolumes'!I25</f>
        <v>0</v>
      </c>
      <c r="F24" s="279"/>
      <c r="G24" s="279"/>
      <c r="H24" s="279"/>
      <c r="I24" s="279"/>
      <c r="J24" s="282"/>
    </row>
    <row r="25" spans="1:11">
      <c r="B25" s="290" t="s">
        <v>202</v>
      </c>
      <c r="C25" s="279"/>
      <c r="D25" s="279"/>
      <c r="E25" s="301">
        <f>'Berekening rekenvolumes'!I26</f>
        <v>0</v>
      </c>
      <c r="F25" s="279"/>
      <c r="G25" s="279"/>
      <c r="H25" s="279"/>
      <c r="I25" s="279"/>
      <c r="J25" s="282"/>
    </row>
    <row r="26" spans="1:11" ht="4.5" customHeight="1">
      <c r="B26" s="283"/>
      <c r="C26" s="284"/>
      <c r="D26" s="284"/>
      <c r="E26" s="284"/>
      <c r="F26" s="284"/>
      <c r="G26" s="284"/>
      <c r="H26" s="284"/>
      <c r="I26" s="284"/>
      <c r="J26" s="285"/>
    </row>
    <row r="27" spans="1:11" ht="4.5" customHeight="1">
      <c r="A27" s="279"/>
      <c r="B27" s="279"/>
      <c r="C27" s="279"/>
      <c r="D27" s="279"/>
      <c r="E27" s="279"/>
      <c r="F27" s="279"/>
      <c r="G27" s="279"/>
      <c r="H27" s="279"/>
      <c r="I27" s="279"/>
      <c r="J27" s="279"/>
      <c r="K27" s="279"/>
    </row>
    <row r="28" spans="1:11" ht="4.5" customHeight="1">
      <c r="A28" s="279"/>
      <c r="B28" s="284"/>
      <c r="C28" s="284"/>
      <c r="D28" s="284"/>
      <c r="E28" s="284"/>
      <c r="F28" s="284"/>
      <c r="G28" s="284"/>
      <c r="H28" s="284"/>
      <c r="I28" s="284"/>
      <c r="J28" s="284"/>
      <c r="K28" s="279"/>
    </row>
    <row r="29" spans="1:11" ht="19.5" customHeight="1">
      <c r="B29" s="489" t="s">
        <v>1179</v>
      </c>
      <c r="C29" s="275"/>
      <c r="D29" s="275"/>
      <c r="E29" s="275"/>
      <c r="F29" s="275"/>
      <c r="G29" s="275"/>
      <c r="H29" s="275"/>
      <c r="I29" s="275"/>
      <c r="J29" s="276"/>
    </row>
    <row r="30" spans="1:11" ht="4.5" customHeight="1">
      <c r="B30" s="278"/>
      <c r="C30" s="279"/>
      <c r="D30" s="279"/>
      <c r="E30" s="279"/>
      <c r="F30" s="279"/>
      <c r="G30" s="279"/>
      <c r="H30" s="279"/>
      <c r="I30" s="279"/>
      <c r="J30" s="282"/>
    </row>
    <row r="31" spans="1:11">
      <c r="B31" s="299" t="s">
        <v>132</v>
      </c>
      <c r="C31" s="279"/>
      <c r="D31" s="279"/>
      <c r="E31" s="281"/>
      <c r="F31" s="279"/>
      <c r="G31" s="279"/>
      <c r="H31" s="279"/>
      <c r="I31" s="279"/>
      <c r="J31" s="282"/>
    </row>
    <row r="32" spans="1:11" ht="4.5" customHeight="1">
      <c r="B32" s="278"/>
      <c r="C32" s="279"/>
      <c r="D32" s="279"/>
      <c r="E32" s="279"/>
      <c r="F32" s="279"/>
      <c r="G32" s="279"/>
      <c r="H32" s="279"/>
      <c r="I32" s="279"/>
      <c r="J32" s="282"/>
    </row>
    <row r="33" spans="2:10" ht="4.5" customHeight="1">
      <c r="B33" s="283"/>
      <c r="C33" s="284"/>
      <c r="D33" s="284"/>
      <c r="E33" s="284"/>
      <c r="F33" s="284"/>
      <c r="G33" s="284"/>
      <c r="H33" s="284"/>
      <c r="I33" s="284"/>
      <c r="J33" s="285"/>
    </row>
    <row r="34" spans="2:10" ht="12.75" customHeight="1">
      <c r="B34" s="294" t="s">
        <v>136</v>
      </c>
      <c r="C34" s="275"/>
      <c r="D34" s="275"/>
      <c r="E34" s="275"/>
      <c r="F34" s="275"/>
      <c r="G34" s="275"/>
      <c r="H34" s="275"/>
      <c r="I34" s="275"/>
      <c r="J34" s="276"/>
    </row>
    <row r="35" spans="2:10" ht="12.75" customHeight="1">
      <c r="B35" s="278"/>
      <c r="C35" s="279"/>
      <c r="D35" s="279"/>
      <c r="E35" s="279"/>
      <c r="F35" s="279"/>
      <c r="G35" s="279"/>
      <c r="H35" s="279"/>
      <c r="I35" s="279"/>
      <c r="J35" s="305"/>
    </row>
    <row r="36" spans="2:10" ht="12.75" customHeight="1">
      <c r="B36" s="295" t="s">
        <v>816</v>
      </c>
      <c r="C36" s="296"/>
      <c r="D36" s="296"/>
      <c r="E36" s="297"/>
      <c r="F36" s="279"/>
      <c r="G36" s="295" t="s">
        <v>817</v>
      </c>
      <c r="H36" s="296"/>
      <c r="I36" s="296"/>
      <c r="J36" s="297"/>
    </row>
    <row r="37" spans="2:10" ht="12.75" customHeight="1">
      <c r="B37" s="286"/>
      <c r="C37" s="287"/>
      <c r="D37" s="287"/>
      <c r="E37" s="280"/>
      <c r="F37" s="279"/>
      <c r="G37" s="278"/>
      <c r="H37" s="279"/>
      <c r="I37" s="279"/>
      <c r="J37" s="282"/>
    </row>
    <row r="38" spans="2:10" ht="12.75" customHeight="1">
      <c r="B38" s="298" t="s">
        <v>284</v>
      </c>
      <c r="C38" s="279"/>
      <c r="D38" s="279"/>
      <c r="E38" s="309" t="s">
        <v>820</v>
      </c>
      <c r="F38" s="279"/>
      <c r="G38" s="298" t="s">
        <v>284</v>
      </c>
      <c r="H38" s="279"/>
      <c r="I38" s="279"/>
      <c r="J38" s="309" t="s">
        <v>820</v>
      </c>
    </row>
    <row r="39" spans="2:10" ht="12.75" customHeight="1">
      <c r="B39" s="278" t="s">
        <v>292</v>
      </c>
      <c r="C39" s="279"/>
      <c r="D39" s="279"/>
      <c r="E39" s="303">
        <f>'Berekening rekenvolumes'!I121</f>
        <v>4.3020963811571811</v>
      </c>
      <c r="F39" s="279"/>
      <c r="G39" s="278" t="s">
        <v>292</v>
      </c>
      <c r="H39" s="279"/>
      <c r="I39" s="279"/>
      <c r="J39" s="303">
        <f>'Berekening rekenvolumes'!I53</f>
        <v>778.33333333333337</v>
      </c>
    </row>
    <row r="40" spans="2:10" ht="12.75" customHeight="1">
      <c r="B40" s="278" t="s">
        <v>293</v>
      </c>
      <c r="C40" s="279"/>
      <c r="D40" s="279"/>
      <c r="E40" s="303">
        <f>'Berekening rekenvolumes'!I122</f>
        <v>6.6276394328919395</v>
      </c>
      <c r="F40" s="279"/>
      <c r="G40" s="278" t="s">
        <v>293</v>
      </c>
      <c r="H40" s="279"/>
      <c r="I40" s="279"/>
      <c r="J40" s="303">
        <f>'Berekening rekenvolumes'!I54</f>
        <v>538</v>
      </c>
    </row>
    <row r="41" spans="2:10" ht="12.75" customHeight="1">
      <c r="B41" s="278" t="s">
        <v>294</v>
      </c>
      <c r="C41" s="279"/>
      <c r="D41" s="279"/>
      <c r="E41" s="303">
        <f>'Berekening rekenvolumes'!I123</f>
        <v>1.9843554813666151</v>
      </c>
      <c r="F41" s="279"/>
      <c r="G41" s="278" t="s">
        <v>294</v>
      </c>
      <c r="H41" s="279"/>
      <c r="I41" s="279"/>
      <c r="J41" s="303">
        <f>'Berekening rekenvolumes'!I55</f>
        <v>371.33333333333331</v>
      </c>
    </row>
    <row r="42" spans="2:10" ht="12.75" customHeight="1">
      <c r="B42" s="278" t="s">
        <v>295</v>
      </c>
      <c r="C42" s="279"/>
      <c r="D42" s="279"/>
      <c r="E42" s="303">
        <f>'Berekening rekenvolumes'!I124</f>
        <v>1</v>
      </c>
      <c r="F42" s="279"/>
      <c r="G42" s="278" t="s">
        <v>295</v>
      </c>
      <c r="H42" s="279"/>
      <c r="I42" s="279"/>
      <c r="J42" s="303">
        <f>'Berekening rekenvolumes'!I56</f>
        <v>116.66666666666667</v>
      </c>
    </row>
    <row r="43" spans="2:10" ht="12.75" customHeight="1">
      <c r="B43" s="299" t="s">
        <v>296</v>
      </c>
      <c r="C43" s="279"/>
      <c r="D43" s="279"/>
      <c r="E43" s="303">
        <f>'Berekening rekenvolumes'!I125</f>
        <v>0</v>
      </c>
      <c r="F43" s="279"/>
      <c r="G43" s="299" t="s">
        <v>296</v>
      </c>
      <c r="H43" s="279"/>
      <c r="I43" s="279"/>
      <c r="J43" s="303">
        <f>'Berekening rekenvolumes'!I57</f>
        <v>75</v>
      </c>
    </row>
    <row r="44" spans="2:10" ht="12.75" customHeight="1">
      <c r="B44" s="278" t="s">
        <v>297</v>
      </c>
      <c r="C44" s="279"/>
      <c r="D44" s="279"/>
      <c r="E44" s="303">
        <f>'Berekening rekenvolumes'!I126</f>
        <v>0</v>
      </c>
      <c r="F44" s="279"/>
      <c r="G44" s="278" t="s">
        <v>297</v>
      </c>
      <c r="H44" s="279"/>
      <c r="I44" s="279"/>
      <c r="J44" s="303">
        <f>'Berekening rekenvolumes'!I58</f>
        <v>12.333333333333334</v>
      </c>
    </row>
    <row r="45" spans="2:10" ht="12.75" customHeight="1">
      <c r="B45" s="278" t="s">
        <v>298</v>
      </c>
      <c r="C45" s="279"/>
      <c r="D45" s="279"/>
      <c r="E45" s="303">
        <f>'Berekening rekenvolumes'!I127</f>
        <v>0</v>
      </c>
      <c r="F45" s="279"/>
      <c r="G45" s="278" t="s">
        <v>298</v>
      </c>
      <c r="H45" s="279"/>
      <c r="I45" s="279"/>
      <c r="J45" s="303">
        <f>'Berekening rekenvolumes'!I59</f>
        <v>5</v>
      </c>
    </row>
    <row r="46" spans="2:10" ht="12.75" customHeight="1">
      <c r="B46" s="278" t="s">
        <v>299</v>
      </c>
      <c r="C46" s="279"/>
      <c r="D46" s="279"/>
      <c r="E46" s="303">
        <f>'Berekening rekenvolumes'!I128</f>
        <v>0</v>
      </c>
      <c r="F46" s="279"/>
      <c r="G46" s="278" t="s">
        <v>299</v>
      </c>
      <c r="H46" s="279"/>
      <c r="I46" s="279"/>
      <c r="J46" s="303">
        <f>'Berekening rekenvolumes'!I60</f>
        <v>1.6666666666666667</v>
      </c>
    </row>
    <row r="47" spans="2:10" ht="12.75" customHeight="1">
      <c r="B47" s="278" t="s">
        <v>300</v>
      </c>
      <c r="C47" s="279"/>
      <c r="D47" s="279"/>
      <c r="E47" s="303">
        <f>'Berekening rekenvolumes'!I129</f>
        <v>0</v>
      </c>
      <c r="F47" s="279"/>
      <c r="G47" s="278" t="s">
        <v>300</v>
      </c>
      <c r="H47" s="279"/>
      <c r="I47" s="279"/>
      <c r="J47" s="303">
        <f>'Berekening rekenvolumes'!I61</f>
        <v>0.66666666666666663</v>
      </c>
    </row>
    <row r="48" spans="2:10" ht="12.75" customHeight="1">
      <c r="B48" s="278" t="s">
        <v>301</v>
      </c>
      <c r="C48" s="279"/>
      <c r="D48" s="279"/>
      <c r="E48" s="303">
        <f>'Berekening rekenvolumes'!I130</f>
        <v>0</v>
      </c>
      <c r="F48" s="279"/>
      <c r="G48" s="278" t="s">
        <v>301</v>
      </c>
      <c r="H48" s="279"/>
      <c r="I48" s="279"/>
      <c r="J48" s="303">
        <f>'Berekening rekenvolumes'!I62</f>
        <v>0</v>
      </c>
    </row>
    <row r="49" spans="2:10" ht="12.75" customHeight="1">
      <c r="B49" s="278"/>
      <c r="C49" s="279"/>
      <c r="D49" s="279"/>
      <c r="E49" s="282"/>
      <c r="F49" s="279"/>
      <c r="G49" s="278"/>
      <c r="H49" s="279"/>
      <c r="I49" s="279"/>
      <c r="J49" s="282"/>
    </row>
    <row r="50" spans="2:10" ht="12.75" customHeight="1">
      <c r="B50" s="298" t="s">
        <v>289</v>
      </c>
      <c r="C50" s="279"/>
      <c r="D50" s="279"/>
      <c r="E50" s="309" t="s">
        <v>820</v>
      </c>
      <c r="F50" s="279"/>
      <c r="G50" s="298" t="s">
        <v>289</v>
      </c>
      <c r="H50" s="279"/>
      <c r="I50" s="279"/>
      <c r="J50" s="309" t="s">
        <v>820</v>
      </c>
    </row>
    <row r="51" spans="2:10" ht="12.75" customHeight="1">
      <c r="B51" s="278" t="s">
        <v>292</v>
      </c>
      <c r="C51" s="279"/>
      <c r="D51" s="279"/>
      <c r="E51" s="303">
        <f>'Berekening rekenvolumes'!I133</f>
        <v>0</v>
      </c>
      <c r="F51" s="279"/>
      <c r="G51" s="278" t="s">
        <v>292</v>
      </c>
      <c r="H51" s="279"/>
      <c r="I51" s="279"/>
      <c r="J51" s="303">
        <f>'Berekening rekenvolumes'!I65</f>
        <v>1.3333333333333333</v>
      </c>
    </row>
    <row r="52" spans="2:10" ht="12.75" customHeight="1">
      <c r="B52" s="278" t="s">
        <v>293</v>
      </c>
      <c r="C52" s="279"/>
      <c r="D52" s="279"/>
      <c r="E52" s="303">
        <f>'Berekening rekenvolumes'!I134</f>
        <v>0.33333333333333331</v>
      </c>
      <c r="F52" s="279"/>
      <c r="G52" s="278" t="s">
        <v>293</v>
      </c>
      <c r="H52" s="279"/>
      <c r="I52" s="279"/>
      <c r="J52" s="303">
        <f>'Berekening rekenvolumes'!I66</f>
        <v>9.3459420322296811</v>
      </c>
    </row>
    <row r="53" spans="2:10" ht="12.75" customHeight="1">
      <c r="B53" s="278" t="s">
        <v>294</v>
      </c>
      <c r="C53" s="279"/>
      <c r="D53" s="279"/>
      <c r="E53" s="303">
        <f>'Berekening rekenvolumes'!I135</f>
        <v>0.33333333333333331</v>
      </c>
      <c r="F53" s="279"/>
      <c r="G53" s="278" t="s">
        <v>294</v>
      </c>
      <c r="H53" s="279"/>
      <c r="I53" s="279"/>
      <c r="J53" s="303">
        <f>'Berekening rekenvolumes'!I67</f>
        <v>16.339637682781508</v>
      </c>
    </row>
    <row r="54" spans="2:10" ht="12.75" customHeight="1">
      <c r="B54" s="278" t="s">
        <v>295</v>
      </c>
      <c r="C54" s="279"/>
      <c r="D54" s="279"/>
      <c r="E54" s="303">
        <f>'Berekening rekenvolumes'!I136</f>
        <v>0.66666666666666663</v>
      </c>
      <c r="F54" s="279"/>
      <c r="G54" s="278" t="s">
        <v>295</v>
      </c>
      <c r="H54" s="279"/>
      <c r="I54" s="279"/>
      <c r="J54" s="303">
        <f>'Berekening rekenvolumes'!I68</f>
        <v>28.050434795585392</v>
      </c>
    </row>
    <row r="55" spans="2:10" ht="12.75" customHeight="1">
      <c r="B55" s="299" t="s">
        <v>296</v>
      </c>
      <c r="C55" s="279"/>
      <c r="D55" s="279"/>
      <c r="E55" s="303">
        <f>'Berekening rekenvolumes'!I137</f>
        <v>0</v>
      </c>
      <c r="F55" s="279"/>
      <c r="G55" s="299" t="s">
        <v>296</v>
      </c>
      <c r="H55" s="279"/>
      <c r="I55" s="279"/>
      <c r="J55" s="303">
        <f>'Berekening rekenvolumes'!I69</f>
        <v>58.09141306699852</v>
      </c>
    </row>
    <row r="56" spans="2:10" ht="12.75" customHeight="1">
      <c r="B56" s="278" t="s">
        <v>297</v>
      </c>
      <c r="C56" s="279"/>
      <c r="D56" s="279"/>
      <c r="E56" s="303">
        <f>'Berekening rekenvolumes'!I138</f>
        <v>0</v>
      </c>
      <c r="F56" s="279"/>
      <c r="G56" s="278" t="s">
        <v>297</v>
      </c>
      <c r="H56" s="279"/>
      <c r="I56" s="279"/>
      <c r="J56" s="303">
        <f>'Berekening rekenvolumes'!I70</f>
        <v>70.531920340950819</v>
      </c>
    </row>
    <row r="57" spans="2:10" ht="12.75" customHeight="1">
      <c r="B57" s="278" t="s">
        <v>298</v>
      </c>
      <c r="C57" s="279"/>
      <c r="D57" s="279"/>
      <c r="E57" s="303">
        <f>'Berekening rekenvolumes'!I139</f>
        <v>0.66666666666666663</v>
      </c>
      <c r="F57" s="279"/>
      <c r="G57" s="278" t="s">
        <v>298</v>
      </c>
      <c r="H57" s="279"/>
      <c r="I57" s="279"/>
      <c r="J57" s="303">
        <f>'Berekening rekenvolumes'!I71</f>
        <v>50.151304386756181</v>
      </c>
    </row>
    <row r="58" spans="2:10" ht="12.75" customHeight="1">
      <c r="B58" s="278" t="s">
        <v>299</v>
      </c>
      <c r="C58" s="279"/>
      <c r="D58" s="279"/>
      <c r="E58" s="303">
        <f>'Berekening rekenvolumes'!I140</f>
        <v>0</v>
      </c>
      <c r="F58" s="279"/>
      <c r="G58" s="278" t="s">
        <v>299</v>
      </c>
      <c r="H58" s="279"/>
      <c r="I58" s="279"/>
      <c r="J58" s="303">
        <f>'Berekening rekenvolumes'!I72</f>
        <v>30.18282613399705</v>
      </c>
    </row>
    <row r="59" spans="2:10" ht="12.75" customHeight="1">
      <c r="B59" s="278" t="s">
        <v>300</v>
      </c>
      <c r="C59" s="279"/>
      <c r="D59" s="279"/>
      <c r="E59" s="303">
        <f>'Berekening rekenvolumes'!I141</f>
        <v>0</v>
      </c>
      <c r="F59" s="279"/>
      <c r="G59" s="278" t="s">
        <v>300</v>
      </c>
      <c r="H59" s="279"/>
      <c r="I59" s="279"/>
      <c r="J59" s="303">
        <f>'Berekening rekenvolumes'!I73</f>
        <v>12.682427540287103</v>
      </c>
    </row>
    <row r="60" spans="2:10" ht="12.75" customHeight="1">
      <c r="B60" s="278" t="s">
        <v>301</v>
      </c>
      <c r="C60" s="279"/>
      <c r="D60" s="279"/>
      <c r="E60" s="303">
        <f>'Berekening rekenvolumes'!I142</f>
        <v>0</v>
      </c>
      <c r="F60" s="279"/>
      <c r="G60" s="278" t="s">
        <v>301</v>
      </c>
      <c r="H60" s="279"/>
      <c r="I60" s="279"/>
      <c r="J60" s="303">
        <f>'Berekening rekenvolumes'!I74</f>
        <v>3.3364855080574203</v>
      </c>
    </row>
    <row r="61" spans="2:10" ht="12.75" customHeight="1">
      <c r="B61" s="278"/>
      <c r="C61" s="279"/>
      <c r="D61" s="279"/>
      <c r="E61" s="282"/>
      <c r="F61" s="279"/>
      <c r="G61" s="278"/>
      <c r="H61" s="279"/>
      <c r="I61" s="279"/>
      <c r="J61" s="282"/>
    </row>
    <row r="62" spans="2:10" ht="12.75" customHeight="1">
      <c r="B62" s="298" t="s">
        <v>290</v>
      </c>
      <c r="C62" s="279"/>
      <c r="D62" s="279"/>
      <c r="E62" s="309" t="s">
        <v>820</v>
      </c>
      <c r="F62" s="279"/>
      <c r="G62" s="298" t="s">
        <v>290</v>
      </c>
      <c r="H62" s="279"/>
      <c r="I62" s="279"/>
      <c r="J62" s="309" t="s">
        <v>820</v>
      </c>
    </row>
    <row r="63" spans="2:10" ht="12.75" customHeight="1">
      <c r="B63" s="283" t="s">
        <v>302</v>
      </c>
      <c r="C63" s="284"/>
      <c r="D63" s="284"/>
      <c r="E63" s="304">
        <f>'Berekening rekenvolumes'!F145</f>
        <v>0</v>
      </c>
      <c r="F63" s="279"/>
      <c r="G63" s="283" t="s">
        <v>302</v>
      </c>
      <c r="H63" s="284"/>
      <c r="I63" s="284"/>
      <c r="J63" s="304">
        <f>'Berekening rekenvolumes'!I77</f>
        <v>0</v>
      </c>
    </row>
    <row r="64" spans="2:10" ht="12.75" customHeight="1">
      <c r="B64" s="278"/>
      <c r="C64" s="279"/>
      <c r="D64" s="279"/>
      <c r="E64" s="279"/>
      <c r="F64" s="279"/>
      <c r="G64" s="279"/>
      <c r="H64" s="279"/>
      <c r="I64" s="279"/>
      <c r="J64" s="280"/>
    </row>
    <row r="65" spans="2:10" ht="12.75" customHeight="1">
      <c r="B65" s="295" t="s">
        <v>818</v>
      </c>
      <c r="C65" s="296"/>
      <c r="D65" s="296"/>
      <c r="E65" s="297"/>
      <c r="F65" s="279"/>
      <c r="G65" s="295" t="s">
        <v>306</v>
      </c>
      <c r="H65" s="296"/>
      <c r="I65" s="296"/>
      <c r="J65" s="297"/>
    </row>
    <row r="66" spans="2:10" ht="12.75" customHeight="1">
      <c r="B66" s="286"/>
      <c r="C66" s="287"/>
      <c r="D66" s="287"/>
      <c r="E66" s="280"/>
      <c r="F66" s="279"/>
      <c r="G66" s="286"/>
      <c r="H66" s="287"/>
      <c r="I66" s="287"/>
      <c r="J66" s="280"/>
    </row>
    <row r="67" spans="2:10" ht="12.75" customHeight="1">
      <c r="B67" s="298" t="s">
        <v>284</v>
      </c>
      <c r="C67" s="279"/>
      <c r="D67" s="279"/>
      <c r="E67" s="309" t="s">
        <v>820</v>
      </c>
      <c r="F67" s="279"/>
      <c r="G67" s="298" t="s">
        <v>284</v>
      </c>
      <c r="H67" s="279"/>
      <c r="I67" s="279"/>
      <c r="J67" s="309" t="s">
        <v>820</v>
      </c>
    </row>
    <row r="68" spans="2:10" ht="12.75" customHeight="1">
      <c r="B68" s="278" t="s">
        <v>285</v>
      </c>
      <c r="C68" s="279"/>
      <c r="D68" s="279"/>
      <c r="E68" s="303">
        <f>'Berekening rekenvolumes'!I85</f>
        <v>3346.2714542463054</v>
      </c>
      <c r="F68" s="279"/>
      <c r="G68" s="278" t="s">
        <v>285</v>
      </c>
      <c r="H68" s="279"/>
      <c r="I68" s="279"/>
      <c r="J68" s="303">
        <f>'Berekening rekenvolumes'!I35</f>
        <v>379622.66666666669</v>
      </c>
    </row>
    <row r="69" spans="2:10" ht="12.75" customHeight="1">
      <c r="B69" s="278" t="s">
        <v>286</v>
      </c>
      <c r="C69" s="279"/>
      <c r="D69" s="279"/>
      <c r="E69" s="303">
        <f>'Berekening rekenvolumes'!I86</f>
        <v>41.424476631584099</v>
      </c>
      <c r="F69" s="279"/>
      <c r="G69" s="278" t="s">
        <v>286</v>
      </c>
      <c r="H69" s="279"/>
      <c r="I69" s="279"/>
      <c r="J69" s="303">
        <f>'Berekening rekenvolumes'!I36</f>
        <v>2400</v>
      </c>
    </row>
    <row r="70" spans="2:10" ht="12.75" customHeight="1">
      <c r="B70" s="278" t="s">
        <v>287</v>
      </c>
      <c r="C70" s="279"/>
      <c r="D70" s="279"/>
      <c r="E70" s="303">
        <f>'Berekening rekenvolumes'!I87</f>
        <v>27.03154706235917</v>
      </c>
      <c r="F70" s="279"/>
      <c r="G70" s="278" t="s">
        <v>287</v>
      </c>
      <c r="H70" s="279"/>
      <c r="I70" s="279"/>
      <c r="J70" s="303">
        <f>'Berekening rekenvolumes'!I37</f>
        <v>5758.666666666667</v>
      </c>
    </row>
    <row r="71" spans="2:10" ht="12.75" customHeight="1">
      <c r="B71" s="278" t="s">
        <v>288</v>
      </c>
      <c r="C71" s="279"/>
      <c r="D71" s="279"/>
      <c r="E71" s="307">
        <f>'Berekening rekenvolumes'!I88</f>
        <v>17.677565969780012</v>
      </c>
      <c r="F71" s="279"/>
      <c r="G71" s="278" t="s">
        <v>288</v>
      </c>
      <c r="H71" s="279"/>
      <c r="I71" s="279"/>
      <c r="J71" s="307">
        <f>'Berekening rekenvolumes'!I38</f>
        <v>1955.6666666666667</v>
      </c>
    </row>
    <row r="72" spans="2:10" ht="12.75" customHeight="1">
      <c r="B72" s="278"/>
      <c r="C72" s="279"/>
      <c r="D72" s="279"/>
      <c r="E72" s="282"/>
      <c r="F72" s="279"/>
      <c r="G72" s="278"/>
      <c r="H72" s="279"/>
      <c r="I72" s="279"/>
      <c r="J72" s="282"/>
    </row>
    <row r="73" spans="2:10" ht="12.75" customHeight="1">
      <c r="B73" s="298" t="s">
        <v>289</v>
      </c>
      <c r="C73" s="279"/>
      <c r="D73" s="279"/>
      <c r="E73" s="309" t="s">
        <v>820</v>
      </c>
      <c r="F73" s="279"/>
      <c r="G73" s="298" t="s">
        <v>289</v>
      </c>
      <c r="H73" s="279"/>
      <c r="I73" s="279"/>
      <c r="J73" s="309" t="s">
        <v>820</v>
      </c>
    </row>
    <row r="74" spans="2:10" ht="12.75" customHeight="1">
      <c r="B74" s="278" t="s">
        <v>285</v>
      </c>
      <c r="C74" s="279"/>
      <c r="D74" s="279"/>
      <c r="E74" s="303">
        <f>'Berekening rekenvolumes'!I91</f>
        <v>0</v>
      </c>
      <c r="F74" s="279"/>
      <c r="G74" s="278" t="s">
        <v>285</v>
      </c>
      <c r="H74" s="279"/>
      <c r="I74" s="279"/>
      <c r="J74" s="303">
        <f>'Berekening rekenvolumes'!I41</f>
        <v>0</v>
      </c>
    </row>
    <row r="75" spans="2:10" ht="12.75" customHeight="1">
      <c r="B75" s="278" t="s">
        <v>286</v>
      </c>
      <c r="C75" s="279"/>
      <c r="D75" s="279"/>
      <c r="E75" s="303">
        <f>'Berekening rekenvolumes'!I92</f>
        <v>0</v>
      </c>
      <c r="F75" s="279"/>
      <c r="G75" s="278" t="s">
        <v>286</v>
      </c>
      <c r="H75" s="279"/>
      <c r="I75" s="279"/>
      <c r="J75" s="303">
        <f>'Berekening rekenvolumes'!I42</f>
        <v>0</v>
      </c>
    </row>
    <row r="76" spans="2:10" ht="12.75" customHeight="1">
      <c r="B76" s="278" t="s">
        <v>287</v>
      </c>
      <c r="C76" s="279"/>
      <c r="D76" s="279"/>
      <c r="E76" s="303">
        <f>'Berekening rekenvolumes'!I93</f>
        <v>0.33333333333333331</v>
      </c>
      <c r="F76" s="279"/>
      <c r="G76" s="278" t="s">
        <v>287</v>
      </c>
      <c r="H76" s="279"/>
      <c r="I76" s="279"/>
      <c r="J76" s="303">
        <f>'Berekening rekenvolumes'!I43</f>
        <v>0.66666666666666663</v>
      </c>
    </row>
    <row r="77" spans="2:10" ht="12.75" customHeight="1">
      <c r="B77" s="278" t="s">
        <v>288</v>
      </c>
      <c r="C77" s="279"/>
      <c r="D77" s="279"/>
      <c r="E77" s="307">
        <f>'Berekening rekenvolumes'!I94</f>
        <v>0</v>
      </c>
      <c r="F77" s="279"/>
      <c r="G77" s="278" t="s">
        <v>288</v>
      </c>
      <c r="H77" s="279"/>
      <c r="I77" s="279"/>
      <c r="J77" s="307">
        <f>'Berekening rekenvolumes'!I44</f>
        <v>0.66666666666666663</v>
      </c>
    </row>
    <row r="78" spans="2:10" ht="12.75" customHeight="1">
      <c r="B78" s="278"/>
      <c r="C78" s="279"/>
      <c r="D78" s="279"/>
      <c r="E78" s="282"/>
      <c r="F78" s="279"/>
      <c r="G78" s="278"/>
      <c r="H78" s="279"/>
      <c r="I78" s="279"/>
      <c r="J78" s="282"/>
    </row>
    <row r="79" spans="2:10" ht="12.75" customHeight="1">
      <c r="B79" s="298" t="s">
        <v>290</v>
      </c>
      <c r="C79" s="279"/>
      <c r="D79" s="279"/>
      <c r="E79" s="309" t="s">
        <v>820</v>
      </c>
      <c r="F79" s="279"/>
      <c r="G79" s="298" t="s">
        <v>290</v>
      </c>
      <c r="H79" s="279"/>
      <c r="I79" s="279"/>
      <c r="J79" s="309" t="s">
        <v>820</v>
      </c>
    </row>
    <row r="80" spans="2:10" ht="12.75" customHeight="1">
      <c r="B80" s="283" t="s">
        <v>291</v>
      </c>
      <c r="C80" s="284"/>
      <c r="D80" s="284"/>
      <c r="E80" s="304">
        <f>'Berekening rekenvolumes'!I97</f>
        <v>0</v>
      </c>
      <c r="F80" s="279"/>
      <c r="G80" s="283" t="s">
        <v>291</v>
      </c>
      <c r="H80" s="284"/>
      <c r="I80" s="284"/>
      <c r="J80" s="304">
        <f>'Berekening rekenvolumes'!I47</f>
        <v>0</v>
      </c>
    </row>
    <row r="81" spans="2:10" ht="12.75" customHeight="1">
      <c r="B81" s="278"/>
      <c r="C81" s="279"/>
      <c r="D81" s="279"/>
      <c r="E81" s="279"/>
      <c r="F81" s="279"/>
      <c r="G81" s="279"/>
      <c r="H81" s="279"/>
      <c r="I81" s="279"/>
      <c r="J81" s="282"/>
    </row>
    <row r="82" spans="2:10" ht="12.75" customHeight="1">
      <c r="B82" s="295" t="s">
        <v>819</v>
      </c>
      <c r="C82" s="296"/>
      <c r="D82" s="296"/>
      <c r="E82" s="297"/>
      <c r="F82" s="279"/>
      <c r="G82" s="279"/>
      <c r="H82" s="279"/>
      <c r="I82" s="279"/>
      <c r="J82" s="282"/>
    </row>
    <row r="83" spans="2:10" ht="12.75" customHeight="1">
      <c r="B83" s="286"/>
      <c r="C83" s="287"/>
      <c r="D83" s="287"/>
      <c r="E83" s="280"/>
      <c r="F83" s="279"/>
      <c r="G83" s="279"/>
      <c r="H83" s="279"/>
      <c r="I83" s="279"/>
      <c r="J83" s="282"/>
    </row>
    <row r="84" spans="2:10" ht="12.75" customHeight="1">
      <c r="B84" s="298" t="s">
        <v>284</v>
      </c>
      <c r="C84" s="279"/>
      <c r="D84" s="279"/>
      <c r="E84" s="309" t="s">
        <v>820</v>
      </c>
      <c r="F84" s="279"/>
      <c r="G84" s="279"/>
      <c r="H84" s="279"/>
      <c r="I84" s="279"/>
      <c r="J84" s="282"/>
    </row>
    <row r="85" spans="2:10" ht="12.75" customHeight="1">
      <c r="B85" s="278" t="s">
        <v>285</v>
      </c>
      <c r="C85" s="279"/>
      <c r="D85" s="279"/>
      <c r="E85" s="303">
        <f>'Berekening rekenvolumes'!I103</f>
        <v>3372.5588862119498</v>
      </c>
      <c r="F85" s="279"/>
      <c r="G85" s="279"/>
      <c r="H85" s="279"/>
      <c r="I85" s="279"/>
      <c r="J85" s="282"/>
    </row>
    <row r="86" spans="2:10" ht="12.75" customHeight="1">
      <c r="B86" s="278" t="s">
        <v>286</v>
      </c>
      <c r="C86" s="279"/>
      <c r="D86" s="279"/>
      <c r="E86" s="303">
        <f>'Berekening rekenvolumes'!I104</f>
        <v>502.33315660544514</v>
      </c>
      <c r="F86" s="279"/>
      <c r="G86" s="279"/>
      <c r="H86" s="279"/>
      <c r="I86" s="279"/>
      <c r="J86" s="282"/>
    </row>
    <row r="87" spans="2:10" ht="12.75" customHeight="1">
      <c r="B87" s="278" t="s">
        <v>287</v>
      </c>
      <c r="C87" s="279"/>
      <c r="D87" s="279"/>
      <c r="E87" s="303">
        <f>'Berekening rekenvolumes'!I105</f>
        <v>396.06910432094793</v>
      </c>
      <c r="F87" s="279"/>
      <c r="G87" s="279"/>
      <c r="H87" s="279"/>
      <c r="I87" s="279"/>
      <c r="J87" s="282"/>
    </row>
    <row r="88" spans="2:10" ht="12.75" customHeight="1">
      <c r="B88" s="278" t="s">
        <v>288</v>
      </c>
      <c r="C88" s="279"/>
      <c r="D88" s="279"/>
      <c r="E88" s="307">
        <f>'Berekening rekenvolumes'!I106</f>
        <v>322.89908188323778</v>
      </c>
      <c r="F88" s="279"/>
      <c r="G88" s="279"/>
      <c r="H88" s="279"/>
      <c r="I88" s="279"/>
      <c r="J88" s="282"/>
    </row>
    <row r="89" spans="2:10" ht="12.75" customHeight="1">
      <c r="B89" s="278"/>
      <c r="C89" s="279"/>
      <c r="D89" s="279"/>
      <c r="E89" s="282"/>
      <c r="F89" s="279"/>
      <c r="G89" s="279"/>
      <c r="H89" s="279"/>
      <c r="I89" s="279"/>
      <c r="J89" s="282"/>
    </row>
    <row r="90" spans="2:10" ht="12.75" customHeight="1">
      <c r="B90" s="298" t="s">
        <v>289</v>
      </c>
      <c r="C90" s="279"/>
      <c r="D90" s="279"/>
      <c r="E90" s="309" t="s">
        <v>820</v>
      </c>
      <c r="F90" s="279"/>
      <c r="G90" s="279"/>
      <c r="H90" s="279"/>
      <c r="I90" s="279"/>
      <c r="J90" s="282"/>
    </row>
    <row r="91" spans="2:10" ht="12.75" customHeight="1">
      <c r="B91" s="278" t="s">
        <v>285</v>
      </c>
      <c r="C91" s="279"/>
      <c r="D91" s="279"/>
      <c r="E91" s="303">
        <f>'Berekening rekenvolumes'!I109</f>
        <v>0</v>
      </c>
      <c r="F91" s="279"/>
      <c r="G91" s="279"/>
      <c r="H91" s="279"/>
      <c r="I91" s="279"/>
      <c r="J91" s="306"/>
    </row>
    <row r="92" spans="2:10" ht="12.75" customHeight="1">
      <c r="B92" s="278" t="s">
        <v>286</v>
      </c>
      <c r="C92" s="279"/>
      <c r="D92" s="279"/>
      <c r="E92" s="303">
        <f>'Berekening rekenvolumes'!I110</f>
        <v>0</v>
      </c>
      <c r="F92" s="279"/>
      <c r="G92" s="279"/>
      <c r="H92" s="279"/>
      <c r="I92" s="279"/>
      <c r="J92" s="306"/>
    </row>
    <row r="93" spans="2:10" ht="12.75" customHeight="1">
      <c r="B93" s="278" t="s">
        <v>287</v>
      </c>
      <c r="C93" s="279"/>
      <c r="D93" s="279"/>
      <c r="E93" s="303">
        <f>'Berekening rekenvolumes'!I111</f>
        <v>0</v>
      </c>
      <c r="F93" s="279"/>
      <c r="G93" s="279"/>
      <c r="H93" s="279"/>
      <c r="I93" s="279"/>
      <c r="J93" s="306"/>
    </row>
    <row r="94" spans="2:10" ht="12.75" customHeight="1">
      <c r="B94" s="278" t="s">
        <v>288</v>
      </c>
      <c r="C94" s="279"/>
      <c r="D94" s="279"/>
      <c r="E94" s="307">
        <f>'Berekening rekenvolumes'!I112</f>
        <v>0</v>
      </c>
      <c r="F94" s="279"/>
      <c r="G94" s="519" t="s">
        <v>1347</v>
      </c>
      <c r="H94" s="519"/>
      <c r="I94" s="519"/>
      <c r="J94" s="282"/>
    </row>
    <row r="95" spans="2:10" ht="12.75" customHeight="1">
      <c r="B95" s="278"/>
      <c r="C95" s="279"/>
      <c r="D95" s="279"/>
      <c r="E95" s="282"/>
      <c r="F95" s="279"/>
      <c r="G95" s="519"/>
      <c r="H95" s="519"/>
      <c r="I95" s="519"/>
      <c r="J95" s="302"/>
    </row>
    <row r="96" spans="2:10" ht="12.75" customHeight="1">
      <c r="B96" s="298" t="s">
        <v>290</v>
      </c>
      <c r="C96" s="279"/>
      <c r="D96" s="279"/>
      <c r="E96" s="309" t="s">
        <v>820</v>
      </c>
      <c r="F96" s="279"/>
      <c r="G96" s="519"/>
      <c r="H96" s="519"/>
      <c r="I96" s="519"/>
      <c r="J96" s="306"/>
    </row>
    <row r="97" spans="2:10" ht="12.75" customHeight="1">
      <c r="B97" s="283" t="s">
        <v>291</v>
      </c>
      <c r="C97" s="284"/>
      <c r="D97" s="284"/>
      <c r="E97" s="304">
        <f>'Berekening rekenvolumes'!I115</f>
        <v>0</v>
      </c>
      <c r="F97" s="279"/>
      <c r="G97" s="279"/>
      <c r="H97" s="279"/>
      <c r="I97" s="279"/>
      <c r="J97" s="282"/>
    </row>
    <row r="98" spans="2:10" ht="9" customHeight="1">
      <c r="B98" s="283"/>
      <c r="C98" s="284"/>
      <c r="D98" s="284"/>
      <c r="E98" s="284"/>
      <c r="F98" s="284"/>
      <c r="G98" s="284"/>
      <c r="H98" s="284"/>
      <c r="I98" s="284"/>
      <c r="J98" s="285"/>
    </row>
    <row r="99" spans="2:10" ht="12.75" customHeight="1">
      <c r="G99" s="279"/>
      <c r="H99" s="279"/>
      <c r="I99" s="279"/>
      <c r="J99" s="279"/>
    </row>
  </sheetData>
  <mergeCells count="1">
    <mergeCell ref="G94:I96"/>
  </mergeCells>
  <pageMargins left="0.7" right="0.7" top="0.75" bottom="0.75" header="0.3" footer="0.3"/>
  <pageSetup paperSize="9" scale="5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2:K99"/>
  <sheetViews>
    <sheetView showGridLines="0" zoomScale="85" zoomScaleNormal="85" workbookViewId="0"/>
  </sheetViews>
  <sheetFormatPr defaultRowHeight="12.75"/>
  <cols>
    <col min="1" max="1" width="9.140625" style="277"/>
    <col min="2" max="2" width="50.7109375" style="277" customWidth="1"/>
    <col min="3" max="3" width="2.42578125" style="277" customWidth="1"/>
    <col min="4" max="4" width="4" style="277" customWidth="1"/>
    <col min="5" max="5" width="16" style="277" customWidth="1"/>
    <col min="6" max="6" width="2.85546875" style="277" customWidth="1"/>
    <col min="7" max="7" width="52.28515625" style="277" customWidth="1"/>
    <col min="8" max="8" width="2.42578125" style="277" customWidth="1"/>
    <col min="9" max="9" width="4" style="277" customWidth="1"/>
    <col min="10" max="10" width="13.5703125" style="277" customWidth="1"/>
    <col min="11" max="16384" width="9.140625" style="277"/>
  </cols>
  <sheetData>
    <row r="2" spans="2:10" ht="19.5" customHeight="1">
      <c r="B2" s="489" t="s">
        <v>1180</v>
      </c>
      <c r="C2" s="275"/>
      <c r="D2" s="275"/>
      <c r="E2" s="275"/>
      <c r="F2" s="275"/>
      <c r="G2" s="275"/>
      <c r="H2" s="275"/>
      <c r="I2" s="275"/>
      <c r="J2" s="276"/>
    </row>
    <row r="3" spans="2:10" ht="4.5" customHeight="1">
      <c r="B3" s="278"/>
      <c r="C3" s="279"/>
      <c r="D3" s="279"/>
      <c r="E3" s="279"/>
      <c r="F3" s="279"/>
      <c r="G3" s="279"/>
      <c r="H3" s="279"/>
      <c r="I3" s="279"/>
      <c r="J3" s="282"/>
    </row>
    <row r="4" spans="2:10">
      <c r="B4" s="299" t="s">
        <v>132</v>
      </c>
      <c r="C4" s="279"/>
      <c r="D4" s="279"/>
      <c r="E4" s="281"/>
      <c r="F4" s="279"/>
      <c r="G4" s="279"/>
      <c r="H4" s="279"/>
      <c r="I4" s="279"/>
      <c r="J4" s="282"/>
    </row>
    <row r="5" spans="2:10" ht="4.5" customHeight="1">
      <c r="B5" s="278"/>
      <c r="C5" s="279"/>
      <c r="D5" s="279"/>
      <c r="E5" s="279"/>
      <c r="F5" s="279"/>
      <c r="G5" s="279"/>
      <c r="H5" s="279"/>
      <c r="I5" s="279"/>
      <c r="J5" s="282"/>
    </row>
    <row r="6" spans="2:10" ht="4.5" customHeight="1">
      <c r="B6" s="283"/>
      <c r="C6" s="284"/>
      <c r="D6" s="284"/>
      <c r="E6" s="284"/>
      <c r="F6" s="284"/>
      <c r="G6" s="284"/>
      <c r="H6" s="284"/>
      <c r="I6" s="284"/>
      <c r="J6" s="285"/>
    </row>
    <row r="7" spans="2:10">
      <c r="B7" s="294" t="s">
        <v>28</v>
      </c>
      <c r="C7" s="275"/>
      <c r="D7" s="275"/>
      <c r="E7" s="275"/>
      <c r="F7" s="275"/>
      <c r="G7" s="275"/>
      <c r="H7" s="275"/>
      <c r="I7" s="275"/>
      <c r="J7" s="276"/>
    </row>
    <row r="8" spans="2:10">
      <c r="B8" s="286"/>
      <c r="C8" s="287"/>
      <c r="D8" s="287"/>
      <c r="E8" s="287"/>
      <c r="F8" s="287"/>
      <c r="G8" s="287"/>
      <c r="H8" s="287"/>
      <c r="I8" s="287"/>
      <c r="J8" s="280"/>
    </row>
    <row r="9" spans="2:10">
      <c r="B9" s="288" t="s">
        <v>265</v>
      </c>
      <c r="C9" s="279"/>
      <c r="D9" s="279"/>
      <c r="E9" s="308" t="s">
        <v>820</v>
      </c>
      <c r="F9" s="279"/>
      <c r="G9" s="279"/>
      <c r="H9" s="279"/>
      <c r="I9" s="279"/>
      <c r="J9" s="282"/>
    </row>
    <row r="10" spans="2:10">
      <c r="B10" s="289" t="s">
        <v>201</v>
      </c>
      <c r="C10" s="279"/>
      <c r="D10" s="279"/>
      <c r="E10" s="300">
        <f>'Berekening rekenvolumes'!J10</f>
        <v>2018637.8370405796</v>
      </c>
      <c r="F10" s="279"/>
      <c r="G10" s="279"/>
      <c r="H10" s="279"/>
      <c r="I10" s="279"/>
      <c r="J10" s="282"/>
    </row>
    <row r="11" spans="2:10">
      <c r="B11" s="290" t="s">
        <v>202</v>
      </c>
      <c r="C11" s="279"/>
      <c r="D11" s="279"/>
      <c r="E11" s="301">
        <f>'Berekening rekenvolumes'!J11</f>
        <v>6741460.3096565902</v>
      </c>
      <c r="F11" s="279"/>
      <c r="G11" s="279"/>
      <c r="H11" s="279"/>
      <c r="I11" s="279"/>
      <c r="J11" s="282"/>
    </row>
    <row r="12" spans="2:10">
      <c r="B12" s="290"/>
      <c r="C12" s="279"/>
      <c r="D12" s="279"/>
      <c r="E12" s="281"/>
      <c r="F12" s="279"/>
      <c r="G12" s="279"/>
      <c r="H12" s="279"/>
      <c r="I12" s="279"/>
      <c r="J12" s="282"/>
    </row>
    <row r="13" spans="2:10">
      <c r="B13" s="291" t="s">
        <v>266</v>
      </c>
      <c r="C13" s="279"/>
      <c r="D13" s="279"/>
      <c r="E13" s="308" t="s">
        <v>820</v>
      </c>
      <c r="F13" s="279"/>
      <c r="G13" s="279"/>
      <c r="H13" s="279"/>
      <c r="I13" s="279"/>
      <c r="J13" s="282"/>
    </row>
    <row r="14" spans="2:10">
      <c r="B14" s="289" t="s">
        <v>201</v>
      </c>
      <c r="C14" s="279"/>
      <c r="D14" s="279"/>
      <c r="E14" s="300">
        <f>'Berekening rekenvolumes'!J14</f>
        <v>8444.5632882651498</v>
      </c>
      <c r="F14" s="279"/>
      <c r="G14" s="279"/>
      <c r="H14" s="279"/>
      <c r="I14" s="279"/>
      <c r="J14" s="282"/>
    </row>
    <row r="15" spans="2:10">
      <c r="B15" s="290" t="s">
        <v>202</v>
      </c>
      <c r="C15" s="279"/>
      <c r="D15" s="279"/>
      <c r="E15" s="301">
        <f>'Berekening rekenvolumes'!J15</f>
        <v>646096.93713264691</v>
      </c>
      <c r="F15" s="279"/>
      <c r="G15" s="279"/>
      <c r="H15" s="279"/>
      <c r="I15" s="279"/>
      <c r="J15" s="282"/>
    </row>
    <row r="16" spans="2:10">
      <c r="B16" s="292"/>
      <c r="C16" s="279"/>
      <c r="D16" s="279"/>
      <c r="E16" s="281"/>
      <c r="F16" s="279"/>
      <c r="G16" s="279"/>
      <c r="H16" s="279"/>
      <c r="I16" s="279"/>
      <c r="J16" s="282"/>
    </row>
    <row r="17" spans="1:11">
      <c r="B17" s="288" t="s">
        <v>204</v>
      </c>
      <c r="C17" s="279"/>
      <c r="D17" s="279"/>
      <c r="E17" s="308" t="s">
        <v>820</v>
      </c>
      <c r="F17" s="279"/>
      <c r="G17" s="279"/>
      <c r="H17" s="279"/>
      <c r="I17" s="279"/>
      <c r="J17" s="282"/>
    </row>
    <row r="18" spans="1:11">
      <c r="B18" s="289" t="s">
        <v>201</v>
      </c>
      <c r="C18" s="279"/>
      <c r="D18" s="279"/>
      <c r="E18" s="300">
        <f>'Berekening rekenvolumes'!J18</f>
        <v>2318.0557286788703</v>
      </c>
      <c r="F18" s="279"/>
      <c r="G18" s="279"/>
      <c r="H18" s="279"/>
      <c r="I18" s="279"/>
      <c r="J18" s="282"/>
    </row>
    <row r="19" spans="1:11">
      <c r="B19" s="290" t="s">
        <v>262</v>
      </c>
      <c r="C19" s="279"/>
      <c r="D19" s="279"/>
      <c r="E19" s="300">
        <f>'Berekening rekenvolumes'!J19</f>
        <v>0</v>
      </c>
      <c r="F19" s="279"/>
      <c r="G19" s="279"/>
      <c r="H19" s="279"/>
      <c r="I19" s="279"/>
      <c r="J19" s="282"/>
    </row>
    <row r="20" spans="1:11">
      <c r="B20" s="289" t="s">
        <v>263</v>
      </c>
      <c r="C20" s="279"/>
      <c r="D20" s="279"/>
      <c r="E20" s="300">
        <f>'Berekening rekenvolumes'!J20</f>
        <v>0</v>
      </c>
      <c r="F20" s="279"/>
      <c r="G20" s="279"/>
      <c r="H20" s="279"/>
      <c r="I20" s="279"/>
      <c r="J20" s="282"/>
    </row>
    <row r="21" spans="1:11">
      <c r="B21" s="290" t="s">
        <v>264</v>
      </c>
      <c r="C21" s="279"/>
      <c r="D21" s="279"/>
      <c r="E21" s="300">
        <f>'Berekening rekenvolumes'!J21</f>
        <v>746574.67327855539</v>
      </c>
      <c r="F21" s="279"/>
      <c r="G21" s="279"/>
      <c r="H21" s="279"/>
      <c r="I21" s="279"/>
      <c r="J21" s="282"/>
    </row>
    <row r="22" spans="1:11">
      <c r="B22" s="293"/>
      <c r="C22" s="279"/>
      <c r="D22" s="279"/>
      <c r="E22" s="281"/>
      <c r="F22" s="279"/>
      <c r="G22" s="279"/>
      <c r="H22" s="279"/>
      <c r="I22" s="279"/>
      <c r="J22" s="282"/>
    </row>
    <row r="23" spans="1:11">
      <c r="B23" s="288" t="s">
        <v>206</v>
      </c>
      <c r="C23" s="279"/>
      <c r="D23" s="279"/>
      <c r="E23" s="308" t="s">
        <v>820</v>
      </c>
      <c r="F23" s="279"/>
      <c r="G23" s="279"/>
      <c r="H23" s="279"/>
      <c r="I23" s="279"/>
      <c r="J23" s="282"/>
    </row>
    <row r="24" spans="1:11">
      <c r="B24" s="289" t="s">
        <v>201</v>
      </c>
      <c r="C24" s="279"/>
      <c r="D24" s="279"/>
      <c r="E24" s="300">
        <f>'Berekening rekenvolumes'!J25</f>
        <v>1</v>
      </c>
      <c r="F24" s="279"/>
      <c r="G24" s="279"/>
      <c r="H24" s="279"/>
      <c r="I24" s="279"/>
      <c r="J24" s="282"/>
    </row>
    <row r="25" spans="1:11">
      <c r="B25" s="290" t="s">
        <v>202</v>
      </c>
      <c r="C25" s="279"/>
      <c r="D25" s="279"/>
      <c r="E25" s="301">
        <f>'Berekening rekenvolumes'!J26</f>
        <v>60000</v>
      </c>
      <c r="F25" s="279"/>
      <c r="G25" s="279"/>
      <c r="H25" s="279"/>
      <c r="I25" s="279"/>
      <c r="J25" s="282"/>
    </row>
    <row r="26" spans="1:11" ht="4.5" customHeight="1">
      <c r="B26" s="283"/>
      <c r="C26" s="284"/>
      <c r="D26" s="284"/>
      <c r="E26" s="284"/>
      <c r="F26" s="284"/>
      <c r="G26" s="284"/>
      <c r="H26" s="284"/>
      <c r="I26" s="284"/>
      <c r="J26" s="285"/>
    </row>
    <row r="27" spans="1:11" ht="4.5" customHeight="1">
      <c r="A27" s="279"/>
      <c r="B27" s="279"/>
      <c r="C27" s="279"/>
      <c r="D27" s="279"/>
      <c r="E27" s="279"/>
      <c r="F27" s="279"/>
      <c r="G27" s="279"/>
      <c r="H27" s="279"/>
      <c r="I27" s="279"/>
      <c r="J27" s="279"/>
      <c r="K27" s="279"/>
    </row>
    <row r="28" spans="1:11" ht="4.5" customHeight="1">
      <c r="A28" s="279"/>
      <c r="B28" s="284"/>
      <c r="C28" s="284"/>
      <c r="D28" s="284"/>
      <c r="E28" s="284"/>
      <c r="F28" s="284"/>
      <c r="G28" s="284"/>
      <c r="H28" s="284"/>
      <c r="I28" s="284"/>
      <c r="J28" s="284"/>
      <c r="K28" s="279"/>
    </row>
    <row r="29" spans="1:11" ht="19.5" customHeight="1">
      <c r="B29" s="489" t="s">
        <v>1180</v>
      </c>
      <c r="C29" s="275"/>
      <c r="D29" s="275"/>
      <c r="E29" s="275"/>
      <c r="F29" s="275"/>
      <c r="G29" s="275"/>
      <c r="H29" s="275"/>
      <c r="I29" s="275"/>
      <c r="J29" s="276"/>
    </row>
    <row r="30" spans="1:11" ht="4.5" customHeight="1">
      <c r="B30" s="278"/>
      <c r="C30" s="279"/>
      <c r="D30" s="279"/>
      <c r="E30" s="279"/>
      <c r="F30" s="279"/>
      <c r="G30" s="279"/>
      <c r="H30" s="279"/>
      <c r="I30" s="279"/>
      <c r="J30" s="282"/>
    </row>
    <row r="31" spans="1:11">
      <c r="B31" s="299" t="s">
        <v>132</v>
      </c>
      <c r="C31" s="279"/>
      <c r="D31" s="279"/>
      <c r="E31" s="281"/>
      <c r="F31" s="279"/>
      <c r="G31" s="279"/>
      <c r="H31" s="279"/>
      <c r="I31" s="279"/>
      <c r="J31" s="282"/>
    </row>
    <row r="32" spans="1:11" ht="4.5" customHeight="1">
      <c r="B32" s="278"/>
      <c r="C32" s="279"/>
      <c r="D32" s="279"/>
      <c r="E32" s="279"/>
      <c r="F32" s="279"/>
      <c r="G32" s="279"/>
      <c r="H32" s="279"/>
      <c r="I32" s="279"/>
      <c r="J32" s="282"/>
    </row>
    <row r="33" spans="2:10" ht="4.5" customHeight="1">
      <c r="B33" s="283"/>
      <c r="C33" s="284"/>
      <c r="D33" s="284"/>
      <c r="E33" s="284"/>
      <c r="F33" s="284"/>
      <c r="G33" s="284"/>
      <c r="H33" s="284"/>
      <c r="I33" s="284"/>
      <c r="J33" s="285"/>
    </row>
    <row r="34" spans="2:10" ht="12.75" customHeight="1">
      <c r="B34" s="294" t="s">
        <v>136</v>
      </c>
      <c r="C34" s="275"/>
      <c r="D34" s="275"/>
      <c r="E34" s="275"/>
      <c r="F34" s="275"/>
      <c r="G34" s="275"/>
      <c r="H34" s="275"/>
      <c r="I34" s="275"/>
      <c r="J34" s="276"/>
    </row>
    <row r="35" spans="2:10" ht="12.75" customHeight="1">
      <c r="B35" s="278"/>
      <c r="C35" s="279"/>
      <c r="D35" s="279"/>
      <c r="E35" s="279"/>
      <c r="F35" s="279"/>
      <c r="G35" s="279"/>
      <c r="H35" s="279"/>
      <c r="I35" s="279"/>
      <c r="J35" s="305"/>
    </row>
    <row r="36" spans="2:10" ht="12.75" customHeight="1">
      <c r="B36" s="295" t="s">
        <v>816</v>
      </c>
      <c r="C36" s="296"/>
      <c r="D36" s="296"/>
      <c r="E36" s="297"/>
      <c r="F36" s="279"/>
      <c r="G36" s="295" t="s">
        <v>817</v>
      </c>
      <c r="H36" s="296"/>
      <c r="I36" s="296"/>
      <c r="J36" s="297"/>
    </row>
    <row r="37" spans="2:10" ht="12.75" customHeight="1">
      <c r="B37" s="286"/>
      <c r="C37" s="287"/>
      <c r="D37" s="287"/>
      <c r="E37" s="280"/>
      <c r="F37" s="279"/>
      <c r="G37" s="278"/>
      <c r="H37" s="279"/>
      <c r="I37" s="279"/>
      <c r="J37" s="282"/>
    </row>
    <row r="38" spans="2:10" ht="12.75" customHeight="1">
      <c r="B38" s="298" t="s">
        <v>284</v>
      </c>
      <c r="C38" s="279"/>
      <c r="D38" s="279"/>
      <c r="E38" s="309" t="s">
        <v>820</v>
      </c>
      <c r="F38" s="279"/>
      <c r="G38" s="298" t="s">
        <v>284</v>
      </c>
      <c r="H38" s="279"/>
      <c r="I38" s="279"/>
      <c r="J38" s="309" t="s">
        <v>820</v>
      </c>
    </row>
    <row r="39" spans="2:10" ht="12.75" customHeight="1">
      <c r="B39" s="278" t="s">
        <v>292</v>
      </c>
      <c r="C39" s="279"/>
      <c r="D39" s="279"/>
      <c r="E39" s="303">
        <f>'Berekening rekenvolumes'!J121</f>
        <v>44.138016722990187</v>
      </c>
      <c r="F39" s="279"/>
      <c r="G39" s="278" t="s">
        <v>292</v>
      </c>
      <c r="H39" s="279"/>
      <c r="I39" s="279"/>
      <c r="J39" s="303">
        <f>'Berekening rekenvolumes'!J53</f>
        <v>2718.1035215193433</v>
      </c>
    </row>
    <row r="40" spans="2:10" ht="12.75" customHeight="1">
      <c r="B40" s="278" t="s">
        <v>293</v>
      </c>
      <c r="C40" s="279"/>
      <c r="D40" s="279"/>
      <c r="E40" s="303">
        <f>'Berekening rekenvolumes'!J122</f>
        <v>60.598659754342741</v>
      </c>
      <c r="F40" s="279"/>
      <c r="G40" s="278" t="s">
        <v>293</v>
      </c>
      <c r="H40" s="279"/>
      <c r="I40" s="279"/>
      <c r="J40" s="303">
        <f>'Berekening rekenvolumes'!J54</f>
        <v>3347.6866336168182</v>
      </c>
    </row>
    <row r="41" spans="2:10" ht="12.75" customHeight="1">
      <c r="B41" s="278" t="s">
        <v>294</v>
      </c>
      <c r="C41" s="279"/>
      <c r="D41" s="279"/>
      <c r="E41" s="303">
        <f>'Berekening rekenvolumes'!J123</f>
        <v>26.961346216325563</v>
      </c>
      <c r="F41" s="279"/>
      <c r="G41" s="278" t="s">
        <v>294</v>
      </c>
      <c r="H41" s="279"/>
      <c r="I41" s="279"/>
      <c r="J41" s="303">
        <f>'Berekening rekenvolumes'!J55</f>
        <v>1673.718934988404</v>
      </c>
    </row>
    <row r="42" spans="2:10" ht="12.75" customHeight="1">
      <c r="B42" s="278" t="s">
        <v>295</v>
      </c>
      <c r="C42" s="279"/>
      <c r="D42" s="279"/>
      <c r="E42" s="303">
        <f>'Berekening rekenvolumes'!J124</f>
        <v>12.964271572473523</v>
      </c>
      <c r="F42" s="279"/>
      <c r="G42" s="278" t="s">
        <v>295</v>
      </c>
      <c r="H42" s="279"/>
      <c r="I42" s="279"/>
      <c r="J42" s="303">
        <f>'Berekening rekenvolumes'!J56</f>
        <v>851.61106987371329</v>
      </c>
    </row>
    <row r="43" spans="2:10" ht="12.75" customHeight="1">
      <c r="B43" s="299" t="s">
        <v>296</v>
      </c>
      <c r="C43" s="279"/>
      <c r="D43" s="279"/>
      <c r="E43" s="303">
        <f>'Berekening rekenvolumes'!J125</f>
        <v>6.013114880028958</v>
      </c>
      <c r="F43" s="279"/>
      <c r="G43" s="299" t="s">
        <v>296</v>
      </c>
      <c r="H43" s="279"/>
      <c r="I43" s="279"/>
      <c r="J43" s="303">
        <f>'Berekening rekenvolumes'!J57</f>
        <v>679.24862959107213</v>
      </c>
    </row>
    <row r="44" spans="2:10" ht="12.75" customHeight="1">
      <c r="B44" s="278" t="s">
        <v>297</v>
      </c>
      <c r="C44" s="279"/>
      <c r="D44" s="279"/>
      <c r="E44" s="303">
        <f>'Berekening rekenvolumes'!J126</f>
        <v>0.66666666666666663</v>
      </c>
      <c r="F44" s="279"/>
      <c r="G44" s="278" t="s">
        <v>297</v>
      </c>
      <c r="H44" s="279"/>
      <c r="I44" s="279"/>
      <c r="J44" s="303">
        <f>'Berekening rekenvolumes'!J58</f>
        <v>282.71042648101064</v>
      </c>
    </row>
    <row r="45" spans="2:10" ht="12.75" customHeight="1">
      <c r="B45" s="278" t="s">
        <v>298</v>
      </c>
      <c r="C45" s="279"/>
      <c r="D45" s="279"/>
      <c r="E45" s="303">
        <f>'Berekening rekenvolumes'!J127</f>
        <v>0</v>
      </c>
      <c r="F45" s="279"/>
      <c r="G45" s="278" t="s">
        <v>298</v>
      </c>
      <c r="H45" s="279"/>
      <c r="I45" s="279"/>
      <c r="J45" s="303">
        <f>'Berekening rekenvolumes'!J59</f>
        <v>156.29552775577582</v>
      </c>
    </row>
    <row r="46" spans="2:10" ht="12.75" customHeight="1">
      <c r="B46" s="278" t="s">
        <v>299</v>
      </c>
      <c r="C46" s="279"/>
      <c r="D46" s="279"/>
      <c r="E46" s="303">
        <f>'Berekening rekenvolumes'!J128</f>
        <v>1.3333333333333333</v>
      </c>
      <c r="F46" s="279"/>
      <c r="G46" s="278" t="s">
        <v>299</v>
      </c>
      <c r="H46" s="279"/>
      <c r="I46" s="279"/>
      <c r="J46" s="303">
        <f>'Berekening rekenvolumes'!J60</f>
        <v>54.666666978379588</v>
      </c>
    </row>
    <row r="47" spans="2:10" ht="12.75" customHeight="1">
      <c r="B47" s="278" t="s">
        <v>300</v>
      </c>
      <c r="C47" s="279"/>
      <c r="D47" s="279"/>
      <c r="E47" s="303">
        <f>'Berekening rekenvolumes'!J129</f>
        <v>0</v>
      </c>
      <c r="F47" s="279"/>
      <c r="G47" s="278" t="s">
        <v>300</v>
      </c>
      <c r="H47" s="279"/>
      <c r="I47" s="279"/>
      <c r="J47" s="303">
        <f>'Berekening rekenvolumes'!J61</f>
        <v>18</v>
      </c>
    </row>
    <row r="48" spans="2:10" ht="12.75" customHeight="1">
      <c r="B48" s="278" t="s">
        <v>301</v>
      </c>
      <c r="C48" s="279"/>
      <c r="D48" s="279"/>
      <c r="E48" s="303">
        <f>'Berekening rekenvolumes'!J130</f>
        <v>0.33333333333333331</v>
      </c>
      <c r="F48" s="279"/>
      <c r="G48" s="278" t="s">
        <v>301</v>
      </c>
      <c r="H48" s="279"/>
      <c r="I48" s="279"/>
      <c r="J48" s="303">
        <f>'Berekening rekenvolumes'!J62</f>
        <v>15</v>
      </c>
    </row>
    <row r="49" spans="2:10" ht="12.75" customHeight="1">
      <c r="B49" s="278"/>
      <c r="C49" s="279"/>
      <c r="D49" s="279"/>
      <c r="E49" s="282"/>
      <c r="F49" s="279"/>
      <c r="G49" s="278"/>
      <c r="H49" s="279"/>
      <c r="I49" s="279"/>
      <c r="J49" s="282"/>
    </row>
    <row r="50" spans="2:10" ht="12.75" customHeight="1">
      <c r="B50" s="298" t="s">
        <v>289</v>
      </c>
      <c r="C50" s="279"/>
      <c r="D50" s="279"/>
      <c r="E50" s="309" t="s">
        <v>820</v>
      </c>
      <c r="F50" s="279"/>
      <c r="G50" s="298" t="s">
        <v>289</v>
      </c>
      <c r="H50" s="279"/>
      <c r="I50" s="279"/>
      <c r="J50" s="309" t="s">
        <v>820</v>
      </c>
    </row>
    <row r="51" spans="2:10" ht="12.75" customHeight="1">
      <c r="B51" s="278" t="s">
        <v>292</v>
      </c>
      <c r="C51" s="279"/>
      <c r="D51" s="279"/>
      <c r="E51" s="303">
        <f>'Berekening rekenvolumes'!J133</f>
        <v>2.3333333333333335</v>
      </c>
      <c r="F51" s="279"/>
      <c r="G51" s="278" t="s">
        <v>292</v>
      </c>
      <c r="H51" s="279"/>
      <c r="I51" s="279"/>
      <c r="J51" s="303">
        <f>'Berekening rekenvolumes'!J65</f>
        <v>31.887277238196749</v>
      </c>
    </row>
    <row r="52" spans="2:10" ht="12.75" customHeight="1">
      <c r="B52" s="278" t="s">
        <v>293</v>
      </c>
      <c r="C52" s="279"/>
      <c r="D52" s="279"/>
      <c r="E52" s="303">
        <f>'Berekening rekenvolumes'!J134</f>
        <v>8.6666666666666661</v>
      </c>
      <c r="F52" s="279"/>
      <c r="G52" s="278" t="s">
        <v>293</v>
      </c>
      <c r="H52" s="279"/>
      <c r="I52" s="279"/>
      <c r="J52" s="303">
        <f>'Berekening rekenvolumes'!J66</f>
        <v>105.96713563754302</v>
      </c>
    </row>
    <row r="53" spans="2:10" ht="12.75" customHeight="1">
      <c r="B53" s="278" t="s">
        <v>294</v>
      </c>
      <c r="C53" s="279"/>
      <c r="D53" s="279"/>
      <c r="E53" s="303">
        <f>'Berekening rekenvolumes'!J135</f>
        <v>6.333333333333333</v>
      </c>
      <c r="F53" s="279"/>
      <c r="G53" s="278" t="s">
        <v>294</v>
      </c>
      <c r="H53" s="279"/>
      <c r="I53" s="279"/>
      <c r="J53" s="303">
        <f>'Berekening rekenvolumes'!J67</f>
        <v>129.78635115102438</v>
      </c>
    </row>
    <row r="54" spans="2:10" ht="12.75" customHeight="1">
      <c r="B54" s="278" t="s">
        <v>295</v>
      </c>
      <c r="C54" s="279"/>
      <c r="D54" s="279"/>
      <c r="E54" s="303">
        <f>'Berekening rekenvolumes'!J136</f>
        <v>3.5126763367463028</v>
      </c>
      <c r="F54" s="279"/>
      <c r="G54" s="278" t="s">
        <v>295</v>
      </c>
      <c r="H54" s="279"/>
      <c r="I54" s="279"/>
      <c r="J54" s="303">
        <f>'Berekening rekenvolumes'!J68</f>
        <v>181.65440739045823</v>
      </c>
    </row>
    <row r="55" spans="2:10" ht="12.75" customHeight="1">
      <c r="B55" s="299" t="s">
        <v>296</v>
      </c>
      <c r="C55" s="279"/>
      <c r="D55" s="279"/>
      <c r="E55" s="303">
        <f>'Berekening rekenvolumes'!J137</f>
        <v>3.6666666666666665</v>
      </c>
      <c r="F55" s="279"/>
      <c r="G55" s="299" t="s">
        <v>296</v>
      </c>
      <c r="H55" s="279"/>
      <c r="I55" s="279"/>
      <c r="J55" s="303">
        <f>'Berekening rekenvolumes'!J69</f>
        <v>214.46506973195423</v>
      </c>
    </row>
    <row r="56" spans="2:10" ht="12.75" customHeight="1">
      <c r="B56" s="278" t="s">
        <v>297</v>
      </c>
      <c r="C56" s="279"/>
      <c r="D56" s="279"/>
      <c r="E56" s="303">
        <f>'Berekening rekenvolumes'!J138</f>
        <v>2.7153988478812732</v>
      </c>
      <c r="F56" s="279"/>
      <c r="G56" s="278" t="s">
        <v>297</v>
      </c>
      <c r="H56" s="279"/>
      <c r="I56" s="279"/>
      <c r="J56" s="303">
        <f>'Berekening rekenvolumes'!J70</f>
        <v>114.85985812015377</v>
      </c>
    </row>
    <row r="57" spans="2:10" ht="12.75" customHeight="1">
      <c r="B57" s="278" t="s">
        <v>298</v>
      </c>
      <c r="C57" s="279"/>
      <c r="D57" s="279"/>
      <c r="E57" s="303">
        <f>'Berekening rekenvolumes'!J139</f>
        <v>5.666666666666667</v>
      </c>
      <c r="F57" s="279"/>
      <c r="G57" s="278" t="s">
        <v>298</v>
      </c>
      <c r="H57" s="279"/>
      <c r="I57" s="279"/>
      <c r="J57" s="303">
        <f>'Berekening rekenvolumes'!J71</f>
        <v>128.68777471494741</v>
      </c>
    </row>
    <row r="58" spans="2:10" ht="12.75" customHeight="1">
      <c r="B58" s="278" t="s">
        <v>299</v>
      </c>
      <c r="C58" s="279"/>
      <c r="D58" s="279"/>
      <c r="E58" s="303">
        <f>'Berekening rekenvolumes'!J140</f>
        <v>0.66666666666666663</v>
      </c>
      <c r="F58" s="279"/>
      <c r="G58" s="278" t="s">
        <v>299</v>
      </c>
      <c r="H58" s="279"/>
      <c r="I58" s="279"/>
      <c r="J58" s="303">
        <f>'Berekening rekenvolumes'!J72</f>
        <v>24.628180221211508</v>
      </c>
    </row>
    <row r="59" spans="2:10" ht="12.75" customHeight="1">
      <c r="B59" s="278" t="s">
        <v>300</v>
      </c>
      <c r="C59" s="279"/>
      <c r="D59" s="279"/>
      <c r="E59" s="303">
        <f>'Berekening rekenvolumes'!J141</f>
        <v>1.3333333333333333</v>
      </c>
      <c r="F59" s="279"/>
      <c r="G59" s="278" t="s">
        <v>300</v>
      </c>
      <c r="H59" s="279"/>
      <c r="I59" s="279"/>
      <c r="J59" s="303">
        <f>'Berekening rekenvolumes'!J73</f>
        <v>59.279208207257007</v>
      </c>
    </row>
    <row r="60" spans="2:10" ht="12.75" customHeight="1">
      <c r="B60" s="278" t="s">
        <v>301</v>
      </c>
      <c r="C60" s="279"/>
      <c r="D60" s="279"/>
      <c r="E60" s="303">
        <f>'Berekening rekenvolumes'!J142</f>
        <v>1.6365017973982985</v>
      </c>
      <c r="F60" s="279"/>
      <c r="G60" s="278" t="s">
        <v>301</v>
      </c>
      <c r="H60" s="279"/>
      <c r="I60" s="279"/>
      <c r="J60" s="303">
        <f>'Berekening rekenvolumes'!J74</f>
        <v>23.31751778402095</v>
      </c>
    </row>
    <row r="61" spans="2:10" ht="12.75" customHeight="1">
      <c r="B61" s="278"/>
      <c r="C61" s="279"/>
      <c r="D61" s="279"/>
      <c r="E61" s="282"/>
      <c r="F61" s="279"/>
      <c r="G61" s="278"/>
      <c r="H61" s="279"/>
      <c r="I61" s="279"/>
      <c r="J61" s="282"/>
    </row>
    <row r="62" spans="2:10" ht="12.75" customHeight="1">
      <c r="B62" s="298" t="s">
        <v>290</v>
      </c>
      <c r="C62" s="279"/>
      <c r="D62" s="279"/>
      <c r="E62" s="309" t="s">
        <v>820</v>
      </c>
      <c r="F62" s="279"/>
      <c r="G62" s="298" t="s">
        <v>290</v>
      </c>
      <c r="H62" s="279"/>
      <c r="I62" s="279"/>
      <c r="J62" s="309" t="s">
        <v>820</v>
      </c>
    </row>
    <row r="63" spans="2:10" ht="12.75" customHeight="1">
      <c r="B63" s="283" t="s">
        <v>302</v>
      </c>
      <c r="C63" s="284"/>
      <c r="D63" s="284"/>
      <c r="E63" s="304">
        <f>'Berekening rekenvolumes'!F145</f>
        <v>0</v>
      </c>
      <c r="F63" s="279"/>
      <c r="G63" s="283" t="s">
        <v>302</v>
      </c>
      <c r="H63" s="284"/>
      <c r="I63" s="284"/>
      <c r="J63" s="304">
        <f>'Berekening rekenvolumes'!J77</f>
        <v>3</v>
      </c>
    </row>
    <row r="64" spans="2:10" ht="12.75" customHeight="1">
      <c r="B64" s="278"/>
      <c r="C64" s="279"/>
      <c r="D64" s="279"/>
      <c r="E64" s="279"/>
      <c r="F64" s="279"/>
      <c r="G64" s="279"/>
      <c r="H64" s="279"/>
      <c r="I64" s="279"/>
      <c r="J64" s="280"/>
    </row>
    <row r="65" spans="2:10" ht="12.75" customHeight="1">
      <c r="B65" s="295" t="s">
        <v>818</v>
      </c>
      <c r="C65" s="296"/>
      <c r="D65" s="296"/>
      <c r="E65" s="297"/>
      <c r="F65" s="279"/>
      <c r="G65" s="295" t="s">
        <v>306</v>
      </c>
      <c r="H65" s="296"/>
      <c r="I65" s="296"/>
      <c r="J65" s="297"/>
    </row>
    <row r="66" spans="2:10" ht="12.75" customHeight="1">
      <c r="B66" s="286"/>
      <c r="C66" s="287"/>
      <c r="D66" s="287"/>
      <c r="E66" s="280"/>
      <c r="F66" s="279"/>
      <c r="G66" s="286"/>
      <c r="H66" s="287"/>
      <c r="I66" s="287"/>
      <c r="J66" s="280"/>
    </row>
    <row r="67" spans="2:10" ht="12.75" customHeight="1">
      <c r="B67" s="298" t="s">
        <v>284</v>
      </c>
      <c r="C67" s="279"/>
      <c r="D67" s="279"/>
      <c r="E67" s="309" t="s">
        <v>820</v>
      </c>
      <c r="F67" s="279"/>
      <c r="G67" s="298" t="s">
        <v>284</v>
      </c>
      <c r="H67" s="279"/>
      <c r="I67" s="279"/>
      <c r="J67" s="309" t="s">
        <v>820</v>
      </c>
    </row>
    <row r="68" spans="2:10" ht="12.75" customHeight="1">
      <c r="B68" s="278" t="s">
        <v>285</v>
      </c>
      <c r="C68" s="279"/>
      <c r="D68" s="279"/>
      <c r="E68" s="303">
        <f>'Berekening rekenvolumes'!J85</f>
        <v>14397.763727903106</v>
      </c>
      <c r="F68" s="279"/>
      <c r="G68" s="278" t="s">
        <v>285</v>
      </c>
      <c r="H68" s="279"/>
      <c r="I68" s="279"/>
      <c r="J68" s="303">
        <f>'Berekening rekenvolumes'!J35</f>
        <v>1977711.7453203599</v>
      </c>
    </row>
    <row r="69" spans="2:10" ht="12.75" customHeight="1">
      <c r="B69" s="278" t="s">
        <v>286</v>
      </c>
      <c r="C69" s="279"/>
      <c r="D69" s="279"/>
      <c r="E69" s="303">
        <f>'Berekening rekenvolumes'!J86</f>
        <v>166.56916048495694</v>
      </c>
      <c r="F69" s="279"/>
      <c r="G69" s="278" t="s">
        <v>286</v>
      </c>
      <c r="H69" s="279"/>
      <c r="I69" s="279"/>
      <c r="J69" s="303">
        <f>'Berekening rekenvolumes'!J36</f>
        <v>4849.0895288625497</v>
      </c>
    </row>
    <row r="70" spans="2:10" ht="12.75" customHeight="1">
      <c r="B70" s="278" t="s">
        <v>287</v>
      </c>
      <c r="C70" s="279"/>
      <c r="D70" s="279"/>
      <c r="E70" s="303">
        <f>'Berekening rekenvolumes'!J87</f>
        <v>205.01287658678424</v>
      </c>
      <c r="F70" s="279"/>
      <c r="G70" s="278" t="s">
        <v>287</v>
      </c>
      <c r="H70" s="279"/>
      <c r="I70" s="279"/>
      <c r="J70" s="303">
        <f>'Berekening rekenvolumes'!J37</f>
        <v>27627.476785386138</v>
      </c>
    </row>
    <row r="71" spans="2:10" ht="12.75" customHeight="1">
      <c r="B71" s="278" t="s">
        <v>288</v>
      </c>
      <c r="C71" s="279"/>
      <c r="D71" s="279"/>
      <c r="E71" s="307">
        <f>'Berekening rekenvolumes'!J88</f>
        <v>131.33434382319933</v>
      </c>
      <c r="F71" s="279"/>
      <c r="G71" s="278" t="s">
        <v>288</v>
      </c>
      <c r="H71" s="279"/>
      <c r="I71" s="279"/>
      <c r="J71" s="307">
        <f>'Berekening rekenvolumes'!J38</f>
        <v>8602.3974507738694</v>
      </c>
    </row>
    <row r="72" spans="2:10" ht="12.75" customHeight="1">
      <c r="B72" s="278"/>
      <c r="C72" s="279"/>
      <c r="D72" s="279"/>
      <c r="E72" s="282"/>
      <c r="F72" s="279"/>
      <c r="G72" s="278"/>
      <c r="H72" s="279"/>
      <c r="I72" s="279"/>
      <c r="J72" s="282"/>
    </row>
    <row r="73" spans="2:10" ht="12.75" customHeight="1">
      <c r="B73" s="298" t="s">
        <v>289</v>
      </c>
      <c r="C73" s="279"/>
      <c r="D73" s="279"/>
      <c r="E73" s="309" t="s">
        <v>820</v>
      </c>
      <c r="F73" s="279"/>
      <c r="G73" s="298" t="s">
        <v>289</v>
      </c>
      <c r="H73" s="279"/>
      <c r="I73" s="279"/>
      <c r="J73" s="309" t="s">
        <v>820</v>
      </c>
    </row>
    <row r="74" spans="2:10" ht="12.75" customHeight="1">
      <c r="B74" s="278" t="s">
        <v>285</v>
      </c>
      <c r="C74" s="279"/>
      <c r="D74" s="279"/>
      <c r="E74" s="303">
        <f>'Berekening rekenvolumes'!J91</f>
        <v>0</v>
      </c>
      <c r="F74" s="279"/>
      <c r="G74" s="278" t="s">
        <v>285</v>
      </c>
      <c r="H74" s="279"/>
      <c r="I74" s="279"/>
      <c r="J74" s="303">
        <f>'Berekening rekenvolumes'!J41</f>
        <v>0</v>
      </c>
    </row>
    <row r="75" spans="2:10" ht="12.75" customHeight="1">
      <c r="B75" s="278" t="s">
        <v>286</v>
      </c>
      <c r="C75" s="279"/>
      <c r="D75" s="279"/>
      <c r="E75" s="303">
        <f>'Berekening rekenvolumes'!J92</f>
        <v>0</v>
      </c>
      <c r="F75" s="279"/>
      <c r="G75" s="278" t="s">
        <v>286</v>
      </c>
      <c r="H75" s="279"/>
      <c r="I75" s="279"/>
      <c r="J75" s="303">
        <f>'Berekening rekenvolumes'!J42</f>
        <v>0</v>
      </c>
    </row>
    <row r="76" spans="2:10" ht="12.75" customHeight="1">
      <c r="B76" s="278" t="s">
        <v>287</v>
      </c>
      <c r="C76" s="279"/>
      <c r="D76" s="279"/>
      <c r="E76" s="303">
        <f>'Berekening rekenvolumes'!J93</f>
        <v>0</v>
      </c>
      <c r="F76" s="279"/>
      <c r="G76" s="278" t="s">
        <v>287</v>
      </c>
      <c r="H76" s="279"/>
      <c r="I76" s="279"/>
      <c r="J76" s="303">
        <f>'Berekening rekenvolumes'!J43</f>
        <v>0</v>
      </c>
    </row>
    <row r="77" spans="2:10" ht="12.75" customHeight="1">
      <c r="B77" s="278" t="s">
        <v>288</v>
      </c>
      <c r="C77" s="279"/>
      <c r="D77" s="279"/>
      <c r="E77" s="307">
        <f>'Berekening rekenvolumes'!J94</f>
        <v>0</v>
      </c>
      <c r="F77" s="279"/>
      <c r="G77" s="278" t="s">
        <v>288</v>
      </c>
      <c r="H77" s="279"/>
      <c r="I77" s="279"/>
      <c r="J77" s="307">
        <f>'Berekening rekenvolumes'!J44</f>
        <v>0</v>
      </c>
    </row>
    <row r="78" spans="2:10" ht="12.75" customHeight="1">
      <c r="B78" s="278"/>
      <c r="C78" s="279"/>
      <c r="D78" s="279"/>
      <c r="E78" s="282"/>
      <c r="F78" s="279"/>
      <c r="G78" s="278"/>
      <c r="H78" s="279"/>
      <c r="I78" s="279"/>
      <c r="J78" s="282"/>
    </row>
    <row r="79" spans="2:10" ht="12.75" customHeight="1">
      <c r="B79" s="298" t="s">
        <v>290</v>
      </c>
      <c r="C79" s="279"/>
      <c r="D79" s="279"/>
      <c r="E79" s="309" t="s">
        <v>820</v>
      </c>
      <c r="F79" s="279"/>
      <c r="G79" s="298" t="s">
        <v>290</v>
      </c>
      <c r="H79" s="279"/>
      <c r="I79" s="279"/>
      <c r="J79" s="309" t="s">
        <v>820</v>
      </c>
    </row>
    <row r="80" spans="2:10" ht="12.75" customHeight="1">
      <c r="B80" s="283" t="s">
        <v>291</v>
      </c>
      <c r="C80" s="284"/>
      <c r="D80" s="284"/>
      <c r="E80" s="304">
        <f>'Berekening rekenvolumes'!J97</f>
        <v>0</v>
      </c>
      <c r="F80" s="279"/>
      <c r="G80" s="283" t="s">
        <v>291</v>
      </c>
      <c r="H80" s="284"/>
      <c r="I80" s="284"/>
      <c r="J80" s="304">
        <f>'Berekening rekenvolumes'!J47</f>
        <v>0</v>
      </c>
    </row>
    <row r="81" spans="2:10" ht="12.75" customHeight="1">
      <c r="B81" s="278"/>
      <c r="C81" s="279"/>
      <c r="D81" s="279"/>
      <c r="E81" s="279"/>
      <c r="F81" s="279"/>
      <c r="G81" s="279"/>
      <c r="H81" s="279"/>
      <c r="I81" s="279"/>
      <c r="J81" s="282"/>
    </row>
    <row r="82" spans="2:10" ht="12.75" customHeight="1">
      <c r="B82" s="295" t="s">
        <v>819</v>
      </c>
      <c r="C82" s="296"/>
      <c r="D82" s="296"/>
      <c r="E82" s="297"/>
      <c r="F82" s="279"/>
      <c r="G82" s="279"/>
      <c r="H82" s="279"/>
      <c r="I82" s="279"/>
      <c r="J82" s="282"/>
    </row>
    <row r="83" spans="2:10" ht="12.75" customHeight="1">
      <c r="B83" s="286"/>
      <c r="C83" s="287"/>
      <c r="D83" s="287"/>
      <c r="E83" s="280"/>
      <c r="F83" s="279"/>
      <c r="G83" s="279"/>
      <c r="H83" s="279"/>
      <c r="I83" s="279"/>
      <c r="J83" s="282"/>
    </row>
    <row r="84" spans="2:10" ht="12.75" customHeight="1">
      <c r="B84" s="298" t="s">
        <v>284</v>
      </c>
      <c r="C84" s="279"/>
      <c r="D84" s="279"/>
      <c r="E84" s="309" t="s">
        <v>820</v>
      </c>
      <c r="F84" s="279"/>
      <c r="G84" s="279"/>
      <c r="H84" s="279"/>
      <c r="I84" s="279"/>
      <c r="J84" s="282"/>
    </row>
    <row r="85" spans="2:10" ht="12.75" customHeight="1">
      <c r="B85" s="278" t="s">
        <v>285</v>
      </c>
      <c r="C85" s="279"/>
      <c r="D85" s="279"/>
      <c r="E85" s="303">
        <f>'Berekening rekenvolumes'!J103</f>
        <v>26755.346681058374</v>
      </c>
      <c r="F85" s="279"/>
      <c r="G85" s="279"/>
      <c r="H85" s="279"/>
      <c r="I85" s="279"/>
      <c r="J85" s="282"/>
    </row>
    <row r="86" spans="2:10" ht="12.75" customHeight="1">
      <c r="B86" s="278" t="s">
        <v>286</v>
      </c>
      <c r="C86" s="279"/>
      <c r="D86" s="279"/>
      <c r="E86" s="303">
        <f>'Berekening rekenvolumes'!J104</f>
        <v>5716.8951515151521</v>
      </c>
      <c r="F86" s="279"/>
      <c r="G86" s="279"/>
      <c r="H86" s="279"/>
      <c r="I86" s="279"/>
      <c r="J86" s="282"/>
    </row>
    <row r="87" spans="2:10" ht="12.75" customHeight="1">
      <c r="B87" s="278" t="s">
        <v>287</v>
      </c>
      <c r="C87" s="279"/>
      <c r="D87" s="279"/>
      <c r="E87" s="303">
        <f>'Berekening rekenvolumes'!J105</f>
        <v>1966.5660561167231</v>
      </c>
      <c r="F87" s="279"/>
      <c r="G87" s="279"/>
      <c r="H87" s="279"/>
      <c r="I87" s="279"/>
      <c r="J87" s="282"/>
    </row>
    <row r="88" spans="2:10" ht="12.75" customHeight="1">
      <c r="B88" s="278" t="s">
        <v>288</v>
      </c>
      <c r="C88" s="279"/>
      <c r="D88" s="279"/>
      <c r="E88" s="307">
        <f>'Berekening rekenvolumes'!J106</f>
        <v>932.55115600448937</v>
      </c>
      <c r="F88" s="279"/>
      <c r="G88" s="279"/>
      <c r="H88" s="279"/>
      <c r="I88" s="279"/>
      <c r="J88" s="282"/>
    </row>
    <row r="89" spans="2:10" ht="12.75" customHeight="1">
      <c r="B89" s="278"/>
      <c r="C89" s="279"/>
      <c r="D89" s="279"/>
      <c r="E89" s="282"/>
      <c r="F89" s="279"/>
      <c r="G89" s="279"/>
      <c r="H89" s="279"/>
      <c r="I89" s="279"/>
      <c r="J89" s="282"/>
    </row>
    <row r="90" spans="2:10" ht="12.75" customHeight="1">
      <c r="B90" s="298" t="s">
        <v>289</v>
      </c>
      <c r="C90" s="279"/>
      <c r="D90" s="279"/>
      <c r="E90" s="309" t="s">
        <v>820</v>
      </c>
      <c r="F90" s="279"/>
      <c r="G90" s="279"/>
      <c r="H90" s="279"/>
      <c r="I90" s="279"/>
      <c r="J90" s="282"/>
    </row>
    <row r="91" spans="2:10" ht="12.75" customHeight="1">
      <c r="B91" s="278" t="s">
        <v>285</v>
      </c>
      <c r="C91" s="279"/>
      <c r="D91" s="279"/>
      <c r="E91" s="303">
        <f>'Berekening rekenvolumes'!J109</f>
        <v>0</v>
      </c>
      <c r="F91" s="279"/>
      <c r="G91" s="279"/>
      <c r="H91" s="279"/>
      <c r="I91" s="279"/>
      <c r="J91" s="306"/>
    </row>
    <row r="92" spans="2:10" ht="12.75" customHeight="1">
      <c r="B92" s="278" t="s">
        <v>286</v>
      </c>
      <c r="C92" s="279"/>
      <c r="D92" s="279"/>
      <c r="E92" s="303">
        <f>'Berekening rekenvolumes'!J110</f>
        <v>0</v>
      </c>
      <c r="F92" s="279"/>
      <c r="G92" s="279"/>
      <c r="H92" s="279"/>
      <c r="I92" s="279"/>
      <c r="J92" s="306"/>
    </row>
    <row r="93" spans="2:10" ht="12.75" customHeight="1">
      <c r="B93" s="278" t="s">
        <v>287</v>
      </c>
      <c r="C93" s="279"/>
      <c r="D93" s="279"/>
      <c r="E93" s="303">
        <f>'Berekening rekenvolumes'!J111</f>
        <v>0</v>
      </c>
      <c r="F93" s="279"/>
      <c r="G93" s="279"/>
      <c r="H93" s="279"/>
      <c r="I93" s="279"/>
      <c r="J93" s="306"/>
    </row>
    <row r="94" spans="2:10" ht="12.75" customHeight="1">
      <c r="B94" s="278" t="s">
        <v>288</v>
      </c>
      <c r="C94" s="279"/>
      <c r="D94" s="279"/>
      <c r="E94" s="307">
        <f>'Berekening rekenvolumes'!J112</f>
        <v>0</v>
      </c>
      <c r="F94" s="279"/>
      <c r="G94" s="519" t="s">
        <v>1347</v>
      </c>
      <c r="H94" s="519"/>
      <c r="I94" s="519"/>
      <c r="J94" s="282"/>
    </row>
    <row r="95" spans="2:10" ht="12.75" customHeight="1">
      <c r="B95" s="278"/>
      <c r="C95" s="279"/>
      <c r="D95" s="279"/>
      <c r="E95" s="282"/>
      <c r="F95" s="279"/>
      <c r="G95" s="519"/>
      <c r="H95" s="519"/>
      <c r="I95" s="519"/>
      <c r="J95" s="302"/>
    </row>
    <row r="96" spans="2:10" ht="12.75" customHeight="1">
      <c r="B96" s="298" t="s">
        <v>290</v>
      </c>
      <c r="C96" s="279"/>
      <c r="D96" s="279"/>
      <c r="E96" s="309" t="s">
        <v>820</v>
      </c>
      <c r="F96" s="279"/>
      <c r="G96" s="519"/>
      <c r="H96" s="519"/>
      <c r="I96" s="519"/>
      <c r="J96" s="306"/>
    </row>
    <row r="97" spans="2:10" ht="12.75" customHeight="1">
      <c r="B97" s="283" t="s">
        <v>291</v>
      </c>
      <c r="C97" s="284"/>
      <c r="D97" s="284"/>
      <c r="E97" s="304">
        <f>'Berekening rekenvolumes'!J115</f>
        <v>0</v>
      </c>
      <c r="F97" s="279"/>
      <c r="G97" s="279"/>
      <c r="H97" s="279"/>
      <c r="I97" s="279"/>
      <c r="J97" s="282"/>
    </row>
    <row r="98" spans="2:10" ht="9" customHeight="1">
      <c r="B98" s="283"/>
      <c r="C98" s="284"/>
      <c r="D98" s="284"/>
      <c r="E98" s="284"/>
      <c r="F98" s="284"/>
      <c r="G98" s="284"/>
      <c r="H98" s="284"/>
      <c r="I98" s="284"/>
      <c r="J98" s="285"/>
    </row>
    <row r="99" spans="2:10" ht="12.75" customHeight="1">
      <c r="G99" s="279"/>
      <c r="H99" s="279"/>
      <c r="I99" s="279"/>
      <c r="J99" s="279"/>
    </row>
  </sheetData>
  <mergeCells count="1">
    <mergeCell ref="G94:I96"/>
  </mergeCells>
  <pageMargins left="0.7" right="0.7" top="0.75" bottom="0.75" header="0.3" footer="0.3"/>
  <pageSetup paperSize="9" scale="5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2:K99"/>
  <sheetViews>
    <sheetView showGridLines="0" zoomScale="85" zoomScaleNormal="85" workbookViewId="0"/>
  </sheetViews>
  <sheetFormatPr defaultRowHeight="12.75"/>
  <cols>
    <col min="1" max="1" width="9.140625" style="277"/>
    <col min="2" max="2" width="50.7109375" style="277" customWidth="1"/>
    <col min="3" max="3" width="2.42578125" style="277" customWidth="1"/>
    <col min="4" max="4" width="4" style="277" customWidth="1"/>
    <col min="5" max="5" width="16" style="277" customWidth="1"/>
    <col min="6" max="6" width="2.85546875" style="277" customWidth="1"/>
    <col min="7" max="7" width="52.28515625" style="277" customWidth="1"/>
    <col min="8" max="8" width="2.42578125" style="277" customWidth="1"/>
    <col min="9" max="9" width="4" style="277" customWidth="1"/>
    <col min="10" max="10" width="13.5703125" style="277" customWidth="1"/>
    <col min="11" max="16384" width="9.140625" style="277"/>
  </cols>
  <sheetData>
    <row r="2" spans="2:10" ht="19.5" customHeight="1">
      <c r="B2" s="489" t="s">
        <v>1181</v>
      </c>
      <c r="C2" s="275"/>
      <c r="D2" s="275"/>
      <c r="E2" s="275"/>
      <c r="F2" s="275"/>
      <c r="G2" s="275"/>
      <c r="H2" s="275"/>
      <c r="I2" s="275"/>
      <c r="J2" s="276"/>
    </row>
    <row r="3" spans="2:10" ht="4.5" customHeight="1">
      <c r="B3" s="278"/>
      <c r="C3" s="279"/>
      <c r="D3" s="279"/>
      <c r="E3" s="279"/>
      <c r="F3" s="279"/>
      <c r="G3" s="279"/>
      <c r="H3" s="279"/>
      <c r="I3" s="279"/>
      <c r="J3" s="282"/>
    </row>
    <row r="4" spans="2:10">
      <c r="B4" s="299" t="s">
        <v>132</v>
      </c>
      <c r="C4" s="279"/>
      <c r="D4" s="279"/>
      <c r="E4" s="281"/>
      <c r="F4" s="279"/>
      <c r="G4" s="279"/>
      <c r="H4" s="279"/>
      <c r="I4" s="279"/>
      <c r="J4" s="282"/>
    </row>
    <row r="5" spans="2:10" ht="4.5" customHeight="1">
      <c r="B5" s="278"/>
      <c r="C5" s="279"/>
      <c r="D5" s="279"/>
      <c r="E5" s="279"/>
      <c r="F5" s="279"/>
      <c r="G5" s="279"/>
      <c r="H5" s="279"/>
      <c r="I5" s="279"/>
      <c r="J5" s="282"/>
    </row>
    <row r="6" spans="2:10" ht="4.5" customHeight="1">
      <c r="B6" s="283"/>
      <c r="C6" s="284"/>
      <c r="D6" s="284"/>
      <c r="E6" s="284"/>
      <c r="F6" s="284"/>
      <c r="G6" s="284"/>
      <c r="H6" s="284"/>
      <c r="I6" s="284"/>
      <c r="J6" s="285"/>
    </row>
    <row r="7" spans="2:10">
      <c r="B7" s="294" t="s">
        <v>28</v>
      </c>
      <c r="C7" s="275"/>
      <c r="D7" s="275"/>
      <c r="E7" s="275"/>
      <c r="F7" s="275"/>
      <c r="G7" s="275"/>
      <c r="H7" s="275"/>
      <c r="I7" s="275"/>
      <c r="J7" s="276"/>
    </row>
    <row r="8" spans="2:10">
      <c r="B8" s="286"/>
      <c r="C8" s="287"/>
      <c r="D8" s="287"/>
      <c r="E8" s="287"/>
      <c r="F8" s="287"/>
      <c r="G8" s="287"/>
      <c r="H8" s="287"/>
      <c r="I8" s="287"/>
      <c r="J8" s="280"/>
    </row>
    <row r="9" spans="2:10">
      <c r="B9" s="288" t="s">
        <v>265</v>
      </c>
      <c r="C9" s="279"/>
      <c r="D9" s="279"/>
      <c r="E9" s="308" t="s">
        <v>820</v>
      </c>
      <c r="F9" s="279"/>
      <c r="G9" s="279"/>
      <c r="H9" s="279"/>
      <c r="I9" s="279"/>
      <c r="J9" s="282"/>
    </row>
    <row r="10" spans="2:10">
      <c r="B10" s="289" t="s">
        <v>201</v>
      </c>
      <c r="C10" s="279"/>
      <c r="D10" s="279"/>
      <c r="E10" s="300">
        <f>'Berekening rekenvolumes'!K10</f>
        <v>2211690.7388381059</v>
      </c>
      <c r="F10" s="279"/>
      <c r="G10" s="279"/>
      <c r="H10" s="279"/>
      <c r="I10" s="279"/>
      <c r="J10" s="282"/>
    </row>
    <row r="11" spans="2:10">
      <c r="B11" s="290" t="s">
        <v>202</v>
      </c>
      <c r="C11" s="279"/>
      <c r="D11" s="279"/>
      <c r="E11" s="301">
        <f>'Berekening rekenvolumes'!K11</f>
        <v>7078671.4069611887</v>
      </c>
      <c r="F11" s="279"/>
      <c r="G11" s="279"/>
      <c r="H11" s="279"/>
      <c r="I11" s="279"/>
      <c r="J11" s="282"/>
    </row>
    <row r="12" spans="2:10">
      <c r="B12" s="290"/>
      <c r="C12" s="279"/>
      <c r="D12" s="279"/>
      <c r="E12" s="281"/>
      <c r="F12" s="279"/>
      <c r="G12" s="279"/>
      <c r="H12" s="279"/>
      <c r="I12" s="279"/>
      <c r="J12" s="282"/>
    </row>
    <row r="13" spans="2:10">
      <c r="B13" s="291" t="s">
        <v>266</v>
      </c>
      <c r="C13" s="279"/>
      <c r="D13" s="279"/>
      <c r="E13" s="308" t="s">
        <v>820</v>
      </c>
      <c r="F13" s="279"/>
      <c r="G13" s="279"/>
      <c r="H13" s="279"/>
      <c r="I13" s="279"/>
      <c r="J13" s="282"/>
    </row>
    <row r="14" spans="2:10">
      <c r="B14" s="289" t="s">
        <v>201</v>
      </c>
      <c r="C14" s="279"/>
      <c r="D14" s="279"/>
      <c r="E14" s="300">
        <f>'Berekening rekenvolumes'!K14</f>
        <v>9752.3450620830354</v>
      </c>
      <c r="F14" s="279"/>
      <c r="G14" s="279"/>
      <c r="H14" s="279"/>
      <c r="I14" s="279"/>
      <c r="J14" s="282"/>
    </row>
    <row r="15" spans="2:10">
      <c r="B15" s="290" t="s">
        <v>202</v>
      </c>
      <c r="C15" s="279"/>
      <c r="D15" s="279"/>
      <c r="E15" s="301">
        <f>'Berekening rekenvolumes'!K15</f>
        <v>711203.45552677196</v>
      </c>
      <c r="F15" s="279"/>
      <c r="G15" s="279"/>
      <c r="H15" s="279"/>
      <c r="I15" s="279"/>
      <c r="J15" s="282"/>
    </row>
    <row r="16" spans="2:10">
      <c r="B16" s="292"/>
      <c r="C16" s="279"/>
      <c r="D16" s="279"/>
      <c r="E16" s="281"/>
      <c r="F16" s="279"/>
      <c r="G16" s="279"/>
      <c r="H16" s="279"/>
      <c r="I16" s="279"/>
      <c r="J16" s="282"/>
    </row>
    <row r="17" spans="1:11">
      <c r="B17" s="288" t="s">
        <v>204</v>
      </c>
      <c r="C17" s="279"/>
      <c r="D17" s="279"/>
      <c r="E17" s="308" t="s">
        <v>820</v>
      </c>
      <c r="F17" s="279"/>
      <c r="G17" s="279"/>
      <c r="H17" s="279"/>
      <c r="I17" s="279"/>
      <c r="J17" s="282"/>
    </row>
    <row r="18" spans="1:11">
      <c r="B18" s="289" t="s">
        <v>201</v>
      </c>
      <c r="C18" s="279"/>
      <c r="D18" s="279"/>
      <c r="E18" s="300">
        <f>'Berekening rekenvolumes'!K18</f>
        <v>2582.3323687046977</v>
      </c>
      <c r="F18" s="279"/>
      <c r="G18" s="279"/>
      <c r="H18" s="279"/>
      <c r="I18" s="279"/>
      <c r="J18" s="282"/>
    </row>
    <row r="19" spans="1:11">
      <c r="B19" s="290" t="s">
        <v>262</v>
      </c>
      <c r="C19" s="279"/>
      <c r="D19" s="279"/>
      <c r="E19" s="300">
        <f>'Berekening rekenvolumes'!K19</f>
        <v>136101.36111111112</v>
      </c>
      <c r="F19" s="279"/>
      <c r="G19" s="279"/>
      <c r="H19" s="279"/>
      <c r="I19" s="279"/>
      <c r="J19" s="282"/>
    </row>
    <row r="20" spans="1:11">
      <c r="B20" s="289" t="s">
        <v>263</v>
      </c>
      <c r="C20" s="279"/>
      <c r="D20" s="279"/>
      <c r="E20" s="300">
        <f>'Berekening rekenvolumes'!K20</f>
        <v>529847.85680978966</v>
      </c>
      <c r="F20" s="279"/>
      <c r="G20" s="279"/>
      <c r="H20" s="279"/>
      <c r="I20" s="279"/>
      <c r="J20" s="282"/>
    </row>
    <row r="21" spans="1:11">
      <c r="B21" s="290" t="s">
        <v>264</v>
      </c>
      <c r="C21" s="279"/>
      <c r="D21" s="279"/>
      <c r="E21" s="300">
        <f>'Berekening rekenvolumes'!K21</f>
        <v>0</v>
      </c>
      <c r="F21" s="279"/>
      <c r="G21" s="279"/>
      <c r="H21" s="279"/>
      <c r="I21" s="279"/>
      <c r="J21" s="282"/>
    </row>
    <row r="22" spans="1:11">
      <c r="B22" s="293"/>
      <c r="C22" s="279"/>
      <c r="D22" s="279"/>
      <c r="E22" s="281"/>
      <c r="F22" s="279"/>
      <c r="G22" s="279"/>
      <c r="H22" s="279"/>
      <c r="I22" s="279"/>
      <c r="J22" s="282"/>
    </row>
    <row r="23" spans="1:11">
      <c r="B23" s="288" t="s">
        <v>206</v>
      </c>
      <c r="C23" s="279"/>
      <c r="D23" s="279"/>
      <c r="E23" s="308" t="s">
        <v>820</v>
      </c>
      <c r="F23" s="279"/>
      <c r="G23" s="279"/>
      <c r="H23" s="279"/>
      <c r="I23" s="279"/>
      <c r="J23" s="282"/>
    </row>
    <row r="24" spans="1:11">
      <c r="B24" s="289" t="s">
        <v>201</v>
      </c>
      <c r="C24" s="279"/>
      <c r="D24" s="279"/>
      <c r="E24" s="300">
        <f>'Berekening rekenvolumes'!K25</f>
        <v>0</v>
      </c>
      <c r="F24" s="279"/>
      <c r="G24" s="279"/>
      <c r="H24" s="279"/>
      <c r="I24" s="279"/>
      <c r="J24" s="282"/>
    </row>
    <row r="25" spans="1:11">
      <c r="B25" s="290" t="s">
        <v>202</v>
      </c>
      <c r="C25" s="279"/>
      <c r="D25" s="279"/>
      <c r="E25" s="301">
        <f>'Berekening rekenvolumes'!K26</f>
        <v>0</v>
      </c>
      <c r="F25" s="279"/>
      <c r="G25" s="279"/>
      <c r="H25" s="279"/>
      <c r="I25" s="279"/>
      <c r="J25" s="282"/>
    </row>
    <row r="26" spans="1:11" ht="4.5" customHeight="1">
      <c r="B26" s="283"/>
      <c r="C26" s="284"/>
      <c r="D26" s="284"/>
      <c r="E26" s="284"/>
      <c r="F26" s="284"/>
      <c r="G26" s="284"/>
      <c r="H26" s="284"/>
      <c r="I26" s="284"/>
      <c r="J26" s="285"/>
    </row>
    <row r="27" spans="1:11" ht="4.5" customHeight="1">
      <c r="A27" s="279"/>
      <c r="B27" s="279"/>
      <c r="C27" s="279"/>
      <c r="D27" s="279"/>
      <c r="E27" s="279"/>
      <c r="F27" s="279"/>
      <c r="G27" s="279"/>
      <c r="H27" s="279"/>
      <c r="I27" s="279"/>
      <c r="J27" s="279"/>
      <c r="K27" s="279"/>
    </row>
    <row r="28" spans="1:11" ht="4.5" customHeight="1">
      <c r="A28" s="279"/>
      <c r="B28" s="284"/>
      <c r="C28" s="284"/>
      <c r="D28" s="284"/>
      <c r="E28" s="284"/>
      <c r="F28" s="284"/>
      <c r="G28" s="284"/>
      <c r="H28" s="284"/>
      <c r="I28" s="284"/>
      <c r="J28" s="284"/>
      <c r="K28" s="279"/>
    </row>
    <row r="29" spans="1:11" ht="19.5" customHeight="1">
      <c r="B29" s="489" t="s">
        <v>1181</v>
      </c>
      <c r="C29" s="275"/>
      <c r="D29" s="275"/>
      <c r="E29" s="275"/>
      <c r="F29" s="275"/>
      <c r="G29" s="275"/>
      <c r="H29" s="275"/>
      <c r="I29" s="275"/>
      <c r="J29" s="276"/>
    </row>
    <row r="30" spans="1:11" ht="4.5" customHeight="1">
      <c r="B30" s="278"/>
      <c r="C30" s="279"/>
      <c r="D30" s="279"/>
      <c r="E30" s="279"/>
      <c r="F30" s="279"/>
      <c r="G30" s="279"/>
      <c r="H30" s="279"/>
      <c r="I30" s="279"/>
      <c r="J30" s="282"/>
    </row>
    <row r="31" spans="1:11">
      <c r="B31" s="299" t="s">
        <v>132</v>
      </c>
      <c r="C31" s="279"/>
      <c r="D31" s="279"/>
      <c r="E31" s="281"/>
      <c r="F31" s="279"/>
      <c r="G31" s="279"/>
      <c r="H31" s="279"/>
      <c r="I31" s="279"/>
      <c r="J31" s="282"/>
    </row>
    <row r="32" spans="1:11" ht="4.5" customHeight="1">
      <c r="B32" s="278"/>
      <c r="C32" s="279"/>
      <c r="D32" s="279"/>
      <c r="E32" s="279"/>
      <c r="F32" s="279"/>
      <c r="G32" s="279"/>
      <c r="H32" s="279"/>
      <c r="I32" s="279"/>
      <c r="J32" s="282"/>
    </row>
    <row r="33" spans="2:10" ht="4.5" customHeight="1">
      <c r="B33" s="283"/>
      <c r="C33" s="284"/>
      <c r="D33" s="284"/>
      <c r="E33" s="284"/>
      <c r="F33" s="284"/>
      <c r="G33" s="284"/>
      <c r="H33" s="284"/>
      <c r="I33" s="284"/>
      <c r="J33" s="285"/>
    </row>
    <row r="34" spans="2:10" ht="12.75" customHeight="1">
      <c r="B34" s="294" t="s">
        <v>136</v>
      </c>
      <c r="C34" s="275"/>
      <c r="D34" s="275"/>
      <c r="E34" s="275"/>
      <c r="F34" s="275"/>
      <c r="G34" s="275"/>
      <c r="H34" s="275"/>
      <c r="I34" s="275"/>
      <c r="J34" s="276"/>
    </row>
    <row r="35" spans="2:10" ht="12.75" customHeight="1">
      <c r="B35" s="278"/>
      <c r="C35" s="279"/>
      <c r="D35" s="279"/>
      <c r="E35" s="279"/>
      <c r="F35" s="279"/>
      <c r="G35" s="279"/>
      <c r="H35" s="279"/>
      <c r="I35" s="279"/>
      <c r="J35" s="305"/>
    </row>
    <row r="36" spans="2:10" ht="12.75" customHeight="1">
      <c r="B36" s="295" t="s">
        <v>816</v>
      </c>
      <c r="C36" s="296"/>
      <c r="D36" s="296"/>
      <c r="E36" s="297"/>
      <c r="F36" s="279"/>
      <c r="G36" s="295" t="s">
        <v>817</v>
      </c>
      <c r="H36" s="296"/>
      <c r="I36" s="296"/>
      <c r="J36" s="297"/>
    </row>
    <row r="37" spans="2:10" ht="12.75" customHeight="1">
      <c r="B37" s="286"/>
      <c r="C37" s="287"/>
      <c r="D37" s="287"/>
      <c r="E37" s="280"/>
      <c r="F37" s="279"/>
      <c r="G37" s="286"/>
      <c r="H37" s="287"/>
      <c r="I37" s="287"/>
      <c r="J37" s="280"/>
    </row>
    <row r="38" spans="2:10" ht="12.75" customHeight="1">
      <c r="B38" s="298" t="s">
        <v>284</v>
      </c>
      <c r="C38" s="279"/>
      <c r="D38" s="279"/>
      <c r="E38" s="309" t="s">
        <v>820</v>
      </c>
      <c r="F38" s="279"/>
      <c r="G38" s="298" t="s">
        <v>284</v>
      </c>
      <c r="H38" s="279"/>
      <c r="I38" s="279"/>
      <c r="J38" s="309" t="s">
        <v>820</v>
      </c>
    </row>
    <row r="39" spans="2:10" ht="12.75" customHeight="1">
      <c r="B39" s="278" t="s">
        <v>292</v>
      </c>
      <c r="C39" s="279"/>
      <c r="D39" s="279"/>
      <c r="E39" s="303">
        <f>'Berekening rekenvolumes'!K121</f>
        <v>0.97660032275416897</v>
      </c>
      <c r="F39" s="279"/>
      <c r="G39" s="278" t="s">
        <v>292</v>
      </c>
      <c r="H39" s="279"/>
      <c r="I39" s="279"/>
      <c r="J39" s="303">
        <f>'Berekening rekenvolumes'!K53</f>
        <v>3108.4166666666665</v>
      </c>
    </row>
    <row r="40" spans="2:10" ht="12.75" customHeight="1">
      <c r="B40" s="278" t="s">
        <v>293</v>
      </c>
      <c r="C40" s="279"/>
      <c r="D40" s="279"/>
      <c r="E40" s="303">
        <f>'Berekening rekenvolumes'!K122</f>
        <v>74</v>
      </c>
      <c r="F40" s="279"/>
      <c r="G40" s="278" t="s">
        <v>293</v>
      </c>
      <c r="H40" s="279"/>
      <c r="I40" s="279"/>
      <c r="J40" s="303">
        <f>'Berekening rekenvolumes'!K54</f>
        <v>4378.833333333333</v>
      </c>
    </row>
    <row r="41" spans="2:10" ht="12.75" customHeight="1">
      <c r="B41" s="278" t="s">
        <v>294</v>
      </c>
      <c r="C41" s="279"/>
      <c r="D41" s="279"/>
      <c r="E41" s="303">
        <f>'Berekening rekenvolumes'!K123</f>
        <v>21.666666666666668</v>
      </c>
      <c r="F41" s="279"/>
      <c r="G41" s="278" t="s">
        <v>294</v>
      </c>
      <c r="H41" s="279"/>
      <c r="I41" s="279"/>
      <c r="J41" s="303">
        <f>'Berekening rekenvolumes'!K55</f>
        <v>2043.5555555555554</v>
      </c>
    </row>
    <row r="42" spans="2:10" ht="12.75" customHeight="1">
      <c r="B42" s="278" t="s">
        <v>295</v>
      </c>
      <c r="C42" s="279"/>
      <c r="D42" s="279"/>
      <c r="E42" s="303">
        <f>'Berekening rekenvolumes'!K124</f>
        <v>7.333333333333333</v>
      </c>
      <c r="F42" s="279"/>
      <c r="G42" s="278" t="s">
        <v>295</v>
      </c>
      <c r="H42" s="279"/>
      <c r="I42" s="279"/>
      <c r="J42" s="303">
        <f>'Berekening rekenvolumes'!K56</f>
        <v>1278.8055555555554</v>
      </c>
    </row>
    <row r="43" spans="2:10" ht="12.75" customHeight="1">
      <c r="B43" s="299" t="s">
        <v>296</v>
      </c>
      <c r="C43" s="279"/>
      <c r="D43" s="279"/>
      <c r="E43" s="303">
        <f>'Berekening rekenvolumes'!K125</f>
        <v>7</v>
      </c>
      <c r="F43" s="279"/>
      <c r="G43" s="299" t="s">
        <v>296</v>
      </c>
      <c r="H43" s="279"/>
      <c r="I43" s="279"/>
      <c r="J43" s="303">
        <f>'Berekening rekenvolumes'!K57</f>
        <v>665.22222222222217</v>
      </c>
    </row>
    <row r="44" spans="2:10" ht="12.75" customHeight="1">
      <c r="B44" s="278" t="s">
        <v>297</v>
      </c>
      <c r="C44" s="279"/>
      <c r="D44" s="279"/>
      <c r="E44" s="303">
        <f>'Berekening rekenvolumes'!K126</f>
        <v>0.66666666666666663</v>
      </c>
      <c r="F44" s="279"/>
      <c r="G44" s="278" t="s">
        <v>297</v>
      </c>
      <c r="H44" s="279"/>
      <c r="I44" s="279"/>
      <c r="J44" s="303">
        <f>'Berekening rekenvolumes'!K58</f>
        <v>324.72222222222223</v>
      </c>
    </row>
    <row r="45" spans="2:10" ht="12.75" customHeight="1">
      <c r="B45" s="278" t="s">
        <v>298</v>
      </c>
      <c r="C45" s="279"/>
      <c r="D45" s="279"/>
      <c r="E45" s="303">
        <f>'Berekening rekenvolumes'!K127</f>
        <v>0</v>
      </c>
      <c r="F45" s="279"/>
      <c r="G45" s="278" t="s">
        <v>298</v>
      </c>
      <c r="H45" s="279"/>
      <c r="I45" s="279"/>
      <c r="J45" s="303">
        <f>'Berekening rekenvolumes'!K59</f>
        <v>174.58333333333334</v>
      </c>
    </row>
    <row r="46" spans="2:10" ht="12.75" customHeight="1">
      <c r="B46" s="278" t="s">
        <v>299</v>
      </c>
      <c r="C46" s="279"/>
      <c r="D46" s="279"/>
      <c r="E46" s="303">
        <f>'Berekening rekenvolumes'!K128</f>
        <v>0</v>
      </c>
      <c r="F46" s="279"/>
      <c r="G46" s="278" t="s">
        <v>299</v>
      </c>
      <c r="H46" s="279"/>
      <c r="I46" s="279"/>
      <c r="J46" s="303">
        <f>'Berekening rekenvolumes'!K60</f>
        <v>80.75</v>
      </c>
    </row>
    <row r="47" spans="2:10" ht="12.75" customHeight="1">
      <c r="B47" s="278" t="s">
        <v>300</v>
      </c>
      <c r="C47" s="279"/>
      <c r="D47" s="279"/>
      <c r="E47" s="303">
        <f>'Berekening rekenvolumes'!K129</f>
        <v>0</v>
      </c>
      <c r="F47" s="279"/>
      <c r="G47" s="278" t="s">
        <v>300</v>
      </c>
      <c r="H47" s="279"/>
      <c r="I47" s="279"/>
      <c r="J47" s="303">
        <f>'Berekening rekenvolumes'!K61</f>
        <v>28.666666666666668</v>
      </c>
    </row>
    <row r="48" spans="2:10" ht="12.75" customHeight="1">
      <c r="B48" s="278" t="s">
        <v>301</v>
      </c>
      <c r="C48" s="279"/>
      <c r="D48" s="279"/>
      <c r="E48" s="303">
        <f>'Berekening rekenvolumes'!K130</f>
        <v>0</v>
      </c>
      <c r="F48" s="279"/>
      <c r="G48" s="278" t="s">
        <v>301</v>
      </c>
      <c r="H48" s="279"/>
      <c r="I48" s="279"/>
      <c r="J48" s="303">
        <f>'Berekening rekenvolumes'!K62</f>
        <v>19.777777777777775</v>
      </c>
    </row>
    <row r="49" spans="2:10" ht="12.75" customHeight="1">
      <c r="B49" s="278"/>
      <c r="C49" s="279"/>
      <c r="D49" s="279"/>
      <c r="E49" s="282"/>
      <c r="F49" s="279"/>
      <c r="G49" s="278"/>
      <c r="H49" s="279"/>
      <c r="I49" s="279"/>
      <c r="J49" s="282"/>
    </row>
    <row r="50" spans="2:10" ht="12.75" customHeight="1">
      <c r="B50" s="298" t="s">
        <v>289</v>
      </c>
      <c r="C50" s="279"/>
      <c r="D50" s="279"/>
      <c r="E50" s="309" t="s">
        <v>820</v>
      </c>
      <c r="F50" s="279"/>
      <c r="G50" s="298" t="s">
        <v>289</v>
      </c>
      <c r="H50" s="279"/>
      <c r="I50" s="279"/>
      <c r="J50" s="309" t="s">
        <v>820</v>
      </c>
    </row>
    <row r="51" spans="2:10" ht="12.75" customHeight="1">
      <c r="B51" s="278" t="s">
        <v>292</v>
      </c>
      <c r="C51" s="279"/>
      <c r="D51" s="279"/>
      <c r="E51" s="303">
        <f>'Berekening rekenvolumes'!K133</f>
        <v>0.33333333333333331</v>
      </c>
      <c r="F51" s="279"/>
      <c r="G51" s="278" t="s">
        <v>292</v>
      </c>
      <c r="H51" s="279"/>
      <c r="I51" s="279"/>
      <c r="J51" s="303">
        <f>'Berekening rekenvolumes'!K65</f>
        <v>8.3333333333333339</v>
      </c>
    </row>
    <row r="52" spans="2:10" ht="12.75" customHeight="1">
      <c r="B52" s="278" t="s">
        <v>293</v>
      </c>
      <c r="C52" s="279"/>
      <c r="D52" s="279"/>
      <c r="E52" s="303">
        <f>'Berekening rekenvolumes'!K134</f>
        <v>0</v>
      </c>
      <c r="F52" s="279"/>
      <c r="G52" s="278" t="s">
        <v>293</v>
      </c>
      <c r="H52" s="279"/>
      <c r="I52" s="279"/>
      <c r="J52" s="303">
        <f>'Berekening rekenvolumes'!K66</f>
        <v>11.663572325530382</v>
      </c>
    </row>
    <row r="53" spans="2:10" ht="12.75" customHeight="1">
      <c r="B53" s="278" t="s">
        <v>294</v>
      </c>
      <c r="C53" s="279"/>
      <c r="D53" s="279"/>
      <c r="E53" s="303">
        <f>'Berekening rekenvolumes'!K135</f>
        <v>1.3333333333333333</v>
      </c>
      <c r="F53" s="279"/>
      <c r="G53" s="278" t="s">
        <v>294</v>
      </c>
      <c r="H53" s="279"/>
      <c r="I53" s="279"/>
      <c r="J53" s="303">
        <f>'Berekening rekenvolumes'!K67</f>
        <v>8.3293548947295353</v>
      </c>
    </row>
    <row r="54" spans="2:10" ht="12.75" customHeight="1">
      <c r="B54" s="278" t="s">
        <v>295</v>
      </c>
      <c r="C54" s="279"/>
      <c r="D54" s="279"/>
      <c r="E54" s="303">
        <f>'Berekening rekenvolumes'!K136</f>
        <v>1.6666666666666667</v>
      </c>
      <c r="F54" s="279"/>
      <c r="G54" s="278" t="s">
        <v>295</v>
      </c>
      <c r="H54" s="279"/>
      <c r="I54" s="279"/>
      <c r="J54" s="303">
        <f>'Berekening rekenvolumes'!K68</f>
        <v>24.330681040930802</v>
      </c>
    </row>
    <row r="55" spans="2:10" ht="12.75" customHeight="1">
      <c r="B55" s="299" t="s">
        <v>296</v>
      </c>
      <c r="C55" s="279"/>
      <c r="D55" s="279"/>
      <c r="E55" s="303">
        <f>'Berekening rekenvolumes'!K137</f>
        <v>1</v>
      </c>
      <c r="F55" s="279"/>
      <c r="G55" s="299" t="s">
        <v>296</v>
      </c>
      <c r="H55" s="279"/>
      <c r="I55" s="279"/>
      <c r="J55" s="303">
        <f>'Berekening rekenvolumes'!K69</f>
        <v>23.998673853798735</v>
      </c>
    </row>
    <row r="56" spans="2:10" ht="12.75" customHeight="1">
      <c r="B56" s="278" t="s">
        <v>297</v>
      </c>
      <c r="C56" s="279"/>
      <c r="D56" s="279"/>
      <c r="E56" s="303">
        <f>'Berekening rekenvolumes'!K138</f>
        <v>2.3333333333333335</v>
      </c>
      <c r="F56" s="279"/>
      <c r="G56" s="278" t="s">
        <v>297</v>
      </c>
      <c r="H56" s="279"/>
      <c r="I56" s="279"/>
      <c r="J56" s="303">
        <f>'Berekening rekenvolumes'!K70</f>
        <v>55.316535481450636</v>
      </c>
    </row>
    <row r="57" spans="2:10" ht="12.75" customHeight="1">
      <c r="B57" s="278" t="s">
        <v>298</v>
      </c>
      <c r="C57" s="279"/>
      <c r="D57" s="279"/>
      <c r="E57" s="303">
        <f>'Berekening rekenvolumes'!K139</f>
        <v>0.66666666666666663</v>
      </c>
      <c r="F57" s="279"/>
      <c r="G57" s="278" t="s">
        <v>298</v>
      </c>
      <c r="H57" s="279"/>
      <c r="I57" s="279"/>
      <c r="J57" s="303">
        <f>'Berekening rekenvolumes'!K71</f>
        <v>38.665782569199159</v>
      </c>
    </row>
    <row r="58" spans="2:10" ht="12.75" customHeight="1">
      <c r="B58" s="278" t="s">
        <v>299</v>
      </c>
      <c r="C58" s="279"/>
      <c r="D58" s="279"/>
      <c r="E58" s="303">
        <f>'Berekening rekenvolumes'!K140</f>
        <v>0</v>
      </c>
      <c r="F58" s="279"/>
      <c r="G58" s="278" t="s">
        <v>299</v>
      </c>
      <c r="H58" s="279"/>
      <c r="I58" s="279"/>
      <c r="J58" s="303">
        <f>'Berekening rekenvolumes'!K72</f>
        <v>27.324050309924473</v>
      </c>
    </row>
    <row r="59" spans="2:10" ht="12.75" customHeight="1">
      <c r="B59" s="278" t="s">
        <v>300</v>
      </c>
      <c r="C59" s="279"/>
      <c r="D59" s="279"/>
      <c r="E59" s="303">
        <f>'Berekening rekenvolumes'!K141</f>
        <v>0</v>
      </c>
      <c r="F59" s="279"/>
      <c r="G59" s="278" t="s">
        <v>300</v>
      </c>
      <c r="H59" s="279"/>
      <c r="I59" s="279"/>
      <c r="J59" s="303">
        <f>'Berekening rekenvolumes'!K73</f>
        <v>11.333333333333334</v>
      </c>
    </row>
    <row r="60" spans="2:10" ht="12.75" customHeight="1">
      <c r="B60" s="278" t="s">
        <v>301</v>
      </c>
      <c r="C60" s="279"/>
      <c r="D60" s="279"/>
      <c r="E60" s="303">
        <f>'Berekening rekenvolumes'!K142</f>
        <v>0</v>
      </c>
      <c r="F60" s="279"/>
      <c r="G60" s="278" t="s">
        <v>301</v>
      </c>
      <c r="H60" s="279"/>
      <c r="I60" s="279"/>
      <c r="J60" s="303">
        <f>'Berekening rekenvolumes'!K74</f>
        <v>10.332449235865823</v>
      </c>
    </row>
    <row r="61" spans="2:10" ht="12.75" customHeight="1">
      <c r="B61" s="278"/>
      <c r="C61" s="279"/>
      <c r="D61" s="279"/>
      <c r="E61" s="282"/>
      <c r="F61" s="279"/>
      <c r="G61" s="278"/>
      <c r="H61" s="279"/>
      <c r="I61" s="279"/>
      <c r="J61" s="282"/>
    </row>
    <row r="62" spans="2:10" ht="12.75" customHeight="1">
      <c r="B62" s="298" t="s">
        <v>290</v>
      </c>
      <c r="C62" s="279"/>
      <c r="D62" s="279"/>
      <c r="E62" s="309" t="s">
        <v>820</v>
      </c>
      <c r="F62" s="279"/>
      <c r="G62" s="298" t="s">
        <v>290</v>
      </c>
      <c r="H62" s="279"/>
      <c r="I62" s="279"/>
      <c r="J62" s="309" t="s">
        <v>820</v>
      </c>
    </row>
    <row r="63" spans="2:10" ht="12.75" customHeight="1">
      <c r="B63" s="283" t="s">
        <v>302</v>
      </c>
      <c r="C63" s="284"/>
      <c r="D63" s="284"/>
      <c r="E63" s="304">
        <f>'Berekening rekenvolumes'!F145</f>
        <v>0</v>
      </c>
      <c r="F63" s="279"/>
      <c r="G63" s="283" t="s">
        <v>302</v>
      </c>
      <c r="H63" s="284"/>
      <c r="I63" s="284"/>
      <c r="J63" s="304">
        <f>'Berekening rekenvolumes'!K77</f>
        <v>0</v>
      </c>
    </row>
    <row r="64" spans="2:10" ht="12.75" customHeight="1">
      <c r="B64" s="278"/>
      <c r="C64" s="279"/>
      <c r="D64" s="279"/>
      <c r="E64" s="279"/>
      <c r="F64" s="279"/>
      <c r="G64" s="279"/>
      <c r="H64" s="279"/>
      <c r="I64" s="279"/>
      <c r="J64" s="280"/>
    </row>
    <row r="65" spans="2:10" ht="12.75" customHeight="1">
      <c r="B65" s="295" t="s">
        <v>818</v>
      </c>
      <c r="C65" s="296"/>
      <c r="D65" s="296"/>
      <c r="E65" s="297"/>
      <c r="F65" s="279"/>
      <c r="G65" s="295" t="s">
        <v>306</v>
      </c>
      <c r="H65" s="296"/>
      <c r="I65" s="296"/>
      <c r="J65" s="297"/>
    </row>
    <row r="66" spans="2:10" ht="12.75" customHeight="1">
      <c r="B66" s="286"/>
      <c r="C66" s="287"/>
      <c r="D66" s="287"/>
      <c r="E66" s="280"/>
      <c r="F66" s="279"/>
      <c r="G66" s="286"/>
      <c r="H66" s="287"/>
      <c r="I66" s="287"/>
      <c r="J66" s="280"/>
    </row>
    <row r="67" spans="2:10" ht="12.75" customHeight="1">
      <c r="B67" s="298" t="s">
        <v>284</v>
      </c>
      <c r="C67" s="279"/>
      <c r="D67" s="279"/>
      <c r="E67" s="309" t="s">
        <v>820</v>
      </c>
      <c r="F67" s="279"/>
      <c r="G67" s="298" t="s">
        <v>284</v>
      </c>
      <c r="H67" s="279"/>
      <c r="I67" s="279"/>
      <c r="J67" s="309" t="s">
        <v>820</v>
      </c>
    </row>
    <row r="68" spans="2:10" ht="12.75" customHeight="1">
      <c r="B68" s="278" t="s">
        <v>285</v>
      </c>
      <c r="C68" s="279"/>
      <c r="D68" s="279"/>
      <c r="E68" s="303">
        <f>'Berekening rekenvolumes'!K85</f>
        <v>17141.919151138718</v>
      </c>
      <c r="F68" s="279"/>
      <c r="G68" s="278" t="s">
        <v>285</v>
      </c>
      <c r="H68" s="279"/>
      <c r="I68" s="279"/>
      <c r="J68" s="303">
        <f>'Berekening rekenvolumes'!K35</f>
        <v>2174210.75</v>
      </c>
    </row>
    <row r="69" spans="2:10" ht="12.75" customHeight="1">
      <c r="B69" s="278" t="s">
        <v>286</v>
      </c>
      <c r="C69" s="279"/>
      <c r="D69" s="279"/>
      <c r="E69" s="303">
        <f>'Berekening rekenvolumes'!K86</f>
        <v>164.02290217895225</v>
      </c>
      <c r="F69" s="279"/>
      <c r="G69" s="278" t="s">
        <v>286</v>
      </c>
      <c r="H69" s="279"/>
      <c r="I69" s="279"/>
      <c r="J69" s="303">
        <f>'Berekening rekenvolumes'!K36</f>
        <v>9294.6944444444434</v>
      </c>
    </row>
    <row r="70" spans="2:10" ht="12.75" customHeight="1">
      <c r="B70" s="278" t="s">
        <v>287</v>
      </c>
      <c r="C70" s="279"/>
      <c r="D70" s="279"/>
      <c r="E70" s="303">
        <f>'Berekening rekenvolumes'!K87</f>
        <v>129.99188687992583</v>
      </c>
      <c r="F70" s="279"/>
      <c r="G70" s="278" t="s">
        <v>287</v>
      </c>
      <c r="H70" s="279"/>
      <c r="I70" s="279"/>
      <c r="J70" s="303">
        <f>'Berekening rekenvolumes'!K37</f>
        <v>21302.916666666668</v>
      </c>
    </row>
    <row r="71" spans="2:10" ht="12.75" customHeight="1">
      <c r="B71" s="278" t="s">
        <v>288</v>
      </c>
      <c r="C71" s="279"/>
      <c r="D71" s="279"/>
      <c r="E71" s="307">
        <f>'Berekening rekenvolumes'!K88</f>
        <v>132</v>
      </c>
      <c r="F71" s="279"/>
      <c r="G71" s="278" t="s">
        <v>288</v>
      </c>
      <c r="H71" s="279"/>
      <c r="I71" s="279"/>
      <c r="J71" s="307">
        <f>'Berekening rekenvolumes'!K38</f>
        <v>6891.3888888888878</v>
      </c>
    </row>
    <row r="72" spans="2:10" ht="12.75" customHeight="1">
      <c r="B72" s="278"/>
      <c r="C72" s="279"/>
      <c r="D72" s="279"/>
      <c r="E72" s="309"/>
      <c r="F72" s="279"/>
      <c r="G72" s="278"/>
      <c r="H72" s="279"/>
      <c r="I72" s="279"/>
      <c r="J72" s="282"/>
    </row>
    <row r="73" spans="2:10" ht="12.75" customHeight="1">
      <c r="B73" s="298" t="s">
        <v>289</v>
      </c>
      <c r="C73" s="279"/>
      <c r="D73" s="279"/>
      <c r="E73" s="309" t="s">
        <v>820</v>
      </c>
      <c r="F73" s="279"/>
      <c r="G73" s="298" t="s">
        <v>289</v>
      </c>
      <c r="H73" s="279"/>
      <c r="I73" s="279"/>
      <c r="J73" s="309" t="s">
        <v>820</v>
      </c>
    </row>
    <row r="74" spans="2:10" ht="12.75" customHeight="1">
      <c r="B74" s="278" t="s">
        <v>285</v>
      </c>
      <c r="C74" s="279"/>
      <c r="D74" s="279"/>
      <c r="E74" s="303">
        <f>'Berekening rekenvolumes'!K91</f>
        <v>0</v>
      </c>
      <c r="F74" s="279"/>
      <c r="G74" s="278" t="s">
        <v>285</v>
      </c>
      <c r="H74" s="279"/>
      <c r="I74" s="279"/>
      <c r="J74" s="303">
        <f>'Berekening rekenvolumes'!K41</f>
        <v>0</v>
      </c>
    </row>
    <row r="75" spans="2:10" ht="12.75" customHeight="1">
      <c r="B75" s="278" t="s">
        <v>286</v>
      </c>
      <c r="C75" s="279"/>
      <c r="D75" s="279"/>
      <c r="E75" s="303">
        <f>'Berekening rekenvolumes'!K92</f>
        <v>0</v>
      </c>
      <c r="F75" s="279"/>
      <c r="G75" s="278" t="s">
        <v>286</v>
      </c>
      <c r="H75" s="279"/>
      <c r="I75" s="279"/>
      <c r="J75" s="303">
        <f>'Berekening rekenvolumes'!K42</f>
        <v>0.33333333333333331</v>
      </c>
    </row>
    <row r="76" spans="2:10" ht="12.75" customHeight="1">
      <c r="B76" s="278" t="s">
        <v>287</v>
      </c>
      <c r="C76" s="279"/>
      <c r="D76" s="279"/>
      <c r="E76" s="303">
        <f>'Berekening rekenvolumes'!K93</f>
        <v>0</v>
      </c>
      <c r="F76" s="279"/>
      <c r="G76" s="278" t="s">
        <v>287</v>
      </c>
      <c r="H76" s="279"/>
      <c r="I76" s="279"/>
      <c r="J76" s="303">
        <f>'Berekening rekenvolumes'!K43</f>
        <v>0</v>
      </c>
    </row>
    <row r="77" spans="2:10" ht="12.75" customHeight="1">
      <c r="B77" s="278" t="s">
        <v>288</v>
      </c>
      <c r="C77" s="279"/>
      <c r="D77" s="279"/>
      <c r="E77" s="307">
        <f>'Berekening rekenvolumes'!K94</f>
        <v>0</v>
      </c>
      <c r="F77" s="279"/>
      <c r="G77" s="278" t="s">
        <v>288</v>
      </c>
      <c r="H77" s="279"/>
      <c r="I77" s="279"/>
      <c r="J77" s="307">
        <f>'Berekening rekenvolumes'!K44</f>
        <v>0</v>
      </c>
    </row>
    <row r="78" spans="2:10" ht="12.75" customHeight="1">
      <c r="B78" s="278"/>
      <c r="C78" s="279"/>
      <c r="D78" s="279"/>
      <c r="E78" s="282"/>
      <c r="F78" s="279"/>
      <c r="G78" s="278"/>
      <c r="H78" s="279"/>
      <c r="I78" s="279"/>
      <c r="J78" s="282"/>
    </row>
    <row r="79" spans="2:10" ht="12.75" customHeight="1">
      <c r="B79" s="298" t="s">
        <v>290</v>
      </c>
      <c r="C79" s="279"/>
      <c r="D79" s="279"/>
      <c r="E79" s="309" t="s">
        <v>820</v>
      </c>
      <c r="F79" s="279"/>
      <c r="G79" s="298" t="s">
        <v>290</v>
      </c>
      <c r="H79" s="279"/>
      <c r="I79" s="279"/>
      <c r="J79" s="309" t="s">
        <v>820</v>
      </c>
    </row>
    <row r="80" spans="2:10" ht="12.75" customHeight="1">
      <c r="B80" s="283" t="s">
        <v>291</v>
      </c>
      <c r="C80" s="284"/>
      <c r="D80" s="284"/>
      <c r="E80" s="304">
        <f>'Berekening rekenvolumes'!K97</f>
        <v>0</v>
      </c>
      <c r="F80" s="279"/>
      <c r="G80" s="283" t="s">
        <v>291</v>
      </c>
      <c r="H80" s="284"/>
      <c r="I80" s="284"/>
      <c r="J80" s="304">
        <f>'Berekening rekenvolumes'!K47</f>
        <v>0</v>
      </c>
    </row>
    <row r="81" spans="2:10" ht="12.75" customHeight="1">
      <c r="B81" s="278"/>
      <c r="C81" s="279"/>
      <c r="D81" s="279"/>
      <c r="E81" s="279"/>
      <c r="F81" s="279"/>
      <c r="G81" s="279"/>
      <c r="H81" s="279"/>
      <c r="I81" s="279"/>
      <c r="J81" s="282"/>
    </row>
    <row r="82" spans="2:10" ht="12.75" customHeight="1">
      <c r="B82" s="295" t="s">
        <v>819</v>
      </c>
      <c r="C82" s="296"/>
      <c r="D82" s="296"/>
      <c r="E82" s="297"/>
      <c r="F82" s="279"/>
      <c r="G82" s="279"/>
      <c r="H82" s="279"/>
      <c r="I82" s="279"/>
      <c r="J82" s="282"/>
    </row>
    <row r="83" spans="2:10" ht="12.75" customHeight="1">
      <c r="B83" s="286"/>
      <c r="C83" s="287"/>
      <c r="D83" s="287"/>
      <c r="E83" s="280"/>
      <c r="F83" s="279"/>
      <c r="G83" s="279"/>
      <c r="H83" s="279"/>
      <c r="I83" s="279"/>
      <c r="J83" s="282"/>
    </row>
    <row r="84" spans="2:10" ht="12.75" customHeight="1">
      <c r="B84" s="298" t="s">
        <v>284</v>
      </c>
      <c r="C84" s="279"/>
      <c r="D84" s="279"/>
      <c r="E84" s="309" t="s">
        <v>820</v>
      </c>
      <c r="F84" s="279"/>
      <c r="G84" s="279"/>
      <c r="H84" s="279"/>
      <c r="I84" s="279"/>
      <c r="J84" s="282"/>
    </row>
    <row r="85" spans="2:10" ht="12.75" customHeight="1">
      <c r="B85" s="278" t="s">
        <v>285</v>
      </c>
      <c r="C85" s="279"/>
      <c r="D85" s="279"/>
      <c r="E85" s="303">
        <f>'Berekening rekenvolumes'!K103</f>
        <v>17560.136363636364</v>
      </c>
      <c r="F85" s="279"/>
      <c r="G85" s="279"/>
      <c r="H85" s="279"/>
      <c r="I85" s="279"/>
      <c r="J85" s="282"/>
    </row>
    <row r="86" spans="2:10" ht="12.75" customHeight="1">
      <c r="B86" s="278" t="s">
        <v>286</v>
      </c>
      <c r="C86" s="279"/>
      <c r="D86" s="279"/>
      <c r="E86" s="303">
        <f>'Berekening rekenvolumes'!K104</f>
        <v>2562.3333333333335</v>
      </c>
      <c r="F86" s="279"/>
      <c r="G86" s="279"/>
      <c r="H86" s="279"/>
      <c r="I86" s="279"/>
      <c r="J86" s="282"/>
    </row>
    <row r="87" spans="2:10" ht="12.75" customHeight="1">
      <c r="B87" s="278" t="s">
        <v>287</v>
      </c>
      <c r="C87" s="279"/>
      <c r="D87" s="279"/>
      <c r="E87" s="303">
        <f>'Berekening rekenvolumes'!K105</f>
        <v>2013.3333333333333</v>
      </c>
      <c r="F87" s="279"/>
      <c r="G87" s="279"/>
      <c r="H87" s="279"/>
      <c r="I87" s="279"/>
      <c r="J87" s="282"/>
    </row>
    <row r="88" spans="2:10" ht="12.75" customHeight="1">
      <c r="B88" s="278" t="s">
        <v>288</v>
      </c>
      <c r="C88" s="279"/>
      <c r="D88" s="279"/>
      <c r="E88" s="307">
        <f>'Berekening rekenvolumes'!K106</f>
        <v>2318.3333333333335</v>
      </c>
      <c r="F88" s="279"/>
      <c r="G88" s="279"/>
      <c r="H88" s="279"/>
      <c r="I88" s="279"/>
      <c r="J88" s="282"/>
    </row>
    <row r="89" spans="2:10" ht="12.75" customHeight="1">
      <c r="B89" s="278"/>
      <c r="C89" s="279"/>
      <c r="D89" s="279"/>
      <c r="E89" s="282"/>
      <c r="F89" s="279"/>
      <c r="G89" s="279"/>
      <c r="H89" s="279"/>
      <c r="I89" s="279"/>
      <c r="J89" s="282"/>
    </row>
    <row r="90" spans="2:10" ht="12.75" customHeight="1">
      <c r="B90" s="298" t="s">
        <v>289</v>
      </c>
      <c r="C90" s="279"/>
      <c r="D90" s="279"/>
      <c r="E90" s="309" t="s">
        <v>820</v>
      </c>
      <c r="F90" s="279"/>
      <c r="G90" s="279"/>
      <c r="H90" s="279"/>
      <c r="I90" s="279"/>
      <c r="J90" s="282"/>
    </row>
    <row r="91" spans="2:10" ht="12.75" customHeight="1">
      <c r="B91" s="278" t="s">
        <v>285</v>
      </c>
      <c r="C91" s="279"/>
      <c r="D91" s="279"/>
      <c r="E91" s="303">
        <f>'Berekening rekenvolumes'!K109</f>
        <v>0</v>
      </c>
      <c r="F91" s="279"/>
      <c r="G91" s="279"/>
      <c r="H91" s="279"/>
      <c r="I91" s="279"/>
      <c r="J91" s="306"/>
    </row>
    <row r="92" spans="2:10" ht="12.75" customHeight="1">
      <c r="B92" s="278" t="s">
        <v>286</v>
      </c>
      <c r="C92" s="279"/>
      <c r="D92" s="279"/>
      <c r="E92" s="303">
        <f>'Berekening rekenvolumes'!K110</f>
        <v>0</v>
      </c>
      <c r="F92" s="279"/>
      <c r="G92" s="279"/>
      <c r="H92" s="279"/>
      <c r="I92" s="279"/>
      <c r="J92" s="306"/>
    </row>
    <row r="93" spans="2:10" ht="12.75" customHeight="1">
      <c r="B93" s="278" t="s">
        <v>287</v>
      </c>
      <c r="C93" s="279"/>
      <c r="D93" s="279"/>
      <c r="E93" s="303">
        <f>'Berekening rekenvolumes'!K111</f>
        <v>0</v>
      </c>
      <c r="F93" s="279"/>
      <c r="G93" s="279"/>
      <c r="H93" s="279"/>
      <c r="I93" s="279"/>
      <c r="J93" s="306"/>
    </row>
    <row r="94" spans="2:10" ht="12.75" customHeight="1">
      <c r="B94" s="278" t="s">
        <v>288</v>
      </c>
      <c r="C94" s="279"/>
      <c r="D94" s="279"/>
      <c r="E94" s="307">
        <f>'Berekening rekenvolumes'!K112</f>
        <v>425.66666666666669</v>
      </c>
      <c r="F94" s="279"/>
      <c r="G94" s="519" t="s">
        <v>1347</v>
      </c>
      <c r="H94" s="519"/>
      <c r="I94" s="519"/>
      <c r="J94" s="282"/>
    </row>
    <row r="95" spans="2:10" ht="12.75" customHeight="1">
      <c r="B95" s="278"/>
      <c r="C95" s="279"/>
      <c r="D95" s="279"/>
      <c r="E95" s="282"/>
      <c r="F95" s="279"/>
      <c r="G95" s="519"/>
      <c r="H95" s="519"/>
      <c r="I95" s="519"/>
      <c r="J95" s="302"/>
    </row>
    <row r="96" spans="2:10" ht="12.75" customHeight="1">
      <c r="B96" s="298" t="s">
        <v>290</v>
      </c>
      <c r="C96" s="279"/>
      <c r="D96" s="279"/>
      <c r="E96" s="309" t="s">
        <v>820</v>
      </c>
      <c r="F96" s="279"/>
      <c r="G96" s="519"/>
      <c r="H96" s="519"/>
      <c r="I96" s="519"/>
      <c r="J96" s="306"/>
    </row>
    <row r="97" spans="2:10" ht="12.75" customHeight="1">
      <c r="B97" s="283" t="s">
        <v>291</v>
      </c>
      <c r="C97" s="284"/>
      <c r="D97" s="284"/>
      <c r="E97" s="304">
        <f>'Berekening rekenvolumes'!K115</f>
        <v>0</v>
      </c>
      <c r="F97" s="279"/>
      <c r="G97" s="279"/>
      <c r="H97" s="279"/>
      <c r="I97" s="279"/>
      <c r="J97" s="282"/>
    </row>
    <row r="98" spans="2:10" ht="9" customHeight="1">
      <c r="B98" s="283"/>
      <c r="C98" s="284"/>
      <c r="D98" s="284"/>
      <c r="E98" s="284"/>
      <c r="F98" s="284"/>
      <c r="G98" s="284"/>
      <c r="H98" s="284"/>
      <c r="I98" s="284"/>
      <c r="J98" s="285"/>
    </row>
    <row r="99" spans="2:10" ht="12.75" customHeight="1">
      <c r="G99" s="279"/>
      <c r="H99" s="279"/>
      <c r="I99" s="279"/>
      <c r="J99" s="279"/>
    </row>
  </sheetData>
  <mergeCells count="1">
    <mergeCell ref="G94:I96"/>
  </mergeCells>
  <pageMargins left="0.7" right="0.7" top="0.75" bottom="0.75" header="0.3" footer="0.3"/>
  <pageSetup paperSize="9" scale="5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2:K99"/>
  <sheetViews>
    <sheetView showGridLines="0" zoomScale="85" zoomScaleNormal="85" workbookViewId="0"/>
  </sheetViews>
  <sheetFormatPr defaultRowHeight="12.75"/>
  <cols>
    <col min="1" max="1" width="9.140625" style="277"/>
    <col min="2" max="2" width="50.7109375" style="277" customWidth="1"/>
    <col min="3" max="3" width="2.42578125" style="277" customWidth="1"/>
    <col min="4" max="4" width="4" style="277" customWidth="1"/>
    <col min="5" max="5" width="16" style="277" customWidth="1"/>
    <col min="6" max="6" width="2.85546875" style="277" customWidth="1"/>
    <col min="7" max="7" width="52.28515625" style="277" customWidth="1"/>
    <col min="8" max="8" width="2.42578125" style="277" customWidth="1"/>
    <col min="9" max="9" width="4" style="277" customWidth="1"/>
    <col min="10" max="10" width="13.5703125" style="277" customWidth="1"/>
    <col min="11" max="16384" width="9.140625" style="277"/>
  </cols>
  <sheetData>
    <row r="2" spans="2:10" ht="19.5" customHeight="1">
      <c r="B2" s="489" t="s">
        <v>1182</v>
      </c>
      <c r="C2" s="275"/>
      <c r="D2" s="275"/>
      <c r="E2" s="275"/>
      <c r="F2" s="275"/>
      <c r="G2" s="275"/>
      <c r="H2" s="275"/>
      <c r="I2" s="275"/>
      <c r="J2" s="276"/>
    </row>
    <row r="3" spans="2:10" ht="4.5" customHeight="1">
      <c r="B3" s="278"/>
      <c r="C3" s="279"/>
      <c r="D3" s="279"/>
      <c r="E3" s="279"/>
      <c r="F3" s="279"/>
      <c r="G3" s="279"/>
      <c r="H3" s="279"/>
      <c r="I3" s="279"/>
      <c r="J3" s="282"/>
    </row>
    <row r="4" spans="2:10">
      <c r="B4" s="299" t="s">
        <v>132</v>
      </c>
      <c r="C4" s="279"/>
      <c r="D4" s="279"/>
      <c r="E4" s="281"/>
      <c r="F4" s="279"/>
      <c r="G4" s="279"/>
      <c r="H4" s="279"/>
      <c r="I4" s="279"/>
      <c r="J4" s="282"/>
    </row>
    <row r="5" spans="2:10" ht="4.5" customHeight="1">
      <c r="B5" s="278"/>
      <c r="C5" s="279"/>
      <c r="D5" s="279"/>
      <c r="E5" s="279"/>
      <c r="F5" s="279"/>
      <c r="G5" s="279"/>
      <c r="H5" s="279"/>
      <c r="I5" s="279"/>
      <c r="J5" s="282"/>
    </row>
    <row r="6" spans="2:10" ht="4.5" customHeight="1">
      <c r="B6" s="283"/>
      <c r="C6" s="284"/>
      <c r="D6" s="284"/>
      <c r="E6" s="284"/>
      <c r="F6" s="284"/>
      <c r="G6" s="284"/>
      <c r="H6" s="284"/>
      <c r="I6" s="284"/>
      <c r="J6" s="285"/>
    </row>
    <row r="7" spans="2:10">
      <c r="B7" s="294" t="s">
        <v>28</v>
      </c>
      <c r="C7" s="275"/>
      <c r="D7" s="275"/>
      <c r="E7" s="275"/>
      <c r="F7" s="275"/>
      <c r="G7" s="275"/>
      <c r="H7" s="275"/>
      <c r="I7" s="275"/>
      <c r="J7" s="276"/>
    </row>
    <row r="8" spans="2:10">
      <c r="B8" s="286"/>
      <c r="C8" s="287"/>
      <c r="D8" s="287"/>
      <c r="E8" s="287"/>
      <c r="F8" s="287"/>
      <c r="G8" s="287"/>
      <c r="H8" s="287"/>
      <c r="I8" s="287"/>
      <c r="J8" s="280"/>
    </row>
    <row r="9" spans="2:10">
      <c r="B9" s="288" t="s">
        <v>265</v>
      </c>
      <c r="C9" s="279"/>
      <c r="D9" s="279"/>
      <c r="E9" s="308" t="s">
        <v>820</v>
      </c>
      <c r="F9" s="279"/>
      <c r="G9" s="279"/>
      <c r="H9" s="279"/>
      <c r="I9" s="279"/>
      <c r="J9" s="282"/>
    </row>
    <row r="10" spans="2:10">
      <c r="B10" s="289" t="s">
        <v>201</v>
      </c>
      <c r="C10" s="279"/>
      <c r="D10" s="279"/>
      <c r="E10" s="300">
        <f>'Berekening rekenvolumes'!L10</f>
        <v>101151.86666666665</v>
      </c>
      <c r="F10" s="279"/>
      <c r="G10" s="279"/>
      <c r="H10" s="279"/>
      <c r="I10" s="279"/>
      <c r="J10" s="282"/>
    </row>
    <row r="11" spans="2:10">
      <c r="B11" s="290" t="s">
        <v>202</v>
      </c>
      <c r="C11" s="279"/>
      <c r="D11" s="279"/>
      <c r="E11" s="301">
        <f>'Berekening rekenvolumes'!L11</f>
        <v>342940.8</v>
      </c>
      <c r="F11" s="279"/>
      <c r="G11" s="279"/>
      <c r="H11" s="279"/>
      <c r="I11" s="279"/>
      <c r="J11" s="282"/>
    </row>
    <row r="12" spans="2:10">
      <c r="B12" s="290"/>
      <c r="C12" s="279"/>
      <c r="D12" s="279"/>
      <c r="E12" s="281"/>
      <c r="F12" s="279"/>
      <c r="G12" s="279"/>
      <c r="H12" s="279"/>
      <c r="I12" s="279"/>
      <c r="J12" s="282"/>
    </row>
    <row r="13" spans="2:10">
      <c r="B13" s="291" t="s">
        <v>266</v>
      </c>
      <c r="C13" s="279"/>
      <c r="D13" s="279"/>
      <c r="E13" s="308" t="s">
        <v>820</v>
      </c>
      <c r="F13" s="279"/>
      <c r="G13" s="279"/>
      <c r="H13" s="279"/>
      <c r="I13" s="279"/>
      <c r="J13" s="282"/>
    </row>
    <row r="14" spans="2:10">
      <c r="B14" s="289" t="s">
        <v>201</v>
      </c>
      <c r="C14" s="279"/>
      <c r="D14" s="279"/>
      <c r="E14" s="300">
        <f>'Berekening rekenvolumes'!L14</f>
        <v>353.4666666666667</v>
      </c>
      <c r="F14" s="279"/>
      <c r="G14" s="279"/>
      <c r="H14" s="279"/>
      <c r="I14" s="279"/>
      <c r="J14" s="282"/>
    </row>
    <row r="15" spans="2:10">
      <c r="B15" s="290" t="s">
        <v>202</v>
      </c>
      <c r="C15" s="279"/>
      <c r="D15" s="279"/>
      <c r="E15" s="301">
        <f>'Berekening rekenvolumes'!L15</f>
        <v>23774.666666666668</v>
      </c>
      <c r="F15" s="279"/>
      <c r="G15" s="279"/>
      <c r="H15" s="279"/>
      <c r="I15" s="279"/>
      <c r="J15" s="282"/>
    </row>
    <row r="16" spans="2:10">
      <c r="B16" s="292"/>
      <c r="C16" s="279"/>
      <c r="D16" s="279"/>
      <c r="E16" s="281"/>
      <c r="F16" s="279"/>
      <c r="G16" s="279"/>
      <c r="H16" s="279"/>
      <c r="I16" s="279"/>
      <c r="J16" s="282"/>
    </row>
    <row r="17" spans="1:11">
      <c r="B17" s="288" t="s">
        <v>204</v>
      </c>
      <c r="C17" s="279"/>
      <c r="D17" s="279"/>
      <c r="E17" s="308" t="s">
        <v>820</v>
      </c>
      <c r="F17" s="279"/>
      <c r="G17" s="279"/>
      <c r="H17" s="279"/>
      <c r="I17" s="279"/>
      <c r="J17" s="282"/>
    </row>
    <row r="18" spans="1:11">
      <c r="B18" s="289" t="s">
        <v>201</v>
      </c>
      <c r="C18" s="279"/>
      <c r="D18" s="279"/>
      <c r="E18" s="300">
        <f>'Berekening rekenvolumes'!L18</f>
        <v>89.94</v>
      </c>
      <c r="F18" s="279"/>
      <c r="G18" s="279"/>
      <c r="H18" s="279"/>
      <c r="I18" s="279"/>
      <c r="J18" s="282"/>
    </row>
    <row r="19" spans="1:11">
      <c r="B19" s="290" t="s">
        <v>262</v>
      </c>
      <c r="C19" s="279"/>
      <c r="D19" s="279"/>
      <c r="E19" s="300">
        <f>'Berekening rekenvolumes'!L19</f>
        <v>3784.7566666666667</v>
      </c>
      <c r="F19" s="279"/>
      <c r="G19" s="279"/>
      <c r="H19" s="279"/>
      <c r="I19" s="279"/>
      <c r="J19" s="282"/>
    </row>
    <row r="20" spans="1:11">
      <c r="B20" s="289" t="s">
        <v>263</v>
      </c>
      <c r="C20" s="279"/>
      <c r="D20" s="279"/>
      <c r="E20" s="300">
        <f>'Berekening rekenvolumes'!L20</f>
        <v>26392.39333333333</v>
      </c>
      <c r="F20" s="279"/>
      <c r="G20" s="279"/>
      <c r="H20" s="279"/>
      <c r="I20" s="279"/>
      <c r="J20" s="282"/>
    </row>
    <row r="21" spans="1:11">
      <c r="B21" s="290" t="s">
        <v>264</v>
      </c>
      <c r="C21" s="279"/>
      <c r="D21" s="279"/>
      <c r="E21" s="300">
        <f>'Berekening rekenvolumes'!L21</f>
        <v>0</v>
      </c>
      <c r="F21" s="279"/>
      <c r="G21" s="279"/>
      <c r="H21" s="279"/>
      <c r="I21" s="279"/>
      <c r="J21" s="282"/>
    </row>
    <row r="22" spans="1:11">
      <c r="B22" s="293"/>
      <c r="C22" s="279"/>
      <c r="D22" s="279"/>
      <c r="E22" s="281"/>
      <c r="F22" s="279"/>
      <c r="G22" s="279"/>
      <c r="H22" s="279"/>
      <c r="I22" s="279"/>
      <c r="J22" s="282"/>
    </row>
    <row r="23" spans="1:11">
      <c r="B23" s="288" t="s">
        <v>206</v>
      </c>
      <c r="C23" s="279"/>
      <c r="D23" s="279"/>
      <c r="E23" s="308" t="s">
        <v>820</v>
      </c>
      <c r="F23" s="279"/>
      <c r="G23" s="279"/>
      <c r="H23" s="279"/>
      <c r="I23" s="279"/>
      <c r="J23" s="282"/>
    </row>
    <row r="24" spans="1:11">
      <c r="B24" s="289" t="s">
        <v>201</v>
      </c>
      <c r="C24" s="279"/>
      <c r="D24" s="279"/>
      <c r="E24" s="300">
        <f>'Berekening rekenvolumes'!L25</f>
        <v>0</v>
      </c>
      <c r="F24" s="279"/>
      <c r="G24" s="279"/>
      <c r="H24" s="279"/>
      <c r="I24" s="279"/>
      <c r="J24" s="282"/>
    </row>
    <row r="25" spans="1:11">
      <c r="B25" s="290" t="s">
        <v>202</v>
      </c>
      <c r="C25" s="279"/>
      <c r="D25" s="279"/>
      <c r="E25" s="301">
        <f>'Berekening rekenvolumes'!L26</f>
        <v>0</v>
      </c>
      <c r="F25" s="279"/>
      <c r="G25" s="279"/>
      <c r="H25" s="279"/>
      <c r="I25" s="279"/>
      <c r="J25" s="282"/>
    </row>
    <row r="26" spans="1:11" ht="4.5" customHeight="1">
      <c r="B26" s="283"/>
      <c r="C26" s="284"/>
      <c r="D26" s="284"/>
      <c r="E26" s="284"/>
      <c r="F26" s="284"/>
      <c r="G26" s="284"/>
      <c r="H26" s="284"/>
      <c r="I26" s="284"/>
      <c r="J26" s="285"/>
    </row>
    <row r="27" spans="1:11" ht="4.5" customHeight="1">
      <c r="A27" s="279"/>
      <c r="B27" s="279"/>
      <c r="C27" s="279"/>
      <c r="D27" s="279"/>
      <c r="E27" s="279"/>
      <c r="F27" s="279"/>
      <c r="G27" s="279"/>
      <c r="H27" s="279"/>
      <c r="I27" s="279"/>
      <c r="J27" s="279"/>
      <c r="K27" s="279"/>
    </row>
    <row r="28" spans="1:11" ht="4.5" customHeight="1">
      <c r="A28" s="279"/>
      <c r="B28" s="284"/>
      <c r="C28" s="284"/>
      <c r="D28" s="284"/>
      <c r="E28" s="284"/>
      <c r="F28" s="284"/>
      <c r="G28" s="284"/>
      <c r="H28" s="284"/>
      <c r="I28" s="284"/>
      <c r="J28" s="284"/>
      <c r="K28" s="279"/>
    </row>
    <row r="29" spans="1:11" ht="19.5" customHeight="1">
      <c r="B29" s="489" t="s">
        <v>1182</v>
      </c>
      <c r="C29" s="275"/>
      <c r="D29" s="275"/>
      <c r="E29" s="275"/>
      <c r="F29" s="275"/>
      <c r="G29" s="275"/>
      <c r="H29" s="275"/>
      <c r="I29" s="275"/>
      <c r="J29" s="276"/>
    </row>
    <row r="30" spans="1:11" ht="4.5" customHeight="1">
      <c r="B30" s="278"/>
      <c r="C30" s="279"/>
      <c r="D30" s="279"/>
      <c r="E30" s="279"/>
      <c r="F30" s="279"/>
      <c r="G30" s="279"/>
      <c r="H30" s="279"/>
      <c r="I30" s="279"/>
      <c r="J30" s="282"/>
    </row>
    <row r="31" spans="1:11">
      <c r="B31" s="299" t="s">
        <v>132</v>
      </c>
      <c r="C31" s="279"/>
      <c r="D31" s="279"/>
      <c r="E31" s="281"/>
      <c r="F31" s="279"/>
      <c r="G31" s="279"/>
      <c r="H31" s="279"/>
      <c r="I31" s="279"/>
      <c r="J31" s="282"/>
    </row>
    <row r="32" spans="1:11" ht="4.5" customHeight="1">
      <c r="B32" s="278"/>
      <c r="C32" s="279"/>
      <c r="D32" s="279"/>
      <c r="E32" s="279"/>
      <c r="F32" s="279"/>
      <c r="G32" s="279"/>
      <c r="H32" s="279"/>
      <c r="I32" s="279"/>
      <c r="J32" s="282"/>
    </row>
    <row r="33" spans="2:10" ht="4.5" customHeight="1">
      <c r="B33" s="283"/>
      <c r="C33" s="284"/>
      <c r="D33" s="284"/>
      <c r="E33" s="284"/>
      <c r="F33" s="284"/>
      <c r="G33" s="284"/>
      <c r="H33" s="284"/>
      <c r="I33" s="284"/>
      <c r="J33" s="285"/>
    </row>
    <row r="34" spans="2:10" ht="12.75" customHeight="1">
      <c r="B34" s="294" t="s">
        <v>136</v>
      </c>
      <c r="C34" s="275"/>
      <c r="D34" s="275"/>
      <c r="E34" s="275"/>
      <c r="F34" s="275"/>
      <c r="G34" s="275"/>
      <c r="H34" s="275"/>
      <c r="I34" s="275"/>
      <c r="J34" s="276"/>
    </row>
    <row r="35" spans="2:10" ht="12.75" customHeight="1">
      <c r="B35" s="278"/>
      <c r="C35" s="279"/>
      <c r="D35" s="279"/>
      <c r="E35" s="279"/>
      <c r="F35" s="279"/>
      <c r="G35" s="279"/>
      <c r="H35" s="279"/>
      <c r="I35" s="279"/>
      <c r="J35" s="305"/>
    </row>
    <row r="36" spans="2:10" ht="12.75" customHeight="1">
      <c r="B36" s="295" t="s">
        <v>816</v>
      </c>
      <c r="C36" s="296"/>
      <c r="D36" s="296"/>
      <c r="E36" s="297"/>
      <c r="F36" s="279"/>
      <c r="G36" s="295" t="s">
        <v>817</v>
      </c>
      <c r="H36" s="296"/>
      <c r="I36" s="296"/>
      <c r="J36" s="297"/>
    </row>
    <row r="37" spans="2:10" ht="12.75" customHeight="1">
      <c r="B37" s="286"/>
      <c r="C37" s="287"/>
      <c r="D37" s="287"/>
      <c r="E37" s="280"/>
      <c r="F37" s="279"/>
      <c r="G37" s="278"/>
      <c r="H37" s="279"/>
      <c r="I37" s="279"/>
      <c r="J37" s="282"/>
    </row>
    <row r="38" spans="2:10" ht="12.75" customHeight="1">
      <c r="B38" s="298" t="s">
        <v>284</v>
      </c>
      <c r="C38" s="279"/>
      <c r="D38" s="279"/>
      <c r="E38" s="309" t="s">
        <v>820</v>
      </c>
      <c r="F38" s="279"/>
      <c r="G38" s="298" t="s">
        <v>284</v>
      </c>
      <c r="H38" s="279"/>
      <c r="I38" s="279"/>
      <c r="J38" s="309" t="s">
        <v>820</v>
      </c>
    </row>
    <row r="39" spans="2:10" ht="12.75" customHeight="1">
      <c r="B39" s="278" t="s">
        <v>292</v>
      </c>
      <c r="C39" s="279"/>
      <c r="D39" s="279"/>
      <c r="E39" s="303">
        <f>'Berekening rekenvolumes'!L121</f>
        <v>0.66666666666666663</v>
      </c>
      <c r="F39" s="279"/>
      <c r="G39" s="278" t="s">
        <v>292</v>
      </c>
      <c r="H39" s="279"/>
      <c r="I39" s="279"/>
      <c r="J39" s="303">
        <f>'Berekening rekenvolumes'!L53</f>
        <v>142.20000000000002</v>
      </c>
    </row>
    <row r="40" spans="2:10" ht="12.75" customHeight="1">
      <c r="B40" s="278" t="s">
        <v>293</v>
      </c>
      <c r="C40" s="279"/>
      <c r="D40" s="279"/>
      <c r="E40" s="303">
        <f>'Berekening rekenvolumes'!L122</f>
        <v>2</v>
      </c>
      <c r="F40" s="279"/>
      <c r="G40" s="278" t="s">
        <v>293</v>
      </c>
      <c r="H40" s="279"/>
      <c r="I40" s="279"/>
      <c r="J40" s="303">
        <f>'Berekening rekenvolumes'!L54</f>
        <v>142</v>
      </c>
    </row>
    <row r="41" spans="2:10" ht="12.75" customHeight="1">
      <c r="B41" s="278" t="s">
        <v>294</v>
      </c>
      <c r="C41" s="279"/>
      <c r="D41" s="279"/>
      <c r="E41" s="303">
        <f>'Berekening rekenvolumes'!L123</f>
        <v>0</v>
      </c>
      <c r="F41" s="279"/>
      <c r="G41" s="278" t="s">
        <v>294</v>
      </c>
      <c r="H41" s="279"/>
      <c r="I41" s="279"/>
      <c r="J41" s="303">
        <f>'Berekening rekenvolumes'!L55</f>
        <v>36.800000000000004</v>
      </c>
    </row>
    <row r="42" spans="2:10" ht="12.75" customHeight="1">
      <c r="B42" s="278" t="s">
        <v>295</v>
      </c>
      <c r="C42" s="279"/>
      <c r="D42" s="279"/>
      <c r="E42" s="303">
        <f>'Berekening rekenvolumes'!L124</f>
        <v>0</v>
      </c>
      <c r="F42" s="279"/>
      <c r="G42" s="278" t="s">
        <v>295</v>
      </c>
      <c r="H42" s="279"/>
      <c r="I42" s="279"/>
      <c r="J42" s="303">
        <f>'Berekening rekenvolumes'!L56</f>
        <v>21.733333333333334</v>
      </c>
    </row>
    <row r="43" spans="2:10" ht="12.75" customHeight="1">
      <c r="B43" s="299" t="s">
        <v>296</v>
      </c>
      <c r="C43" s="279"/>
      <c r="D43" s="279"/>
      <c r="E43" s="303">
        <f>'Berekening rekenvolumes'!L125</f>
        <v>0</v>
      </c>
      <c r="F43" s="279"/>
      <c r="G43" s="299" t="s">
        <v>296</v>
      </c>
      <c r="H43" s="279"/>
      <c r="I43" s="279"/>
      <c r="J43" s="303">
        <f>'Berekening rekenvolumes'!L57</f>
        <v>4.7</v>
      </c>
    </row>
    <row r="44" spans="2:10" ht="12.75" customHeight="1">
      <c r="B44" s="278" t="s">
        <v>297</v>
      </c>
      <c r="C44" s="279"/>
      <c r="D44" s="279"/>
      <c r="E44" s="303">
        <f>'Berekening rekenvolumes'!L126</f>
        <v>0</v>
      </c>
      <c r="F44" s="279"/>
      <c r="G44" s="278" t="s">
        <v>297</v>
      </c>
      <c r="H44" s="279"/>
      <c r="I44" s="279"/>
      <c r="J44" s="303">
        <f>'Berekening rekenvolumes'!L58</f>
        <v>3</v>
      </c>
    </row>
    <row r="45" spans="2:10" ht="12.75" customHeight="1">
      <c r="B45" s="278" t="s">
        <v>298</v>
      </c>
      <c r="C45" s="279"/>
      <c r="D45" s="279"/>
      <c r="E45" s="303">
        <f>'Berekening rekenvolumes'!L127</f>
        <v>0</v>
      </c>
      <c r="F45" s="279"/>
      <c r="G45" s="278" t="s">
        <v>298</v>
      </c>
      <c r="H45" s="279"/>
      <c r="I45" s="279"/>
      <c r="J45" s="303">
        <f>'Berekening rekenvolumes'!L59</f>
        <v>0</v>
      </c>
    </row>
    <row r="46" spans="2:10" ht="12.75" customHeight="1">
      <c r="B46" s="278" t="s">
        <v>299</v>
      </c>
      <c r="C46" s="279"/>
      <c r="D46" s="279"/>
      <c r="E46" s="303">
        <f>'Berekening rekenvolumes'!L128</f>
        <v>0</v>
      </c>
      <c r="F46" s="279"/>
      <c r="G46" s="278" t="s">
        <v>299</v>
      </c>
      <c r="H46" s="279"/>
      <c r="I46" s="279"/>
      <c r="J46" s="303">
        <f>'Berekening rekenvolumes'!L60</f>
        <v>0</v>
      </c>
    </row>
    <row r="47" spans="2:10" ht="12.75" customHeight="1">
      <c r="B47" s="278" t="s">
        <v>300</v>
      </c>
      <c r="C47" s="279"/>
      <c r="D47" s="279"/>
      <c r="E47" s="303">
        <f>'Berekening rekenvolumes'!L129</f>
        <v>0</v>
      </c>
      <c r="F47" s="279"/>
      <c r="G47" s="278" t="s">
        <v>300</v>
      </c>
      <c r="H47" s="279"/>
      <c r="I47" s="279"/>
      <c r="J47" s="303">
        <f>'Berekening rekenvolumes'!L61</f>
        <v>0</v>
      </c>
    </row>
    <row r="48" spans="2:10" ht="12.75" customHeight="1">
      <c r="B48" s="278" t="s">
        <v>301</v>
      </c>
      <c r="C48" s="279"/>
      <c r="D48" s="279"/>
      <c r="E48" s="303">
        <f>'Berekening rekenvolumes'!L130</f>
        <v>0</v>
      </c>
      <c r="F48" s="279"/>
      <c r="G48" s="278" t="s">
        <v>301</v>
      </c>
      <c r="H48" s="279"/>
      <c r="I48" s="279"/>
      <c r="J48" s="303">
        <f>'Berekening rekenvolumes'!L62</f>
        <v>0</v>
      </c>
    </row>
    <row r="49" spans="2:10" ht="12.75" customHeight="1">
      <c r="B49" s="278"/>
      <c r="C49" s="279"/>
      <c r="D49" s="279"/>
      <c r="E49" s="282"/>
      <c r="F49" s="279"/>
      <c r="G49" s="278"/>
      <c r="H49" s="279"/>
      <c r="I49" s="279"/>
      <c r="J49" s="282"/>
    </row>
    <row r="50" spans="2:10" ht="12.75" customHeight="1">
      <c r="B50" s="298" t="s">
        <v>289</v>
      </c>
      <c r="C50" s="279"/>
      <c r="D50" s="279"/>
      <c r="E50" s="309" t="s">
        <v>820</v>
      </c>
      <c r="F50" s="279"/>
      <c r="G50" s="298" t="s">
        <v>289</v>
      </c>
      <c r="H50" s="279"/>
      <c r="I50" s="279"/>
      <c r="J50" s="309" t="s">
        <v>820</v>
      </c>
    </row>
    <row r="51" spans="2:10" ht="12.75" customHeight="1">
      <c r="B51" s="278" t="s">
        <v>292</v>
      </c>
      <c r="C51" s="279"/>
      <c r="D51" s="279"/>
      <c r="E51" s="303">
        <f>'Berekening rekenvolumes'!L133</f>
        <v>0</v>
      </c>
      <c r="F51" s="279"/>
      <c r="G51" s="278" t="s">
        <v>292</v>
      </c>
      <c r="H51" s="279"/>
      <c r="I51" s="279"/>
      <c r="J51" s="303">
        <f>'Berekening rekenvolumes'!L65</f>
        <v>2</v>
      </c>
    </row>
    <row r="52" spans="2:10" ht="12.75" customHeight="1">
      <c r="B52" s="278" t="s">
        <v>293</v>
      </c>
      <c r="C52" s="279"/>
      <c r="D52" s="279"/>
      <c r="E52" s="303">
        <f>'Berekening rekenvolumes'!L134</f>
        <v>0</v>
      </c>
      <c r="F52" s="279"/>
      <c r="G52" s="278" t="s">
        <v>293</v>
      </c>
      <c r="H52" s="279"/>
      <c r="I52" s="279"/>
      <c r="J52" s="303">
        <f>'Berekening rekenvolumes'!L66</f>
        <v>8.3333333333333339</v>
      </c>
    </row>
    <row r="53" spans="2:10" ht="12.75" customHeight="1">
      <c r="B53" s="278" t="s">
        <v>294</v>
      </c>
      <c r="C53" s="279"/>
      <c r="D53" s="279"/>
      <c r="E53" s="303">
        <f>'Berekening rekenvolumes'!L135</f>
        <v>0</v>
      </c>
      <c r="F53" s="279"/>
      <c r="G53" s="278" t="s">
        <v>294</v>
      </c>
      <c r="H53" s="279"/>
      <c r="I53" s="279"/>
      <c r="J53" s="303">
        <f>'Berekening rekenvolumes'!L67</f>
        <v>13.366666666666667</v>
      </c>
    </row>
    <row r="54" spans="2:10" ht="12.75" customHeight="1">
      <c r="B54" s="278" t="s">
        <v>295</v>
      </c>
      <c r="C54" s="279"/>
      <c r="D54" s="279"/>
      <c r="E54" s="303">
        <f>'Berekening rekenvolumes'!L136</f>
        <v>0.33333333333333331</v>
      </c>
      <c r="F54" s="279"/>
      <c r="G54" s="278" t="s">
        <v>295</v>
      </c>
      <c r="H54" s="279"/>
      <c r="I54" s="279"/>
      <c r="J54" s="303">
        <f>'Berekening rekenvolumes'!L68</f>
        <v>22.522222222222222</v>
      </c>
    </row>
    <row r="55" spans="2:10" ht="12.75" customHeight="1">
      <c r="B55" s="299" t="s">
        <v>296</v>
      </c>
      <c r="C55" s="279"/>
      <c r="D55" s="279"/>
      <c r="E55" s="303">
        <f>'Berekening rekenvolumes'!L137</f>
        <v>0.66666666666666663</v>
      </c>
      <c r="F55" s="279"/>
      <c r="G55" s="299" t="s">
        <v>296</v>
      </c>
      <c r="H55" s="279"/>
      <c r="I55" s="279"/>
      <c r="J55" s="303">
        <f>'Berekening rekenvolumes'!L69</f>
        <v>18.980555555555554</v>
      </c>
    </row>
    <row r="56" spans="2:10" ht="12.75" customHeight="1">
      <c r="B56" s="278" t="s">
        <v>297</v>
      </c>
      <c r="C56" s="279"/>
      <c r="D56" s="279"/>
      <c r="E56" s="303">
        <f>'Berekening rekenvolumes'!L138</f>
        <v>0</v>
      </c>
      <c r="F56" s="279"/>
      <c r="G56" s="278" t="s">
        <v>297</v>
      </c>
      <c r="H56" s="279"/>
      <c r="I56" s="279"/>
      <c r="J56" s="303">
        <f>'Berekening rekenvolumes'!L70</f>
        <v>8</v>
      </c>
    </row>
    <row r="57" spans="2:10" ht="12.75" customHeight="1">
      <c r="B57" s="278" t="s">
        <v>298</v>
      </c>
      <c r="C57" s="279"/>
      <c r="D57" s="279"/>
      <c r="E57" s="303">
        <f>'Berekening rekenvolumes'!L139</f>
        <v>0.66666666666666663</v>
      </c>
      <c r="F57" s="279"/>
      <c r="G57" s="278" t="s">
        <v>298</v>
      </c>
      <c r="H57" s="279"/>
      <c r="I57" s="279"/>
      <c r="J57" s="303">
        <f>'Berekening rekenvolumes'!L71</f>
        <v>6.6111111111111107</v>
      </c>
    </row>
    <row r="58" spans="2:10" ht="12.75" customHeight="1">
      <c r="B58" s="278" t="s">
        <v>299</v>
      </c>
      <c r="C58" s="279"/>
      <c r="D58" s="279"/>
      <c r="E58" s="303">
        <f>'Berekening rekenvolumes'!L140</f>
        <v>0</v>
      </c>
      <c r="F58" s="279"/>
      <c r="G58" s="278" t="s">
        <v>299</v>
      </c>
      <c r="H58" s="279"/>
      <c r="I58" s="279"/>
      <c r="J58" s="303">
        <f>'Berekening rekenvolumes'!L72</f>
        <v>5.333333333333333</v>
      </c>
    </row>
    <row r="59" spans="2:10" ht="12.75" customHeight="1">
      <c r="B59" s="278" t="s">
        <v>300</v>
      </c>
      <c r="C59" s="279"/>
      <c r="D59" s="279"/>
      <c r="E59" s="303">
        <f>'Berekening rekenvolumes'!L141</f>
        <v>0</v>
      </c>
      <c r="F59" s="279"/>
      <c r="G59" s="278" t="s">
        <v>300</v>
      </c>
      <c r="H59" s="279"/>
      <c r="I59" s="279"/>
      <c r="J59" s="303">
        <f>'Berekening rekenvolumes'!L73</f>
        <v>4.9666666666666668</v>
      </c>
    </row>
    <row r="60" spans="2:10" ht="12.75" customHeight="1">
      <c r="B60" s="278" t="s">
        <v>301</v>
      </c>
      <c r="C60" s="279"/>
      <c r="D60" s="279"/>
      <c r="E60" s="303">
        <f>'Berekening rekenvolumes'!L142</f>
        <v>0</v>
      </c>
      <c r="F60" s="279"/>
      <c r="G60" s="278" t="s">
        <v>301</v>
      </c>
      <c r="H60" s="279"/>
      <c r="I60" s="279"/>
      <c r="J60" s="303">
        <f>'Berekening rekenvolumes'!L74</f>
        <v>3.0333333333333332</v>
      </c>
    </row>
    <row r="61" spans="2:10" ht="12.75" customHeight="1">
      <c r="B61" s="278"/>
      <c r="C61" s="279"/>
      <c r="D61" s="279"/>
      <c r="E61" s="282"/>
      <c r="F61" s="279"/>
      <c r="G61" s="278"/>
      <c r="H61" s="279"/>
      <c r="I61" s="279"/>
      <c r="J61" s="282"/>
    </row>
    <row r="62" spans="2:10" ht="12.75" customHeight="1">
      <c r="B62" s="298" t="s">
        <v>290</v>
      </c>
      <c r="C62" s="279"/>
      <c r="D62" s="279"/>
      <c r="E62" s="309" t="s">
        <v>820</v>
      </c>
      <c r="F62" s="279"/>
      <c r="G62" s="298" t="s">
        <v>290</v>
      </c>
      <c r="H62" s="279"/>
      <c r="I62" s="279"/>
      <c r="J62" s="309" t="s">
        <v>820</v>
      </c>
    </row>
    <row r="63" spans="2:10" ht="12.75" customHeight="1">
      <c r="B63" s="283" t="s">
        <v>302</v>
      </c>
      <c r="C63" s="284"/>
      <c r="D63" s="284"/>
      <c r="E63" s="304">
        <f>'Berekening rekenvolumes'!F145</f>
        <v>0</v>
      </c>
      <c r="F63" s="279"/>
      <c r="G63" s="283" t="s">
        <v>302</v>
      </c>
      <c r="H63" s="284"/>
      <c r="I63" s="284"/>
      <c r="J63" s="304">
        <f>'Berekening rekenvolumes'!L77</f>
        <v>0</v>
      </c>
    </row>
    <row r="64" spans="2:10" ht="12.75" customHeight="1">
      <c r="B64" s="278"/>
      <c r="C64" s="279"/>
      <c r="D64" s="279"/>
      <c r="E64" s="279"/>
      <c r="F64" s="279"/>
      <c r="G64" s="279"/>
      <c r="H64" s="279"/>
      <c r="I64" s="279"/>
      <c r="J64" s="280"/>
    </row>
    <row r="65" spans="2:10" ht="12.75" customHeight="1">
      <c r="B65" s="295" t="s">
        <v>818</v>
      </c>
      <c r="C65" s="296"/>
      <c r="D65" s="296"/>
      <c r="E65" s="297"/>
      <c r="F65" s="279"/>
      <c r="G65" s="295" t="s">
        <v>306</v>
      </c>
      <c r="H65" s="296"/>
      <c r="I65" s="296"/>
      <c r="J65" s="297"/>
    </row>
    <row r="66" spans="2:10" ht="12.75" customHeight="1">
      <c r="B66" s="286"/>
      <c r="C66" s="287"/>
      <c r="D66" s="287"/>
      <c r="E66" s="280"/>
      <c r="F66" s="279"/>
      <c r="G66" s="286"/>
      <c r="H66" s="287"/>
      <c r="I66" s="287"/>
      <c r="J66" s="280"/>
    </row>
    <row r="67" spans="2:10" ht="12.75" customHeight="1">
      <c r="B67" s="298" t="s">
        <v>284</v>
      </c>
      <c r="C67" s="279"/>
      <c r="D67" s="279"/>
      <c r="E67" s="309" t="s">
        <v>820</v>
      </c>
      <c r="F67" s="279"/>
      <c r="G67" s="298" t="s">
        <v>284</v>
      </c>
      <c r="H67" s="279"/>
      <c r="I67" s="279"/>
      <c r="J67" s="309" t="s">
        <v>820</v>
      </c>
    </row>
    <row r="68" spans="2:10" ht="12.75" customHeight="1">
      <c r="B68" s="278" t="s">
        <v>285</v>
      </c>
      <c r="C68" s="279"/>
      <c r="D68" s="279"/>
      <c r="E68" s="303">
        <f>'Berekening rekenvolumes'!L85</f>
        <v>699</v>
      </c>
      <c r="F68" s="279"/>
      <c r="G68" s="278" t="s">
        <v>285</v>
      </c>
      <c r="H68" s="279"/>
      <c r="I68" s="279"/>
      <c r="J68" s="303">
        <f>'Berekening rekenvolumes'!L35</f>
        <v>98969</v>
      </c>
    </row>
    <row r="69" spans="2:10" ht="12.75" customHeight="1">
      <c r="B69" s="278" t="s">
        <v>286</v>
      </c>
      <c r="C69" s="279"/>
      <c r="D69" s="279"/>
      <c r="E69" s="303">
        <f>'Berekening rekenvolumes'!L86</f>
        <v>4</v>
      </c>
      <c r="F69" s="279"/>
      <c r="G69" s="278" t="s">
        <v>286</v>
      </c>
      <c r="H69" s="279"/>
      <c r="I69" s="279"/>
      <c r="J69" s="303">
        <f>'Berekening rekenvolumes'!L36</f>
        <v>668.93333333333339</v>
      </c>
    </row>
    <row r="70" spans="2:10" ht="12.75" customHeight="1">
      <c r="B70" s="278" t="s">
        <v>287</v>
      </c>
      <c r="C70" s="279"/>
      <c r="D70" s="279"/>
      <c r="E70" s="303">
        <f>'Berekening rekenvolumes'!L87</f>
        <v>9.3333333333333339</v>
      </c>
      <c r="F70" s="279"/>
      <c r="G70" s="278" t="s">
        <v>287</v>
      </c>
      <c r="H70" s="279"/>
      <c r="I70" s="279"/>
      <c r="J70" s="303">
        <f>'Berekening rekenvolumes'!L37</f>
        <v>1103.6666666666667</v>
      </c>
    </row>
    <row r="71" spans="2:10" ht="12.75" customHeight="1">
      <c r="B71" s="278" t="s">
        <v>288</v>
      </c>
      <c r="C71" s="279"/>
      <c r="D71" s="279"/>
      <c r="E71" s="307">
        <f>'Berekening rekenvolumes'!L88</f>
        <v>4.333333333333333</v>
      </c>
      <c r="F71" s="279"/>
      <c r="G71" s="278" t="s">
        <v>288</v>
      </c>
      <c r="H71" s="279"/>
      <c r="I71" s="279"/>
      <c r="J71" s="307">
        <f>'Berekening rekenvolumes'!L38</f>
        <v>409.59999999999997</v>
      </c>
    </row>
    <row r="72" spans="2:10" ht="12.75" customHeight="1">
      <c r="B72" s="278"/>
      <c r="C72" s="279"/>
      <c r="D72" s="279"/>
      <c r="E72" s="282"/>
      <c r="F72" s="279"/>
      <c r="G72" s="278"/>
      <c r="H72" s="279"/>
      <c r="I72" s="279"/>
      <c r="J72" s="282"/>
    </row>
    <row r="73" spans="2:10" ht="12.75" customHeight="1">
      <c r="B73" s="298" t="s">
        <v>289</v>
      </c>
      <c r="C73" s="279"/>
      <c r="D73" s="279"/>
      <c r="E73" s="309" t="s">
        <v>820</v>
      </c>
      <c r="F73" s="279"/>
      <c r="G73" s="298" t="s">
        <v>289</v>
      </c>
      <c r="H73" s="279"/>
      <c r="I73" s="279"/>
      <c r="J73" s="309" t="s">
        <v>820</v>
      </c>
    </row>
    <row r="74" spans="2:10" ht="12.75" customHeight="1">
      <c r="B74" s="278" t="s">
        <v>285</v>
      </c>
      <c r="C74" s="279"/>
      <c r="D74" s="279"/>
      <c r="E74" s="303">
        <f>'Berekening rekenvolumes'!L91</f>
        <v>0</v>
      </c>
      <c r="F74" s="279"/>
      <c r="G74" s="278" t="s">
        <v>285</v>
      </c>
      <c r="H74" s="279"/>
      <c r="I74" s="279"/>
      <c r="J74" s="303">
        <f>'Berekening rekenvolumes'!L41</f>
        <v>0</v>
      </c>
    </row>
    <row r="75" spans="2:10" ht="12.75" customHeight="1">
      <c r="B75" s="278" t="s">
        <v>286</v>
      </c>
      <c r="C75" s="279"/>
      <c r="D75" s="279"/>
      <c r="E75" s="303">
        <f>'Berekening rekenvolumes'!L92</f>
        <v>0</v>
      </c>
      <c r="F75" s="279"/>
      <c r="G75" s="278" t="s">
        <v>286</v>
      </c>
      <c r="H75" s="279"/>
      <c r="I75" s="279"/>
      <c r="J75" s="303">
        <f>'Berekening rekenvolumes'!L42</f>
        <v>0</v>
      </c>
    </row>
    <row r="76" spans="2:10" ht="12.75" customHeight="1">
      <c r="B76" s="278" t="s">
        <v>287</v>
      </c>
      <c r="C76" s="279"/>
      <c r="D76" s="279"/>
      <c r="E76" s="303">
        <f>'Berekening rekenvolumes'!L93</f>
        <v>0</v>
      </c>
      <c r="F76" s="279"/>
      <c r="G76" s="278" t="s">
        <v>287</v>
      </c>
      <c r="H76" s="279"/>
      <c r="I76" s="279"/>
      <c r="J76" s="303">
        <f>'Berekening rekenvolumes'!L43</f>
        <v>1</v>
      </c>
    </row>
    <row r="77" spans="2:10" ht="12.75" customHeight="1">
      <c r="B77" s="278" t="s">
        <v>288</v>
      </c>
      <c r="C77" s="279"/>
      <c r="D77" s="279"/>
      <c r="E77" s="307">
        <f>'Berekening rekenvolumes'!L94</f>
        <v>0</v>
      </c>
      <c r="F77" s="279"/>
      <c r="G77" s="278" t="s">
        <v>288</v>
      </c>
      <c r="H77" s="279"/>
      <c r="I77" s="279"/>
      <c r="J77" s="307">
        <f>'Berekening rekenvolumes'!L44</f>
        <v>0</v>
      </c>
    </row>
    <row r="78" spans="2:10" ht="12.75" customHeight="1">
      <c r="B78" s="278"/>
      <c r="C78" s="279"/>
      <c r="D78" s="279"/>
      <c r="E78" s="282"/>
      <c r="F78" s="279"/>
      <c r="G78" s="278"/>
      <c r="H78" s="279"/>
      <c r="I78" s="279"/>
      <c r="J78" s="282"/>
    </row>
    <row r="79" spans="2:10" ht="12.75" customHeight="1">
      <c r="B79" s="298" t="s">
        <v>290</v>
      </c>
      <c r="C79" s="279"/>
      <c r="D79" s="279"/>
      <c r="E79" s="309" t="s">
        <v>820</v>
      </c>
      <c r="F79" s="279"/>
      <c r="G79" s="298" t="s">
        <v>290</v>
      </c>
      <c r="H79" s="279"/>
      <c r="I79" s="279"/>
      <c r="J79" s="309" t="s">
        <v>820</v>
      </c>
    </row>
    <row r="80" spans="2:10" ht="12.75" customHeight="1">
      <c r="B80" s="283" t="s">
        <v>291</v>
      </c>
      <c r="C80" s="284"/>
      <c r="D80" s="284"/>
      <c r="E80" s="304">
        <f>'Berekening rekenvolumes'!L97</f>
        <v>0</v>
      </c>
      <c r="F80" s="279"/>
      <c r="G80" s="283" t="s">
        <v>291</v>
      </c>
      <c r="H80" s="284"/>
      <c r="I80" s="284"/>
      <c r="J80" s="304">
        <f>'Berekening rekenvolumes'!L47</f>
        <v>0</v>
      </c>
    </row>
    <row r="81" spans="2:10" ht="12.75" customHeight="1">
      <c r="B81" s="278"/>
      <c r="C81" s="279"/>
      <c r="D81" s="279"/>
      <c r="E81" s="279"/>
      <c r="F81" s="279"/>
      <c r="G81" s="279"/>
      <c r="H81" s="279"/>
      <c r="I81" s="279"/>
      <c r="J81" s="282"/>
    </row>
    <row r="82" spans="2:10" ht="12.75" customHeight="1">
      <c r="B82" s="295" t="s">
        <v>819</v>
      </c>
      <c r="C82" s="296"/>
      <c r="D82" s="296"/>
      <c r="E82" s="297"/>
      <c r="F82" s="279"/>
      <c r="G82" s="279"/>
      <c r="H82" s="279"/>
      <c r="I82" s="279"/>
      <c r="J82" s="282"/>
    </row>
    <row r="83" spans="2:10" ht="12.75" customHeight="1">
      <c r="B83" s="286"/>
      <c r="C83" s="287"/>
      <c r="D83" s="287"/>
      <c r="E83" s="280"/>
      <c r="F83" s="279"/>
      <c r="G83" s="279"/>
      <c r="H83" s="279"/>
      <c r="I83" s="279"/>
      <c r="J83" s="282"/>
    </row>
    <row r="84" spans="2:10" ht="12.75" customHeight="1">
      <c r="B84" s="298" t="s">
        <v>284</v>
      </c>
      <c r="C84" s="279"/>
      <c r="D84" s="279"/>
      <c r="E84" s="309" t="s">
        <v>820</v>
      </c>
      <c r="F84" s="279"/>
      <c r="G84" s="279"/>
      <c r="H84" s="279"/>
      <c r="I84" s="279"/>
      <c r="J84" s="282"/>
    </row>
    <row r="85" spans="2:10" ht="12.75" customHeight="1">
      <c r="B85" s="278" t="s">
        <v>285</v>
      </c>
      <c r="C85" s="279"/>
      <c r="D85" s="279"/>
      <c r="E85" s="303">
        <f>'Berekening rekenvolumes'!L103</f>
        <v>1394.6666666666667</v>
      </c>
      <c r="F85" s="279"/>
      <c r="G85" s="279"/>
      <c r="H85" s="279"/>
      <c r="I85" s="279"/>
      <c r="J85" s="282"/>
    </row>
    <row r="86" spans="2:10" ht="12.75" customHeight="1">
      <c r="B86" s="278" t="s">
        <v>286</v>
      </c>
      <c r="C86" s="279"/>
      <c r="D86" s="279"/>
      <c r="E86" s="303">
        <f>'Berekening rekenvolumes'!L104</f>
        <v>8.3333333333333339</v>
      </c>
      <c r="F86" s="279"/>
      <c r="G86" s="279"/>
      <c r="H86" s="279"/>
      <c r="I86" s="279"/>
      <c r="J86" s="282"/>
    </row>
    <row r="87" spans="2:10" ht="12.75" customHeight="1">
      <c r="B87" s="278" t="s">
        <v>287</v>
      </c>
      <c r="C87" s="279"/>
      <c r="D87" s="279"/>
      <c r="E87" s="303">
        <f>'Berekening rekenvolumes'!L105</f>
        <v>142</v>
      </c>
      <c r="F87" s="279"/>
      <c r="G87" s="279"/>
      <c r="H87" s="279"/>
      <c r="I87" s="279"/>
      <c r="J87" s="282"/>
    </row>
    <row r="88" spans="2:10" ht="12.75" customHeight="1">
      <c r="B88" s="278" t="s">
        <v>288</v>
      </c>
      <c r="C88" s="279"/>
      <c r="D88" s="279"/>
      <c r="E88" s="307">
        <f>'Berekening rekenvolumes'!L106</f>
        <v>120</v>
      </c>
      <c r="F88" s="279"/>
      <c r="G88" s="279"/>
      <c r="H88" s="279"/>
      <c r="I88" s="279"/>
      <c r="J88" s="282"/>
    </row>
    <row r="89" spans="2:10" ht="12.75" customHeight="1">
      <c r="B89" s="278"/>
      <c r="C89" s="279"/>
      <c r="D89" s="279"/>
      <c r="E89" s="282"/>
      <c r="F89" s="279"/>
      <c r="G89" s="279"/>
      <c r="H89" s="279"/>
      <c r="I89" s="279"/>
      <c r="J89" s="282"/>
    </row>
    <row r="90" spans="2:10" ht="12.75" customHeight="1">
      <c r="B90" s="298" t="s">
        <v>289</v>
      </c>
      <c r="C90" s="279"/>
      <c r="D90" s="279"/>
      <c r="E90" s="309" t="s">
        <v>820</v>
      </c>
      <c r="F90" s="279"/>
      <c r="G90" s="279"/>
      <c r="H90" s="279"/>
      <c r="I90" s="279"/>
      <c r="J90" s="282"/>
    </row>
    <row r="91" spans="2:10" ht="12.75" customHeight="1">
      <c r="B91" s="278" t="s">
        <v>285</v>
      </c>
      <c r="C91" s="279"/>
      <c r="D91" s="279"/>
      <c r="E91" s="303">
        <f>'Berekening rekenvolumes'!L109</f>
        <v>0</v>
      </c>
      <c r="F91" s="279"/>
      <c r="G91" s="279"/>
      <c r="H91" s="279"/>
      <c r="I91" s="279"/>
      <c r="J91" s="306"/>
    </row>
    <row r="92" spans="2:10" ht="12.75" customHeight="1">
      <c r="B92" s="278" t="s">
        <v>286</v>
      </c>
      <c r="C92" s="279"/>
      <c r="D92" s="279"/>
      <c r="E92" s="303">
        <f>'Berekening rekenvolumes'!L110</f>
        <v>0</v>
      </c>
      <c r="F92" s="279"/>
      <c r="G92" s="279"/>
      <c r="H92" s="279"/>
      <c r="I92" s="279"/>
      <c r="J92" s="306"/>
    </row>
    <row r="93" spans="2:10" ht="12.75" customHeight="1">
      <c r="B93" s="278" t="s">
        <v>287</v>
      </c>
      <c r="C93" s="279"/>
      <c r="D93" s="279"/>
      <c r="E93" s="303">
        <f>'Berekening rekenvolumes'!L111</f>
        <v>0</v>
      </c>
      <c r="F93" s="279"/>
      <c r="G93" s="279"/>
      <c r="H93" s="279"/>
      <c r="I93" s="279"/>
      <c r="J93" s="306"/>
    </row>
    <row r="94" spans="2:10" ht="12.75" customHeight="1">
      <c r="B94" s="278" t="s">
        <v>288</v>
      </c>
      <c r="C94" s="279"/>
      <c r="D94" s="279"/>
      <c r="E94" s="307">
        <f>'Berekening rekenvolumes'!L112</f>
        <v>0</v>
      </c>
      <c r="F94" s="279"/>
      <c r="G94" s="519" t="s">
        <v>1347</v>
      </c>
      <c r="H94" s="519"/>
      <c r="I94" s="519"/>
      <c r="J94" s="282"/>
    </row>
    <row r="95" spans="2:10" ht="12.75" customHeight="1">
      <c r="B95" s="278"/>
      <c r="C95" s="279"/>
      <c r="D95" s="279"/>
      <c r="E95" s="282"/>
      <c r="F95" s="279"/>
      <c r="G95" s="519"/>
      <c r="H95" s="519"/>
      <c r="I95" s="519"/>
      <c r="J95" s="302"/>
    </row>
    <row r="96" spans="2:10" ht="12.75" customHeight="1">
      <c r="B96" s="298" t="s">
        <v>290</v>
      </c>
      <c r="C96" s="279"/>
      <c r="D96" s="279"/>
      <c r="E96" s="309" t="s">
        <v>820</v>
      </c>
      <c r="F96" s="279"/>
      <c r="G96" s="519"/>
      <c r="H96" s="519"/>
      <c r="I96" s="519"/>
      <c r="J96" s="306"/>
    </row>
    <row r="97" spans="2:10" ht="12.75" customHeight="1">
      <c r="B97" s="283" t="s">
        <v>291</v>
      </c>
      <c r="C97" s="284"/>
      <c r="D97" s="284"/>
      <c r="E97" s="304">
        <f>'Berekening rekenvolumes'!L115</f>
        <v>0</v>
      </c>
      <c r="F97" s="279"/>
      <c r="G97" s="279"/>
      <c r="H97" s="279"/>
      <c r="I97" s="279"/>
      <c r="J97" s="282"/>
    </row>
    <row r="98" spans="2:10" ht="9" customHeight="1">
      <c r="B98" s="283"/>
      <c r="C98" s="284"/>
      <c r="D98" s="284"/>
      <c r="E98" s="284"/>
      <c r="F98" s="284"/>
      <c r="G98" s="284"/>
      <c r="H98" s="284"/>
      <c r="I98" s="284"/>
      <c r="J98" s="285"/>
    </row>
    <row r="99" spans="2:10" ht="12.75" customHeight="1">
      <c r="G99" s="279"/>
      <c r="H99" s="279"/>
      <c r="I99" s="279"/>
      <c r="J99" s="279"/>
    </row>
  </sheetData>
  <mergeCells count="1">
    <mergeCell ref="G94:I96"/>
  </mergeCells>
  <pageMargins left="0.7" right="0.7" top="0.75" bottom="0.75" header="0.3" footer="0.3"/>
  <pageSetup paperSize="9" scale="5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2:K99"/>
  <sheetViews>
    <sheetView showGridLines="0" zoomScale="85" zoomScaleNormal="85" workbookViewId="0"/>
  </sheetViews>
  <sheetFormatPr defaultRowHeight="12.75"/>
  <cols>
    <col min="1" max="1" width="9.140625" style="277"/>
    <col min="2" max="2" width="50.7109375" style="277" customWidth="1"/>
    <col min="3" max="3" width="2.42578125" style="277" customWidth="1"/>
    <col min="4" max="4" width="4" style="277" customWidth="1"/>
    <col min="5" max="5" width="16" style="277" customWidth="1"/>
    <col min="6" max="6" width="2.85546875" style="277" customWidth="1"/>
    <col min="7" max="7" width="52.28515625" style="277" customWidth="1"/>
    <col min="8" max="8" width="2.42578125" style="277" customWidth="1"/>
    <col min="9" max="9" width="4" style="277" customWidth="1"/>
    <col min="10" max="10" width="13.5703125" style="277" customWidth="1"/>
    <col min="11" max="16384" width="9.140625" style="277"/>
  </cols>
  <sheetData>
    <row r="2" spans="2:10" ht="19.5" customHeight="1">
      <c r="B2" s="489" t="s">
        <v>1183</v>
      </c>
      <c r="C2" s="275"/>
      <c r="D2" s="275"/>
      <c r="E2" s="275"/>
      <c r="F2" s="275"/>
      <c r="G2" s="275"/>
      <c r="H2" s="275"/>
      <c r="I2" s="275"/>
      <c r="J2" s="276"/>
    </row>
    <row r="3" spans="2:10" ht="4.5" customHeight="1">
      <c r="B3" s="278"/>
      <c r="C3" s="279"/>
      <c r="D3" s="279"/>
      <c r="E3" s="279"/>
      <c r="F3" s="279"/>
      <c r="G3" s="279"/>
      <c r="H3" s="279"/>
      <c r="I3" s="279"/>
      <c r="J3" s="282"/>
    </row>
    <row r="4" spans="2:10">
      <c r="B4" s="299" t="s">
        <v>132</v>
      </c>
      <c r="C4" s="279"/>
      <c r="D4" s="279"/>
      <c r="E4" s="281"/>
      <c r="F4" s="279"/>
      <c r="G4" s="279"/>
      <c r="H4" s="279"/>
      <c r="I4" s="279"/>
      <c r="J4" s="282"/>
    </row>
    <row r="5" spans="2:10" ht="4.5" customHeight="1">
      <c r="B5" s="278"/>
      <c r="C5" s="279"/>
      <c r="D5" s="279"/>
      <c r="E5" s="279"/>
      <c r="F5" s="279"/>
      <c r="G5" s="279"/>
      <c r="H5" s="279"/>
      <c r="I5" s="279"/>
      <c r="J5" s="282"/>
    </row>
    <row r="6" spans="2:10" ht="4.5" customHeight="1">
      <c r="B6" s="283"/>
      <c r="C6" s="284"/>
      <c r="D6" s="284"/>
      <c r="E6" s="284"/>
      <c r="F6" s="284"/>
      <c r="G6" s="284"/>
      <c r="H6" s="284"/>
      <c r="I6" s="284"/>
      <c r="J6" s="285"/>
    </row>
    <row r="7" spans="2:10">
      <c r="B7" s="294" t="s">
        <v>28</v>
      </c>
      <c r="C7" s="275"/>
      <c r="D7" s="275"/>
      <c r="E7" s="275"/>
      <c r="F7" s="275"/>
      <c r="G7" s="275"/>
      <c r="H7" s="275"/>
      <c r="I7" s="275"/>
      <c r="J7" s="276"/>
    </row>
    <row r="8" spans="2:10">
      <c r="B8" s="286"/>
      <c r="C8" s="287"/>
      <c r="D8" s="287"/>
      <c r="E8" s="287"/>
      <c r="F8" s="287"/>
      <c r="G8" s="287"/>
      <c r="H8" s="287"/>
      <c r="I8" s="287"/>
      <c r="J8" s="280"/>
    </row>
    <row r="9" spans="2:10">
      <c r="B9" s="288" t="s">
        <v>265</v>
      </c>
      <c r="C9" s="279"/>
      <c r="D9" s="279"/>
      <c r="E9" s="308" t="s">
        <v>820</v>
      </c>
      <c r="F9" s="279"/>
      <c r="G9" s="279"/>
      <c r="H9" s="279"/>
      <c r="I9" s="279"/>
      <c r="J9" s="282"/>
    </row>
    <row r="10" spans="2:10">
      <c r="B10" s="289" t="s">
        <v>201</v>
      </c>
      <c r="C10" s="279"/>
      <c r="D10" s="279"/>
      <c r="E10" s="300">
        <f>'Berekening rekenvolumes'!M10</f>
        <v>1881089.1584566773</v>
      </c>
      <c r="F10" s="279"/>
      <c r="G10" s="279"/>
      <c r="H10" s="279"/>
      <c r="I10" s="279"/>
      <c r="J10" s="282"/>
    </row>
    <row r="11" spans="2:10">
      <c r="B11" s="290" t="s">
        <v>202</v>
      </c>
      <c r="C11" s="279"/>
      <c r="D11" s="279"/>
      <c r="E11" s="301">
        <f>'Berekening rekenvolumes'!M11</f>
        <v>5880542.365597182</v>
      </c>
      <c r="F11" s="279"/>
      <c r="G11" s="279"/>
      <c r="H11" s="279"/>
      <c r="I11" s="279"/>
      <c r="J11" s="282"/>
    </row>
    <row r="12" spans="2:10">
      <c r="B12" s="290"/>
      <c r="C12" s="279"/>
      <c r="D12" s="279"/>
      <c r="E12" s="281"/>
      <c r="F12" s="279"/>
      <c r="G12" s="279"/>
      <c r="H12" s="279"/>
      <c r="I12" s="279"/>
      <c r="J12" s="282"/>
    </row>
    <row r="13" spans="2:10">
      <c r="B13" s="291" t="s">
        <v>266</v>
      </c>
      <c r="C13" s="279"/>
      <c r="D13" s="279"/>
      <c r="E13" s="308" t="s">
        <v>820</v>
      </c>
      <c r="F13" s="279"/>
      <c r="G13" s="279"/>
      <c r="H13" s="279"/>
      <c r="I13" s="279"/>
      <c r="J13" s="282"/>
    </row>
    <row r="14" spans="2:10">
      <c r="B14" s="289" t="s">
        <v>201</v>
      </c>
      <c r="C14" s="279"/>
      <c r="D14" s="279"/>
      <c r="E14" s="300">
        <f>'Berekening rekenvolumes'!M14</f>
        <v>8334.3048539418796</v>
      </c>
      <c r="F14" s="279"/>
      <c r="G14" s="279"/>
      <c r="H14" s="279"/>
      <c r="I14" s="279"/>
      <c r="J14" s="282"/>
    </row>
    <row r="15" spans="2:10">
      <c r="B15" s="290" t="s">
        <v>202</v>
      </c>
      <c r="C15" s="279"/>
      <c r="D15" s="279"/>
      <c r="E15" s="301">
        <f>'Berekening rekenvolumes'!M15</f>
        <v>694962.64764563611</v>
      </c>
      <c r="F15" s="279"/>
      <c r="G15" s="279"/>
      <c r="H15" s="279"/>
      <c r="I15" s="279"/>
      <c r="J15" s="282"/>
    </row>
    <row r="16" spans="2:10">
      <c r="B16" s="292"/>
      <c r="C16" s="279"/>
      <c r="D16" s="279"/>
      <c r="E16" s="281"/>
      <c r="F16" s="279"/>
      <c r="G16" s="279"/>
      <c r="H16" s="279"/>
      <c r="I16" s="279"/>
      <c r="J16" s="282"/>
    </row>
    <row r="17" spans="1:11">
      <c r="B17" s="288" t="s">
        <v>204</v>
      </c>
      <c r="C17" s="279"/>
      <c r="D17" s="279"/>
      <c r="E17" s="308" t="s">
        <v>820</v>
      </c>
      <c r="F17" s="279"/>
      <c r="G17" s="279"/>
      <c r="H17" s="279"/>
      <c r="I17" s="279"/>
      <c r="J17" s="282"/>
    </row>
    <row r="18" spans="1:11">
      <c r="B18" s="289" t="s">
        <v>201</v>
      </c>
      <c r="C18" s="279"/>
      <c r="D18" s="279"/>
      <c r="E18" s="300">
        <f>'Berekening rekenvolumes'!M18</f>
        <v>2066.6484829098731</v>
      </c>
      <c r="F18" s="279"/>
      <c r="G18" s="279"/>
      <c r="H18" s="279"/>
      <c r="I18" s="279"/>
      <c r="J18" s="282"/>
    </row>
    <row r="19" spans="1:11">
      <c r="B19" s="290" t="s">
        <v>262</v>
      </c>
      <c r="C19" s="279"/>
      <c r="D19" s="279"/>
      <c r="E19" s="300">
        <f>'Berekening rekenvolumes'!M19</f>
        <v>0</v>
      </c>
      <c r="F19" s="279"/>
      <c r="G19" s="279"/>
      <c r="H19" s="279"/>
      <c r="I19" s="279"/>
      <c r="J19" s="282"/>
    </row>
    <row r="20" spans="1:11">
      <c r="B20" s="289" t="s">
        <v>263</v>
      </c>
      <c r="C20" s="279"/>
      <c r="D20" s="279"/>
      <c r="E20" s="300">
        <f>'Berekening rekenvolumes'!M20</f>
        <v>0</v>
      </c>
      <c r="F20" s="279"/>
      <c r="G20" s="279"/>
      <c r="H20" s="279"/>
      <c r="I20" s="279"/>
      <c r="J20" s="282"/>
    </row>
    <row r="21" spans="1:11">
      <c r="B21" s="290" t="s">
        <v>264</v>
      </c>
      <c r="C21" s="279"/>
      <c r="D21" s="279"/>
      <c r="E21" s="300">
        <f>'Berekening rekenvolumes'!M21</f>
        <v>650423.1834578244</v>
      </c>
      <c r="F21" s="279"/>
      <c r="G21" s="279"/>
      <c r="H21" s="279"/>
      <c r="I21" s="279"/>
      <c r="J21" s="282"/>
    </row>
    <row r="22" spans="1:11">
      <c r="B22" s="293"/>
      <c r="C22" s="279"/>
      <c r="D22" s="279"/>
      <c r="E22" s="281"/>
      <c r="F22" s="279"/>
      <c r="G22" s="279"/>
      <c r="H22" s="279"/>
      <c r="I22" s="279"/>
      <c r="J22" s="282"/>
    </row>
    <row r="23" spans="1:11">
      <c r="B23" s="288" t="s">
        <v>206</v>
      </c>
      <c r="C23" s="279"/>
      <c r="D23" s="279"/>
      <c r="E23" s="308" t="s">
        <v>820</v>
      </c>
      <c r="F23" s="279"/>
      <c r="G23" s="279"/>
      <c r="H23" s="279"/>
      <c r="I23" s="279"/>
      <c r="J23" s="282"/>
    </row>
    <row r="24" spans="1:11">
      <c r="B24" s="289" t="s">
        <v>201</v>
      </c>
      <c r="C24" s="279"/>
      <c r="D24" s="279"/>
      <c r="E24" s="300">
        <f>'Berekening rekenvolumes'!M25</f>
        <v>0</v>
      </c>
      <c r="F24" s="279"/>
      <c r="G24" s="279"/>
      <c r="H24" s="279"/>
      <c r="I24" s="279"/>
      <c r="J24" s="282"/>
    </row>
    <row r="25" spans="1:11">
      <c r="B25" s="290" t="s">
        <v>202</v>
      </c>
      <c r="C25" s="279"/>
      <c r="D25" s="279"/>
      <c r="E25" s="301">
        <f>'Berekening rekenvolumes'!M26</f>
        <v>0</v>
      </c>
      <c r="F25" s="279"/>
      <c r="G25" s="279"/>
      <c r="H25" s="279"/>
      <c r="I25" s="279"/>
      <c r="J25" s="282"/>
    </row>
    <row r="26" spans="1:11" ht="4.5" customHeight="1">
      <c r="B26" s="283"/>
      <c r="C26" s="284"/>
      <c r="D26" s="284"/>
      <c r="E26" s="284"/>
      <c r="F26" s="284"/>
      <c r="G26" s="284"/>
      <c r="H26" s="284"/>
      <c r="I26" s="284"/>
      <c r="J26" s="285"/>
    </row>
    <row r="27" spans="1:11" ht="4.5" customHeight="1">
      <c r="A27" s="279"/>
      <c r="B27" s="279"/>
      <c r="C27" s="279"/>
      <c r="D27" s="279"/>
      <c r="E27" s="279"/>
      <c r="F27" s="279"/>
      <c r="G27" s="279"/>
      <c r="H27" s="279"/>
      <c r="I27" s="279"/>
      <c r="J27" s="279"/>
      <c r="K27" s="279"/>
    </row>
    <row r="28" spans="1:11" ht="4.5" customHeight="1">
      <c r="A28" s="279"/>
      <c r="B28" s="284"/>
      <c r="C28" s="284"/>
      <c r="D28" s="284"/>
      <c r="E28" s="284"/>
      <c r="F28" s="284"/>
      <c r="G28" s="284"/>
      <c r="H28" s="284"/>
      <c r="I28" s="284"/>
      <c r="J28" s="284"/>
      <c r="K28" s="279"/>
    </row>
    <row r="29" spans="1:11" ht="19.5" customHeight="1">
      <c r="B29" s="489" t="s">
        <v>1183</v>
      </c>
      <c r="C29" s="275"/>
      <c r="D29" s="275"/>
      <c r="E29" s="275"/>
      <c r="F29" s="275"/>
      <c r="G29" s="275"/>
      <c r="H29" s="275"/>
      <c r="I29" s="275"/>
      <c r="J29" s="276"/>
    </row>
    <row r="30" spans="1:11" ht="4.5" customHeight="1">
      <c r="B30" s="278"/>
      <c r="C30" s="279"/>
      <c r="D30" s="279"/>
      <c r="E30" s="279"/>
      <c r="F30" s="279"/>
      <c r="G30" s="279"/>
      <c r="H30" s="279"/>
      <c r="I30" s="279"/>
      <c r="J30" s="282"/>
    </row>
    <row r="31" spans="1:11">
      <c r="B31" s="299" t="s">
        <v>132</v>
      </c>
      <c r="C31" s="279"/>
      <c r="D31" s="279"/>
      <c r="E31" s="281"/>
      <c r="F31" s="279"/>
      <c r="G31" s="279"/>
      <c r="H31" s="279"/>
      <c r="I31" s="279"/>
      <c r="J31" s="282"/>
    </row>
    <row r="32" spans="1:11" ht="4.5" customHeight="1">
      <c r="B32" s="278"/>
      <c r="C32" s="279"/>
      <c r="D32" s="279"/>
      <c r="E32" s="279"/>
      <c r="F32" s="279"/>
      <c r="G32" s="279"/>
      <c r="H32" s="279"/>
      <c r="I32" s="279"/>
      <c r="J32" s="282"/>
    </row>
    <row r="33" spans="2:10" ht="4.5" customHeight="1">
      <c r="B33" s="283"/>
      <c r="C33" s="284"/>
      <c r="D33" s="284"/>
      <c r="E33" s="284"/>
      <c r="F33" s="284"/>
      <c r="G33" s="284"/>
      <c r="H33" s="284"/>
      <c r="I33" s="284"/>
      <c r="J33" s="285"/>
    </row>
    <row r="34" spans="2:10" ht="12.75" customHeight="1">
      <c r="B34" s="294" t="s">
        <v>136</v>
      </c>
      <c r="C34" s="275"/>
      <c r="D34" s="275"/>
      <c r="E34" s="275"/>
      <c r="F34" s="275"/>
      <c r="G34" s="275"/>
      <c r="H34" s="275"/>
      <c r="I34" s="275"/>
      <c r="J34" s="276"/>
    </row>
    <row r="35" spans="2:10" ht="12.75" customHeight="1">
      <c r="B35" s="278"/>
      <c r="C35" s="279"/>
      <c r="D35" s="279"/>
      <c r="E35" s="279"/>
      <c r="F35" s="279"/>
      <c r="G35" s="279"/>
      <c r="H35" s="279"/>
      <c r="I35" s="279"/>
      <c r="J35" s="305"/>
    </row>
    <row r="36" spans="2:10" ht="12.75" customHeight="1">
      <c r="B36" s="295" t="s">
        <v>816</v>
      </c>
      <c r="C36" s="296"/>
      <c r="D36" s="296"/>
      <c r="E36" s="297"/>
      <c r="F36" s="279"/>
      <c r="G36" s="295" t="s">
        <v>817</v>
      </c>
      <c r="H36" s="296"/>
      <c r="I36" s="296"/>
      <c r="J36" s="297"/>
    </row>
    <row r="37" spans="2:10" ht="12.75" customHeight="1">
      <c r="B37" s="286"/>
      <c r="C37" s="287"/>
      <c r="D37" s="287"/>
      <c r="E37" s="280"/>
      <c r="F37" s="279"/>
      <c r="G37" s="278"/>
      <c r="H37" s="279"/>
      <c r="I37" s="279"/>
      <c r="J37" s="282"/>
    </row>
    <row r="38" spans="2:10" ht="12.75" customHeight="1">
      <c r="B38" s="298" t="s">
        <v>284</v>
      </c>
      <c r="C38" s="279"/>
      <c r="D38" s="279"/>
      <c r="E38" s="309" t="s">
        <v>820</v>
      </c>
      <c r="F38" s="279"/>
      <c r="G38" s="298" t="s">
        <v>284</v>
      </c>
      <c r="H38" s="279"/>
      <c r="I38" s="279"/>
      <c r="J38" s="309" t="s">
        <v>820</v>
      </c>
    </row>
    <row r="39" spans="2:10" ht="12.75" customHeight="1">
      <c r="B39" s="278" t="s">
        <v>292</v>
      </c>
      <c r="C39" s="279"/>
      <c r="D39" s="279"/>
      <c r="E39" s="303">
        <f>'Berekening rekenvolumes'!M121</f>
        <v>43.380293298151678</v>
      </c>
      <c r="F39" s="279"/>
      <c r="G39" s="278" t="s">
        <v>292</v>
      </c>
      <c r="H39" s="279"/>
      <c r="I39" s="279"/>
      <c r="J39" s="303">
        <f>'Berekening rekenvolumes'!M53</f>
        <v>2326.9309536165019</v>
      </c>
    </row>
    <row r="40" spans="2:10" ht="12.75" customHeight="1">
      <c r="B40" s="278" t="s">
        <v>293</v>
      </c>
      <c r="C40" s="279"/>
      <c r="D40" s="279"/>
      <c r="E40" s="303">
        <f>'Berekening rekenvolumes'!M122</f>
        <v>36.462885518658041</v>
      </c>
      <c r="F40" s="279"/>
      <c r="G40" s="278" t="s">
        <v>293</v>
      </c>
      <c r="H40" s="279"/>
      <c r="I40" s="279"/>
      <c r="J40" s="303">
        <f>'Berekening rekenvolumes'!M54</f>
        <v>3498.1995092075081</v>
      </c>
    </row>
    <row r="41" spans="2:10" ht="12.75" customHeight="1">
      <c r="B41" s="278" t="s">
        <v>294</v>
      </c>
      <c r="C41" s="279"/>
      <c r="D41" s="279"/>
      <c r="E41" s="303">
        <f>'Berekening rekenvolumes'!M123</f>
        <v>16.576855110733661</v>
      </c>
      <c r="F41" s="279"/>
      <c r="G41" s="278" t="s">
        <v>294</v>
      </c>
      <c r="H41" s="279"/>
      <c r="I41" s="279"/>
      <c r="J41" s="303">
        <f>'Berekening rekenvolumes'!M55</f>
        <v>1998.6054805972469</v>
      </c>
    </row>
    <row r="42" spans="2:10" ht="12.75" customHeight="1">
      <c r="B42" s="278" t="s">
        <v>295</v>
      </c>
      <c r="C42" s="279"/>
      <c r="D42" s="279"/>
      <c r="E42" s="303">
        <f>'Berekening rekenvolumes'!M124</f>
        <v>1</v>
      </c>
      <c r="F42" s="279"/>
      <c r="G42" s="278" t="s">
        <v>295</v>
      </c>
      <c r="H42" s="279"/>
      <c r="I42" s="279"/>
      <c r="J42" s="303">
        <f>'Berekening rekenvolumes'!M56</f>
        <v>721.25700857506945</v>
      </c>
    </row>
    <row r="43" spans="2:10" ht="12.75" customHeight="1">
      <c r="B43" s="299" t="s">
        <v>296</v>
      </c>
      <c r="C43" s="279"/>
      <c r="D43" s="279"/>
      <c r="E43" s="303">
        <f>'Berekening rekenvolumes'!M125</f>
        <v>0.16662991612055356</v>
      </c>
      <c r="F43" s="279"/>
      <c r="G43" s="299" t="s">
        <v>296</v>
      </c>
      <c r="H43" s="279"/>
      <c r="I43" s="279"/>
      <c r="J43" s="303">
        <f>'Berekening rekenvolumes'!M57</f>
        <v>925.48709916903829</v>
      </c>
    </row>
    <row r="44" spans="2:10" ht="12.75" customHeight="1">
      <c r="B44" s="278" t="s">
        <v>297</v>
      </c>
      <c r="C44" s="279"/>
      <c r="D44" s="279"/>
      <c r="E44" s="303">
        <f>'Berekening rekenvolumes'!M126</f>
        <v>0</v>
      </c>
      <c r="F44" s="279"/>
      <c r="G44" s="278" t="s">
        <v>297</v>
      </c>
      <c r="H44" s="279"/>
      <c r="I44" s="279"/>
      <c r="J44" s="303">
        <f>'Berekening rekenvolumes'!M58</f>
        <v>396.91339052391828</v>
      </c>
    </row>
    <row r="45" spans="2:10" ht="12.75" customHeight="1">
      <c r="B45" s="278" t="s">
        <v>298</v>
      </c>
      <c r="C45" s="279"/>
      <c r="D45" s="279"/>
      <c r="E45" s="303">
        <f>'Berekening rekenvolumes'!M127</f>
        <v>0</v>
      </c>
      <c r="F45" s="279"/>
      <c r="G45" s="278" t="s">
        <v>298</v>
      </c>
      <c r="H45" s="279"/>
      <c r="I45" s="279"/>
      <c r="J45" s="303">
        <f>'Berekening rekenvolumes'!M59</f>
        <v>314.85092013012513</v>
      </c>
    </row>
    <row r="46" spans="2:10" ht="12.75" customHeight="1">
      <c r="B46" s="278" t="s">
        <v>299</v>
      </c>
      <c r="C46" s="279"/>
      <c r="D46" s="279"/>
      <c r="E46" s="303">
        <f>'Berekening rekenvolumes'!M128</f>
        <v>0</v>
      </c>
      <c r="F46" s="279"/>
      <c r="G46" s="278" t="s">
        <v>299</v>
      </c>
      <c r="H46" s="279"/>
      <c r="I46" s="279"/>
      <c r="J46" s="303">
        <f>'Berekening rekenvolumes'!M60</f>
        <v>145.43157368593452</v>
      </c>
    </row>
    <row r="47" spans="2:10" ht="12.75" customHeight="1">
      <c r="B47" s="278" t="s">
        <v>300</v>
      </c>
      <c r="C47" s="279"/>
      <c r="D47" s="279"/>
      <c r="E47" s="303">
        <f>'Berekening rekenvolumes'!M129</f>
        <v>0</v>
      </c>
      <c r="F47" s="279"/>
      <c r="G47" s="278" t="s">
        <v>300</v>
      </c>
      <c r="H47" s="279"/>
      <c r="I47" s="279"/>
      <c r="J47" s="303">
        <f>'Berekening rekenvolumes'!M61</f>
        <v>51.006135671222829</v>
      </c>
    </row>
    <row r="48" spans="2:10" ht="12.75" customHeight="1">
      <c r="B48" s="278" t="s">
        <v>301</v>
      </c>
      <c r="C48" s="279"/>
      <c r="D48" s="279"/>
      <c r="E48" s="303">
        <f>'Berekening rekenvolumes'!M130</f>
        <v>0</v>
      </c>
      <c r="F48" s="279"/>
      <c r="G48" s="278" t="s">
        <v>301</v>
      </c>
      <c r="H48" s="279"/>
      <c r="I48" s="279"/>
      <c r="J48" s="303">
        <f>'Berekening rekenvolumes'!M62</f>
        <v>45.303029447882146</v>
      </c>
    </row>
    <row r="49" spans="2:10" ht="12.75" customHeight="1">
      <c r="B49" s="278"/>
      <c r="C49" s="279"/>
      <c r="D49" s="279"/>
      <c r="E49" s="282"/>
      <c r="F49" s="279"/>
      <c r="G49" s="278"/>
      <c r="H49" s="279"/>
      <c r="I49" s="279"/>
      <c r="J49" s="282"/>
    </row>
    <row r="50" spans="2:10" ht="12.75" customHeight="1">
      <c r="B50" s="298" t="s">
        <v>289</v>
      </c>
      <c r="C50" s="279"/>
      <c r="D50" s="279"/>
      <c r="E50" s="309" t="s">
        <v>820</v>
      </c>
      <c r="F50" s="279"/>
      <c r="G50" s="298" t="s">
        <v>289</v>
      </c>
      <c r="H50" s="279"/>
      <c r="I50" s="279"/>
      <c r="J50" s="309" t="s">
        <v>820</v>
      </c>
    </row>
    <row r="51" spans="2:10" ht="12.75" customHeight="1">
      <c r="B51" s="278" t="s">
        <v>292</v>
      </c>
      <c r="C51" s="279"/>
      <c r="D51" s="279"/>
      <c r="E51" s="303">
        <f>'Berekening rekenvolumes'!M133</f>
        <v>6.4761190977509564</v>
      </c>
      <c r="F51" s="279"/>
      <c r="G51" s="278" t="s">
        <v>292</v>
      </c>
      <c r="H51" s="279"/>
      <c r="I51" s="279"/>
      <c r="J51" s="303">
        <f>'Berekening rekenvolumes'!M65</f>
        <v>0</v>
      </c>
    </row>
    <row r="52" spans="2:10" ht="12.75" customHeight="1">
      <c r="B52" s="278" t="s">
        <v>293</v>
      </c>
      <c r="C52" s="279"/>
      <c r="D52" s="279"/>
      <c r="E52" s="303">
        <f>'Berekening rekenvolumes'!M134</f>
        <v>3.9464331107178801</v>
      </c>
      <c r="F52" s="279"/>
      <c r="G52" s="278" t="s">
        <v>293</v>
      </c>
      <c r="H52" s="279"/>
      <c r="I52" s="279"/>
      <c r="J52" s="303">
        <f>'Berekening rekenvolumes'!M66</f>
        <v>0</v>
      </c>
    </row>
    <row r="53" spans="2:10" ht="12.75" customHeight="1">
      <c r="B53" s="278" t="s">
        <v>294</v>
      </c>
      <c r="C53" s="279"/>
      <c r="D53" s="279"/>
      <c r="E53" s="303">
        <f>'Berekening rekenvolumes'!M135</f>
        <v>6.5977919024133662</v>
      </c>
      <c r="F53" s="279"/>
      <c r="G53" s="278" t="s">
        <v>294</v>
      </c>
      <c r="H53" s="279"/>
      <c r="I53" s="279"/>
      <c r="J53" s="303">
        <f>'Berekening rekenvolumes'!M67</f>
        <v>0</v>
      </c>
    </row>
    <row r="54" spans="2:10" ht="12.75" customHeight="1">
      <c r="B54" s="278" t="s">
        <v>295</v>
      </c>
      <c r="C54" s="279"/>
      <c r="D54" s="279"/>
      <c r="E54" s="303">
        <f>'Berekening rekenvolumes'!M136</f>
        <v>14.028362111510775</v>
      </c>
      <c r="F54" s="279"/>
      <c r="G54" s="278" t="s">
        <v>295</v>
      </c>
      <c r="H54" s="279"/>
      <c r="I54" s="279"/>
      <c r="J54" s="303">
        <f>'Berekening rekenvolumes'!M68</f>
        <v>0</v>
      </c>
    </row>
    <row r="55" spans="2:10" ht="12.75" customHeight="1">
      <c r="B55" s="299" t="s">
        <v>296</v>
      </c>
      <c r="C55" s="279"/>
      <c r="D55" s="279"/>
      <c r="E55" s="303">
        <f>'Berekening rekenvolumes'!M137</f>
        <v>1.8311075638208365</v>
      </c>
      <c r="F55" s="279"/>
      <c r="G55" s="299" t="s">
        <v>296</v>
      </c>
      <c r="H55" s="279"/>
      <c r="I55" s="279"/>
      <c r="J55" s="303">
        <f>'Berekening rekenvolumes'!M69</f>
        <v>0</v>
      </c>
    </row>
    <row r="56" spans="2:10" ht="12.75" customHeight="1">
      <c r="B56" s="278" t="s">
        <v>297</v>
      </c>
      <c r="C56" s="279"/>
      <c r="D56" s="279"/>
      <c r="E56" s="303">
        <f>'Berekening rekenvolumes'!M138</f>
        <v>3.2896974473778187</v>
      </c>
      <c r="F56" s="279"/>
      <c r="G56" s="278" t="s">
        <v>297</v>
      </c>
      <c r="H56" s="279"/>
      <c r="I56" s="279"/>
      <c r="J56" s="303">
        <f>'Berekening rekenvolumes'!M70</f>
        <v>0</v>
      </c>
    </row>
    <row r="57" spans="2:10" ht="12.75" customHeight="1">
      <c r="B57" s="278" t="s">
        <v>298</v>
      </c>
      <c r="C57" s="279"/>
      <c r="D57" s="279"/>
      <c r="E57" s="303">
        <f>'Berekening rekenvolumes'!M139</f>
        <v>1.0239822408433188</v>
      </c>
      <c r="F57" s="279"/>
      <c r="G57" s="278" t="s">
        <v>298</v>
      </c>
      <c r="H57" s="279"/>
      <c r="I57" s="279"/>
      <c r="J57" s="303">
        <f>'Berekening rekenvolumes'!M71</f>
        <v>0</v>
      </c>
    </row>
    <row r="58" spans="2:10" ht="12.75" customHeight="1">
      <c r="B58" s="278" t="s">
        <v>299</v>
      </c>
      <c r="C58" s="279"/>
      <c r="D58" s="279"/>
      <c r="E58" s="303">
        <f>'Berekening rekenvolumes'!M140</f>
        <v>1.4981677625960863</v>
      </c>
      <c r="F58" s="279"/>
      <c r="G58" s="278" t="s">
        <v>299</v>
      </c>
      <c r="H58" s="279"/>
      <c r="I58" s="279"/>
      <c r="J58" s="303">
        <f>'Berekening rekenvolumes'!M72</f>
        <v>0</v>
      </c>
    </row>
    <row r="59" spans="2:10" ht="12.75" customHeight="1">
      <c r="B59" s="278" t="s">
        <v>300</v>
      </c>
      <c r="C59" s="279"/>
      <c r="D59" s="279"/>
      <c r="E59" s="303">
        <f>'Berekening rekenvolumes'!M141</f>
        <v>0</v>
      </c>
      <c r="F59" s="279"/>
      <c r="G59" s="278" t="s">
        <v>300</v>
      </c>
      <c r="H59" s="279"/>
      <c r="I59" s="279"/>
      <c r="J59" s="303">
        <f>'Berekening rekenvolumes'!M73</f>
        <v>0</v>
      </c>
    </row>
    <row r="60" spans="2:10" ht="12.75" customHeight="1">
      <c r="B60" s="278" t="s">
        <v>301</v>
      </c>
      <c r="C60" s="279"/>
      <c r="D60" s="279"/>
      <c r="E60" s="303">
        <f>'Berekening rekenvolumes'!M142</f>
        <v>0</v>
      </c>
      <c r="F60" s="279"/>
      <c r="G60" s="278" t="s">
        <v>301</v>
      </c>
      <c r="H60" s="279"/>
      <c r="I60" s="279"/>
      <c r="J60" s="303">
        <f>'Berekening rekenvolumes'!M74</f>
        <v>0</v>
      </c>
    </row>
    <row r="61" spans="2:10" ht="12.75" customHeight="1">
      <c r="B61" s="278"/>
      <c r="C61" s="279"/>
      <c r="D61" s="279"/>
      <c r="E61" s="282"/>
      <c r="F61" s="279"/>
      <c r="G61" s="278"/>
      <c r="H61" s="279"/>
      <c r="I61" s="279"/>
      <c r="J61" s="282"/>
    </row>
    <row r="62" spans="2:10" ht="12.75" customHeight="1">
      <c r="B62" s="298" t="s">
        <v>290</v>
      </c>
      <c r="C62" s="279"/>
      <c r="D62" s="279"/>
      <c r="E62" s="309" t="s">
        <v>820</v>
      </c>
      <c r="F62" s="279"/>
      <c r="G62" s="298" t="s">
        <v>290</v>
      </c>
      <c r="H62" s="279"/>
      <c r="I62" s="279"/>
      <c r="J62" s="309" t="s">
        <v>820</v>
      </c>
    </row>
    <row r="63" spans="2:10" ht="12.75" customHeight="1">
      <c r="B63" s="283" t="s">
        <v>302</v>
      </c>
      <c r="C63" s="284"/>
      <c r="D63" s="284"/>
      <c r="E63" s="304">
        <f>'Berekening rekenvolumes'!F145</f>
        <v>0</v>
      </c>
      <c r="F63" s="279"/>
      <c r="G63" s="283" t="s">
        <v>302</v>
      </c>
      <c r="H63" s="284"/>
      <c r="I63" s="284"/>
      <c r="J63" s="304">
        <f>'Berekening rekenvolumes'!M77</f>
        <v>0</v>
      </c>
    </row>
    <row r="64" spans="2:10" ht="12.75" customHeight="1">
      <c r="B64" s="278"/>
      <c r="C64" s="279"/>
      <c r="D64" s="279"/>
      <c r="E64" s="279"/>
      <c r="F64" s="279"/>
      <c r="G64" s="279"/>
      <c r="H64" s="279"/>
      <c r="I64" s="279"/>
      <c r="J64" s="280"/>
    </row>
    <row r="65" spans="2:10" ht="12.75" customHeight="1">
      <c r="B65" s="295" t="s">
        <v>818</v>
      </c>
      <c r="C65" s="296"/>
      <c r="D65" s="296"/>
      <c r="E65" s="297"/>
      <c r="F65" s="279"/>
      <c r="G65" s="295" t="s">
        <v>306</v>
      </c>
      <c r="H65" s="296"/>
      <c r="I65" s="296"/>
      <c r="J65" s="297"/>
    </row>
    <row r="66" spans="2:10" ht="12.75" customHeight="1">
      <c r="B66" s="286"/>
      <c r="C66" s="287"/>
      <c r="D66" s="287"/>
      <c r="E66" s="280"/>
      <c r="F66" s="279"/>
      <c r="G66" s="286"/>
      <c r="H66" s="287"/>
      <c r="I66" s="287"/>
      <c r="J66" s="280"/>
    </row>
    <row r="67" spans="2:10" ht="12.75" customHeight="1">
      <c r="B67" s="298" t="s">
        <v>284</v>
      </c>
      <c r="C67" s="279"/>
      <c r="D67" s="279"/>
      <c r="E67" s="309" t="s">
        <v>820</v>
      </c>
      <c r="F67" s="279"/>
      <c r="G67" s="298" t="s">
        <v>284</v>
      </c>
      <c r="H67" s="279"/>
      <c r="I67" s="279"/>
      <c r="J67" s="309" t="s">
        <v>820</v>
      </c>
    </row>
    <row r="68" spans="2:10" ht="12.75" customHeight="1">
      <c r="B68" s="278" t="s">
        <v>285</v>
      </c>
      <c r="C68" s="279"/>
      <c r="D68" s="279"/>
      <c r="E68" s="303">
        <f>'Berekening rekenvolumes'!M85</f>
        <v>12947.057535017788</v>
      </c>
      <c r="F68" s="279"/>
      <c r="G68" s="278" t="s">
        <v>285</v>
      </c>
      <c r="H68" s="279"/>
      <c r="I68" s="279"/>
      <c r="J68" s="303">
        <f>'Berekening rekenvolumes'!M35</f>
        <v>1843974.2536454611</v>
      </c>
    </row>
    <row r="69" spans="2:10" ht="12.75" customHeight="1">
      <c r="B69" s="278" t="s">
        <v>286</v>
      </c>
      <c r="C69" s="279"/>
      <c r="D69" s="279"/>
      <c r="E69" s="303">
        <f>'Berekening rekenvolumes'!M86</f>
        <v>147.56300040389513</v>
      </c>
      <c r="F69" s="279"/>
      <c r="G69" s="278" t="s">
        <v>286</v>
      </c>
      <c r="H69" s="279"/>
      <c r="I69" s="279"/>
      <c r="J69" s="303">
        <f>'Berekening rekenvolumes'!M36</f>
        <v>7761.4052458553897</v>
      </c>
    </row>
    <row r="70" spans="2:10" ht="12.75" customHeight="1">
      <c r="B70" s="278" t="s">
        <v>287</v>
      </c>
      <c r="C70" s="279"/>
      <c r="D70" s="279"/>
      <c r="E70" s="303">
        <f>'Berekening rekenvolumes'!M87</f>
        <v>149.19083724895074</v>
      </c>
      <c r="F70" s="279"/>
      <c r="G70" s="278" t="s">
        <v>287</v>
      </c>
      <c r="H70" s="279"/>
      <c r="I70" s="279"/>
      <c r="J70" s="303">
        <f>'Berekening rekenvolumes'!M37</f>
        <v>16163.250026709402</v>
      </c>
    </row>
    <row r="71" spans="2:10" ht="12.75" customHeight="1">
      <c r="B71" s="278" t="s">
        <v>288</v>
      </c>
      <c r="C71" s="279"/>
      <c r="D71" s="279"/>
      <c r="E71" s="307">
        <f>'Berekening rekenvolumes'!M88</f>
        <v>95.205648502100829</v>
      </c>
      <c r="F71" s="279"/>
      <c r="G71" s="278" t="s">
        <v>288</v>
      </c>
      <c r="H71" s="279"/>
      <c r="I71" s="279"/>
      <c r="J71" s="307">
        <f>'Berekening rekenvolumes'!M38</f>
        <v>6778.6834589757646</v>
      </c>
    </row>
    <row r="72" spans="2:10" ht="12.75" customHeight="1">
      <c r="B72" s="278"/>
      <c r="C72" s="279"/>
      <c r="D72" s="279"/>
      <c r="E72" s="282"/>
      <c r="F72" s="279"/>
      <c r="G72" s="278"/>
      <c r="H72" s="279"/>
      <c r="I72" s="279"/>
      <c r="J72" s="282"/>
    </row>
    <row r="73" spans="2:10" ht="12.75" customHeight="1">
      <c r="B73" s="298" t="s">
        <v>289</v>
      </c>
      <c r="C73" s="279"/>
      <c r="D73" s="279"/>
      <c r="E73" s="309" t="s">
        <v>820</v>
      </c>
      <c r="F73" s="279"/>
      <c r="G73" s="298" t="s">
        <v>289</v>
      </c>
      <c r="H73" s="279"/>
      <c r="I73" s="279"/>
      <c r="J73" s="309" t="s">
        <v>820</v>
      </c>
    </row>
    <row r="74" spans="2:10" ht="12.75" customHeight="1">
      <c r="B74" s="278" t="s">
        <v>285</v>
      </c>
      <c r="C74" s="279"/>
      <c r="D74" s="279"/>
      <c r="E74" s="303">
        <f>'Berekening rekenvolumes'!M91</f>
        <v>0</v>
      </c>
      <c r="F74" s="279"/>
      <c r="G74" s="278" t="s">
        <v>285</v>
      </c>
      <c r="H74" s="279"/>
      <c r="I74" s="279"/>
      <c r="J74" s="303">
        <f>'Berekening rekenvolumes'!M41</f>
        <v>0</v>
      </c>
    </row>
    <row r="75" spans="2:10" ht="12.75" customHeight="1">
      <c r="B75" s="278" t="s">
        <v>286</v>
      </c>
      <c r="C75" s="279"/>
      <c r="D75" s="279"/>
      <c r="E75" s="303">
        <f>'Berekening rekenvolumes'!M92</f>
        <v>0</v>
      </c>
      <c r="F75" s="279"/>
      <c r="G75" s="278" t="s">
        <v>286</v>
      </c>
      <c r="H75" s="279"/>
      <c r="I75" s="279"/>
      <c r="J75" s="303">
        <f>'Berekening rekenvolumes'!M42</f>
        <v>0</v>
      </c>
    </row>
    <row r="76" spans="2:10" ht="12.75" customHeight="1">
      <c r="B76" s="278" t="s">
        <v>287</v>
      </c>
      <c r="C76" s="279"/>
      <c r="D76" s="279"/>
      <c r="E76" s="303">
        <f>'Berekening rekenvolumes'!M93</f>
        <v>0</v>
      </c>
      <c r="F76" s="279"/>
      <c r="G76" s="278" t="s">
        <v>287</v>
      </c>
      <c r="H76" s="279"/>
      <c r="I76" s="279"/>
      <c r="J76" s="303">
        <f>'Berekening rekenvolumes'!M43</f>
        <v>0</v>
      </c>
    </row>
    <row r="77" spans="2:10" ht="12.75" customHeight="1">
      <c r="B77" s="278" t="s">
        <v>288</v>
      </c>
      <c r="C77" s="279"/>
      <c r="D77" s="279"/>
      <c r="E77" s="307">
        <f>'Berekening rekenvolumes'!M94</f>
        <v>0</v>
      </c>
      <c r="F77" s="279"/>
      <c r="G77" s="278" t="s">
        <v>288</v>
      </c>
      <c r="H77" s="279"/>
      <c r="I77" s="279"/>
      <c r="J77" s="307">
        <f>'Berekening rekenvolumes'!M44</f>
        <v>0</v>
      </c>
    </row>
    <row r="78" spans="2:10" ht="12.75" customHeight="1">
      <c r="B78" s="278"/>
      <c r="C78" s="279"/>
      <c r="D78" s="279"/>
      <c r="E78" s="282"/>
      <c r="F78" s="279"/>
      <c r="G78" s="278"/>
      <c r="H78" s="279"/>
      <c r="I78" s="279"/>
      <c r="J78" s="282"/>
    </row>
    <row r="79" spans="2:10" ht="12.75" customHeight="1">
      <c r="B79" s="298" t="s">
        <v>290</v>
      </c>
      <c r="C79" s="279"/>
      <c r="D79" s="279"/>
      <c r="E79" s="309" t="s">
        <v>820</v>
      </c>
      <c r="F79" s="279"/>
      <c r="G79" s="298" t="s">
        <v>290</v>
      </c>
      <c r="H79" s="279"/>
      <c r="I79" s="279"/>
      <c r="J79" s="309" t="s">
        <v>820</v>
      </c>
    </row>
    <row r="80" spans="2:10" ht="12.75" customHeight="1">
      <c r="B80" s="283" t="s">
        <v>291</v>
      </c>
      <c r="C80" s="284"/>
      <c r="D80" s="284"/>
      <c r="E80" s="304">
        <f>'Berekening rekenvolumes'!M97</f>
        <v>0</v>
      </c>
      <c r="F80" s="279"/>
      <c r="G80" s="283" t="s">
        <v>291</v>
      </c>
      <c r="H80" s="284"/>
      <c r="I80" s="284"/>
      <c r="J80" s="304">
        <f>'Berekening rekenvolumes'!M47</f>
        <v>0</v>
      </c>
    </row>
    <row r="81" spans="2:10" ht="12.75" customHeight="1">
      <c r="B81" s="278"/>
      <c r="C81" s="279"/>
      <c r="D81" s="279"/>
      <c r="E81" s="279"/>
      <c r="F81" s="279"/>
      <c r="G81" s="279"/>
      <c r="H81" s="279"/>
      <c r="I81" s="279"/>
      <c r="J81" s="282"/>
    </row>
    <row r="82" spans="2:10" ht="12.75" customHeight="1">
      <c r="B82" s="295" t="s">
        <v>819</v>
      </c>
      <c r="C82" s="296"/>
      <c r="D82" s="296"/>
      <c r="E82" s="297"/>
      <c r="F82" s="279"/>
      <c r="G82" s="279"/>
      <c r="H82" s="279"/>
      <c r="I82" s="279"/>
      <c r="J82" s="282"/>
    </row>
    <row r="83" spans="2:10" ht="12.75" customHeight="1">
      <c r="B83" s="286"/>
      <c r="C83" s="287"/>
      <c r="D83" s="287"/>
      <c r="E83" s="280"/>
      <c r="F83" s="279"/>
      <c r="G83" s="279"/>
      <c r="H83" s="279"/>
      <c r="I83" s="279"/>
      <c r="J83" s="282"/>
    </row>
    <row r="84" spans="2:10" ht="12.75" customHeight="1">
      <c r="B84" s="298" t="s">
        <v>284</v>
      </c>
      <c r="C84" s="279"/>
      <c r="D84" s="279"/>
      <c r="E84" s="309" t="s">
        <v>820</v>
      </c>
      <c r="F84" s="279"/>
      <c r="G84" s="279"/>
      <c r="H84" s="279"/>
      <c r="I84" s="279"/>
      <c r="J84" s="282"/>
    </row>
    <row r="85" spans="2:10" ht="12.75" customHeight="1">
      <c r="B85" s="278" t="s">
        <v>285</v>
      </c>
      <c r="C85" s="279"/>
      <c r="D85" s="279"/>
      <c r="E85" s="303">
        <f>'Berekening rekenvolumes'!M103</f>
        <v>9701.2804239434936</v>
      </c>
      <c r="F85" s="279"/>
      <c r="G85" s="279"/>
      <c r="H85" s="279"/>
      <c r="I85" s="279"/>
      <c r="J85" s="282"/>
    </row>
    <row r="86" spans="2:10" ht="12.75" customHeight="1">
      <c r="B86" s="278" t="s">
        <v>286</v>
      </c>
      <c r="C86" s="279"/>
      <c r="D86" s="279"/>
      <c r="E86" s="303">
        <f>'Berekening rekenvolumes'!M104</f>
        <v>1769.1479589018484</v>
      </c>
      <c r="F86" s="279"/>
      <c r="G86" s="279"/>
      <c r="H86" s="279"/>
      <c r="I86" s="279"/>
      <c r="J86" s="282"/>
    </row>
    <row r="87" spans="2:10" ht="12.75" customHeight="1">
      <c r="B87" s="278" t="s">
        <v>287</v>
      </c>
      <c r="C87" s="279"/>
      <c r="D87" s="279"/>
      <c r="E87" s="303">
        <f>'Berekening rekenvolumes'!M105</f>
        <v>2704.8472616194899</v>
      </c>
      <c r="F87" s="279"/>
      <c r="G87" s="279"/>
      <c r="H87" s="279"/>
      <c r="I87" s="279"/>
      <c r="J87" s="282"/>
    </row>
    <row r="88" spans="2:10" ht="12.75" customHeight="1">
      <c r="B88" s="278" t="s">
        <v>288</v>
      </c>
      <c r="C88" s="279"/>
      <c r="D88" s="279"/>
      <c r="E88" s="307">
        <f>'Berekening rekenvolumes'!M106</f>
        <v>1369.612270187383</v>
      </c>
      <c r="F88" s="279"/>
      <c r="G88" s="279"/>
      <c r="H88" s="279"/>
      <c r="I88" s="279"/>
      <c r="J88" s="282"/>
    </row>
    <row r="89" spans="2:10" ht="12.75" customHeight="1">
      <c r="B89" s="278"/>
      <c r="C89" s="279"/>
      <c r="D89" s="279"/>
      <c r="E89" s="282"/>
      <c r="F89" s="279"/>
      <c r="G89" s="279"/>
      <c r="H89" s="279"/>
      <c r="I89" s="279"/>
      <c r="J89" s="282"/>
    </row>
    <row r="90" spans="2:10" ht="12.75" customHeight="1">
      <c r="B90" s="298" t="s">
        <v>289</v>
      </c>
      <c r="C90" s="279"/>
      <c r="D90" s="279"/>
      <c r="E90" s="309" t="s">
        <v>820</v>
      </c>
      <c r="F90" s="279"/>
      <c r="G90" s="279"/>
      <c r="H90" s="279"/>
      <c r="I90" s="279"/>
      <c r="J90" s="282"/>
    </row>
    <row r="91" spans="2:10" ht="12.75" customHeight="1">
      <c r="B91" s="278" t="s">
        <v>285</v>
      </c>
      <c r="C91" s="279"/>
      <c r="D91" s="279"/>
      <c r="E91" s="303">
        <f>'Berekening rekenvolumes'!M109</f>
        <v>0</v>
      </c>
      <c r="F91" s="279"/>
      <c r="G91" s="279"/>
      <c r="H91" s="279"/>
      <c r="I91" s="279"/>
      <c r="J91" s="306"/>
    </row>
    <row r="92" spans="2:10" ht="12.75" customHeight="1">
      <c r="B92" s="278" t="s">
        <v>286</v>
      </c>
      <c r="C92" s="279"/>
      <c r="D92" s="279"/>
      <c r="E92" s="303">
        <f>'Berekening rekenvolumes'!M110</f>
        <v>0</v>
      </c>
      <c r="F92" s="279"/>
      <c r="G92" s="279"/>
      <c r="H92" s="279"/>
      <c r="I92" s="279"/>
      <c r="J92" s="306"/>
    </row>
    <row r="93" spans="2:10" ht="12.75" customHeight="1">
      <c r="B93" s="278" t="s">
        <v>287</v>
      </c>
      <c r="C93" s="279"/>
      <c r="D93" s="279"/>
      <c r="E93" s="303">
        <f>'Berekening rekenvolumes'!M111</f>
        <v>0</v>
      </c>
      <c r="F93" s="279"/>
      <c r="G93" s="279"/>
      <c r="H93" s="279"/>
      <c r="I93" s="279"/>
      <c r="J93" s="306"/>
    </row>
    <row r="94" spans="2:10" ht="12.75" customHeight="1">
      <c r="B94" s="278" t="s">
        <v>288</v>
      </c>
      <c r="C94" s="279"/>
      <c r="D94" s="279"/>
      <c r="E94" s="307">
        <f>'Berekening rekenvolumes'!M112</f>
        <v>0</v>
      </c>
      <c r="F94" s="279"/>
      <c r="G94" s="519" t="s">
        <v>1347</v>
      </c>
      <c r="H94" s="519"/>
      <c r="I94" s="519"/>
      <c r="J94" s="282"/>
    </row>
    <row r="95" spans="2:10" ht="12.75" customHeight="1">
      <c r="B95" s="278"/>
      <c r="C95" s="279"/>
      <c r="D95" s="279"/>
      <c r="E95" s="282"/>
      <c r="F95" s="279"/>
      <c r="G95" s="519"/>
      <c r="H95" s="519"/>
      <c r="I95" s="519"/>
      <c r="J95" s="302"/>
    </row>
    <row r="96" spans="2:10" ht="12.75" customHeight="1">
      <c r="B96" s="298" t="s">
        <v>290</v>
      </c>
      <c r="C96" s="279"/>
      <c r="D96" s="279"/>
      <c r="E96" s="309" t="s">
        <v>820</v>
      </c>
      <c r="F96" s="279"/>
      <c r="G96" s="519"/>
      <c r="H96" s="519"/>
      <c r="I96" s="519"/>
      <c r="J96" s="306"/>
    </row>
    <row r="97" spans="2:10" ht="12.75" customHeight="1">
      <c r="B97" s="283" t="s">
        <v>291</v>
      </c>
      <c r="C97" s="284"/>
      <c r="D97" s="284"/>
      <c r="E97" s="304">
        <f>'Berekening rekenvolumes'!M115</f>
        <v>0</v>
      </c>
      <c r="F97" s="279"/>
      <c r="G97" s="279"/>
      <c r="H97" s="279"/>
      <c r="I97" s="279"/>
      <c r="J97" s="282"/>
    </row>
    <row r="98" spans="2:10" ht="9" customHeight="1">
      <c r="B98" s="283"/>
      <c r="C98" s="284"/>
      <c r="D98" s="284"/>
      <c r="E98" s="284"/>
      <c r="F98" s="284"/>
      <c r="G98" s="284"/>
      <c r="H98" s="284"/>
      <c r="I98" s="284"/>
      <c r="J98" s="285"/>
    </row>
    <row r="99" spans="2:10" ht="12.75" customHeight="1">
      <c r="G99" s="279"/>
      <c r="H99" s="279"/>
      <c r="I99" s="279"/>
      <c r="J99" s="279"/>
    </row>
  </sheetData>
  <mergeCells count="1">
    <mergeCell ref="G94:I96"/>
  </mergeCells>
  <pageMargins left="0.7" right="0.7" top="0.75" bottom="0.75" header="0.3" footer="0.3"/>
  <pageSetup paperSize="9" scale="5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2:K99"/>
  <sheetViews>
    <sheetView showGridLines="0" zoomScale="85" zoomScaleNormal="85" workbookViewId="0"/>
  </sheetViews>
  <sheetFormatPr defaultRowHeight="12.75"/>
  <cols>
    <col min="1" max="1" width="9.140625" style="277"/>
    <col min="2" max="2" width="50.7109375" style="277" customWidth="1"/>
    <col min="3" max="3" width="2.42578125" style="277" customWidth="1"/>
    <col min="4" max="4" width="4" style="277" customWidth="1"/>
    <col min="5" max="5" width="16" style="277" customWidth="1"/>
    <col min="6" max="6" width="2.85546875" style="277" customWidth="1"/>
    <col min="7" max="7" width="52.28515625" style="277" customWidth="1"/>
    <col min="8" max="8" width="2.42578125" style="277" customWidth="1"/>
    <col min="9" max="9" width="4" style="277" customWidth="1"/>
    <col min="10" max="10" width="13.5703125" style="277" customWidth="1"/>
    <col min="11" max="16384" width="9.140625" style="277"/>
  </cols>
  <sheetData>
    <row r="2" spans="2:10" ht="19.5" customHeight="1">
      <c r="B2" s="489" t="s">
        <v>1184</v>
      </c>
      <c r="C2" s="275"/>
      <c r="D2" s="275"/>
      <c r="E2" s="275"/>
      <c r="F2" s="275"/>
      <c r="G2" s="275"/>
      <c r="H2" s="275"/>
      <c r="I2" s="275"/>
      <c r="J2" s="276"/>
    </row>
    <row r="3" spans="2:10" ht="4.5" customHeight="1">
      <c r="B3" s="278"/>
      <c r="C3" s="279"/>
      <c r="D3" s="279"/>
      <c r="E3" s="279"/>
      <c r="F3" s="279"/>
      <c r="G3" s="279"/>
      <c r="H3" s="279"/>
      <c r="I3" s="279"/>
      <c r="J3" s="282"/>
    </row>
    <row r="4" spans="2:10">
      <c r="B4" s="299" t="s">
        <v>132</v>
      </c>
      <c r="C4" s="279"/>
      <c r="D4" s="279"/>
      <c r="E4" s="281"/>
      <c r="F4" s="279"/>
      <c r="G4" s="279"/>
      <c r="H4" s="279"/>
      <c r="I4" s="279"/>
      <c r="J4" s="282"/>
    </row>
    <row r="5" spans="2:10" ht="4.5" customHeight="1">
      <c r="B5" s="278"/>
      <c r="C5" s="279"/>
      <c r="D5" s="279"/>
      <c r="E5" s="279"/>
      <c r="F5" s="279"/>
      <c r="G5" s="279"/>
      <c r="H5" s="279"/>
      <c r="I5" s="279"/>
      <c r="J5" s="282"/>
    </row>
    <row r="6" spans="2:10" ht="4.5" customHeight="1">
      <c r="B6" s="283"/>
      <c r="C6" s="284"/>
      <c r="D6" s="284"/>
      <c r="E6" s="284"/>
      <c r="F6" s="284"/>
      <c r="G6" s="284"/>
      <c r="H6" s="284"/>
      <c r="I6" s="284"/>
      <c r="J6" s="285"/>
    </row>
    <row r="7" spans="2:10">
      <c r="B7" s="294" t="s">
        <v>28</v>
      </c>
      <c r="C7" s="275"/>
      <c r="D7" s="275"/>
      <c r="E7" s="275"/>
      <c r="F7" s="275"/>
      <c r="G7" s="275"/>
      <c r="H7" s="275"/>
      <c r="I7" s="275"/>
      <c r="J7" s="276"/>
    </row>
    <row r="8" spans="2:10">
      <c r="B8" s="286"/>
      <c r="C8" s="287"/>
      <c r="D8" s="287"/>
      <c r="E8" s="287"/>
      <c r="F8" s="287"/>
      <c r="G8" s="287"/>
      <c r="H8" s="287"/>
      <c r="I8" s="287"/>
      <c r="J8" s="280"/>
    </row>
    <row r="9" spans="2:10">
      <c r="B9" s="288" t="s">
        <v>265</v>
      </c>
      <c r="C9" s="279"/>
      <c r="D9" s="279"/>
      <c r="E9" s="308" t="s">
        <v>820</v>
      </c>
      <c r="F9" s="279"/>
      <c r="G9" s="279"/>
      <c r="H9" s="279"/>
      <c r="I9" s="279"/>
      <c r="J9" s="282"/>
    </row>
    <row r="10" spans="2:10">
      <c r="B10" s="289" t="s">
        <v>201</v>
      </c>
      <c r="C10" s="279"/>
      <c r="D10" s="279"/>
      <c r="E10" s="300">
        <f>'Berekening rekenvolumes'!N10</f>
        <v>49839.226486056963</v>
      </c>
      <c r="F10" s="279"/>
      <c r="G10" s="279"/>
      <c r="H10" s="279"/>
      <c r="I10" s="279"/>
      <c r="J10" s="282"/>
    </row>
    <row r="11" spans="2:10">
      <c r="B11" s="290" t="s">
        <v>202</v>
      </c>
      <c r="C11" s="279"/>
      <c r="D11" s="279"/>
      <c r="E11" s="301">
        <f>'Berekening rekenvolumes'!N11</f>
        <v>164052.37644860838</v>
      </c>
      <c r="F11" s="279"/>
      <c r="G11" s="279"/>
      <c r="H11" s="279"/>
      <c r="I11" s="279"/>
      <c r="J11" s="282"/>
    </row>
    <row r="12" spans="2:10">
      <c r="B12" s="290"/>
      <c r="C12" s="279"/>
      <c r="D12" s="279"/>
      <c r="E12" s="281"/>
      <c r="F12" s="279"/>
      <c r="G12" s="279"/>
      <c r="H12" s="279"/>
      <c r="I12" s="279"/>
      <c r="J12" s="282"/>
    </row>
    <row r="13" spans="2:10">
      <c r="B13" s="291" t="s">
        <v>266</v>
      </c>
      <c r="C13" s="279"/>
      <c r="D13" s="279"/>
      <c r="E13" s="308" t="s">
        <v>820</v>
      </c>
      <c r="F13" s="279"/>
      <c r="G13" s="279"/>
      <c r="H13" s="279"/>
      <c r="I13" s="279"/>
      <c r="J13" s="282"/>
    </row>
    <row r="14" spans="2:10">
      <c r="B14" s="289" t="s">
        <v>201</v>
      </c>
      <c r="C14" s="279"/>
      <c r="D14" s="279"/>
      <c r="E14" s="300">
        <f>'Berekening rekenvolumes'!N14</f>
        <v>726.3765002050726</v>
      </c>
      <c r="F14" s="279"/>
      <c r="G14" s="279"/>
      <c r="H14" s="279"/>
      <c r="I14" s="279"/>
      <c r="J14" s="282"/>
    </row>
    <row r="15" spans="2:10">
      <c r="B15" s="290" t="s">
        <v>202</v>
      </c>
      <c r="C15" s="279"/>
      <c r="D15" s="279"/>
      <c r="E15" s="301">
        <f>'Berekening rekenvolumes'!N15</f>
        <v>79840.930385944186</v>
      </c>
      <c r="F15" s="279"/>
      <c r="G15" s="279"/>
      <c r="H15" s="279"/>
      <c r="I15" s="279"/>
      <c r="J15" s="282"/>
    </row>
    <row r="16" spans="2:10">
      <c r="B16" s="292"/>
      <c r="C16" s="279"/>
      <c r="D16" s="279"/>
      <c r="E16" s="281"/>
      <c r="F16" s="279"/>
      <c r="G16" s="279"/>
      <c r="H16" s="279"/>
      <c r="I16" s="279"/>
      <c r="J16" s="282"/>
    </row>
    <row r="17" spans="1:11">
      <c r="B17" s="288" t="s">
        <v>204</v>
      </c>
      <c r="C17" s="279"/>
      <c r="D17" s="279"/>
      <c r="E17" s="308" t="s">
        <v>820</v>
      </c>
      <c r="F17" s="279"/>
      <c r="G17" s="279"/>
      <c r="H17" s="279"/>
      <c r="I17" s="279"/>
      <c r="J17" s="282"/>
    </row>
    <row r="18" spans="1:11">
      <c r="B18" s="289" t="s">
        <v>201</v>
      </c>
      <c r="C18" s="279"/>
      <c r="D18" s="279"/>
      <c r="E18" s="300">
        <f>'Berekening rekenvolumes'!N18</f>
        <v>967.4368325583855</v>
      </c>
      <c r="F18" s="279"/>
      <c r="G18" s="279"/>
      <c r="H18" s="279"/>
      <c r="I18" s="279"/>
      <c r="J18" s="282"/>
    </row>
    <row r="19" spans="1:11">
      <c r="B19" s="290" t="s">
        <v>262</v>
      </c>
      <c r="C19" s="279"/>
      <c r="D19" s="279"/>
      <c r="E19" s="300">
        <f>'Berekening rekenvolumes'!N19</f>
        <v>0</v>
      </c>
      <c r="F19" s="279"/>
      <c r="G19" s="279"/>
      <c r="H19" s="279"/>
      <c r="I19" s="279"/>
      <c r="J19" s="282"/>
    </row>
    <row r="20" spans="1:11">
      <c r="B20" s="289" t="s">
        <v>263</v>
      </c>
      <c r="C20" s="279"/>
      <c r="D20" s="279"/>
      <c r="E20" s="300">
        <f>'Berekening rekenvolumes'!N20</f>
        <v>0</v>
      </c>
      <c r="F20" s="279"/>
      <c r="G20" s="279"/>
      <c r="H20" s="279"/>
      <c r="I20" s="279"/>
      <c r="J20" s="282"/>
    </row>
    <row r="21" spans="1:11">
      <c r="B21" s="290" t="s">
        <v>264</v>
      </c>
      <c r="C21" s="279"/>
      <c r="D21" s="279"/>
      <c r="E21" s="300">
        <f>'Berekening rekenvolumes'!N21</f>
        <v>328021.69104539836</v>
      </c>
      <c r="F21" s="279"/>
      <c r="G21" s="279"/>
      <c r="H21" s="279"/>
      <c r="I21" s="279"/>
      <c r="J21" s="282"/>
    </row>
    <row r="22" spans="1:11">
      <c r="B22" s="293"/>
      <c r="C22" s="279"/>
      <c r="D22" s="279"/>
      <c r="E22" s="281"/>
      <c r="F22" s="279"/>
      <c r="G22" s="279"/>
      <c r="H22" s="279"/>
      <c r="I22" s="279"/>
      <c r="J22" s="282"/>
    </row>
    <row r="23" spans="1:11">
      <c r="B23" s="288" t="s">
        <v>206</v>
      </c>
      <c r="C23" s="279"/>
      <c r="D23" s="279"/>
      <c r="E23" s="308" t="s">
        <v>820</v>
      </c>
      <c r="F23" s="279"/>
      <c r="G23" s="279"/>
      <c r="H23" s="279"/>
      <c r="I23" s="279"/>
      <c r="J23" s="282"/>
    </row>
    <row r="24" spans="1:11">
      <c r="B24" s="289" t="s">
        <v>201</v>
      </c>
      <c r="C24" s="279"/>
      <c r="D24" s="279"/>
      <c r="E24" s="300">
        <f>'Berekening rekenvolumes'!N25</f>
        <v>0</v>
      </c>
      <c r="F24" s="279"/>
      <c r="G24" s="279"/>
      <c r="H24" s="279"/>
      <c r="I24" s="279"/>
      <c r="J24" s="282"/>
    </row>
    <row r="25" spans="1:11">
      <c r="B25" s="290" t="s">
        <v>202</v>
      </c>
      <c r="C25" s="279"/>
      <c r="D25" s="279"/>
      <c r="E25" s="301">
        <f>'Berekening rekenvolumes'!N26</f>
        <v>0</v>
      </c>
      <c r="F25" s="279"/>
      <c r="G25" s="279"/>
      <c r="H25" s="279"/>
      <c r="I25" s="279"/>
      <c r="J25" s="282"/>
    </row>
    <row r="26" spans="1:11" ht="4.5" customHeight="1">
      <c r="B26" s="283"/>
      <c r="C26" s="284"/>
      <c r="D26" s="284"/>
      <c r="E26" s="284"/>
      <c r="F26" s="284"/>
      <c r="G26" s="284"/>
      <c r="H26" s="284"/>
      <c r="I26" s="284"/>
      <c r="J26" s="285"/>
    </row>
    <row r="27" spans="1:11" ht="4.5" customHeight="1">
      <c r="A27" s="279"/>
      <c r="B27" s="279"/>
      <c r="C27" s="279"/>
      <c r="D27" s="279"/>
      <c r="E27" s="279"/>
      <c r="F27" s="279"/>
      <c r="G27" s="279"/>
      <c r="H27" s="279"/>
      <c r="I27" s="279"/>
      <c r="J27" s="279"/>
      <c r="K27" s="279"/>
    </row>
    <row r="28" spans="1:11" ht="4.5" customHeight="1">
      <c r="A28" s="279"/>
      <c r="B28" s="284"/>
      <c r="C28" s="284"/>
      <c r="D28" s="284"/>
      <c r="E28" s="284"/>
      <c r="F28" s="284"/>
      <c r="G28" s="284"/>
      <c r="H28" s="284"/>
      <c r="I28" s="284"/>
      <c r="J28" s="284"/>
      <c r="K28" s="279"/>
    </row>
    <row r="29" spans="1:11" ht="19.5" customHeight="1">
      <c r="B29" s="489" t="s">
        <v>1184</v>
      </c>
      <c r="C29" s="275"/>
      <c r="D29" s="275"/>
      <c r="E29" s="275"/>
      <c r="F29" s="275"/>
      <c r="G29" s="275"/>
      <c r="H29" s="275"/>
      <c r="I29" s="275"/>
      <c r="J29" s="276"/>
    </row>
    <row r="30" spans="1:11" ht="4.5" customHeight="1">
      <c r="B30" s="278"/>
      <c r="C30" s="279"/>
      <c r="D30" s="279"/>
      <c r="E30" s="279"/>
      <c r="F30" s="279"/>
      <c r="G30" s="279"/>
      <c r="H30" s="279"/>
      <c r="I30" s="279"/>
      <c r="J30" s="282"/>
    </row>
    <row r="31" spans="1:11">
      <c r="B31" s="299" t="s">
        <v>132</v>
      </c>
      <c r="C31" s="279"/>
      <c r="D31" s="279"/>
      <c r="E31" s="281"/>
      <c r="F31" s="279"/>
      <c r="G31" s="279"/>
      <c r="H31" s="279"/>
      <c r="I31" s="279"/>
      <c r="J31" s="282"/>
    </row>
    <row r="32" spans="1:11" ht="4.5" customHeight="1">
      <c r="B32" s="278"/>
      <c r="C32" s="279"/>
      <c r="D32" s="279"/>
      <c r="E32" s="279"/>
      <c r="F32" s="279"/>
      <c r="G32" s="279"/>
      <c r="H32" s="279"/>
      <c r="I32" s="279"/>
      <c r="J32" s="282"/>
    </row>
    <row r="33" spans="2:10" ht="4.5" customHeight="1">
      <c r="B33" s="283"/>
      <c r="C33" s="284"/>
      <c r="D33" s="284"/>
      <c r="E33" s="284"/>
      <c r="F33" s="284"/>
      <c r="G33" s="284"/>
      <c r="H33" s="284"/>
      <c r="I33" s="284"/>
      <c r="J33" s="285"/>
    </row>
    <row r="34" spans="2:10" ht="12.75" customHeight="1">
      <c r="B34" s="294" t="s">
        <v>136</v>
      </c>
      <c r="C34" s="275"/>
      <c r="D34" s="275"/>
      <c r="E34" s="275"/>
      <c r="F34" s="275"/>
      <c r="G34" s="275"/>
      <c r="H34" s="275"/>
      <c r="I34" s="275"/>
      <c r="J34" s="276"/>
    </row>
    <row r="35" spans="2:10" ht="12.75" customHeight="1">
      <c r="B35" s="278"/>
      <c r="C35" s="279"/>
      <c r="D35" s="279"/>
      <c r="E35" s="279"/>
      <c r="F35" s="279"/>
      <c r="G35" s="279"/>
      <c r="H35" s="279"/>
      <c r="I35" s="279"/>
      <c r="J35" s="305"/>
    </row>
    <row r="36" spans="2:10" ht="12.75" customHeight="1">
      <c r="B36" s="295" t="s">
        <v>816</v>
      </c>
      <c r="C36" s="296"/>
      <c r="D36" s="296"/>
      <c r="E36" s="297"/>
      <c r="F36" s="279"/>
      <c r="G36" s="295" t="s">
        <v>817</v>
      </c>
      <c r="H36" s="296"/>
      <c r="I36" s="296"/>
      <c r="J36" s="297"/>
    </row>
    <row r="37" spans="2:10" ht="12.75" customHeight="1">
      <c r="B37" s="286"/>
      <c r="C37" s="287"/>
      <c r="D37" s="287"/>
      <c r="E37" s="280"/>
      <c r="F37" s="279"/>
      <c r="G37" s="278"/>
      <c r="H37" s="279"/>
      <c r="I37" s="279"/>
      <c r="J37" s="282"/>
    </row>
    <row r="38" spans="2:10" ht="12.75" customHeight="1">
      <c r="B38" s="298" t="s">
        <v>284</v>
      </c>
      <c r="C38" s="279"/>
      <c r="D38" s="279"/>
      <c r="E38" s="309" t="s">
        <v>820</v>
      </c>
      <c r="F38" s="279"/>
      <c r="G38" s="298" t="s">
        <v>284</v>
      </c>
      <c r="H38" s="279"/>
      <c r="I38" s="279"/>
      <c r="J38" s="309" t="s">
        <v>820</v>
      </c>
    </row>
    <row r="39" spans="2:10" ht="12.75" customHeight="1">
      <c r="B39" s="278" t="s">
        <v>292</v>
      </c>
      <c r="C39" s="279"/>
      <c r="D39" s="279"/>
      <c r="E39" s="303">
        <f>'Berekening rekenvolumes'!N121</f>
        <v>0.66666666666666663</v>
      </c>
      <c r="F39" s="279"/>
      <c r="G39" s="278" t="s">
        <v>292</v>
      </c>
      <c r="H39" s="279"/>
      <c r="I39" s="279"/>
      <c r="J39" s="303">
        <f>'Berekening rekenvolumes'!N53</f>
        <v>103.83333333333333</v>
      </c>
    </row>
    <row r="40" spans="2:10" ht="12.75" customHeight="1">
      <c r="B40" s="278" t="s">
        <v>293</v>
      </c>
      <c r="C40" s="279"/>
      <c r="D40" s="279"/>
      <c r="E40" s="303">
        <f>'Berekening rekenvolumes'!N122</f>
        <v>0.66666666666666663</v>
      </c>
      <c r="F40" s="279"/>
      <c r="G40" s="278" t="s">
        <v>293</v>
      </c>
      <c r="H40" s="279"/>
      <c r="I40" s="279"/>
      <c r="J40" s="303">
        <f>'Berekening rekenvolumes'!N54</f>
        <v>184.88888888888891</v>
      </c>
    </row>
    <row r="41" spans="2:10" ht="12.75" customHeight="1">
      <c r="B41" s="278" t="s">
        <v>294</v>
      </c>
      <c r="C41" s="279"/>
      <c r="D41" s="279"/>
      <c r="E41" s="303">
        <f>'Berekening rekenvolumes'!N123</f>
        <v>1</v>
      </c>
      <c r="F41" s="279"/>
      <c r="G41" s="278" t="s">
        <v>294</v>
      </c>
      <c r="H41" s="279"/>
      <c r="I41" s="279"/>
      <c r="J41" s="303">
        <f>'Berekening rekenvolumes'!N55</f>
        <v>149.7777777777778</v>
      </c>
    </row>
    <row r="42" spans="2:10" ht="12.75" customHeight="1">
      <c r="B42" s="278" t="s">
        <v>295</v>
      </c>
      <c r="C42" s="279"/>
      <c r="D42" s="279"/>
      <c r="E42" s="303">
        <f>'Berekening rekenvolumes'!N124</f>
        <v>0.33333333333333331</v>
      </c>
      <c r="F42" s="279"/>
      <c r="G42" s="278" t="s">
        <v>295</v>
      </c>
      <c r="H42" s="279"/>
      <c r="I42" s="279"/>
      <c r="J42" s="303">
        <f>'Berekening rekenvolumes'!N56</f>
        <v>325.24769033742217</v>
      </c>
    </row>
    <row r="43" spans="2:10" ht="12.75" customHeight="1">
      <c r="B43" s="299" t="s">
        <v>296</v>
      </c>
      <c r="C43" s="279"/>
      <c r="D43" s="279"/>
      <c r="E43" s="303">
        <f>'Berekening rekenvolumes'!N125</f>
        <v>0.33333333333333331</v>
      </c>
      <c r="F43" s="279"/>
      <c r="G43" s="299" t="s">
        <v>296</v>
      </c>
      <c r="H43" s="279"/>
      <c r="I43" s="279"/>
      <c r="J43" s="303">
        <f>'Berekening rekenvolumes'!N57</f>
        <v>471.70647713887439</v>
      </c>
    </row>
    <row r="44" spans="2:10" ht="12.75" customHeight="1">
      <c r="B44" s="278" t="s">
        <v>297</v>
      </c>
      <c r="C44" s="279"/>
      <c r="D44" s="279"/>
      <c r="E44" s="303">
        <f>'Berekening rekenvolumes'!N126</f>
        <v>1.3333333333333333</v>
      </c>
      <c r="F44" s="279"/>
      <c r="G44" s="278" t="s">
        <v>297</v>
      </c>
      <c r="H44" s="279"/>
      <c r="I44" s="279"/>
      <c r="J44" s="303">
        <f>'Berekening rekenvolumes'!N58</f>
        <v>0.83333333333333337</v>
      </c>
    </row>
    <row r="45" spans="2:10" ht="12.75" customHeight="1">
      <c r="B45" s="278" t="s">
        <v>298</v>
      </c>
      <c r="C45" s="279"/>
      <c r="D45" s="279"/>
      <c r="E45" s="303">
        <f>'Berekening rekenvolumes'!N127</f>
        <v>0</v>
      </c>
      <c r="F45" s="279"/>
      <c r="G45" s="278" t="s">
        <v>298</v>
      </c>
      <c r="H45" s="279"/>
      <c r="I45" s="279"/>
      <c r="J45" s="303">
        <f>'Berekening rekenvolumes'!N59</f>
        <v>0.33333333333333331</v>
      </c>
    </row>
    <row r="46" spans="2:10" ht="12.75" customHeight="1">
      <c r="B46" s="278" t="s">
        <v>299</v>
      </c>
      <c r="C46" s="279"/>
      <c r="D46" s="279"/>
      <c r="E46" s="303">
        <f>'Berekening rekenvolumes'!N128</f>
        <v>0</v>
      </c>
      <c r="F46" s="279"/>
      <c r="G46" s="278" t="s">
        <v>299</v>
      </c>
      <c r="H46" s="279"/>
      <c r="I46" s="279"/>
      <c r="J46" s="303">
        <f>'Berekening rekenvolumes'!N60</f>
        <v>235.38888888888891</v>
      </c>
    </row>
    <row r="47" spans="2:10" ht="12.75" customHeight="1">
      <c r="B47" s="278" t="s">
        <v>300</v>
      </c>
      <c r="C47" s="279"/>
      <c r="D47" s="279"/>
      <c r="E47" s="303">
        <f>'Berekening rekenvolumes'!N129</f>
        <v>0</v>
      </c>
      <c r="F47" s="279"/>
      <c r="G47" s="278" t="s">
        <v>300</v>
      </c>
      <c r="H47" s="279"/>
      <c r="I47" s="279"/>
      <c r="J47" s="303">
        <f>'Berekening rekenvolumes'!N61</f>
        <v>0</v>
      </c>
    </row>
    <row r="48" spans="2:10" ht="12.75" customHeight="1">
      <c r="B48" s="278" t="s">
        <v>301</v>
      </c>
      <c r="C48" s="279"/>
      <c r="D48" s="279"/>
      <c r="E48" s="303">
        <f>'Berekening rekenvolumes'!N130</f>
        <v>0</v>
      </c>
      <c r="F48" s="279"/>
      <c r="G48" s="278" t="s">
        <v>301</v>
      </c>
      <c r="H48" s="279"/>
      <c r="I48" s="279"/>
      <c r="J48" s="303">
        <f>'Berekening rekenvolumes'!N62</f>
        <v>9</v>
      </c>
    </row>
    <row r="49" spans="2:10" ht="12.75" customHeight="1">
      <c r="B49" s="278"/>
      <c r="C49" s="279"/>
      <c r="D49" s="279"/>
      <c r="E49" s="282"/>
      <c r="F49" s="279"/>
      <c r="G49" s="278"/>
      <c r="H49" s="279"/>
      <c r="I49" s="279"/>
      <c r="J49" s="282"/>
    </row>
    <row r="50" spans="2:10" ht="12.75" customHeight="1">
      <c r="B50" s="298" t="s">
        <v>289</v>
      </c>
      <c r="C50" s="279"/>
      <c r="D50" s="279"/>
      <c r="E50" s="309" t="s">
        <v>820</v>
      </c>
      <c r="F50" s="279"/>
      <c r="G50" s="298" t="s">
        <v>289</v>
      </c>
      <c r="H50" s="279"/>
      <c r="I50" s="279"/>
      <c r="J50" s="309" t="s">
        <v>820</v>
      </c>
    </row>
    <row r="51" spans="2:10" ht="12.75" customHeight="1">
      <c r="B51" s="278" t="s">
        <v>292</v>
      </c>
      <c r="C51" s="279"/>
      <c r="D51" s="279"/>
      <c r="E51" s="303">
        <f>'Berekening rekenvolumes'!N133</f>
        <v>0</v>
      </c>
      <c r="F51" s="279"/>
      <c r="G51" s="278" t="s">
        <v>292</v>
      </c>
      <c r="H51" s="279"/>
      <c r="I51" s="279"/>
      <c r="J51" s="303">
        <f>'Berekening rekenvolumes'!N65</f>
        <v>1</v>
      </c>
    </row>
    <row r="52" spans="2:10" ht="12.75" customHeight="1">
      <c r="B52" s="278" t="s">
        <v>293</v>
      </c>
      <c r="C52" s="279"/>
      <c r="D52" s="279"/>
      <c r="E52" s="303">
        <f>'Berekening rekenvolumes'!N134</f>
        <v>0</v>
      </c>
      <c r="F52" s="279"/>
      <c r="G52" s="278" t="s">
        <v>293</v>
      </c>
      <c r="H52" s="279"/>
      <c r="I52" s="279"/>
      <c r="J52" s="303">
        <f>'Berekening rekenvolumes'!N66</f>
        <v>2</v>
      </c>
    </row>
    <row r="53" spans="2:10" ht="12.75" customHeight="1">
      <c r="B53" s="278" t="s">
        <v>294</v>
      </c>
      <c r="C53" s="279"/>
      <c r="D53" s="279"/>
      <c r="E53" s="303">
        <f>'Berekening rekenvolumes'!N135</f>
        <v>0</v>
      </c>
      <c r="F53" s="279"/>
      <c r="G53" s="278" t="s">
        <v>294</v>
      </c>
      <c r="H53" s="279"/>
      <c r="I53" s="279"/>
      <c r="J53" s="303">
        <f>'Berekening rekenvolumes'!N67</f>
        <v>19.166666666666668</v>
      </c>
    </row>
    <row r="54" spans="2:10" ht="12.75" customHeight="1">
      <c r="B54" s="278" t="s">
        <v>295</v>
      </c>
      <c r="C54" s="279"/>
      <c r="D54" s="279"/>
      <c r="E54" s="303">
        <f>'Berekening rekenvolumes'!N136</f>
        <v>0</v>
      </c>
      <c r="F54" s="279"/>
      <c r="G54" s="278" t="s">
        <v>295</v>
      </c>
      <c r="H54" s="279"/>
      <c r="I54" s="279"/>
      <c r="J54" s="303">
        <f>'Berekening rekenvolumes'!N68</f>
        <v>25.5</v>
      </c>
    </row>
    <row r="55" spans="2:10" ht="12.75" customHeight="1">
      <c r="B55" s="299" t="s">
        <v>296</v>
      </c>
      <c r="C55" s="279"/>
      <c r="D55" s="279"/>
      <c r="E55" s="303">
        <f>'Berekening rekenvolumes'!N137</f>
        <v>0</v>
      </c>
      <c r="F55" s="279"/>
      <c r="G55" s="299" t="s">
        <v>296</v>
      </c>
      <c r="H55" s="279"/>
      <c r="I55" s="279"/>
      <c r="J55" s="303">
        <f>'Berekening rekenvolumes'!N69</f>
        <v>28.666666666666668</v>
      </c>
    </row>
    <row r="56" spans="2:10" ht="12.75" customHeight="1">
      <c r="B56" s="278" t="s">
        <v>297</v>
      </c>
      <c r="C56" s="279"/>
      <c r="D56" s="279"/>
      <c r="E56" s="303">
        <f>'Berekening rekenvolumes'!N138</f>
        <v>0</v>
      </c>
      <c r="F56" s="279"/>
      <c r="G56" s="278" t="s">
        <v>297</v>
      </c>
      <c r="H56" s="279"/>
      <c r="I56" s="279"/>
      <c r="J56" s="303">
        <f>'Berekening rekenvolumes'!N70</f>
        <v>14</v>
      </c>
    </row>
    <row r="57" spans="2:10" ht="12.75" customHeight="1">
      <c r="B57" s="278" t="s">
        <v>298</v>
      </c>
      <c r="C57" s="279"/>
      <c r="D57" s="279"/>
      <c r="E57" s="303">
        <f>'Berekening rekenvolumes'!N139</f>
        <v>0</v>
      </c>
      <c r="F57" s="279"/>
      <c r="G57" s="278" t="s">
        <v>298</v>
      </c>
      <c r="H57" s="279"/>
      <c r="I57" s="279"/>
      <c r="J57" s="303">
        <f>'Berekening rekenvolumes'!N71</f>
        <v>9.6666666666666661</v>
      </c>
    </row>
    <row r="58" spans="2:10" ht="12.75" customHeight="1">
      <c r="B58" s="278" t="s">
        <v>299</v>
      </c>
      <c r="C58" s="279"/>
      <c r="D58" s="279"/>
      <c r="E58" s="303">
        <f>'Berekening rekenvolumes'!N140</f>
        <v>1</v>
      </c>
      <c r="F58" s="279"/>
      <c r="G58" s="278" t="s">
        <v>299</v>
      </c>
      <c r="H58" s="279"/>
      <c r="I58" s="279"/>
      <c r="J58" s="303">
        <f>'Berekening rekenvolumes'!N72</f>
        <v>31.833333333333332</v>
      </c>
    </row>
    <row r="59" spans="2:10" ht="12.75" customHeight="1">
      <c r="B59" s="278" t="s">
        <v>300</v>
      </c>
      <c r="C59" s="279"/>
      <c r="D59" s="279"/>
      <c r="E59" s="303">
        <f>'Berekening rekenvolumes'!N141</f>
        <v>0</v>
      </c>
      <c r="F59" s="279"/>
      <c r="G59" s="278" t="s">
        <v>300</v>
      </c>
      <c r="H59" s="279"/>
      <c r="I59" s="279"/>
      <c r="J59" s="303">
        <f>'Berekening rekenvolumes'!N73</f>
        <v>2.6666666666666665</v>
      </c>
    </row>
    <row r="60" spans="2:10" ht="12.75" customHeight="1">
      <c r="B60" s="278" t="s">
        <v>301</v>
      </c>
      <c r="C60" s="279"/>
      <c r="D60" s="279"/>
      <c r="E60" s="303">
        <f>'Berekening rekenvolumes'!N142</f>
        <v>0.33333333333333331</v>
      </c>
      <c r="F60" s="279"/>
      <c r="G60" s="278" t="s">
        <v>301</v>
      </c>
      <c r="H60" s="279"/>
      <c r="I60" s="279"/>
      <c r="J60" s="303">
        <f>'Berekening rekenvolumes'!N74</f>
        <v>78.166666666666671</v>
      </c>
    </row>
    <row r="61" spans="2:10" ht="12.75" customHeight="1">
      <c r="B61" s="278"/>
      <c r="C61" s="279"/>
      <c r="D61" s="279"/>
      <c r="E61" s="282"/>
      <c r="F61" s="279"/>
      <c r="G61" s="278"/>
      <c r="H61" s="279"/>
      <c r="I61" s="279"/>
      <c r="J61" s="282"/>
    </row>
    <row r="62" spans="2:10" ht="12.75" customHeight="1">
      <c r="B62" s="298" t="s">
        <v>290</v>
      </c>
      <c r="C62" s="279"/>
      <c r="D62" s="279"/>
      <c r="E62" s="309" t="s">
        <v>820</v>
      </c>
      <c r="F62" s="279"/>
      <c r="G62" s="298" t="s">
        <v>290</v>
      </c>
      <c r="H62" s="279"/>
      <c r="I62" s="279"/>
      <c r="J62" s="309" t="s">
        <v>820</v>
      </c>
    </row>
    <row r="63" spans="2:10" ht="12.75" customHeight="1">
      <c r="B63" s="283" t="s">
        <v>302</v>
      </c>
      <c r="C63" s="284"/>
      <c r="D63" s="284"/>
      <c r="E63" s="304">
        <f>'Berekening rekenvolumes'!F145</f>
        <v>0</v>
      </c>
      <c r="F63" s="279"/>
      <c r="G63" s="283" t="s">
        <v>302</v>
      </c>
      <c r="H63" s="284"/>
      <c r="I63" s="284"/>
      <c r="J63" s="304">
        <f>'Berekening rekenvolumes'!N77</f>
        <v>0</v>
      </c>
    </row>
    <row r="64" spans="2:10" ht="12.75" customHeight="1">
      <c r="B64" s="278"/>
      <c r="C64" s="279"/>
      <c r="D64" s="279"/>
      <c r="E64" s="279"/>
      <c r="F64" s="279"/>
      <c r="G64" s="279"/>
      <c r="H64" s="279"/>
      <c r="I64" s="279"/>
      <c r="J64" s="280"/>
    </row>
    <row r="65" spans="2:10" ht="12.75" customHeight="1">
      <c r="B65" s="295" t="s">
        <v>818</v>
      </c>
      <c r="C65" s="296"/>
      <c r="D65" s="296"/>
      <c r="E65" s="297"/>
      <c r="F65" s="279"/>
      <c r="G65" s="295" t="s">
        <v>306</v>
      </c>
      <c r="H65" s="296"/>
      <c r="I65" s="296"/>
      <c r="J65" s="297"/>
    </row>
    <row r="66" spans="2:10" ht="12.75" customHeight="1">
      <c r="B66" s="286"/>
      <c r="C66" s="287"/>
      <c r="D66" s="287"/>
      <c r="E66" s="280"/>
      <c r="F66" s="279"/>
      <c r="G66" s="286"/>
      <c r="H66" s="287"/>
      <c r="I66" s="287"/>
      <c r="J66" s="280"/>
    </row>
    <row r="67" spans="2:10" ht="12.75" customHeight="1">
      <c r="B67" s="298" t="s">
        <v>284</v>
      </c>
      <c r="C67" s="279"/>
      <c r="D67" s="279"/>
      <c r="E67" s="309" t="s">
        <v>820</v>
      </c>
      <c r="F67" s="279"/>
      <c r="G67" s="298" t="s">
        <v>284</v>
      </c>
      <c r="H67" s="279"/>
      <c r="I67" s="279"/>
      <c r="J67" s="309" t="s">
        <v>820</v>
      </c>
    </row>
    <row r="68" spans="2:10" ht="12.75" customHeight="1">
      <c r="B68" s="278" t="s">
        <v>285</v>
      </c>
      <c r="C68" s="279"/>
      <c r="D68" s="279"/>
      <c r="E68" s="303">
        <f>'Berekening rekenvolumes'!N85</f>
        <v>631.33333333333337</v>
      </c>
      <c r="F68" s="279"/>
      <c r="G68" s="278" t="s">
        <v>285</v>
      </c>
      <c r="H68" s="279"/>
      <c r="I68" s="279"/>
      <c r="J68" s="303">
        <f>'Berekening rekenvolumes'!N35</f>
        <v>49258.239698931109</v>
      </c>
    </row>
    <row r="69" spans="2:10" ht="12.75" customHeight="1">
      <c r="B69" s="278" t="s">
        <v>286</v>
      </c>
      <c r="C69" s="279"/>
      <c r="D69" s="279"/>
      <c r="E69" s="303">
        <f>'Berekening rekenvolumes'!N86</f>
        <v>4.333333333333333</v>
      </c>
      <c r="F69" s="279"/>
      <c r="G69" s="278" t="s">
        <v>286</v>
      </c>
      <c r="H69" s="279"/>
      <c r="I69" s="279"/>
      <c r="J69" s="303">
        <f>'Berekening rekenvolumes'!N36</f>
        <v>426.65446531706112</v>
      </c>
    </row>
    <row r="70" spans="2:10" ht="12.75" customHeight="1">
      <c r="B70" s="278" t="s">
        <v>287</v>
      </c>
      <c r="C70" s="279"/>
      <c r="D70" s="279"/>
      <c r="E70" s="303">
        <f>'Berekening rekenvolumes'!N87</f>
        <v>2.6666666666666665</v>
      </c>
      <c r="F70" s="279"/>
      <c r="G70" s="278" t="s">
        <v>287</v>
      </c>
      <c r="H70" s="279"/>
      <c r="I70" s="279"/>
      <c r="J70" s="303">
        <f>'Berekening rekenvolumes'!N37</f>
        <v>404.5022884315693</v>
      </c>
    </row>
    <row r="71" spans="2:10" ht="12.75" customHeight="1">
      <c r="B71" s="278" t="s">
        <v>288</v>
      </c>
      <c r="C71" s="279"/>
      <c r="D71" s="279"/>
      <c r="E71" s="307">
        <f>'Berekening rekenvolumes'!N88</f>
        <v>2.3333333333333335</v>
      </c>
      <c r="F71" s="279"/>
      <c r="G71" s="278" t="s">
        <v>288</v>
      </c>
      <c r="H71" s="279"/>
      <c r="I71" s="279"/>
      <c r="J71" s="307">
        <f>'Berekening rekenvolumes'!N38</f>
        <v>295.06310329197191</v>
      </c>
    </row>
    <row r="72" spans="2:10" ht="12.75" customHeight="1">
      <c r="B72" s="278"/>
      <c r="C72" s="279"/>
      <c r="D72" s="279"/>
      <c r="E72" s="282"/>
      <c r="F72" s="279"/>
      <c r="G72" s="278"/>
      <c r="H72" s="279"/>
      <c r="I72" s="279"/>
      <c r="J72" s="282"/>
    </row>
    <row r="73" spans="2:10" ht="12.75" customHeight="1">
      <c r="B73" s="298" t="s">
        <v>289</v>
      </c>
      <c r="C73" s="279"/>
      <c r="D73" s="279"/>
      <c r="E73" s="309" t="s">
        <v>820</v>
      </c>
      <c r="F73" s="279"/>
      <c r="G73" s="298" t="s">
        <v>289</v>
      </c>
      <c r="H73" s="279"/>
      <c r="I73" s="279"/>
      <c r="J73" s="309" t="s">
        <v>820</v>
      </c>
    </row>
    <row r="74" spans="2:10" ht="12.75" customHeight="1">
      <c r="B74" s="278" t="s">
        <v>285</v>
      </c>
      <c r="C74" s="279"/>
      <c r="D74" s="279"/>
      <c r="E74" s="303">
        <f>'Berekening rekenvolumes'!N91</f>
        <v>0</v>
      </c>
      <c r="F74" s="279"/>
      <c r="G74" s="278" t="s">
        <v>285</v>
      </c>
      <c r="H74" s="279"/>
      <c r="I74" s="279"/>
      <c r="J74" s="303">
        <f>'Berekening rekenvolumes'!N41</f>
        <v>0</v>
      </c>
    </row>
    <row r="75" spans="2:10" ht="12.75" customHeight="1">
      <c r="B75" s="278" t="s">
        <v>286</v>
      </c>
      <c r="C75" s="279"/>
      <c r="D75" s="279"/>
      <c r="E75" s="303">
        <f>'Berekening rekenvolumes'!N92</f>
        <v>0</v>
      </c>
      <c r="F75" s="279"/>
      <c r="G75" s="278" t="s">
        <v>286</v>
      </c>
      <c r="H75" s="279"/>
      <c r="I75" s="279"/>
      <c r="J75" s="303">
        <f>'Berekening rekenvolumes'!N42</f>
        <v>0</v>
      </c>
    </row>
    <row r="76" spans="2:10" ht="12.75" customHeight="1">
      <c r="B76" s="278" t="s">
        <v>287</v>
      </c>
      <c r="C76" s="279"/>
      <c r="D76" s="279"/>
      <c r="E76" s="303">
        <f>'Berekening rekenvolumes'!N93</f>
        <v>0</v>
      </c>
      <c r="F76" s="279"/>
      <c r="G76" s="278" t="s">
        <v>287</v>
      </c>
      <c r="H76" s="279"/>
      <c r="I76" s="279"/>
      <c r="J76" s="303">
        <f>'Berekening rekenvolumes'!N43</f>
        <v>0</v>
      </c>
    </row>
    <row r="77" spans="2:10" ht="12.75" customHeight="1">
      <c r="B77" s="278" t="s">
        <v>288</v>
      </c>
      <c r="C77" s="279"/>
      <c r="D77" s="279"/>
      <c r="E77" s="307">
        <f>'Berekening rekenvolumes'!N94</f>
        <v>0</v>
      </c>
      <c r="F77" s="279"/>
      <c r="G77" s="278" t="s">
        <v>288</v>
      </c>
      <c r="H77" s="279"/>
      <c r="I77" s="279"/>
      <c r="J77" s="307">
        <f>'Berekening rekenvolumes'!N44</f>
        <v>0</v>
      </c>
    </row>
    <row r="78" spans="2:10" ht="12.75" customHeight="1">
      <c r="B78" s="278"/>
      <c r="C78" s="279"/>
      <c r="D78" s="279"/>
      <c r="E78" s="282"/>
      <c r="F78" s="279"/>
      <c r="G78" s="278"/>
      <c r="H78" s="279"/>
      <c r="I78" s="279"/>
      <c r="J78" s="282"/>
    </row>
    <row r="79" spans="2:10" ht="12.75" customHeight="1">
      <c r="B79" s="298" t="s">
        <v>290</v>
      </c>
      <c r="C79" s="279"/>
      <c r="D79" s="279"/>
      <c r="E79" s="309" t="s">
        <v>820</v>
      </c>
      <c r="F79" s="279"/>
      <c r="G79" s="298" t="s">
        <v>290</v>
      </c>
      <c r="H79" s="279"/>
      <c r="I79" s="279"/>
      <c r="J79" s="309" t="s">
        <v>820</v>
      </c>
    </row>
    <row r="80" spans="2:10" ht="12.75" customHeight="1">
      <c r="B80" s="283" t="s">
        <v>291</v>
      </c>
      <c r="C80" s="284"/>
      <c r="D80" s="284"/>
      <c r="E80" s="304">
        <f>'Berekening rekenvolumes'!N97</f>
        <v>0</v>
      </c>
      <c r="F80" s="279"/>
      <c r="G80" s="283" t="s">
        <v>291</v>
      </c>
      <c r="H80" s="284"/>
      <c r="I80" s="284"/>
      <c r="J80" s="304">
        <f>'Berekening rekenvolumes'!N47</f>
        <v>0</v>
      </c>
    </row>
    <row r="81" spans="2:10" ht="12.75" customHeight="1">
      <c r="B81" s="278"/>
      <c r="C81" s="279"/>
      <c r="D81" s="279"/>
      <c r="E81" s="279"/>
      <c r="F81" s="279"/>
      <c r="G81" s="279"/>
      <c r="H81" s="279"/>
      <c r="I81" s="279"/>
      <c r="J81" s="282"/>
    </row>
    <row r="82" spans="2:10" ht="12.75" customHeight="1">
      <c r="B82" s="295" t="s">
        <v>819</v>
      </c>
      <c r="C82" s="296"/>
      <c r="D82" s="296"/>
      <c r="E82" s="297"/>
      <c r="F82" s="279"/>
      <c r="G82" s="279"/>
      <c r="H82" s="279"/>
      <c r="I82" s="279"/>
      <c r="J82" s="282"/>
    </row>
    <row r="83" spans="2:10" ht="12.75" customHeight="1">
      <c r="B83" s="286"/>
      <c r="C83" s="287"/>
      <c r="D83" s="287"/>
      <c r="E83" s="280"/>
      <c r="F83" s="279"/>
      <c r="G83" s="279"/>
      <c r="H83" s="279"/>
      <c r="I83" s="279"/>
      <c r="J83" s="282"/>
    </row>
    <row r="84" spans="2:10" ht="12.75" customHeight="1">
      <c r="B84" s="298" t="s">
        <v>284</v>
      </c>
      <c r="C84" s="279"/>
      <c r="D84" s="279"/>
      <c r="E84" s="309" t="s">
        <v>820</v>
      </c>
      <c r="F84" s="279"/>
      <c r="G84" s="279"/>
      <c r="H84" s="279"/>
      <c r="I84" s="279"/>
      <c r="J84" s="282"/>
    </row>
    <row r="85" spans="2:10" ht="12.75" customHeight="1">
      <c r="B85" s="278" t="s">
        <v>285</v>
      </c>
      <c r="C85" s="279"/>
      <c r="D85" s="279"/>
      <c r="E85" s="303">
        <f>'Berekening rekenvolumes'!N103</f>
        <v>820.16666666666663</v>
      </c>
      <c r="F85" s="279"/>
      <c r="G85" s="279"/>
      <c r="H85" s="279"/>
      <c r="I85" s="279"/>
      <c r="J85" s="282"/>
    </row>
    <row r="86" spans="2:10" ht="12.75" customHeight="1">
      <c r="B86" s="278" t="s">
        <v>286</v>
      </c>
      <c r="C86" s="279"/>
      <c r="D86" s="279"/>
      <c r="E86" s="303">
        <f>'Berekening rekenvolumes'!N104</f>
        <v>23.333333333333332</v>
      </c>
      <c r="F86" s="279"/>
      <c r="G86" s="279"/>
      <c r="H86" s="279"/>
      <c r="I86" s="279"/>
      <c r="J86" s="282"/>
    </row>
    <row r="87" spans="2:10" ht="12.75" customHeight="1">
      <c r="B87" s="278" t="s">
        <v>287</v>
      </c>
      <c r="C87" s="279"/>
      <c r="D87" s="279"/>
      <c r="E87" s="303">
        <f>'Berekening rekenvolumes'!N105</f>
        <v>41.666666666666664</v>
      </c>
      <c r="F87" s="279"/>
      <c r="G87" s="279"/>
      <c r="H87" s="279"/>
      <c r="I87" s="279"/>
      <c r="J87" s="282"/>
    </row>
    <row r="88" spans="2:10" ht="12.75" customHeight="1">
      <c r="B88" s="278" t="s">
        <v>288</v>
      </c>
      <c r="C88" s="279"/>
      <c r="D88" s="279"/>
      <c r="E88" s="307">
        <f>'Berekening rekenvolumes'!N106</f>
        <v>74.083869371598212</v>
      </c>
      <c r="F88" s="279"/>
      <c r="G88" s="279"/>
      <c r="H88" s="279"/>
      <c r="I88" s="279"/>
      <c r="J88" s="282"/>
    </row>
    <row r="89" spans="2:10" ht="12.75" customHeight="1">
      <c r="B89" s="278"/>
      <c r="C89" s="279"/>
      <c r="D89" s="279"/>
      <c r="E89" s="282"/>
      <c r="F89" s="279"/>
      <c r="G89" s="279"/>
      <c r="H89" s="279"/>
      <c r="I89" s="279"/>
      <c r="J89" s="282"/>
    </row>
    <row r="90" spans="2:10" ht="12.75" customHeight="1">
      <c r="B90" s="298" t="s">
        <v>289</v>
      </c>
      <c r="C90" s="279"/>
      <c r="D90" s="279"/>
      <c r="E90" s="309" t="s">
        <v>820</v>
      </c>
      <c r="F90" s="279"/>
      <c r="G90" s="279"/>
      <c r="H90" s="279"/>
      <c r="I90" s="279"/>
      <c r="J90" s="282"/>
    </row>
    <row r="91" spans="2:10" ht="12.75" customHeight="1">
      <c r="B91" s="278" t="s">
        <v>285</v>
      </c>
      <c r="C91" s="279"/>
      <c r="D91" s="279"/>
      <c r="E91" s="303">
        <f>'Berekening rekenvolumes'!N109</f>
        <v>0</v>
      </c>
      <c r="F91" s="279"/>
      <c r="G91" s="279"/>
      <c r="H91" s="279"/>
      <c r="I91" s="279"/>
      <c r="J91" s="306"/>
    </row>
    <row r="92" spans="2:10" ht="12.75" customHeight="1">
      <c r="B92" s="278" t="s">
        <v>286</v>
      </c>
      <c r="C92" s="279"/>
      <c r="D92" s="279"/>
      <c r="E92" s="303">
        <f>'Berekening rekenvolumes'!N110</f>
        <v>0</v>
      </c>
      <c r="F92" s="279"/>
      <c r="G92" s="279"/>
      <c r="H92" s="279"/>
      <c r="I92" s="279"/>
      <c r="J92" s="306"/>
    </row>
    <row r="93" spans="2:10" ht="12.75" customHeight="1">
      <c r="B93" s="278" t="s">
        <v>287</v>
      </c>
      <c r="C93" s="279"/>
      <c r="D93" s="279"/>
      <c r="E93" s="303">
        <f>'Berekening rekenvolumes'!N111</f>
        <v>0</v>
      </c>
      <c r="F93" s="279"/>
      <c r="G93" s="279"/>
      <c r="H93" s="279"/>
      <c r="I93" s="279"/>
      <c r="J93" s="306"/>
    </row>
    <row r="94" spans="2:10" ht="12.75" customHeight="1">
      <c r="B94" s="278" t="s">
        <v>288</v>
      </c>
      <c r="C94" s="279"/>
      <c r="D94" s="279"/>
      <c r="E94" s="307">
        <f>'Berekening rekenvolumes'!N112</f>
        <v>0</v>
      </c>
      <c r="F94" s="279"/>
      <c r="G94" s="519" t="s">
        <v>1347</v>
      </c>
      <c r="H94" s="519"/>
      <c r="I94" s="519"/>
      <c r="J94" s="282"/>
    </row>
    <row r="95" spans="2:10" ht="12.75" customHeight="1">
      <c r="B95" s="278"/>
      <c r="C95" s="279"/>
      <c r="D95" s="279"/>
      <c r="E95" s="282"/>
      <c r="F95" s="279"/>
      <c r="G95" s="519"/>
      <c r="H95" s="519"/>
      <c r="I95" s="519"/>
      <c r="J95" s="302"/>
    </row>
    <row r="96" spans="2:10" ht="12.75" customHeight="1">
      <c r="B96" s="298" t="s">
        <v>290</v>
      </c>
      <c r="C96" s="279"/>
      <c r="D96" s="279"/>
      <c r="E96" s="309" t="s">
        <v>820</v>
      </c>
      <c r="F96" s="279"/>
      <c r="G96" s="519"/>
      <c r="H96" s="519"/>
      <c r="I96" s="519"/>
      <c r="J96" s="306"/>
    </row>
    <row r="97" spans="2:10" ht="12.75" customHeight="1">
      <c r="B97" s="283" t="s">
        <v>291</v>
      </c>
      <c r="C97" s="284"/>
      <c r="D97" s="284"/>
      <c r="E97" s="304">
        <f>'Berekening rekenvolumes'!N115</f>
        <v>0</v>
      </c>
      <c r="F97" s="279"/>
      <c r="G97" s="279"/>
      <c r="H97" s="279"/>
      <c r="I97" s="279"/>
      <c r="J97" s="282"/>
    </row>
    <row r="98" spans="2:10" ht="9" customHeight="1">
      <c r="B98" s="283"/>
      <c r="C98" s="284"/>
      <c r="D98" s="284"/>
      <c r="E98" s="284"/>
      <c r="F98" s="284"/>
      <c r="G98" s="284"/>
      <c r="H98" s="284"/>
      <c r="I98" s="284"/>
      <c r="J98" s="285"/>
    </row>
    <row r="99" spans="2:10" ht="12.75" customHeight="1">
      <c r="G99" s="279"/>
      <c r="H99" s="279"/>
      <c r="I99" s="279"/>
      <c r="J99" s="279"/>
    </row>
  </sheetData>
  <mergeCells count="1">
    <mergeCell ref="G94:I96"/>
  </mergeCells>
  <pageMargins left="0.7" right="0.7" top="0.75" bottom="0.75" header="0.3" footer="0.3"/>
  <pageSetup paperSize="9" scale="5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2:K99"/>
  <sheetViews>
    <sheetView showGridLines="0" zoomScale="85" zoomScaleNormal="85" workbookViewId="0"/>
  </sheetViews>
  <sheetFormatPr defaultRowHeight="12.75"/>
  <cols>
    <col min="1" max="1" width="9.140625" style="277"/>
    <col min="2" max="2" width="50.7109375" style="277" customWidth="1"/>
    <col min="3" max="3" width="2.42578125" style="277" customWidth="1"/>
    <col min="4" max="4" width="4" style="277" customWidth="1"/>
    <col min="5" max="5" width="16" style="277" customWidth="1"/>
    <col min="6" max="6" width="2.85546875" style="277" customWidth="1"/>
    <col min="7" max="7" width="52.28515625" style="277" customWidth="1"/>
    <col min="8" max="8" width="2.42578125" style="277" customWidth="1"/>
    <col min="9" max="9" width="4" style="277" customWidth="1"/>
    <col min="10" max="10" width="13.5703125" style="277" customWidth="1"/>
    <col min="11" max="16384" width="9.140625" style="277"/>
  </cols>
  <sheetData>
    <row r="2" spans="2:10" ht="19.5" customHeight="1">
      <c r="B2" s="489" t="s">
        <v>1185</v>
      </c>
      <c r="C2" s="275"/>
      <c r="D2" s="275"/>
      <c r="E2" s="275"/>
      <c r="F2" s="275"/>
      <c r="G2" s="275"/>
      <c r="H2" s="275"/>
      <c r="I2" s="275"/>
      <c r="J2" s="276"/>
    </row>
    <row r="3" spans="2:10" ht="4.5" customHeight="1">
      <c r="B3" s="278"/>
      <c r="C3" s="279"/>
      <c r="D3" s="279"/>
      <c r="E3" s="279"/>
      <c r="F3" s="279"/>
      <c r="G3" s="279"/>
      <c r="H3" s="279"/>
      <c r="I3" s="279"/>
      <c r="J3" s="282"/>
    </row>
    <row r="4" spans="2:10">
      <c r="B4" s="299" t="s">
        <v>132</v>
      </c>
      <c r="C4" s="279"/>
      <c r="D4" s="279"/>
      <c r="E4" s="281"/>
      <c r="F4" s="279"/>
      <c r="G4" s="279"/>
      <c r="H4" s="279"/>
      <c r="I4" s="279"/>
      <c r="J4" s="282"/>
    </row>
    <row r="5" spans="2:10" ht="4.5" customHeight="1">
      <c r="B5" s="278"/>
      <c r="C5" s="279"/>
      <c r="D5" s="279"/>
      <c r="E5" s="279"/>
      <c r="F5" s="279"/>
      <c r="G5" s="279"/>
      <c r="H5" s="279"/>
      <c r="I5" s="279"/>
      <c r="J5" s="282"/>
    </row>
    <row r="6" spans="2:10" ht="4.5" customHeight="1">
      <c r="B6" s="283"/>
      <c r="C6" s="284"/>
      <c r="D6" s="284"/>
      <c r="E6" s="284"/>
      <c r="F6" s="284"/>
      <c r="G6" s="284"/>
      <c r="H6" s="284"/>
      <c r="I6" s="284"/>
      <c r="J6" s="285"/>
    </row>
    <row r="7" spans="2:10">
      <c r="B7" s="294" t="s">
        <v>28</v>
      </c>
      <c r="C7" s="275"/>
      <c r="D7" s="275"/>
      <c r="E7" s="275"/>
      <c r="F7" s="275"/>
      <c r="G7" s="275"/>
      <c r="H7" s="275"/>
      <c r="I7" s="275"/>
      <c r="J7" s="276"/>
    </row>
    <row r="8" spans="2:10">
      <c r="B8" s="286"/>
      <c r="C8" s="287"/>
      <c r="D8" s="287"/>
      <c r="E8" s="287"/>
      <c r="F8" s="287"/>
      <c r="G8" s="287"/>
      <c r="H8" s="287"/>
      <c r="I8" s="287"/>
      <c r="J8" s="280"/>
    </row>
    <row r="9" spans="2:10">
      <c r="B9" s="288" t="s">
        <v>265</v>
      </c>
      <c r="C9" s="279"/>
      <c r="D9" s="279"/>
      <c r="E9" s="308" t="s">
        <v>820</v>
      </c>
      <c r="F9" s="279"/>
      <c r="G9" s="279"/>
      <c r="H9" s="279"/>
      <c r="I9" s="279"/>
      <c r="J9" s="282"/>
    </row>
    <row r="10" spans="2:10">
      <c r="B10" s="289" t="s">
        <v>201</v>
      </c>
      <c r="C10" s="279"/>
      <c r="D10" s="279"/>
      <c r="E10" s="300">
        <f>'Berekening rekenvolumes'!O10</f>
        <v>0</v>
      </c>
      <c r="F10" s="279"/>
      <c r="G10" s="279"/>
      <c r="H10" s="279"/>
      <c r="I10" s="279"/>
      <c r="J10" s="282"/>
    </row>
    <row r="11" spans="2:10">
      <c r="B11" s="290" t="s">
        <v>202</v>
      </c>
      <c r="C11" s="279"/>
      <c r="D11" s="279"/>
      <c r="E11" s="301">
        <f>'Berekening rekenvolumes'!O11</f>
        <v>0</v>
      </c>
      <c r="F11" s="279"/>
      <c r="G11" s="279"/>
      <c r="H11" s="279"/>
      <c r="I11" s="279"/>
      <c r="J11" s="282"/>
    </row>
    <row r="12" spans="2:10">
      <c r="B12" s="290"/>
      <c r="C12" s="279"/>
      <c r="D12" s="279"/>
      <c r="E12" s="281"/>
      <c r="F12" s="279"/>
      <c r="G12" s="279"/>
      <c r="H12" s="279"/>
      <c r="I12" s="279"/>
      <c r="J12" s="282"/>
    </row>
    <row r="13" spans="2:10">
      <c r="B13" s="291" t="s">
        <v>266</v>
      </c>
      <c r="C13" s="279"/>
      <c r="D13" s="279"/>
      <c r="E13" s="308" t="s">
        <v>820</v>
      </c>
      <c r="F13" s="279"/>
      <c r="G13" s="279"/>
      <c r="H13" s="279"/>
      <c r="I13" s="279"/>
      <c r="J13" s="282"/>
    </row>
    <row r="14" spans="2:10">
      <c r="B14" s="289" t="s">
        <v>201</v>
      </c>
      <c r="C14" s="279"/>
      <c r="D14" s="279"/>
      <c r="E14" s="300">
        <f>'Berekening rekenvolumes'!O14</f>
        <v>0</v>
      </c>
      <c r="F14" s="279"/>
      <c r="G14" s="279"/>
      <c r="H14" s="279"/>
      <c r="I14" s="279"/>
      <c r="J14" s="282"/>
    </row>
    <row r="15" spans="2:10">
      <c r="B15" s="290" t="s">
        <v>202</v>
      </c>
      <c r="C15" s="279"/>
      <c r="D15" s="279"/>
      <c r="E15" s="301">
        <f>'Berekening rekenvolumes'!O15</f>
        <v>0</v>
      </c>
      <c r="F15" s="279"/>
      <c r="G15" s="279"/>
      <c r="H15" s="279"/>
      <c r="I15" s="279"/>
      <c r="J15" s="282"/>
    </row>
    <row r="16" spans="2:10">
      <c r="B16" s="292"/>
      <c r="C16" s="279"/>
      <c r="D16" s="279"/>
      <c r="E16" s="281"/>
      <c r="F16" s="279"/>
      <c r="G16" s="279"/>
      <c r="H16" s="279"/>
      <c r="I16" s="279"/>
      <c r="J16" s="282"/>
    </row>
    <row r="17" spans="1:11">
      <c r="B17" s="288" t="s">
        <v>204</v>
      </c>
      <c r="C17" s="279"/>
      <c r="D17" s="279"/>
      <c r="E17" s="308" t="s">
        <v>820</v>
      </c>
      <c r="F17" s="279"/>
      <c r="G17" s="279"/>
      <c r="H17" s="279"/>
      <c r="I17" s="279"/>
      <c r="J17" s="282"/>
    </row>
    <row r="18" spans="1:11">
      <c r="B18" s="289" t="s">
        <v>201</v>
      </c>
      <c r="C18" s="279"/>
      <c r="D18" s="279"/>
      <c r="E18" s="300">
        <f>'Berekening rekenvolumes'!O18</f>
        <v>0</v>
      </c>
      <c r="F18" s="279"/>
      <c r="G18" s="279"/>
      <c r="H18" s="279"/>
      <c r="I18" s="279"/>
      <c r="J18" s="282"/>
    </row>
    <row r="19" spans="1:11">
      <c r="B19" s="290" t="s">
        <v>262</v>
      </c>
      <c r="C19" s="279"/>
      <c r="D19" s="279"/>
      <c r="E19" s="300">
        <f>'Berekening rekenvolumes'!O19</f>
        <v>0</v>
      </c>
      <c r="F19" s="279"/>
      <c r="G19" s="279"/>
      <c r="H19" s="279"/>
      <c r="I19" s="279"/>
      <c r="J19" s="282"/>
    </row>
    <row r="20" spans="1:11">
      <c r="B20" s="289" t="s">
        <v>263</v>
      </c>
      <c r="C20" s="279"/>
      <c r="D20" s="279"/>
      <c r="E20" s="300">
        <f>'Berekening rekenvolumes'!O20</f>
        <v>0</v>
      </c>
      <c r="F20" s="279"/>
      <c r="G20" s="279"/>
      <c r="H20" s="279"/>
      <c r="I20" s="279"/>
      <c r="J20" s="282"/>
    </row>
    <row r="21" spans="1:11">
      <c r="B21" s="290" t="s">
        <v>264</v>
      </c>
      <c r="C21" s="279"/>
      <c r="D21" s="279"/>
      <c r="E21" s="300">
        <f>'Berekening rekenvolumes'!O21</f>
        <v>0</v>
      </c>
      <c r="F21" s="279"/>
      <c r="G21" s="279"/>
      <c r="H21" s="279"/>
      <c r="I21" s="279"/>
      <c r="J21" s="282"/>
    </row>
    <row r="22" spans="1:11">
      <c r="B22" s="293"/>
      <c r="C22" s="279"/>
      <c r="D22" s="279"/>
      <c r="E22" s="281"/>
      <c r="F22" s="279"/>
      <c r="G22" s="279"/>
      <c r="H22" s="279"/>
      <c r="I22" s="279"/>
      <c r="J22" s="282"/>
    </row>
    <row r="23" spans="1:11">
      <c r="B23" s="288" t="s">
        <v>206</v>
      </c>
      <c r="C23" s="279"/>
      <c r="D23" s="279"/>
      <c r="E23" s="308" t="s">
        <v>820</v>
      </c>
      <c r="F23" s="279"/>
      <c r="G23" s="279"/>
      <c r="H23" s="279"/>
      <c r="I23" s="279"/>
      <c r="J23" s="282"/>
    </row>
    <row r="24" spans="1:11">
      <c r="B24" s="289" t="s">
        <v>201</v>
      </c>
      <c r="C24" s="279"/>
      <c r="D24" s="279"/>
      <c r="E24" s="300">
        <f>'Berekening rekenvolumes'!O25</f>
        <v>2</v>
      </c>
      <c r="F24" s="279"/>
      <c r="G24" s="279"/>
      <c r="H24" s="279"/>
      <c r="I24" s="279"/>
      <c r="J24" s="282"/>
    </row>
    <row r="25" spans="1:11">
      <c r="B25" s="290" t="s">
        <v>202</v>
      </c>
      <c r="C25" s="279"/>
      <c r="D25" s="279"/>
      <c r="E25" s="301">
        <f>'Berekening rekenvolumes'!O26</f>
        <v>650141.79210000008</v>
      </c>
      <c r="F25" s="279"/>
      <c r="G25" s="279"/>
      <c r="H25" s="279"/>
      <c r="I25" s="279"/>
      <c r="J25" s="282"/>
    </row>
    <row r="26" spans="1:11" ht="4.5" customHeight="1">
      <c r="B26" s="283"/>
      <c r="C26" s="284"/>
      <c r="D26" s="284"/>
      <c r="E26" s="284"/>
      <c r="F26" s="284"/>
      <c r="G26" s="284"/>
      <c r="H26" s="284"/>
      <c r="I26" s="284"/>
      <c r="J26" s="285"/>
    </row>
    <row r="27" spans="1:11" ht="4.5" customHeight="1">
      <c r="A27" s="279"/>
      <c r="B27" s="279"/>
      <c r="C27" s="279"/>
      <c r="D27" s="279"/>
      <c r="E27" s="279"/>
      <c r="F27" s="279"/>
      <c r="G27" s="279"/>
      <c r="H27" s="279"/>
      <c r="I27" s="279"/>
      <c r="J27" s="279"/>
      <c r="K27" s="279"/>
    </row>
    <row r="28" spans="1:11" ht="4.5" customHeight="1">
      <c r="A28" s="279"/>
      <c r="B28" s="284"/>
      <c r="C28" s="284"/>
      <c r="D28" s="284"/>
      <c r="E28" s="284"/>
      <c r="F28" s="284"/>
      <c r="G28" s="284"/>
      <c r="H28" s="284"/>
      <c r="I28" s="284"/>
      <c r="J28" s="284"/>
      <c r="K28" s="279"/>
    </row>
    <row r="29" spans="1:11" ht="19.5" customHeight="1">
      <c r="B29" s="489" t="s">
        <v>1185</v>
      </c>
      <c r="C29" s="275"/>
      <c r="D29" s="275"/>
      <c r="E29" s="275"/>
      <c r="F29" s="275"/>
      <c r="G29" s="275"/>
      <c r="H29" s="275"/>
      <c r="I29" s="275"/>
      <c r="J29" s="276"/>
    </row>
    <row r="30" spans="1:11" ht="4.5" customHeight="1">
      <c r="B30" s="278"/>
      <c r="C30" s="279"/>
      <c r="D30" s="279"/>
      <c r="E30" s="279"/>
      <c r="F30" s="279"/>
      <c r="G30" s="279"/>
      <c r="H30" s="279"/>
      <c r="I30" s="279"/>
      <c r="J30" s="282"/>
    </row>
    <row r="31" spans="1:11">
      <c r="B31" s="299" t="s">
        <v>132</v>
      </c>
      <c r="C31" s="279"/>
      <c r="D31" s="279"/>
      <c r="E31" s="281"/>
      <c r="F31" s="279"/>
      <c r="G31" s="279"/>
      <c r="H31" s="279"/>
      <c r="I31" s="279"/>
      <c r="J31" s="282"/>
    </row>
    <row r="32" spans="1:11" ht="4.5" customHeight="1">
      <c r="B32" s="278"/>
      <c r="C32" s="279"/>
      <c r="D32" s="279"/>
      <c r="E32" s="279"/>
      <c r="F32" s="279"/>
      <c r="G32" s="279"/>
      <c r="H32" s="279"/>
      <c r="I32" s="279"/>
      <c r="J32" s="282"/>
    </row>
    <row r="33" spans="2:10" ht="4.5" customHeight="1">
      <c r="B33" s="283"/>
      <c r="C33" s="284"/>
      <c r="D33" s="284"/>
      <c r="E33" s="284"/>
      <c r="F33" s="284"/>
      <c r="G33" s="284"/>
      <c r="H33" s="284"/>
      <c r="I33" s="284"/>
      <c r="J33" s="285"/>
    </row>
    <row r="34" spans="2:10" ht="12.75" customHeight="1">
      <c r="B34" s="294" t="s">
        <v>136</v>
      </c>
      <c r="C34" s="275"/>
      <c r="D34" s="275"/>
      <c r="E34" s="275"/>
      <c r="F34" s="275"/>
      <c r="G34" s="275"/>
      <c r="H34" s="275"/>
      <c r="I34" s="275"/>
      <c r="J34" s="276"/>
    </row>
    <row r="35" spans="2:10" ht="12.75" customHeight="1">
      <c r="B35" s="278"/>
      <c r="C35" s="279"/>
      <c r="D35" s="279"/>
      <c r="E35" s="279"/>
      <c r="F35" s="279"/>
      <c r="G35" s="279"/>
      <c r="H35" s="279"/>
      <c r="I35" s="279"/>
      <c r="J35" s="305"/>
    </row>
    <row r="36" spans="2:10" ht="12.75" customHeight="1">
      <c r="B36" s="295" t="s">
        <v>816</v>
      </c>
      <c r="C36" s="296"/>
      <c r="D36" s="296"/>
      <c r="E36" s="297"/>
      <c r="F36" s="279"/>
      <c r="G36" s="295" t="s">
        <v>817</v>
      </c>
      <c r="H36" s="296"/>
      <c r="I36" s="296"/>
      <c r="J36" s="297"/>
    </row>
    <row r="37" spans="2:10" ht="12.75" customHeight="1">
      <c r="B37" s="286"/>
      <c r="C37" s="287"/>
      <c r="D37" s="287"/>
      <c r="E37" s="280"/>
      <c r="F37" s="279"/>
      <c r="G37" s="278"/>
      <c r="H37" s="279"/>
      <c r="I37" s="279"/>
      <c r="J37" s="282"/>
    </row>
    <row r="38" spans="2:10" ht="12.75" customHeight="1">
      <c r="B38" s="298" t="s">
        <v>284</v>
      </c>
      <c r="C38" s="279"/>
      <c r="D38" s="279"/>
      <c r="E38" s="309" t="s">
        <v>820</v>
      </c>
      <c r="F38" s="279"/>
      <c r="G38" s="298" t="s">
        <v>284</v>
      </c>
      <c r="H38" s="279"/>
      <c r="I38" s="279"/>
      <c r="J38" s="309" t="s">
        <v>820</v>
      </c>
    </row>
    <row r="39" spans="2:10" ht="12.75" customHeight="1">
      <c r="B39" s="278" t="s">
        <v>292</v>
      </c>
      <c r="C39" s="279"/>
      <c r="D39" s="279"/>
      <c r="E39" s="303">
        <f>'Berekening rekenvolumes'!O121</f>
        <v>0</v>
      </c>
      <c r="F39" s="279"/>
      <c r="G39" s="278" t="s">
        <v>292</v>
      </c>
      <c r="H39" s="279"/>
      <c r="I39" s="279"/>
      <c r="J39" s="303">
        <f>'Berekening rekenvolumes'!O53</f>
        <v>0</v>
      </c>
    </row>
    <row r="40" spans="2:10" ht="12.75" customHeight="1">
      <c r="B40" s="278" t="s">
        <v>293</v>
      </c>
      <c r="C40" s="279"/>
      <c r="D40" s="279"/>
      <c r="E40" s="303">
        <f>'Berekening rekenvolumes'!O122</f>
        <v>0</v>
      </c>
      <c r="F40" s="279"/>
      <c r="G40" s="278" t="s">
        <v>293</v>
      </c>
      <c r="H40" s="279"/>
      <c r="I40" s="279"/>
      <c r="J40" s="303">
        <f>'Berekening rekenvolumes'!O54</f>
        <v>0</v>
      </c>
    </row>
    <row r="41" spans="2:10" ht="12.75" customHeight="1">
      <c r="B41" s="278" t="s">
        <v>294</v>
      </c>
      <c r="C41" s="279"/>
      <c r="D41" s="279"/>
      <c r="E41" s="303">
        <f>'Berekening rekenvolumes'!O123</f>
        <v>0</v>
      </c>
      <c r="F41" s="279"/>
      <c r="G41" s="278" t="s">
        <v>294</v>
      </c>
      <c r="H41" s="279"/>
      <c r="I41" s="279"/>
      <c r="J41" s="303">
        <f>'Berekening rekenvolumes'!O55</f>
        <v>0</v>
      </c>
    </row>
    <row r="42" spans="2:10" ht="12.75" customHeight="1">
      <c r="B42" s="278" t="s">
        <v>295</v>
      </c>
      <c r="C42" s="279"/>
      <c r="D42" s="279"/>
      <c r="E42" s="303">
        <f>'Berekening rekenvolumes'!O124</f>
        <v>0</v>
      </c>
      <c r="F42" s="279"/>
      <c r="G42" s="278" t="s">
        <v>295</v>
      </c>
      <c r="H42" s="279"/>
      <c r="I42" s="279"/>
      <c r="J42" s="303">
        <f>'Berekening rekenvolumes'!O56</f>
        <v>0</v>
      </c>
    </row>
    <row r="43" spans="2:10" ht="12.75" customHeight="1">
      <c r="B43" s="299" t="s">
        <v>296</v>
      </c>
      <c r="C43" s="279"/>
      <c r="D43" s="279"/>
      <c r="E43" s="303">
        <f>'Berekening rekenvolumes'!O125</f>
        <v>0</v>
      </c>
      <c r="F43" s="279"/>
      <c r="G43" s="299" t="s">
        <v>296</v>
      </c>
      <c r="H43" s="279"/>
      <c r="I43" s="279"/>
      <c r="J43" s="303">
        <f>'Berekening rekenvolumes'!O57</f>
        <v>0</v>
      </c>
    </row>
    <row r="44" spans="2:10" ht="12.75" customHeight="1">
      <c r="B44" s="278" t="s">
        <v>297</v>
      </c>
      <c r="C44" s="279"/>
      <c r="D44" s="279"/>
      <c r="E44" s="303">
        <f>'Berekening rekenvolumes'!O126</f>
        <v>0</v>
      </c>
      <c r="F44" s="279"/>
      <c r="G44" s="278" t="s">
        <v>297</v>
      </c>
      <c r="H44" s="279"/>
      <c r="I44" s="279"/>
      <c r="J44" s="303">
        <f>'Berekening rekenvolumes'!O58</f>
        <v>0</v>
      </c>
    </row>
    <row r="45" spans="2:10" ht="12.75" customHeight="1">
      <c r="B45" s="278" t="s">
        <v>298</v>
      </c>
      <c r="C45" s="279"/>
      <c r="D45" s="279"/>
      <c r="E45" s="303">
        <f>'Berekening rekenvolumes'!O127</f>
        <v>0</v>
      </c>
      <c r="F45" s="279"/>
      <c r="G45" s="278" t="s">
        <v>298</v>
      </c>
      <c r="H45" s="279"/>
      <c r="I45" s="279"/>
      <c r="J45" s="303">
        <f>'Berekening rekenvolumes'!O59</f>
        <v>0</v>
      </c>
    </row>
    <row r="46" spans="2:10" ht="12.75" customHeight="1">
      <c r="B46" s="278" t="s">
        <v>299</v>
      </c>
      <c r="C46" s="279"/>
      <c r="D46" s="279"/>
      <c r="E46" s="303">
        <f>'Berekening rekenvolumes'!O128</f>
        <v>0</v>
      </c>
      <c r="F46" s="279"/>
      <c r="G46" s="278" t="s">
        <v>299</v>
      </c>
      <c r="H46" s="279"/>
      <c r="I46" s="279"/>
      <c r="J46" s="303">
        <f>'Berekening rekenvolumes'!O60</f>
        <v>0</v>
      </c>
    </row>
    <row r="47" spans="2:10" ht="12.75" customHeight="1">
      <c r="B47" s="278" t="s">
        <v>300</v>
      </c>
      <c r="C47" s="279"/>
      <c r="D47" s="279"/>
      <c r="E47" s="303">
        <f>'Berekening rekenvolumes'!O129</f>
        <v>0</v>
      </c>
      <c r="F47" s="279"/>
      <c r="G47" s="278" t="s">
        <v>300</v>
      </c>
      <c r="H47" s="279"/>
      <c r="I47" s="279"/>
      <c r="J47" s="303">
        <f>'Berekening rekenvolumes'!O61</f>
        <v>0</v>
      </c>
    </row>
    <row r="48" spans="2:10" ht="12.75" customHeight="1">
      <c r="B48" s="278" t="s">
        <v>301</v>
      </c>
      <c r="C48" s="279"/>
      <c r="D48" s="279"/>
      <c r="E48" s="303">
        <f>'Berekening rekenvolumes'!O130</f>
        <v>0</v>
      </c>
      <c r="F48" s="279"/>
      <c r="G48" s="278" t="s">
        <v>301</v>
      </c>
      <c r="H48" s="279"/>
      <c r="I48" s="279"/>
      <c r="J48" s="303">
        <f>'Berekening rekenvolumes'!O62</f>
        <v>0</v>
      </c>
    </row>
    <row r="49" spans="2:10" ht="12.75" customHeight="1">
      <c r="B49" s="278"/>
      <c r="C49" s="279"/>
      <c r="D49" s="279"/>
      <c r="E49" s="282"/>
      <c r="F49" s="279"/>
      <c r="G49" s="278"/>
      <c r="H49" s="279"/>
      <c r="I49" s="279"/>
      <c r="J49" s="282"/>
    </row>
    <row r="50" spans="2:10" ht="12.75" customHeight="1">
      <c r="B50" s="298" t="s">
        <v>289</v>
      </c>
      <c r="C50" s="279"/>
      <c r="D50" s="279"/>
      <c r="E50" s="309" t="s">
        <v>820</v>
      </c>
      <c r="F50" s="279"/>
      <c r="G50" s="298" t="s">
        <v>289</v>
      </c>
      <c r="H50" s="279"/>
      <c r="I50" s="279"/>
      <c r="J50" s="309" t="s">
        <v>820</v>
      </c>
    </row>
    <row r="51" spans="2:10" ht="12.75" customHeight="1">
      <c r="B51" s="278" t="s">
        <v>292</v>
      </c>
      <c r="C51" s="279"/>
      <c r="D51" s="279"/>
      <c r="E51" s="303">
        <f>'Berekening rekenvolumes'!O133</f>
        <v>0</v>
      </c>
      <c r="F51" s="279"/>
      <c r="G51" s="278" t="s">
        <v>292</v>
      </c>
      <c r="H51" s="279"/>
      <c r="I51" s="279"/>
      <c r="J51" s="303">
        <f>'Berekening rekenvolumes'!O65</f>
        <v>0</v>
      </c>
    </row>
    <row r="52" spans="2:10" ht="12.75" customHeight="1">
      <c r="B52" s="278" t="s">
        <v>293</v>
      </c>
      <c r="C52" s="279"/>
      <c r="D52" s="279"/>
      <c r="E52" s="303">
        <f>'Berekening rekenvolumes'!O134</f>
        <v>0</v>
      </c>
      <c r="F52" s="279"/>
      <c r="G52" s="278" t="s">
        <v>293</v>
      </c>
      <c r="H52" s="279"/>
      <c r="I52" s="279"/>
      <c r="J52" s="303">
        <f>'Berekening rekenvolumes'!O66</f>
        <v>0</v>
      </c>
    </row>
    <row r="53" spans="2:10" ht="12.75" customHeight="1">
      <c r="B53" s="278" t="s">
        <v>294</v>
      </c>
      <c r="C53" s="279"/>
      <c r="D53" s="279"/>
      <c r="E53" s="303">
        <f>'Berekening rekenvolumes'!O135</f>
        <v>0</v>
      </c>
      <c r="F53" s="279"/>
      <c r="G53" s="278" t="s">
        <v>294</v>
      </c>
      <c r="H53" s="279"/>
      <c r="I53" s="279"/>
      <c r="J53" s="303">
        <f>'Berekening rekenvolumes'!O67</f>
        <v>0</v>
      </c>
    </row>
    <row r="54" spans="2:10" ht="12.75" customHeight="1">
      <c r="B54" s="278" t="s">
        <v>295</v>
      </c>
      <c r="C54" s="279"/>
      <c r="D54" s="279"/>
      <c r="E54" s="303">
        <f>'Berekening rekenvolumes'!O136</f>
        <v>0</v>
      </c>
      <c r="F54" s="279"/>
      <c r="G54" s="278" t="s">
        <v>295</v>
      </c>
      <c r="H54" s="279"/>
      <c r="I54" s="279"/>
      <c r="J54" s="303">
        <f>'Berekening rekenvolumes'!O68</f>
        <v>0</v>
      </c>
    </row>
    <row r="55" spans="2:10" ht="12.75" customHeight="1">
      <c r="B55" s="299" t="s">
        <v>296</v>
      </c>
      <c r="C55" s="279"/>
      <c r="D55" s="279"/>
      <c r="E55" s="303">
        <f>'Berekening rekenvolumes'!O137</f>
        <v>0</v>
      </c>
      <c r="F55" s="279"/>
      <c r="G55" s="299" t="s">
        <v>296</v>
      </c>
      <c r="H55" s="279"/>
      <c r="I55" s="279"/>
      <c r="J55" s="303">
        <f>'Berekening rekenvolumes'!O69</f>
        <v>0</v>
      </c>
    </row>
    <row r="56" spans="2:10" ht="12.75" customHeight="1">
      <c r="B56" s="278" t="s">
        <v>297</v>
      </c>
      <c r="C56" s="279"/>
      <c r="D56" s="279"/>
      <c r="E56" s="303">
        <f>'Berekening rekenvolumes'!O138</f>
        <v>0</v>
      </c>
      <c r="F56" s="279"/>
      <c r="G56" s="278" t="s">
        <v>297</v>
      </c>
      <c r="H56" s="279"/>
      <c r="I56" s="279"/>
      <c r="J56" s="303">
        <f>'Berekening rekenvolumes'!O70</f>
        <v>0</v>
      </c>
    </row>
    <row r="57" spans="2:10" ht="12.75" customHeight="1">
      <c r="B57" s="278" t="s">
        <v>298</v>
      </c>
      <c r="C57" s="279"/>
      <c r="D57" s="279"/>
      <c r="E57" s="303">
        <f>'Berekening rekenvolumes'!O139</f>
        <v>0</v>
      </c>
      <c r="F57" s="279"/>
      <c r="G57" s="278" t="s">
        <v>298</v>
      </c>
      <c r="H57" s="279"/>
      <c r="I57" s="279"/>
      <c r="J57" s="303">
        <f>'Berekening rekenvolumes'!O71</f>
        <v>0</v>
      </c>
    </row>
    <row r="58" spans="2:10" ht="12.75" customHeight="1">
      <c r="B58" s="278" t="s">
        <v>299</v>
      </c>
      <c r="C58" s="279"/>
      <c r="D58" s="279"/>
      <c r="E58" s="303">
        <f>'Berekening rekenvolumes'!O140</f>
        <v>0</v>
      </c>
      <c r="F58" s="279"/>
      <c r="G58" s="278" t="s">
        <v>299</v>
      </c>
      <c r="H58" s="279"/>
      <c r="I58" s="279"/>
      <c r="J58" s="303">
        <f>'Berekening rekenvolumes'!O72</f>
        <v>0</v>
      </c>
    </row>
    <row r="59" spans="2:10" ht="12.75" customHeight="1">
      <c r="B59" s="278" t="s">
        <v>300</v>
      </c>
      <c r="C59" s="279"/>
      <c r="D59" s="279"/>
      <c r="E59" s="303">
        <f>'Berekening rekenvolumes'!O141</f>
        <v>0</v>
      </c>
      <c r="F59" s="279"/>
      <c r="G59" s="278" t="s">
        <v>300</v>
      </c>
      <c r="H59" s="279"/>
      <c r="I59" s="279"/>
      <c r="J59" s="303">
        <f>'Berekening rekenvolumes'!O73</f>
        <v>0</v>
      </c>
    </row>
    <row r="60" spans="2:10" ht="12.75" customHeight="1">
      <c r="B60" s="278" t="s">
        <v>301</v>
      </c>
      <c r="C60" s="279"/>
      <c r="D60" s="279"/>
      <c r="E60" s="303">
        <f>'Berekening rekenvolumes'!O142</f>
        <v>0</v>
      </c>
      <c r="F60" s="279"/>
      <c r="G60" s="278" t="s">
        <v>301</v>
      </c>
      <c r="H60" s="279"/>
      <c r="I60" s="279"/>
      <c r="J60" s="303">
        <f>'Berekening rekenvolumes'!O74</f>
        <v>0</v>
      </c>
    </row>
    <row r="61" spans="2:10" ht="12.75" customHeight="1">
      <c r="B61" s="278"/>
      <c r="C61" s="279"/>
      <c r="D61" s="279"/>
      <c r="E61" s="282"/>
      <c r="F61" s="279"/>
      <c r="G61" s="278"/>
      <c r="H61" s="279"/>
      <c r="I61" s="279"/>
      <c r="J61" s="282"/>
    </row>
    <row r="62" spans="2:10" ht="12.75" customHeight="1">
      <c r="B62" s="298" t="s">
        <v>290</v>
      </c>
      <c r="C62" s="279"/>
      <c r="D62" s="279"/>
      <c r="E62" s="309" t="s">
        <v>820</v>
      </c>
      <c r="F62" s="279"/>
      <c r="G62" s="298" t="s">
        <v>290</v>
      </c>
      <c r="H62" s="279"/>
      <c r="I62" s="279"/>
      <c r="J62" s="309" t="s">
        <v>820</v>
      </c>
    </row>
    <row r="63" spans="2:10" ht="12.75" customHeight="1">
      <c r="B63" s="283" t="s">
        <v>302</v>
      </c>
      <c r="C63" s="284"/>
      <c r="D63" s="284"/>
      <c r="E63" s="304">
        <f>'Berekening rekenvolumes'!F145</f>
        <v>0</v>
      </c>
      <c r="F63" s="279"/>
      <c r="G63" s="283" t="s">
        <v>302</v>
      </c>
      <c r="H63" s="284"/>
      <c r="I63" s="284"/>
      <c r="J63" s="304">
        <f>'Berekening rekenvolumes'!O77</f>
        <v>0</v>
      </c>
    </row>
    <row r="64" spans="2:10" ht="12.75" customHeight="1">
      <c r="B64" s="278"/>
      <c r="C64" s="279"/>
      <c r="D64" s="279"/>
      <c r="E64" s="279"/>
      <c r="F64" s="279"/>
      <c r="G64" s="279"/>
      <c r="H64" s="279"/>
      <c r="I64" s="279"/>
      <c r="J64" s="280"/>
    </row>
    <row r="65" spans="2:10" ht="12.75" customHeight="1">
      <c r="B65" s="295" t="s">
        <v>818</v>
      </c>
      <c r="C65" s="296"/>
      <c r="D65" s="296"/>
      <c r="E65" s="297"/>
      <c r="F65" s="279"/>
      <c r="G65" s="295" t="s">
        <v>306</v>
      </c>
      <c r="H65" s="296"/>
      <c r="I65" s="296"/>
      <c r="J65" s="297"/>
    </row>
    <row r="66" spans="2:10" ht="12.75" customHeight="1">
      <c r="B66" s="286"/>
      <c r="C66" s="287"/>
      <c r="D66" s="287"/>
      <c r="E66" s="280"/>
      <c r="F66" s="279"/>
      <c r="G66" s="286"/>
      <c r="H66" s="287"/>
      <c r="I66" s="287"/>
      <c r="J66" s="280"/>
    </row>
    <row r="67" spans="2:10" ht="12.75" customHeight="1">
      <c r="B67" s="298" t="s">
        <v>284</v>
      </c>
      <c r="C67" s="279"/>
      <c r="D67" s="279"/>
      <c r="E67" s="309" t="s">
        <v>820</v>
      </c>
      <c r="F67" s="279"/>
      <c r="G67" s="298" t="s">
        <v>284</v>
      </c>
      <c r="H67" s="279"/>
      <c r="I67" s="279"/>
      <c r="J67" s="309" t="s">
        <v>820</v>
      </c>
    </row>
    <row r="68" spans="2:10" ht="12.75" customHeight="1">
      <c r="B68" s="278" t="s">
        <v>285</v>
      </c>
      <c r="C68" s="279"/>
      <c r="D68" s="279"/>
      <c r="E68" s="303">
        <f>'Berekening rekenvolumes'!O85</f>
        <v>0</v>
      </c>
      <c r="F68" s="279"/>
      <c r="G68" s="278" t="s">
        <v>285</v>
      </c>
      <c r="H68" s="279"/>
      <c r="I68" s="279"/>
      <c r="J68" s="303">
        <f>'Berekening rekenvolumes'!O35</f>
        <v>0</v>
      </c>
    </row>
    <row r="69" spans="2:10" ht="12.75" customHeight="1">
      <c r="B69" s="278" t="s">
        <v>286</v>
      </c>
      <c r="C69" s="279"/>
      <c r="D69" s="279"/>
      <c r="E69" s="303">
        <f>'Berekening rekenvolumes'!O86</f>
        <v>0</v>
      </c>
      <c r="F69" s="279"/>
      <c r="G69" s="278" t="s">
        <v>286</v>
      </c>
      <c r="H69" s="279"/>
      <c r="I69" s="279"/>
      <c r="J69" s="303">
        <f>'Berekening rekenvolumes'!O36</f>
        <v>0</v>
      </c>
    </row>
    <row r="70" spans="2:10" ht="12.75" customHeight="1">
      <c r="B70" s="278" t="s">
        <v>287</v>
      </c>
      <c r="C70" s="279"/>
      <c r="D70" s="279"/>
      <c r="E70" s="303">
        <f>'Berekening rekenvolumes'!O87</f>
        <v>0</v>
      </c>
      <c r="F70" s="279"/>
      <c r="G70" s="278" t="s">
        <v>287</v>
      </c>
      <c r="H70" s="279"/>
      <c r="I70" s="279"/>
      <c r="J70" s="303">
        <f>'Berekening rekenvolumes'!O37</f>
        <v>0</v>
      </c>
    </row>
    <row r="71" spans="2:10" ht="12.75" customHeight="1">
      <c r="B71" s="278" t="s">
        <v>288</v>
      </c>
      <c r="C71" s="279"/>
      <c r="D71" s="279"/>
      <c r="E71" s="307">
        <f>'Berekening rekenvolumes'!O88</f>
        <v>0</v>
      </c>
      <c r="F71" s="279"/>
      <c r="G71" s="278" t="s">
        <v>288</v>
      </c>
      <c r="H71" s="279"/>
      <c r="I71" s="279"/>
      <c r="J71" s="307">
        <f>'Berekening rekenvolumes'!O38</f>
        <v>0</v>
      </c>
    </row>
    <row r="72" spans="2:10" ht="12.75" customHeight="1">
      <c r="B72" s="278"/>
      <c r="C72" s="279"/>
      <c r="D72" s="279"/>
      <c r="E72" s="282"/>
      <c r="F72" s="279"/>
      <c r="G72" s="278"/>
      <c r="H72" s="279"/>
      <c r="I72" s="279"/>
      <c r="J72" s="282"/>
    </row>
    <row r="73" spans="2:10" ht="12.75" customHeight="1">
      <c r="B73" s="298" t="s">
        <v>289</v>
      </c>
      <c r="C73" s="279"/>
      <c r="D73" s="279"/>
      <c r="E73" s="309" t="s">
        <v>820</v>
      </c>
      <c r="F73" s="279"/>
      <c r="G73" s="298" t="s">
        <v>289</v>
      </c>
      <c r="H73" s="279"/>
      <c r="I73" s="279"/>
      <c r="J73" s="309" t="s">
        <v>820</v>
      </c>
    </row>
    <row r="74" spans="2:10" ht="12.75" customHeight="1">
      <c r="B74" s="278" t="s">
        <v>285</v>
      </c>
      <c r="C74" s="279"/>
      <c r="D74" s="279"/>
      <c r="E74" s="303">
        <f>'Berekening rekenvolumes'!O91</f>
        <v>0</v>
      </c>
      <c r="F74" s="279"/>
      <c r="G74" s="278" t="s">
        <v>285</v>
      </c>
      <c r="H74" s="279"/>
      <c r="I74" s="279"/>
      <c r="J74" s="303">
        <f>'Berekening rekenvolumes'!O41</f>
        <v>0</v>
      </c>
    </row>
    <row r="75" spans="2:10" ht="12.75" customHeight="1">
      <c r="B75" s="278" t="s">
        <v>286</v>
      </c>
      <c r="C75" s="279"/>
      <c r="D75" s="279"/>
      <c r="E75" s="303">
        <f>'Berekening rekenvolumes'!O92</f>
        <v>0</v>
      </c>
      <c r="F75" s="279"/>
      <c r="G75" s="278" t="s">
        <v>286</v>
      </c>
      <c r="H75" s="279"/>
      <c r="I75" s="279"/>
      <c r="J75" s="303">
        <f>'Berekening rekenvolumes'!O42</f>
        <v>0</v>
      </c>
    </row>
    <row r="76" spans="2:10" ht="12.75" customHeight="1">
      <c r="B76" s="278" t="s">
        <v>287</v>
      </c>
      <c r="C76" s="279"/>
      <c r="D76" s="279"/>
      <c r="E76" s="303">
        <f>'Berekening rekenvolumes'!O93</f>
        <v>0</v>
      </c>
      <c r="F76" s="279"/>
      <c r="G76" s="278" t="s">
        <v>287</v>
      </c>
      <c r="H76" s="279"/>
      <c r="I76" s="279"/>
      <c r="J76" s="303">
        <f>'Berekening rekenvolumes'!O43</f>
        <v>0</v>
      </c>
    </row>
    <row r="77" spans="2:10" ht="12.75" customHeight="1">
      <c r="B77" s="278" t="s">
        <v>288</v>
      </c>
      <c r="C77" s="279"/>
      <c r="D77" s="279"/>
      <c r="E77" s="307">
        <f>'Berekening rekenvolumes'!O94</f>
        <v>0</v>
      </c>
      <c r="F77" s="279"/>
      <c r="G77" s="278" t="s">
        <v>288</v>
      </c>
      <c r="H77" s="279"/>
      <c r="I77" s="279"/>
      <c r="J77" s="307">
        <f>'Berekening rekenvolumes'!O44</f>
        <v>0</v>
      </c>
    </row>
    <row r="78" spans="2:10" ht="12.75" customHeight="1">
      <c r="B78" s="278"/>
      <c r="C78" s="279"/>
      <c r="D78" s="279"/>
      <c r="E78" s="282"/>
      <c r="F78" s="279"/>
      <c r="G78" s="278"/>
      <c r="H78" s="279"/>
      <c r="I78" s="279"/>
      <c r="J78" s="282"/>
    </row>
    <row r="79" spans="2:10" ht="12.75" customHeight="1">
      <c r="B79" s="298" t="s">
        <v>290</v>
      </c>
      <c r="C79" s="279"/>
      <c r="D79" s="279"/>
      <c r="E79" s="309" t="s">
        <v>820</v>
      </c>
      <c r="F79" s="279"/>
      <c r="G79" s="298" t="s">
        <v>290</v>
      </c>
      <c r="H79" s="279"/>
      <c r="I79" s="279"/>
      <c r="J79" s="309" t="s">
        <v>820</v>
      </c>
    </row>
    <row r="80" spans="2:10" ht="12.75" customHeight="1">
      <c r="B80" s="283" t="s">
        <v>291</v>
      </c>
      <c r="C80" s="284"/>
      <c r="D80" s="284"/>
      <c r="E80" s="304">
        <f>'Berekening rekenvolumes'!O97</f>
        <v>0</v>
      </c>
      <c r="F80" s="279"/>
      <c r="G80" s="283" t="s">
        <v>291</v>
      </c>
      <c r="H80" s="284"/>
      <c r="I80" s="284"/>
      <c r="J80" s="304">
        <f>'Berekening rekenvolumes'!O47</f>
        <v>0</v>
      </c>
    </row>
    <row r="81" spans="2:10" ht="12.75" customHeight="1">
      <c r="B81" s="278"/>
      <c r="C81" s="279"/>
      <c r="D81" s="279"/>
      <c r="E81" s="279"/>
      <c r="F81" s="279"/>
      <c r="G81" s="279"/>
      <c r="H81" s="279"/>
      <c r="I81" s="279"/>
      <c r="J81" s="282"/>
    </row>
    <row r="82" spans="2:10" ht="12.75" customHeight="1">
      <c r="B82" s="295" t="s">
        <v>819</v>
      </c>
      <c r="C82" s="296"/>
      <c r="D82" s="296"/>
      <c r="E82" s="297"/>
      <c r="F82" s="279"/>
      <c r="G82" s="279"/>
      <c r="H82" s="279"/>
      <c r="I82" s="279"/>
      <c r="J82" s="282"/>
    </row>
    <row r="83" spans="2:10" ht="12.75" customHeight="1">
      <c r="B83" s="286"/>
      <c r="C83" s="287"/>
      <c r="D83" s="287"/>
      <c r="E83" s="280"/>
      <c r="F83" s="279"/>
      <c r="G83" s="279"/>
      <c r="H83" s="279"/>
      <c r="I83" s="279"/>
      <c r="J83" s="282"/>
    </row>
    <row r="84" spans="2:10" ht="12.75" customHeight="1">
      <c r="B84" s="298" t="s">
        <v>284</v>
      </c>
      <c r="C84" s="279"/>
      <c r="D84" s="279"/>
      <c r="E84" s="309" t="s">
        <v>820</v>
      </c>
      <c r="F84" s="279"/>
      <c r="G84" s="279"/>
      <c r="H84" s="279"/>
      <c r="I84" s="279"/>
      <c r="J84" s="282"/>
    </row>
    <row r="85" spans="2:10" ht="12.75" customHeight="1">
      <c r="B85" s="278" t="s">
        <v>285</v>
      </c>
      <c r="C85" s="279"/>
      <c r="D85" s="279"/>
      <c r="E85" s="303">
        <f>'Berekening rekenvolumes'!O103</f>
        <v>0</v>
      </c>
      <c r="F85" s="279"/>
      <c r="G85" s="279"/>
      <c r="H85" s="279"/>
      <c r="I85" s="279"/>
      <c r="J85" s="282"/>
    </row>
    <row r="86" spans="2:10" ht="12.75" customHeight="1">
      <c r="B86" s="278" t="s">
        <v>286</v>
      </c>
      <c r="C86" s="279"/>
      <c r="D86" s="279"/>
      <c r="E86" s="303">
        <f>'Berekening rekenvolumes'!O104</f>
        <v>0</v>
      </c>
      <c r="F86" s="279"/>
      <c r="G86" s="279"/>
      <c r="H86" s="279"/>
      <c r="I86" s="279"/>
      <c r="J86" s="282"/>
    </row>
    <row r="87" spans="2:10" ht="12.75" customHeight="1">
      <c r="B87" s="278" t="s">
        <v>287</v>
      </c>
      <c r="C87" s="279"/>
      <c r="D87" s="279"/>
      <c r="E87" s="303">
        <f>'Berekening rekenvolumes'!O105</f>
        <v>0</v>
      </c>
      <c r="F87" s="279"/>
      <c r="G87" s="279"/>
      <c r="H87" s="279"/>
      <c r="I87" s="279"/>
      <c r="J87" s="282"/>
    </row>
    <row r="88" spans="2:10" ht="12.75" customHeight="1">
      <c r="B88" s="278" t="s">
        <v>288</v>
      </c>
      <c r="C88" s="279"/>
      <c r="D88" s="279"/>
      <c r="E88" s="307">
        <f>'Berekening rekenvolumes'!O106</f>
        <v>0</v>
      </c>
      <c r="F88" s="279"/>
      <c r="G88" s="279"/>
      <c r="H88" s="279"/>
      <c r="I88" s="279"/>
      <c r="J88" s="282"/>
    </row>
    <row r="89" spans="2:10" ht="12.75" customHeight="1">
      <c r="B89" s="278"/>
      <c r="C89" s="279"/>
      <c r="D89" s="279"/>
      <c r="E89" s="282"/>
      <c r="F89" s="279"/>
      <c r="G89" s="279"/>
      <c r="H89" s="279"/>
      <c r="I89" s="279"/>
      <c r="J89" s="282"/>
    </row>
    <row r="90" spans="2:10" ht="12.75" customHeight="1">
      <c r="B90" s="298" t="s">
        <v>289</v>
      </c>
      <c r="C90" s="279"/>
      <c r="D90" s="279"/>
      <c r="E90" s="309" t="s">
        <v>820</v>
      </c>
      <c r="F90" s="279"/>
      <c r="G90" s="279"/>
      <c r="H90" s="279"/>
      <c r="I90" s="279"/>
      <c r="J90" s="282"/>
    </row>
    <row r="91" spans="2:10" ht="12.75" customHeight="1">
      <c r="B91" s="278" t="s">
        <v>285</v>
      </c>
      <c r="C91" s="279"/>
      <c r="D91" s="279"/>
      <c r="E91" s="303">
        <f>'Berekening rekenvolumes'!O109</f>
        <v>0</v>
      </c>
      <c r="F91" s="279"/>
      <c r="G91" s="279"/>
      <c r="H91" s="279"/>
      <c r="I91" s="279"/>
      <c r="J91" s="306"/>
    </row>
    <row r="92" spans="2:10" ht="12.75" customHeight="1">
      <c r="B92" s="278" t="s">
        <v>286</v>
      </c>
      <c r="C92" s="279"/>
      <c r="D92" s="279"/>
      <c r="E92" s="303">
        <f>'Berekening rekenvolumes'!O110</f>
        <v>0</v>
      </c>
      <c r="F92" s="279"/>
      <c r="G92" s="279"/>
      <c r="H92" s="279"/>
      <c r="I92" s="279"/>
      <c r="J92" s="306"/>
    </row>
    <row r="93" spans="2:10" ht="12.75" customHeight="1">
      <c r="B93" s="278" t="s">
        <v>287</v>
      </c>
      <c r="C93" s="279"/>
      <c r="D93" s="279"/>
      <c r="E93" s="303">
        <f>'Berekening rekenvolumes'!O111</f>
        <v>0</v>
      </c>
      <c r="F93" s="279"/>
      <c r="G93" s="279"/>
      <c r="H93" s="279"/>
      <c r="I93" s="279"/>
      <c r="J93" s="306"/>
    </row>
    <row r="94" spans="2:10" ht="12.75" customHeight="1">
      <c r="B94" s="278" t="s">
        <v>288</v>
      </c>
      <c r="C94" s="279"/>
      <c r="D94" s="279"/>
      <c r="E94" s="307">
        <f>'Berekening rekenvolumes'!O112</f>
        <v>0</v>
      </c>
      <c r="F94" s="279"/>
      <c r="G94" s="519" t="s">
        <v>1347</v>
      </c>
      <c r="H94" s="519"/>
      <c r="I94" s="519"/>
      <c r="J94" s="282"/>
    </row>
    <row r="95" spans="2:10" ht="12.75" customHeight="1">
      <c r="B95" s="278"/>
      <c r="C95" s="279"/>
      <c r="D95" s="279"/>
      <c r="E95" s="282"/>
      <c r="F95" s="279"/>
      <c r="G95" s="519"/>
      <c r="H95" s="519"/>
      <c r="I95" s="519"/>
      <c r="J95" s="302"/>
    </row>
    <row r="96" spans="2:10" ht="12.75" customHeight="1">
      <c r="B96" s="298" t="s">
        <v>290</v>
      </c>
      <c r="C96" s="279"/>
      <c r="D96" s="279"/>
      <c r="E96" s="309" t="s">
        <v>820</v>
      </c>
      <c r="F96" s="279"/>
      <c r="G96" s="519"/>
      <c r="H96" s="519"/>
      <c r="I96" s="519"/>
      <c r="J96" s="306"/>
    </row>
    <row r="97" spans="2:10" ht="12.75" customHeight="1">
      <c r="B97" s="283" t="s">
        <v>291</v>
      </c>
      <c r="C97" s="284"/>
      <c r="D97" s="284"/>
      <c r="E97" s="304">
        <f>'Berekening rekenvolumes'!O115</f>
        <v>0</v>
      </c>
      <c r="F97" s="279"/>
      <c r="G97" s="279"/>
      <c r="H97" s="279"/>
      <c r="I97" s="279"/>
      <c r="J97" s="282"/>
    </row>
    <row r="98" spans="2:10" ht="9" customHeight="1">
      <c r="B98" s="283"/>
      <c r="C98" s="284"/>
      <c r="D98" s="284"/>
      <c r="E98" s="284"/>
      <c r="F98" s="284"/>
      <c r="G98" s="284"/>
      <c r="H98" s="284"/>
      <c r="I98" s="284"/>
      <c r="J98" s="285"/>
    </row>
    <row r="99" spans="2:10" ht="12.75" customHeight="1">
      <c r="G99" s="279"/>
      <c r="H99" s="279"/>
      <c r="I99" s="279"/>
      <c r="J99" s="279"/>
    </row>
  </sheetData>
  <mergeCells count="1">
    <mergeCell ref="G94:I96"/>
  </mergeCells>
  <pageMargins left="0.7" right="0.7" top="0.75" bottom="0.75" header="0.3" footer="0.3"/>
  <pageSetup paperSize="9" scale="55"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DBE721"/>
  </sheetPr>
  <dimension ref="B1:AD487"/>
  <sheetViews>
    <sheetView showGridLines="0" zoomScale="85" zoomScaleNormal="85" workbookViewId="0">
      <pane xSplit="3" ySplit="7" topLeftCell="D8" activePane="bottomRight" state="frozen"/>
      <selection activeCell="L8" sqref="L8"/>
      <selection pane="topRight" activeCell="L8" sqref="L8"/>
      <selection pane="bottomLeft" activeCell="L8" sqref="L8"/>
      <selection pane="bottomRight" activeCell="D8" sqref="D8"/>
    </sheetView>
  </sheetViews>
  <sheetFormatPr defaultRowHeight="12.75"/>
  <cols>
    <col min="1" max="1" width="2.5703125" customWidth="1"/>
    <col min="2" max="2" width="59.140625" customWidth="1"/>
    <col min="3" max="3" width="2.5703125" customWidth="1"/>
    <col min="4" max="4" width="14.5703125" customWidth="1"/>
    <col min="5" max="5" width="2.5703125" customWidth="1"/>
    <col min="6" max="6" width="21.42578125" style="47" customWidth="1"/>
    <col min="7" max="13" width="14.85546875" customWidth="1"/>
    <col min="14" max="15" width="15" customWidth="1"/>
    <col min="17" max="18" width="22.85546875" customWidth="1"/>
    <col min="19" max="24" width="17.42578125" customWidth="1"/>
    <col min="25" max="30" width="17.7109375" customWidth="1"/>
  </cols>
  <sheetData>
    <row r="1" spans="2:30" ht="12" customHeight="1"/>
    <row r="2" spans="2:30" s="1" customFormat="1" ht="18">
      <c r="B2" s="1" t="s">
        <v>244</v>
      </c>
      <c r="F2" s="48" t="s">
        <v>105</v>
      </c>
      <c r="G2" s="5" t="s">
        <v>96</v>
      </c>
      <c r="H2" s="5" t="s">
        <v>97</v>
      </c>
      <c r="I2" s="5" t="s">
        <v>98</v>
      </c>
      <c r="J2" s="5" t="s">
        <v>99</v>
      </c>
      <c r="K2" s="5" t="s">
        <v>100</v>
      </c>
      <c r="L2" s="5" t="s">
        <v>101</v>
      </c>
      <c r="M2" s="5" t="s">
        <v>102</v>
      </c>
      <c r="N2" s="5" t="s">
        <v>103</v>
      </c>
      <c r="O2" s="5" t="s">
        <v>197</v>
      </c>
      <c r="Q2" s="5" t="s">
        <v>567</v>
      </c>
      <c r="R2" s="5"/>
      <c r="S2" s="5" t="s">
        <v>653</v>
      </c>
      <c r="T2" s="5" t="s">
        <v>654</v>
      </c>
      <c r="U2" s="5" t="s">
        <v>655</v>
      </c>
      <c r="V2" s="5" t="s">
        <v>656</v>
      </c>
      <c r="W2" s="5" t="s">
        <v>657</v>
      </c>
      <c r="X2" s="5" t="s">
        <v>658</v>
      </c>
      <c r="Y2" s="211"/>
      <c r="Z2" s="211"/>
      <c r="AA2" s="212"/>
      <c r="AB2" s="211"/>
      <c r="AC2" s="211"/>
      <c r="AD2" s="211"/>
    </row>
    <row r="4" spans="2:30">
      <c r="B4" s="11" t="s">
        <v>245</v>
      </c>
    </row>
    <row r="5" spans="2:30">
      <c r="B5" s="28" t="s">
        <v>3</v>
      </c>
    </row>
    <row r="6" spans="2:30">
      <c r="B6" s="78" t="s">
        <v>994</v>
      </c>
    </row>
    <row r="8" spans="2:30">
      <c r="B8" s="250"/>
      <c r="F8" s="4"/>
    </row>
    <row r="10" spans="2:30" s="2" customFormat="1">
      <c r="B10" s="2" t="s">
        <v>240</v>
      </c>
      <c r="F10" s="49"/>
      <c r="S10" s="2" t="s">
        <v>653</v>
      </c>
      <c r="T10" s="2" t="s">
        <v>654</v>
      </c>
      <c r="U10" s="2" t="s">
        <v>662</v>
      </c>
      <c r="V10" s="2" t="s">
        <v>656</v>
      </c>
      <c r="W10" s="2" t="s">
        <v>657</v>
      </c>
      <c r="X10" s="2" t="s">
        <v>658</v>
      </c>
    </row>
    <row r="12" spans="2:30">
      <c r="B12" s="22" t="s">
        <v>218</v>
      </c>
    </row>
    <row r="13" spans="2:30">
      <c r="B13" s="23"/>
      <c r="V13" s="147"/>
    </row>
    <row r="14" spans="2:30">
      <c r="B14" s="22" t="s">
        <v>122</v>
      </c>
    </row>
    <row r="15" spans="2:30">
      <c r="B15" s="23" t="s">
        <v>123</v>
      </c>
      <c r="D15" t="s">
        <v>107</v>
      </c>
      <c r="F15" s="69">
        <f>SUM(G15:O15)</f>
        <v>136609959.10922489</v>
      </c>
      <c r="G15" s="87">
        <v>3791000</v>
      </c>
      <c r="H15" s="87">
        <v>5388117.2017326402</v>
      </c>
      <c r="I15" s="98">
        <f>S15+T15</f>
        <v>6919771.4087003889</v>
      </c>
      <c r="J15" s="98">
        <f>U15+V15</f>
        <v>25684824.792710505</v>
      </c>
      <c r="K15" s="98">
        <f>W15+X15</f>
        <v>46583779.688825108</v>
      </c>
      <c r="L15" s="87">
        <v>959743.05</v>
      </c>
      <c r="M15" s="87">
        <v>46411145.829641871</v>
      </c>
      <c r="N15" s="87">
        <v>871577.13761437545</v>
      </c>
      <c r="O15" s="87"/>
      <c r="S15" s="87">
        <v>3712288.6650365251</v>
      </c>
      <c r="T15" s="87">
        <v>3207482.7436638637</v>
      </c>
      <c r="U15" s="249">
        <f>23771770.375+'Aanpassing gegevens (sep.2014)'!H121+'Aanpassing gegevens (sep.2014)'!H114</f>
        <v>23255671.215</v>
      </c>
      <c r="V15" s="87">
        <v>2429153.5777105042</v>
      </c>
      <c r="W15" s="249">
        <f>45792442.1199448+'Aanpassing gegevens (sep.2014)'!H138</f>
        <v>45535971.131931007</v>
      </c>
      <c r="X15" s="87">
        <v>1047808.5568941026</v>
      </c>
    </row>
    <row r="16" spans="2:30">
      <c r="B16" s="23" t="s">
        <v>124</v>
      </c>
      <c r="D16" t="s">
        <v>107</v>
      </c>
      <c r="F16" s="69">
        <f>SUM(G16:O16)</f>
        <v>4361613.7290829197</v>
      </c>
      <c r="G16" s="87"/>
      <c r="H16" s="87"/>
      <c r="I16" s="98">
        <f>S16+T16</f>
        <v>0</v>
      </c>
      <c r="J16" s="98">
        <f>U16+V16</f>
        <v>0</v>
      </c>
      <c r="K16" s="98">
        <f>W16+X16</f>
        <v>0</v>
      </c>
      <c r="L16" s="87">
        <v>193410.39</v>
      </c>
      <c r="M16" s="249">
        <f>4386203.33908292+'Aanpassing gegevens (sep.2014)'!H105</f>
        <v>4168203.33908292</v>
      </c>
      <c r="N16" s="87"/>
      <c r="O16" s="87"/>
      <c r="S16" s="87">
        <v>0</v>
      </c>
      <c r="T16" s="87">
        <v>0</v>
      </c>
      <c r="U16" s="87">
        <v>0</v>
      </c>
      <c r="V16" s="87">
        <v>0</v>
      </c>
      <c r="W16" s="87">
        <v>0</v>
      </c>
      <c r="X16" s="87">
        <v>0</v>
      </c>
    </row>
    <row r="17" spans="2:24">
      <c r="B17" s="23"/>
      <c r="F17" s="64"/>
      <c r="G17" s="63"/>
      <c r="H17" s="63"/>
      <c r="I17" s="63"/>
      <c r="J17" s="63"/>
      <c r="K17" s="63"/>
      <c r="L17" s="63"/>
      <c r="M17" s="63"/>
      <c r="N17" s="63"/>
      <c r="O17" s="63"/>
      <c r="S17" s="63"/>
      <c r="T17" s="63"/>
      <c r="U17" s="63"/>
      <c r="V17" s="63"/>
      <c r="W17" s="63"/>
      <c r="X17" s="63"/>
    </row>
    <row r="18" spans="2:24">
      <c r="B18" s="22" t="s">
        <v>125</v>
      </c>
      <c r="F18" s="64"/>
      <c r="G18" s="63"/>
      <c r="H18" s="63"/>
      <c r="I18" s="63"/>
      <c r="J18" s="63"/>
      <c r="K18" s="63"/>
      <c r="L18" s="63"/>
      <c r="M18" s="63"/>
      <c r="N18" s="63"/>
      <c r="O18" s="63"/>
      <c r="S18" s="63"/>
      <c r="T18" s="63"/>
      <c r="U18" s="63"/>
      <c r="V18" s="63"/>
      <c r="W18" s="63"/>
      <c r="X18" s="63"/>
    </row>
    <row r="19" spans="2:24">
      <c r="B19" s="23" t="s">
        <v>126</v>
      </c>
      <c r="D19" t="s">
        <v>107</v>
      </c>
      <c r="F19" s="69">
        <f>SUM(G19:O19)</f>
        <v>16527385.291645348</v>
      </c>
      <c r="G19" s="87"/>
      <c r="H19" s="87"/>
      <c r="I19" s="98">
        <f t="shared" ref="I19:I20" si="0">S19+T19</f>
        <v>0</v>
      </c>
      <c r="J19" s="98">
        <f>U19+V19</f>
        <v>0</v>
      </c>
      <c r="K19" s="98">
        <f t="shared" ref="K19:K20" si="1">W19+X19</f>
        <v>3496852.4516453482</v>
      </c>
      <c r="L19" s="87">
        <v>90128.84</v>
      </c>
      <c r="M19" s="87">
        <v>12940404</v>
      </c>
      <c r="N19" s="87"/>
      <c r="O19" s="87"/>
      <c r="S19" s="87"/>
      <c r="T19" s="87">
        <v>0</v>
      </c>
      <c r="U19" s="87"/>
      <c r="V19" s="87"/>
      <c r="W19" s="87">
        <v>3496852.4516453482</v>
      </c>
      <c r="X19" s="87">
        <v>0</v>
      </c>
    </row>
    <row r="20" spans="2:24">
      <c r="B20" s="23" t="s">
        <v>127</v>
      </c>
      <c r="D20" t="s">
        <v>107</v>
      </c>
      <c r="F20" s="69">
        <f>SUM(G20:O20)</f>
        <v>0</v>
      </c>
      <c r="G20" s="87"/>
      <c r="H20" s="87"/>
      <c r="I20" s="98">
        <f t="shared" si="0"/>
        <v>0</v>
      </c>
      <c r="J20" s="98">
        <f>U20+V20</f>
        <v>0</v>
      </c>
      <c r="K20" s="98">
        <f t="shared" si="1"/>
        <v>0</v>
      </c>
      <c r="L20" s="87"/>
      <c r="M20" s="87"/>
      <c r="N20" s="87"/>
      <c r="O20" s="87"/>
      <c r="S20" s="87"/>
      <c r="T20" s="87">
        <v>0</v>
      </c>
      <c r="U20" s="87"/>
      <c r="V20" s="87"/>
      <c r="W20" s="87">
        <v>0</v>
      </c>
      <c r="X20" s="87">
        <v>0</v>
      </c>
    </row>
    <row r="21" spans="2:24">
      <c r="B21" s="23"/>
      <c r="F21" s="64"/>
      <c r="G21" s="63"/>
      <c r="H21" s="63"/>
      <c r="I21" s="63"/>
      <c r="J21" s="63"/>
      <c r="K21" s="63"/>
      <c r="L21" s="63"/>
      <c r="M21" s="63"/>
      <c r="N21" s="63"/>
      <c r="O21" s="63"/>
      <c r="S21" s="63"/>
      <c r="T21" s="63"/>
      <c r="U21" s="63"/>
      <c r="V21" s="63"/>
      <c r="W21" s="63"/>
      <c r="X21" s="63"/>
    </row>
    <row r="22" spans="2:24">
      <c r="B22" s="22" t="s">
        <v>128</v>
      </c>
      <c r="F22" s="64"/>
      <c r="G22" s="63"/>
      <c r="H22" s="63"/>
      <c r="I22" s="63"/>
      <c r="J22" s="63"/>
      <c r="K22" s="63"/>
      <c r="L22" s="63"/>
      <c r="M22" s="63"/>
      <c r="N22" s="63"/>
      <c r="O22" s="63"/>
      <c r="S22" s="63"/>
      <c r="T22" s="63"/>
      <c r="U22" s="63"/>
      <c r="V22" s="63"/>
      <c r="W22" s="63"/>
      <c r="X22" s="63"/>
    </row>
    <row r="23" spans="2:24">
      <c r="B23" s="93" t="s">
        <v>180</v>
      </c>
      <c r="D23" t="s">
        <v>107</v>
      </c>
      <c r="F23" s="69">
        <f>SUM(G23:O23)</f>
        <v>820214.94890336914</v>
      </c>
      <c r="G23" s="87">
        <v>18000</v>
      </c>
      <c r="H23" s="87">
        <v>16574.580000000002</v>
      </c>
      <c r="I23" s="98">
        <f t="shared" ref="I23:I25" si="2">S23+T23</f>
        <v>183986.81758887111</v>
      </c>
      <c r="J23" s="98">
        <f>U23+V23</f>
        <v>0</v>
      </c>
      <c r="K23" s="98">
        <f t="shared" ref="K23:K25" si="3">W23+X23</f>
        <v>544371.99599870609</v>
      </c>
      <c r="L23" s="87">
        <v>56468.11</v>
      </c>
      <c r="M23" s="87">
        <v>346.13980791856</v>
      </c>
      <c r="N23" s="87">
        <v>467.3055078734256</v>
      </c>
      <c r="O23" s="87"/>
      <c r="S23" s="87">
        <v>88183.48306934713</v>
      </c>
      <c r="T23" s="87">
        <v>95803.334519523967</v>
      </c>
      <c r="U23" s="87"/>
      <c r="V23" s="87"/>
      <c r="W23" s="87">
        <v>518921.81269291852</v>
      </c>
      <c r="X23" s="87">
        <v>25450.18330578757</v>
      </c>
    </row>
    <row r="24" spans="2:24">
      <c r="B24" s="93" t="s">
        <v>181</v>
      </c>
      <c r="D24" t="s">
        <v>107</v>
      </c>
      <c r="F24" s="69">
        <f>SUM(G24:O24)</f>
        <v>125146.17307810552</v>
      </c>
      <c r="G24" s="87">
        <v>0</v>
      </c>
      <c r="H24" s="87">
        <v>504.61500000000001</v>
      </c>
      <c r="I24" s="98">
        <f t="shared" si="2"/>
        <v>30015.244644390703</v>
      </c>
      <c r="J24" s="98">
        <f>U24+V24</f>
        <v>0</v>
      </c>
      <c r="K24" s="98">
        <f t="shared" si="3"/>
        <v>78237.450557258795</v>
      </c>
      <c r="L24" s="87">
        <v>7388</v>
      </c>
      <c r="M24" s="87">
        <v>68.368656124354416</v>
      </c>
      <c r="N24" s="87">
        <v>8932.4942203316823</v>
      </c>
      <c r="O24" s="87"/>
      <c r="S24" s="87">
        <v>11754.860913914685</v>
      </c>
      <c r="T24" s="87">
        <v>18260.38373047602</v>
      </c>
      <c r="U24" s="87"/>
      <c r="V24" s="87"/>
      <c r="W24" s="87">
        <v>71882.039963046365</v>
      </c>
      <c r="X24" s="87">
        <v>6355.410594212437</v>
      </c>
    </row>
    <row r="25" spans="2:24">
      <c r="B25" s="94" t="s">
        <v>182</v>
      </c>
      <c r="D25" t="s">
        <v>107</v>
      </c>
      <c r="F25" s="69">
        <f>SUM(G25:O25)</f>
        <v>1782522.5334219681</v>
      </c>
      <c r="G25" s="87"/>
      <c r="H25" s="87"/>
      <c r="I25" s="98">
        <f t="shared" si="2"/>
        <v>14029.331699914444</v>
      </c>
      <c r="J25" s="98">
        <f>U25+V25</f>
        <v>0</v>
      </c>
      <c r="K25" s="98">
        <f t="shared" si="3"/>
        <v>1645304.9024780844</v>
      </c>
      <c r="L25" s="87">
        <v>95604.42</v>
      </c>
      <c r="M25" s="87">
        <v>20.16808194079707</v>
      </c>
      <c r="N25" s="87">
        <v>27563.711162028256</v>
      </c>
      <c r="O25" s="87"/>
      <c r="S25" s="454">
        <f>'Aanpassing gegevens (aug. 2016)'!J34</f>
        <v>-16649.51056941686</v>
      </c>
      <c r="T25" s="87">
        <v>30678.842269331304</v>
      </c>
      <c r="U25" s="87"/>
      <c r="V25" s="87"/>
      <c r="W25" s="87">
        <v>1645444.6181881318</v>
      </c>
      <c r="X25" s="87">
        <v>-139.715710047436</v>
      </c>
    </row>
    <row r="26" spans="2:24">
      <c r="B26" s="23"/>
      <c r="F26" s="64"/>
      <c r="G26" s="63"/>
      <c r="H26" s="63"/>
      <c r="I26" s="63"/>
      <c r="J26" s="63"/>
      <c r="K26" s="63"/>
      <c r="L26" s="63"/>
      <c r="M26" s="63"/>
      <c r="N26" s="63"/>
      <c r="O26" s="63"/>
      <c r="S26" s="63"/>
      <c r="T26" s="63"/>
      <c r="U26" s="63"/>
      <c r="V26" s="63"/>
      <c r="W26" s="63"/>
      <c r="X26" s="63"/>
    </row>
    <row r="27" spans="2:24">
      <c r="F27" s="64"/>
      <c r="G27" s="63"/>
      <c r="H27" s="63"/>
      <c r="I27" s="63"/>
      <c r="J27" s="63"/>
      <c r="K27" s="63"/>
      <c r="L27" s="63"/>
      <c r="M27" s="63"/>
      <c r="N27" s="63"/>
      <c r="O27" s="63"/>
      <c r="S27" s="63"/>
      <c r="T27" s="63"/>
      <c r="U27" s="63"/>
      <c r="V27" s="63"/>
      <c r="W27" s="63"/>
      <c r="X27" s="63"/>
    </row>
    <row r="28" spans="2:24">
      <c r="B28" s="22" t="s">
        <v>219</v>
      </c>
      <c r="F28" s="64"/>
      <c r="G28" s="63"/>
      <c r="H28" s="63"/>
      <c r="I28" s="63"/>
      <c r="J28" s="63"/>
      <c r="K28" s="63"/>
      <c r="L28" s="63"/>
      <c r="M28" s="63"/>
      <c r="N28" s="63"/>
      <c r="O28" s="63"/>
      <c r="S28" s="63"/>
      <c r="T28" s="63"/>
      <c r="U28" s="63"/>
      <c r="V28" s="63"/>
      <c r="W28" s="63"/>
      <c r="X28" s="63"/>
    </row>
    <row r="29" spans="2:24">
      <c r="B29" s="23"/>
      <c r="F29" s="64"/>
      <c r="G29" s="63"/>
      <c r="H29" s="63"/>
      <c r="I29" s="63"/>
      <c r="J29" s="63"/>
      <c r="K29" s="63"/>
      <c r="L29" s="63"/>
      <c r="M29" s="63"/>
      <c r="N29" s="63"/>
      <c r="O29" s="63"/>
      <c r="S29" s="63"/>
      <c r="T29" s="63"/>
      <c r="U29" s="63"/>
      <c r="V29" s="63"/>
      <c r="W29" s="63"/>
      <c r="X29" s="63"/>
    </row>
    <row r="30" spans="2:24">
      <c r="B30" s="22" t="s">
        <v>121</v>
      </c>
      <c r="F30" s="64"/>
      <c r="G30" s="63"/>
      <c r="H30" s="63"/>
      <c r="I30" s="63"/>
      <c r="J30" s="63"/>
      <c r="K30" s="63"/>
      <c r="L30" s="63"/>
      <c r="M30" s="63"/>
      <c r="N30" s="63"/>
      <c r="O30" s="63"/>
      <c r="S30" s="63"/>
      <c r="T30" s="63"/>
      <c r="U30" s="63"/>
      <c r="V30" s="63"/>
      <c r="W30" s="63"/>
      <c r="X30" s="63"/>
    </row>
    <row r="31" spans="2:24">
      <c r="B31" s="23" t="s">
        <v>216</v>
      </c>
      <c r="D31" t="s">
        <v>107</v>
      </c>
      <c r="F31" s="69">
        <f>SUM(G31:O31)</f>
        <v>0</v>
      </c>
      <c r="G31" s="87"/>
      <c r="H31" s="87"/>
      <c r="I31" s="98">
        <f t="shared" ref="I31:I32" si="4">S31+T31</f>
        <v>0</v>
      </c>
      <c r="J31" s="98">
        <f t="shared" ref="J31:J32" si="5">U31+V31</f>
        <v>0</v>
      </c>
      <c r="K31" s="98">
        <f t="shared" ref="K31:K32" si="6">W31+X31</f>
        <v>0</v>
      </c>
      <c r="L31" s="87"/>
      <c r="M31" s="87"/>
      <c r="N31" s="87"/>
      <c r="O31" s="87"/>
      <c r="S31" s="87"/>
      <c r="T31" s="87"/>
      <c r="U31" s="87"/>
      <c r="V31" s="87"/>
      <c r="W31" s="87"/>
      <c r="X31" s="87"/>
    </row>
    <row r="32" spans="2:24">
      <c r="B32" s="23" t="s">
        <v>217</v>
      </c>
      <c r="D32" t="s">
        <v>107</v>
      </c>
      <c r="F32" s="69">
        <f>SUM(G32:O32)</f>
        <v>0</v>
      </c>
      <c r="G32" s="87"/>
      <c r="H32" s="87"/>
      <c r="I32" s="98">
        <f t="shared" si="4"/>
        <v>0</v>
      </c>
      <c r="J32" s="98">
        <f t="shared" si="5"/>
        <v>0</v>
      </c>
      <c r="K32" s="98">
        <f t="shared" si="6"/>
        <v>0</v>
      </c>
      <c r="L32" s="87"/>
      <c r="M32" s="87"/>
      <c r="N32" s="87"/>
      <c r="O32" s="87"/>
      <c r="S32" s="87"/>
      <c r="T32" s="87"/>
      <c r="U32" s="87"/>
      <c r="V32" s="87"/>
      <c r="W32" s="87"/>
      <c r="X32" s="87"/>
    </row>
    <row r="33" spans="2:24">
      <c r="B33" s="23"/>
      <c r="F33" s="64"/>
      <c r="G33" s="63"/>
      <c r="H33" s="63"/>
      <c r="I33" s="29"/>
      <c r="J33" s="63"/>
      <c r="K33" s="63"/>
      <c r="L33" s="63"/>
      <c r="M33" s="63"/>
      <c r="N33" s="63"/>
      <c r="O33" s="63"/>
      <c r="S33" s="63"/>
      <c r="T33" s="63"/>
      <c r="U33" s="63"/>
      <c r="V33" s="63"/>
      <c r="W33" s="63"/>
      <c r="X33" s="63"/>
    </row>
    <row r="34" spans="2:24">
      <c r="B34" s="22" t="s">
        <v>122</v>
      </c>
      <c r="F34" s="64"/>
      <c r="G34" s="63"/>
      <c r="H34" s="63"/>
      <c r="I34" s="63"/>
      <c r="J34" s="63"/>
      <c r="K34" s="63"/>
      <c r="L34" s="63"/>
      <c r="M34" s="63"/>
      <c r="N34" s="63"/>
      <c r="O34" s="63"/>
      <c r="S34" s="63"/>
      <c r="T34" s="63"/>
      <c r="U34" s="63"/>
      <c r="V34" s="63"/>
      <c r="W34" s="63"/>
      <c r="X34" s="63"/>
    </row>
    <row r="35" spans="2:24">
      <c r="B35" s="23" t="s">
        <v>123</v>
      </c>
      <c r="D35" t="s">
        <v>107</v>
      </c>
      <c r="F35" s="69">
        <f>SUM(G35:O35)</f>
        <v>158121412.09720084</v>
      </c>
      <c r="G35" s="87">
        <v>4933000</v>
      </c>
      <c r="H35" s="87">
        <v>4621379.2693911195</v>
      </c>
      <c r="I35" s="98">
        <f t="shared" ref="I35:I36" si="7">S35+T35</f>
        <v>2024732.4645922747</v>
      </c>
      <c r="J35" s="98">
        <f t="shared" ref="J35:J36" si="8">U35+V35</f>
        <v>73820219.511593521</v>
      </c>
      <c r="K35" s="98">
        <f t="shared" ref="K35:K36" si="9">W35+X35</f>
        <v>46570362.562517896</v>
      </c>
      <c r="L35" s="87">
        <v>2090243.15</v>
      </c>
      <c r="M35" s="87">
        <v>18525488.628132083</v>
      </c>
      <c r="N35" s="87">
        <v>5535986.5109739257</v>
      </c>
      <c r="O35" s="87"/>
      <c r="S35" s="87">
        <v>340446.04459227464</v>
      </c>
      <c r="T35" s="87">
        <v>1684286.4200000002</v>
      </c>
      <c r="U35" s="249">
        <f>73057503.9596639+'Aanpassing gegevens (sep.2014)'!H122+'Aanpassing gegevens (sep.2014)'!H115</f>
        <v>70926513.8796639</v>
      </c>
      <c r="V35" s="87">
        <v>2893705.6319296155</v>
      </c>
      <c r="W35" s="249">
        <f>45936348.3945041+'Aanpassing gegevens (sep.2014)'!H139</f>
        <v>45679066.562517896</v>
      </c>
      <c r="X35" s="87">
        <v>891296</v>
      </c>
    </row>
    <row r="36" spans="2:24">
      <c r="B36" s="23" t="s">
        <v>124</v>
      </c>
      <c r="D36" t="s">
        <v>107</v>
      </c>
      <c r="F36" s="69">
        <f>SUM(G36:O36)</f>
        <v>20417589.609684572</v>
      </c>
      <c r="G36" s="87"/>
      <c r="H36" s="87"/>
      <c r="I36" s="98">
        <f t="shared" si="7"/>
        <v>0</v>
      </c>
      <c r="J36" s="98">
        <f t="shared" si="8"/>
        <v>0</v>
      </c>
      <c r="K36" s="98">
        <f t="shared" si="9"/>
        <v>0</v>
      </c>
      <c r="L36" s="87">
        <v>821949.54</v>
      </c>
      <c r="M36" s="87">
        <v>19595640.069684573</v>
      </c>
      <c r="N36" s="87"/>
      <c r="O36" s="87"/>
      <c r="S36" s="87">
        <v>0</v>
      </c>
      <c r="T36" s="87">
        <v>0</v>
      </c>
      <c r="U36" s="87">
        <v>0</v>
      </c>
      <c r="V36" s="87">
        <v>0</v>
      </c>
      <c r="W36" s="87">
        <v>0</v>
      </c>
      <c r="X36" s="87">
        <v>0</v>
      </c>
    </row>
    <row r="37" spans="2:24">
      <c r="B37" s="23"/>
      <c r="F37" s="64"/>
      <c r="G37" s="63"/>
      <c r="H37" s="63"/>
      <c r="I37" s="63"/>
      <c r="J37" s="63"/>
      <c r="K37" s="63"/>
      <c r="L37" s="63"/>
      <c r="M37" s="63"/>
      <c r="N37" s="63"/>
      <c r="O37" s="63"/>
      <c r="S37" s="63"/>
      <c r="T37" s="63"/>
      <c r="U37" s="63"/>
      <c r="V37" s="63"/>
      <c r="W37" s="63"/>
      <c r="X37" s="63"/>
    </row>
    <row r="38" spans="2:24">
      <c r="B38" s="22" t="s">
        <v>125</v>
      </c>
      <c r="F38" s="64"/>
      <c r="G38" s="63"/>
      <c r="H38" s="63"/>
      <c r="I38" s="63"/>
      <c r="J38" s="63"/>
      <c r="K38" s="63"/>
      <c r="L38" s="63"/>
      <c r="M38" s="63"/>
      <c r="N38" s="63"/>
      <c r="O38" s="63"/>
      <c r="S38" s="63"/>
      <c r="T38" s="63"/>
      <c r="U38" s="63"/>
      <c r="V38" s="63"/>
      <c r="W38" s="63"/>
      <c r="X38" s="63"/>
    </row>
    <row r="39" spans="2:24">
      <c r="B39" s="23" t="s">
        <v>126</v>
      </c>
      <c r="D39" t="s">
        <v>107</v>
      </c>
      <c r="F39" s="69">
        <f>SUM(G39:O39)</f>
        <v>4394252.6796696102</v>
      </c>
      <c r="G39" s="87"/>
      <c r="H39" s="87">
        <v>272917.09999999998</v>
      </c>
      <c r="I39" s="98">
        <f t="shared" ref="I39:I40" si="10">S39+T39</f>
        <v>0</v>
      </c>
      <c r="J39" s="98">
        <f t="shared" ref="J39:J40" si="11">U39+V39</f>
        <v>611000</v>
      </c>
      <c r="K39" s="98">
        <f t="shared" ref="K39:K40" si="12">W39+X39</f>
        <v>3507841.5796696106</v>
      </c>
      <c r="L39" s="87"/>
      <c r="M39" s="87"/>
      <c r="N39" s="87">
        <v>2494</v>
      </c>
      <c r="O39" s="87"/>
      <c r="S39" s="87"/>
      <c r="T39" s="87">
        <v>0</v>
      </c>
      <c r="U39" s="87">
        <v>611000</v>
      </c>
      <c r="V39" s="87"/>
      <c r="W39" s="87">
        <v>3507841.5796696106</v>
      </c>
      <c r="X39" s="87">
        <v>0</v>
      </c>
    </row>
    <row r="40" spans="2:24">
      <c r="B40" s="23" t="s">
        <v>127</v>
      </c>
      <c r="D40" t="s">
        <v>107</v>
      </c>
      <c r="F40" s="69">
        <f>SUM(G40:O40)</f>
        <v>0</v>
      </c>
      <c r="G40" s="87"/>
      <c r="H40" s="87"/>
      <c r="I40" s="98">
        <f t="shared" si="10"/>
        <v>0</v>
      </c>
      <c r="J40" s="98">
        <f t="shared" si="11"/>
        <v>0</v>
      </c>
      <c r="K40" s="98">
        <f t="shared" si="12"/>
        <v>0</v>
      </c>
      <c r="L40" s="87"/>
      <c r="M40" s="87"/>
      <c r="N40" s="87"/>
      <c r="O40" s="87"/>
      <c r="S40" s="87"/>
      <c r="T40" s="87">
        <v>0</v>
      </c>
      <c r="U40" s="87">
        <v>0</v>
      </c>
      <c r="V40" s="87"/>
      <c r="W40" s="87">
        <v>0</v>
      </c>
      <c r="X40" s="87">
        <v>0</v>
      </c>
    </row>
    <row r="41" spans="2:24">
      <c r="B41" s="23"/>
      <c r="F41" s="64"/>
      <c r="G41" s="63"/>
      <c r="H41" s="63"/>
      <c r="I41" s="63"/>
      <c r="J41" s="63"/>
      <c r="K41" s="63"/>
      <c r="L41" s="63"/>
      <c r="M41" s="63"/>
      <c r="N41" s="63"/>
      <c r="O41" s="63"/>
      <c r="S41" s="63"/>
      <c r="T41" s="63"/>
      <c r="U41" s="63"/>
      <c r="V41" s="63"/>
      <c r="W41" s="63"/>
      <c r="X41" s="63"/>
    </row>
    <row r="42" spans="2:24">
      <c r="B42" s="22" t="s">
        <v>128</v>
      </c>
      <c r="F42" s="64"/>
      <c r="G42" s="63"/>
      <c r="H42" s="63"/>
      <c r="I42" s="63"/>
      <c r="J42" s="63"/>
      <c r="K42" s="63"/>
      <c r="L42" s="63"/>
      <c r="M42" s="63"/>
      <c r="N42" s="63"/>
      <c r="O42" s="63"/>
      <c r="S42" s="63"/>
      <c r="T42" s="63"/>
      <c r="U42" s="63"/>
      <c r="V42" s="63"/>
      <c r="W42" s="63"/>
      <c r="X42" s="63"/>
    </row>
    <row r="43" spans="2:24">
      <c r="B43" s="93" t="s">
        <v>180</v>
      </c>
      <c r="D43" t="s">
        <v>107</v>
      </c>
      <c r="F43" s="69">
        <f>SUM(G43:O43)</f>
        <v>2951945.6189624262</v>
      </c>
      <c r="G43" s="87">
        <v>93000</v>
      </c>
      <c r="H43" s="87">
        <v>76113.27674999999</v>
      </c>
      <c r="I43" s="98">
        <f t="shared" ref="I43:I45" si="13">S43+T43</f>
        <v>0</v>
      </c>
      <c r="J43" s="98">
        <f t="shared" ref="J43:J45" si="14">U43+V43</f>
        <v>944347.31593749998</v>
      </c>
      <c r="K43" s="98">
        <f t="shared" ref="K43:K45" si="15">W43+X43</f>
        <v>520552.56443698524</v>
      </c>
      <c r="L43" s="87"/>
      <c r="M43" s="87">
        <v>1314971.3714791187</v>
      </c>
      <c r="N43" s="87">
        <v>2961.0903588221158</v>
      </c>
      <c r="O43" s="87"/>
      <c r="S43" s="87"/>
      <c r="T43" s="87">
        <v>0</v>
      </c>
      <c r="U43" s="87">
        <v>872087.31593749998</v>
      </c>
      <c r="V43" s="87">
        <v>72260</v>
      </c>
      <c r="W43" s="87">
        <v>520552.56443698524</v>
      </c>
      <c r="X43" s="87">
        <v>0</v>
      </c>
    </row>
    <row r="44" spans="2:24">
      <c r="B44" s="93" t="s">
        <v>181</v>
      </c>
      <c r="D44" t="s">
        <v>107</v>
      </c>
      <c r="F44" s="69">
        <f>SUM(G44:O44)</f>
        <v>581539.3246096021</v>
      </c>
      <c r="G44" s="87">
        <v>8000</v>
      </c>
      <c r="H44" s="87">
        <v>10502.449200000001</v>
      </c>
      <c r="I44" s="98">
        <f t="shared" si="13"/>
        <v>0</v>
      </c>
      <c r="J44" s="98">
        <f t="shared" si="14"/>
        <v>174598.21177229812</v>
      </c>
      <c r="K44" s="98">
        <f t="shared" si="15"/>
        <v>72107.934807259022</v>
      </c>
      <c r="L44" s="87"/>
      <c r="M44" s="87">
        <v>259729.80701248604</v>
      </c>
      <c r="N44" s="87">
        <v>56600.921817558898</v>
      </c>
      <c r="O44" s="87"/>
      <c r="S44" s="87"/>
      <c r="T44" s="87">
        <v>0</v>
      </c>
      <c r="U44" s="87">
        <v>160393.21177229812</v>
      </c>
      <c r="V44" s="87">
        <v>14205</v>
      </c>
      <c r="W44" s="87">
        <v>72107.934807259022</v>
      </c>
      <c r="X44" s="87">
        <v>0</v>
      </c>
    </row>
    <row r="45" spans="2:24">
      <c r="B45" s="94" t="s">
        <v>182</v>
      </c>
      <c r="D45" t="s">
        <v>107</v>
      </c>
      <c r="F45" s="69">
        <f>SUM(G45:O45)</f>
        <v>2710491.2833171086</v>
      </c>
      <c r="G45" s="87"/>
      <c r="H45" s="87"/>
      <c r="I45" s="98">
        <f t="shared" si="13"/>
        <v>0</v>
      </c>
      <c r="J45" s="98">
        <f t="shared" si="14"/>
        <v>808600</v>
      </c>
      <c r="K45" s="98">
        <f t="shared" si="15"/>
        <v>1650615.5545705336</v>
      </c>
      <c r="L45" s="87"/>
      <c r="M45" s="87">
        <v>76617.741626623072</v>
      </c>
      <c r="N45" s="87">
        <v>174657.98711995201</v>
      </c>
      <c r="O45" s="87"/>
      <c r="S45" s="87"/>
      <c r="T45" s="87">
        <v>0</v>
      </c>
      <c r="U45" s="87">
        <v>808600</v>
      </c>
      <c r="V45" s="87"/>
      <c r="W45" s="87">
        <v>1650615.5545705336</v>
      </c>
      <c r="X45" s="87">
        <v>0</v>
      </c>
    </row>
    <row r="46" spans="2:24">
      <c r="F46" s="64"/>
      <c r="G46" s="63"/>
      <c r="H46" s="63"/>
      <c r="I46" s="63"/>
      <c r="J46" s="63"/>
      <c r="K46" s="63"/>
      <c r="L46" s="63"/>
      <c r="M46" s="63"/>
      <c r="N46" s="63"/>
      <c r="O46" s="63"/>
    </row>
    <row r="47" spans="2:24">
      <c r="F47" s="64"/>
      <c r="G47" s="63"/>
      <c r="H47" s="63"/>
      <c r="I47" s="63"/>
      <c r="J47" s="63"/>
      <c r="K47" s="63"/>
      <c r="L47" s="63"/>
      <c r="M47" s="63"/>
      <c r="N47" s="63"/>
      <c r="O47" s="63"/>
    </row>
    <row r="48" spans="2:24">
      <c r="B48" s="22" t="s">
        <v>138</v>
      </c>
      <c r="F48" s="64"/>
      <c r="G48" s="63"/>
      <c r="H48" s="63"/>
      <c r="I48" s="63"/>
      <c r="J48" s="63"/>
      <c r="K48" s="63"/>
      <c r="L48" s="63"/>
      <c r="M48" s="63"/>
      <c r="N48" s="63"/>
      <c r="O48" s="63"/>
    </row>
    <row r="49" spans="2:24">
      <c r="B49" s="23"/>
      <c r="F49" s="64"/>
      <c r="G49" s="63"/>
      <c r="H49" s="63"/>
      <c r="I49" s="63"/>
      <c r="J49" s="63"/>
      <c r="K49" s="63"/>
      <c r="L49" s="63"/>
      <c r="M49" s="63"/>
      <c r="N49" s="63"/>
      <c r="O49" s="63"/>
    </row>
    <row r="50" spans="2:24">
      <c r="B50" s="22" t="s">
        <v>121</v>
      </c>
      <c r="F50" s="64"/>
      <c r="G50" s="63"/>
      <c r="H50" s="63"/>
      <c r="I50" s="63"/>
      <c r="J50" s="63"/>
      <c r="K50" s="63"/>
      <c r="L50" s="63"/>
      <c r="M50" s="63"/>
      <c r="N50" s="63"/>
      <c r="O50" s="63"/>
      <c r="S50" s="258"/>
      <c r="T50" s="258"/>
      <c r="U50" s="258"/>
    </row>
    <row r="51" spans="2:24">
      <c r="B51" s="23" t="s">
        <v>216</v>
      </c>
      <c r="D51" t="s">
        <v>107</v>
      </c>
      <c r="F51" s="69">
        <f>SUM(G51:O51)</f>
        <v>0</v>
      </c>
      <c r="G51" s="97">
        <f>G31</f>
        <v>0</v>
      </c>
      <c r="H51" s="97">
        <f t="shared" ref="H51:O51" si="16">H31</f>
        <v>0</v>
      </c>
      <c r="I51" s="97">
        <f t="shared" si="16"/>
        <v>0</v>
      </c>
      <c r="J51" s="97">
        <f t="shared" si="16"/>
        <v>0</v>
      </c>
      <c r="K51" s="97">
        <f t="shared" si="16"/>
        <v>0</v>
      </c>
      <c r="L51" s="97">
        <f t="shared" si="16"/>
        <v>0</v>
      </c>
      <c r="M51" s="97">
        <f t="shared" si="16"/>
        <v>0</v>
      </c>
      <c r="N51" s="97">
        <f t="shared" si="16"/>
        <v>0</v>
      </c>
      <c r="O51" s="97">
        <f t="shared" si="16"/>
        <v>0</v>
      </c>
      <c r="S51" s="29"/>
      <c r="T51" s="29"/>
      <c r="U51" s="29"/>
      <c r="V51" s="29"/>
      <c r="W51" s="29"/>
      <c r="X51" s="29"/>
    </row>
    <row r="52" spans="2:24">
      <c r="B52" s="23" t="s">
        <v>217</v>
      </c>
      <c r="D52" t="s">
        <v>107</v>
      </c>
      <c r="F52" s="69">
        <f>SUM(G52:O52)</f>
        <v>0</v>
      </c>
      <c r="G52" s="97">
        <f>G32</f>
        <v>0</v>
      </c>
      <c r="H52" s="97">
        <f t="shared" ref="H52:O52" si="17">H32</f>
        <v>0</v>
      </c>
      <c r="I52" s="97">
        <f t="shared" si="17"/>
        <v>0</v>
      </c>
      <c r="J52" s="97">
        <f t="shared" si="17"/>
        <v>0</v>
      </c>
      <c r="K52" s="97">
        <f t="shared" si="17"/>
        <v>0</v>
      </c>
      <c r="L52" s="97">
        <f t="shared" si="17"/>
        <v>0</v>
      </c>
      <c r="M52" s="97">
        <f t="shared" si="17"/>
        <v>0</v>
      </c>
      <c r="N52" s="97">
        <f t="shared" si="17"/>
        <v>0</v>
      </c>
      <c r="O52" s="97">
        <f t="shared" si="17"/>
        <v>0</v>
      </c>
      <c r="S52" s="29"/>
      <c r="T52" s="29"/>
      <c r="U52" s="29"/>
      <c r="V52" s="29"/>
      <c r="W52" s="29"/>
      <c r="X52" s="29"/>
    </row>
    <row r="53" spans="2:24">
      <c r="B53" s="23"/>
      <c r="F53" s="64"/>
      <c r="G53" s="63"/>
      <c r="H53" s="63"/>
      <c r="I53" s="63"/>
      <c r="J53" s="63"/>
      <c r="K53" s="63"/>
      <c r="L53" s="63"/>
      <c r="M53" s="63"/>
      <c r="N53" s="63"/>
      <c r="O53" s="63"/>
      <c r="S53" s="28"/>
      <c r="T53" s="28"/>
      <c r="U53" s="28"/>
      <c r="V53" s="28"/>
      <c r="W53" s="28"/>
      <c r="X53" s="28"/>
    </row>
    <row r="54" spans="2:24">
      <c r="B54" s="22" t="s">
        <v>122</v>
      </c>
      <c r="F54" s="64"/>
      <c r="G54" s="63"/>
      <c r="H54" s="63"/>
      <c r="I54" s="63"/>
      <c r="J54" s="63"/>
      <c r="K54" s="63"/>
      <c r="L54" s="63"/>
      <c r="M54" s="63"/>
      <c r="N54" s="63"/>
      <c r="O54" s="63"/>
      <c r="S54" s="28"/>
      <c r="T54" s="28"/>
      <c r="U54" s="28"/>
      <c r="V54" s="28"/>
      <c r="W54" s="28"/>
      <c r="X54" s="28"/>
    </row>
    <row r="55" spans="2:24">
      <c r="B55" s="23" t="s">
        <v>123</v>
      </c>
      <c r="D55" t="s">
        <v>107</v>
      </c>
      <c r="F55" s="69">
        <f>SUM(G55:O55)</f>
        <v>294731371.20642567</v>
      </c>
      <c r="G55" s="98">
        <f>G15+G35</f>
        <v>8724000</v>
      </c>
      <c r="H55" s="98">
        <f t="shared" ref="H55:O55" si="18">H15+H35</f>
        <v>10009496.471123759</v>
      </c>
      <c r="I55" s="98">
        <f>I15+I35</f>
        <v>8944503.8732926641</v>
      </c>
      <c r="J55" s="98">
        <f t="shared" si="18"/>
        <v>99505044.304304034</v>
      </c>
      <c r="K55" s="98">
        <f t="shared" si="18"/>
        <v>93154142.251343012</v>
      </c>
      <c r="L55" s="98">
        <f t="shared" si="18"/>
        <v>3049986.2</v>
      </c>
      <c r="M55" s="98">
        <f t="shared" si="18"/>
        <v>64936634.457773954</v>
      </c>
      <c r="N55" s="98">
        <f t="shared" si="18"/>
        <v>6407563.6485883016</v>
      </c>
      <c r="O55" s="98">
        <f t="shared" si="18"/>
        <v>0</v>
      </c>
      <c r="S55" s="29"/>
      <c r="T55" s="29"/>
      <c r="U55" s="29"/>
      <c r="V55" s="29"/>
      <c r="W55" s="29"/>
      <c r="X55" s="29"/>
    </row>
    <row r="56" spans="2:24">
      <c r="B56" s="23" t="s">
        <v>124</v>
      </c>
      <c r="D56" t="s">
        <v>107</v>
      </c>
      <c r="F56" s="69">
        <f>SUM(G56:O56)</f>
        <v>24779203.338767491</v>
      </c>
      <c r="G56" s="98">
        <f>G16+G36</f>
        <v>0</v>
      </c>
      <c r="H56" s="98">
        <f t="shared" ref="H56:O56" si="19">H16+H36</f>
        <v>0</v>
      </c>
      <c r="I56" s="98">
        <f t="shared" si="19"/>
        <v>0</v>
      </c>
      <c r="J56" s="98">
        <f t="shared" si="19"/>
        <v>0</v>
      </c>
      <c r="K56" s="98">
        <f t="shared" si="19"/>
        <v>0</v>
      </c>
      <c r="L56" s="98">
        <f t="shared" si="19"/>
        <v>1015359.93</v>
      </c>
      <c r="M56" s="98">
        <f t="shared" si="19"/>
        <v>23763843.408767492</v>
      </c>
      <c r="N56" s="98">
        <f t="shared" si="19"/>
        <v>0</v>
      </c>
      <c r="O56" s="98">
        <f t="shared" si="19"/>
        <v>0</v>
      </c>
      <c r="V56" s="29"/>
      <c r="W56" s="29"/>
      <c r="X56" s="29"/>
    </row>
    <row r="57" spans="2:24">
      <c r="B57" s="23"/>
      <c r="F57" s="64"/>
      <c r="G57" s="63"/>
      <c r="H57" s="63"/>
      <c r="I57" s="63"/>
      <c r="J57" s="63"/>
      <c r="K57" s="63"/>
      <c r="L57" s="63"/>
      <c r="M57" s="63"/>
      <c r="N57" s="63"/>
      <c r="O57" s="63"/>
      <c r="S57" s="28"/>
      <c r="T57" s="28"/>
      <c r="U57" s="28"/>
      <c r="V57" s="28"/>
      <c r="W57" s="28"/>
      <c r="X57" s="28"/>
    </row>
    <row r="58" spans="2:24">
      <c r="B58" s="22" t="s">
        <v>125</v>
      </c>
      <c r="F58" s="64"/>
      <c r="G58" s="63"/>
      <c r="H58" s="63"/>
      <c r="I58" s="63"/>
      <c r="J58" s="63"/>
      <c r="K58" s="63"/>
      <c r="L58" s="63"/>
      <c r="M58" s="63"/>
      <c r="N58" s="63"/>
      <c r="O58" s="63"/>
      <c r="S58" s="28"/>
      <c r="T58" s="28"/>
      <c r="U58" s="28"/>
      <c r="V58" s="28"/>
      <c r="W58" s="28"/>
      <c r="X58" s="28"/>
    </row>
    <row r="59" spans="2:24">
      <c r="B59" s="23" t="s">
        <v>126</v>
      </c>
      <c r="D59" t="s">
        <v>107</v>
      </c>
      <c r="F59" s="69">
        <f>SUM(G59:O59)</f>
        <v>20921637.971314959</v>
      </c>
      <c r="G59" s="98">
        <f>G19+G39</f>
        <v>0</v>
      </c>
      <c r="H59" s="98">
        <f t="shared" ref="H59:O59" si="20">H19+H39</f>
        <v>272917.09999999998</v>
      </c>
      <c r="I59" s="98">
        <f t="shared" si="20"/>
        <v>0</v>
      </c>
      <c r="J59" s="98">
        <f t="shared" si="20"/>
        <v>611000</v>
      </c>
      <c r="K59" s="98">
        <f t="shared" si="20"/>
        <v>7004694.0313149588</v>
      </c>
      <c r="L59" s="98">
        <f t="shared" si="20"/>
        <v>90128.84</v>
      </c>
      <c r="M59" s="98">
        <f t="shared" si="20"/>
        <v>12940404</v>
      </c>
      <c r="N59" s="98">
        <f t="shared" si="20"/>
        <v>2494</v>
      </c>
      <c r="O59" s="98">
        <f t="shared" si="20"/>
        <v>0</v>
      </c>
      <c r="S59" s="29"/>
      <c r="T59" s="29"/>
      <c r="U59" s="29"/>
      <c r="V59" s="29"/>
      <c r="W59" s="29"/>
      <c r="X59" s="29"/>
    </row>
    <row r="60" spans="2:24">
      <c r="B60" s="23" t="s">
        <v>127</v>
      </c>
      <c r="D60" t="s">
        <v>107</v>
      </c>
      <c r="F60" s="69">
        <f>SUM(G60:O60)</f>
        <v>0</v>
      </c>
      <c r="G60" s="98">
        <f>G20+G40</f>
        <v>0</v>
      </c>
      <c r="H60" s="98">
        <f t="shared" ref="H60:O60" si="21">H20+H40</f>
        <v>0</v>
      </c>
      <c r="I60" s="98">
        <f t="shared" si="21"/>
        <v>0</v>
      </c>
      <c r="J60" s="98">
        <f t="shared" si="21"/>
        <v>0</v>
      </c>
      <c r="K60" s="98">
        <f t="shared" si="21"/>
        <v>0</v>
      </c>
      <c r="L60" s="98">
        <f t="shared" si="21"/>
        <v>0</v>
      </c>
      <c r="M60" s="98">
        <f t="shared" si="21"/>
        <v>0</v>
      </c>
      <c r="N60" s="98">
        <f t="shared" si="21"/>
        <v>0</v>
      </c>
      <c r="O60" s="98">
        <f t="shared" si="21"/>
        <v>0</v>
      </c>
      <c r="S60" s="29"/>
      <c r="T60" s="29"/>
      <c r="U60" s="29"/>
      <c r="V60" s="29"/>
      <c r="W60" s="29"/>
      <c r="X60" s="29"/>
    </row>
    <row r="61" spans="2:24">
      <c r="B61" s="23"/>
      <c r="F61" s="64"/>
      <c r="G61" s="63"/>
      <c r="H61" s="63"/>
      <c r="I61" s="63"/>
      <c r="J61" s="63"/>
      <c r="K61" s="63"/>
      <c r="L61" s="63"/>
      <c r="M61" s="63"/>
      <c r="N61" s="63"/>
      <c r="O61" s="63"/>
      <c r="S61" s="28"/>
      <c r="T61" s="28"/>
      <c r="U61" s="28"/>
      <c r="V61" s="28"/>
      <c r="W61" s="28"/>
      <c r="X61" s="28"/>
    </row>
    <row r="62" spans="2:24">
      <c r="B62" s="22" t="s">
        <v>128</v>
      </c>
      <c r="F62" s="64"/>
      <c r="G62" s="63"/>
      <c r="H62" s="63"/>
      <c r="I62" s="63"/>
      <c r="J62" s="63"/>
      <c r="K62" s="63"/>
      <c r="L62" s="63"/>
      <c r="M62" s="63"/>
      <c r="N62" s="63"/>
      <c r="O62" s="63"/>
      <c r="S62" s="28"/>
      <c r="T62" s="28"/>
      <c r="U62" s="28"/>
      <c r="V62" s="28"/>
      <c r="W62" s="28"/>
      <c r="X62" s="28"/>
    </row>
    <row r="63" spans="2:24">
      <c r="B63" s="93" t="s">
        <v>180</v>
      </c>
      <c r="D63" t="s">
        <v>107</v>
      </c>
      <c r="F63" s="69">
        <f>SUM(G63:O63)</f>
        <v>3772160.567865795</v>
      </c>
      <c r="G63" s="98">
        <f>G23+G43</f>
        <v>111000</v>
      </c>
      <c r="H63" s="98">
        <f t="shared" ref="H63:O63" si="22">H23+H43</f>
        <v>92687.856749999992</v>
      </c>
      <c r="I63" s="98">
        <f t="shared" si="22"/>
        <v>183986.81758887111</v>
      </c>
      <c r="J63" s="98">
        <f t="shared" si="22"/>
        <v>944347.31593749998</v>
      </c>
      <c r="K63" s="98">
        <f t="shared" si="22"/>
        <v>1064924.5604356914</v>
      </c>
      <c r="L63" s="98">
        <f t="shared" si="22"/>
        <v>56468.11</v>
      </c>
      <c r="M63" s="98">
        <f t="shared" si="22"/>
        <v>1315317.5112870373</v>
      </c>
      <c r="N63" s="98">
        <f t="shared" si="22"/>
        <v>3428.3958666955414</v>
      </c>
      <c r="O63" s="98">
        <f t="shared" si="22"/>
        <v>0</v>
      </c>
      <c r="S63" s="29"/>
      <c r="T63" s="29"/>
      <c r="U63" s="29"/>
      <c r="V63" s="29"/>
      <c r="W63" s="29"/>
      <c r="X63" s="29"/>
    </row>
    <row r="64" spans="2:24">
      <c r="B64" s="93" t="s">
        <v>181</v>
      </c>
      <c r="D64" t="s">
        <v>107</v>
      </c>
      <c r="F64" s="69">
        <f>SUM(G64:O64)</f>
        <v>706685.49768770766</v>
      </c>
      <c r="G64" s="98">
        <f>G24+G44</f>
        <v>8000</v>
      </c>
      <c r="H64" s="98">
        <f t="shared" ref="H64:O64" si="23">H24+H44</f>
        <v>11007.064200000001</v>
      </c>
      <c r="I64" s="98">
        <f t="shared" si="23"/>
        <v>30015.244644390703</v>
      </c>
      <c r="J64" s="98">
        <f t="shared" si="23"/>
        <v>174598.21177229812</v>
      </c>
      <c r="K64" s="98">
        <f t="shared" si="23"/>
        <v>150345.3853645178</v>
      </c>
      <c r="L64" s="98">
        <f t="shared" si="23"/>
        <v>7388</v>
      </c>
      <c r="M64" s="98">
        <f t="shared" si="23"/>
        <v>259798.17566861041</v>
      </c>
      <c r="N64" s="98">
        <f t="shared" si="23"/>
        <v>65533.41603789058</v>
      </c>
      <c r="O64" s="98">
        <f t="shared" si="23"/>
        <v>0</v>
      </c>
      <c r="S64" s="29"/>
      <c r="T64" s="29"/>
      <c r="U64" s="29"/>
      <c r="V64" s="29"/>
      <c r="W64" s="29"/>
      <c r="X64" s="29"/>
    </row>
    <row r="65" spans="2:24">
      <c r="B65" s="94" t="s">
        <v>182</v>
      </c>
      <c r="D65" t="s">
        <v>107</v>
      </c>
      <c r="F65" s="69">
        <f>SUM(G65:O65)</f>
        <v>4493013.8167390767</v>
      </c>
      <c r="G65" s="98">
        <f>G25+G45</f>
        <v>0</v>
      </c>
      <c r="H65" s="98">
        <f t="shared" ref="H65:O65" si="24">H25+H45</f>
        <v>0</v>
      </c>
      <c r="I65" s="454">
        <f t="shared" si="24"/>
        <v>14029.331699914444</v>
      </c>
      <c r="J65" s="98">
        <f t="shared" si="24"/>
        <v>808600</v>
      </c>
      <c r="K65" s="98">
        <f t="shared" si="24"/>
        <v>3295920.4570486182</v>
      </c>
      <c r="L65" s="98">
        <f t="shared" si="24"/>
        <v>95604.42</v>
      </c>
      <c r="M65" s="98">
        <f t="shared" si="24"/>
        <v>76637.909708563864</v>
      </c>
      <c r="N65" s="98">
        <f t="shared" si="24"/>
        <v>202221.69828198027</v>
      </c>
      <c r="O65" s="98">
        <f t="shared" si="24"/>
        <v>0</v>
      </c>
      <c r="S65" s="29"/>
      <c r="T65" s="29"/>
      <c r="U65" s="29"/>
      <c r="V65" s="29"/>
      <c r="W65" s="29"/>
      <c r="X65" s="29"/>
    </row>
    <row r="66" spans="2:24">
      <c r="F66" s="64"/>
      <c r="G66" s="63"/>
      <c r="H66" s="63"/>
      <c r="I66" s="63"/>
      <c r="J66" s="63"/>
      <c r="K66" s="63"/>
      <c r="L66" s="63"/>
      <c r="M66" s="63"/>
      <c r="N66" s="63"/>
      <c r="O66" s="63"/>
      <c r="S66" s="28"/>
      <c r="T66" s="28"/>
      <c r="U66" s="28"/>
      <c r="V66" s="28"/>
      <c r="W66" s="28"/>
      <c r="X66" s="28"/>
    </row>
    <row r="67" spans="2:24">
      <c r="B67" s="79" t="s">
        <v>268</v>
      </c>
      <c r="D67" t="s">
        <v>107</v>
      </c>
      <c r="F67" s="69">
        <f>SUM(G67:O67)</f>
        <v>349404072.39880073</v>
      </c>
      <c r="G67" s="69">
        <f>SUM(G51:G52,G55:G56,G59:G60,G63:G65)</f>
        <v>8843000</v>
      </c>
      <c r="H67" s="69">
        <f t="shared" ref="H67:O67" si="25">SUM(H51:H52,H55:H56,H59:H60,H63:H65)</f>
        <v>10386108.492073759</v>
      </c>
      <c r="I67" s="69">
        <f t="shared" si="25"/>
        <v>9172535.2672258411</v>
      </c>
      <c r="J67" s="69">
        <f t="shared" si="25"/>
        <v>102043589.83201383</v>
      </c>
      <c r="K67" s="69">
        <f t="shared" si="25"/>
        <v>104670026.68550681</v>
      </c>
      <c r="L67" s="69">
        <f t="shared" si="25"/>
        <v>4314935.5</v>
      </c>
      <c r="M67" s="69">
        <f t="shared" si="25"/>
        <v>103292635.46320565</v>
      </c>
      <c r="N67" s="69">
        <f t="shared" si="25"/>
        <v>6681241.1587748677</v>
      </c>
      <c r="O67" s="69">
        <f t="shared" si="25"/>
        <v>0</v>
      </c>
      <c r="S67" s="68"/>
      <c r="T67" s="68"/>
      <c r="U67" s="68"/>
      <c r="V67" s="68"/>
      <c r="W67" s="68"/>
      <c r="X67" s="68"/>
    </row>
    <row r="68" spans="2:24">
      <c r="F68" s="218"/>
      <c r="G68" s="42"/>
      <c r="H68" s="42"/>
      <c r="I68" s="42"/>
      <c r="J68" s="42"/>
      <c r="K68" s="42"/>
      <c r="L68" s="42"/>
      <c r="M68" s="42"/>
      <c r="N68" s="42"/>
      <c r="O68" s="258"/>
    </row>
    <row r="69" spans="2:24">
      <c r="F69" s="62"/>
      <c r="G69" s="42"/>
      <c r="H69" s="42"/>
      <c r="I69" s="42"/>
      <c r="J69" s="42"/>
      <c r="K69" s="42"/>
      <c r="L69" s="42"/>
      <c r="M69" s="42"/>
      <c r="N69" s="42"/>
      <c r="O69" s="258"/>
    </row>
    <row r="70" spans="2:24" s="2" customFormat="1">
      <c r="B70" s="2" t="s">
        <v>241</v>
      </c>
      <c r="F70" s="65"/>
      <c r="G70" s="66"/>
      <c r="H70" s="66"/>
      <c r="I70" s="66"/>
      <c r="J70" s="66"/>
      <c r="K70" s="66"/>
      <c r="L70" s="66"/>
      <c r="M70" s="66"/>
      <c r="N70" s="66"/>
    </row>
    <row r="71" spans="2:24">
      <c r="F71" s="62"/>
      <c r="G71" s="42"/>
      <c r="H71" s="42"/>
      <c r="I71" s="42"/>
      <c r="J71" s="42"/>
      <c r="K71" s="42"/>
      <c r="L71" s="42"/>
      <c r="M71" s="42"/>
      <c r="N71" s="42"/>
      <c r="O71" s="258"/>
    </row>
    <row r="72" spans="2:24">
      <c r="B72" s="22" t="s">
        <v>218</v>
      </c>
      <c r="G72" s="258"/>
      <c r="H72" s="258"/>
      <c r="I72" s="258"/>
      <c r="J72" s="258"/>
      <c r="K72" s="258"/>
      <c r="L72" s="258"/>
      <c r="M72" s="258"/>
      <c r="N72" s="258"/>
      <c r="O72" s="258"/>
    </row>
    <row r="73" spans="2:24">
      <c r="B73" s="23"/>
      <c r="G73" s="258"/>
      <c r="H73" s="258"/>
      <c r="I73" s="258"/>
      <c r="J73" s="258"/>
      <c r="K73" s="258"/>
      <c r="L73" s="258"/>
      <c r="M73" s="258"/>
      <c r="N73" s="258"/>
      <c r="O73" s="258"/>
    </row>
    <row r="74" spans="2:24">
      <c r="B74" s="22" t="s">
        <v>122</v>
      </c>
      <c r="G74" s="258"/>
      <c r="H74" s="258"/>
      <c r="I74" s="258"/>
      <c r="J74" s="258"/>
      <c r="K74" s="258"/>
      <c r="L74" s="258"/>
      <c r="M74" s="258"/>
      <c r="N74" s="258"/>
      <c r="O74" s="258"/>
    </row>
    <row r="75" spans="2:24">
      <c r="B75" s="23" t="s">
        <v>123</v>
      </c>
      <c r="D75" t="s">
        <v>108</v>
      </c>
      <c r="F75" s="69">
        <f>SUM(G75:O75)</f>
        <v>112246103.97158268</v>
      </c>
      <c r="G75" s="87">
        <v>3522000</v>
      </c>
      <c r="H75" s="87">
        <v>5275036.4782508202</v>
      </c>
      <c r="I75" s="98">
        <f>S75+T75</f>
        <v>7774148.0795158818</v>
      </c>
      <c r="J75" s="98">
        <f>U75+V75</f>
        <v>25681940.752523538</v>
      </c>
      <c r="K75" s="98">
        <f>W75+X75</f>
        <v>29766757.692499537</v>
      </c>
      <c r="L75" s="87">
        <v>494920.96000000002</v>
      </c>
      <c r="M75" s="87">
        <v>38925818.299593419</v>
      </c>
      <c r="N75" s="87">
        <v>805481.70919948758</v>
      </c>
      <c r="O75" s="87"/>
      <c r="S75" s="87">
        <v>3344549.1205577715</v>
      </c>
      <c r="T75" s="87">
        <v>4429598.9589581108</v>
      </c>
      <c r="U75" s="249">
        <f>22667526.526+'Aanpassing gegevens (sep.2014)'!H128</f>
        <v>23007427.619350329</v>
      </c>
      <c r="V75" s="87">
        <v>2674513.1331732087</v>
      </c>
      <c r="W75" s="87">
        <v>28127771.737274759</v>
      </c>
      <c r="X75" s="87">
        <v>1638985.9552247799</v>
      </c>
    </row>
    <row r="76" spans="2:24">
      <c r="B76" s="23" t="s">
        <v>124</v>
      </c>
      <c r="D76" t="s">
        <v>108</v>
      </c>
      <c r="F76" s="69">
        <f>SUM(G76:O76)</f>
        <v>9860292.440823026</v>
      </c>
      <c r="G76" s="87">
        <v>0</v>
      </c>
      <c r="H76" s="87"/>
      <c r="I76" s="98">
        <f>S76+T76</f>
        <v>0</v>
      </c>
      <c r="J76" s="98">
        <f>U76+V76</f>
        <v>0</v>
      </c>
      <c r="K76" s="98">
        <f>W76+X76</f>
        <v>0</v>
      </c>
      <c r="L76" s="87">
        <v>97071.770000000019</v>
      </c>
      <c r="M76" s="87">
        <v>9763220.6708230264</v>
      </c>
      <c r="N76" s="87"/>
      <c r="O76" s="87"/>
      <c r="S76" s="87">
        <v>0</v>
      </c>
      <c r="T76" s="87">
        <v>0</v>
      </c>
      <c r="U76" s="87">
        <v>0</v>
      </c>
      <c r="V76" s="87"/>
      <c r="W76" s="87">
        <v>0</v>
      </c>
      <c r="X76" s="87">
        <v>0</v>
      </c>
    </row>
    <row r="77" spans="2:24">
      <c r="B77" s="23"/>
      <c r="F77" s="64"/>
      <c r="G77" s="63"/>
      <c r="H77" s="63"/>
      <c r="I77" s="63"/>
      <c r="J77" s="63"/>
      <c r="K77" s="63"/>
      <c r="L77" s="63"/>
      <c r="M77" s="63"/>
      <c r="N77" s="63"/>
      <c r="O77" s="63"/>
    </row>
    <row r="78" spans="2:24">
      <c r="B78" s="22" t="s">
        <v>125</v>
      </c>
      <c r="F78" s="64"/>
      <c r="G78" s="63"/>
      <c r="H78" s="63"/>
      <c r="I78" s="63"/>
      <c r="J78" s="63"/>
      <c r="K78" s="63"/>
      <c r="L78" s="63"/>
      <c r="M78" s="63"/>
      <c r="N78" s="63"/>
      <c r="O78" s="63"/>
    </row>
    <row r="79" spans="2:24">
      <c r="B79" s="23" t="s">
        <v>126</v>
      </c>
      <c r="D79" t="s">
        <v>108</v>
      </c>
      <c r="F79" s="69">
        <f>SUM(G79:O79)</f>
        <v>12657591</v>
      </c>
      <c r="G79" s="87"/>
      <c r="H79" s="87"/>
      <c r="I79" s="98">
        <f t="shared" ref="I79:I80" si="26">S79+T79</f>
        <v>0</v>
      </c>
      <c r="J79" s="98">
        <f>U79+V79</f>
        <v>0</v>
      </c>
      <c r="K79" s="98">
        <f t="shared" ref="K79:K80" si="27">W79+X79</f>
        <v>0</v>
      </c>
      <c r="L79" s="87">
        <v>88642</v>
      </c>
      <c r="M79" s="87">
        <v>12568949</v>
      </c>
      <c r="N79" s="87"/>
      <c r="O79" s="87"/>
      <c r="S79" s="87">
        <v>0</v>
      </c>
      <c r="T79" s="87">
        <v>0</v>
      </c>
      <c r="U79" s="87">
        <v>0</v>
      </c>
      <c r="V79" s="87"/>
      <c r="W79" s="87">
        <v>0</v>
      </c>
      <c r="X79" s="87">
        <v>0</v>
      </c>
    </row>
    <row r="80" spans="2:24">
      <c r="B80" s="23" t="s">
        <v>127</v>
      </c>
      <c r="D80" t="s">
        <v>108</v>
      </c>
      <c r="F80" s="69">
        <f>SUM(G80:O80)</f>
        <v>0</v>
      </c>
      <c r="G80" s="87"/>
      <c r="H80" s="87"/>
      <c r="I80" s="98">
        <f t="shared" si="26"/>
        <v>0</v>
      </c>
      <c r="J80" s="98">
        <f>U80+V80</f>
        <v>0</v>
      </c>
      <c r="K80" s="98">
        <f t="shared" si="27"/>
        <v>0</v>
      </c>
      <c r="L80" s="87"/>
      <c r="M80" s="87"/>
      <c r="N80" s="87"/>
      <c r="O80" s="87"/>
      <c r="S80" s="87">
        <v>0</v>
      </c>
      <c r="T80" s="87">
        <v>0</v>
      </c>
      <c r="U80" s="87">
        <v>0</v>
      </c>
      <c r="V80" s="87"/>
      <c r="W80" s="87">
        <v>0</v>
      </c>
      <c r="X80" s="87">
        <v>0</v>
      </c>
    </row>
    <row r="81" spans="2:24">
      <c r="B81" s="23"/>
      <c r="F81" s="64"/>
      <c r="G81" s="63"/>
      <c r="H81" s="63"/>
      <c r="I81" s="63"/>
      <c r="J81" s="63"/>
      <c r="K81" s="63"/>
      <c r="L81" s="63"/>
      <c r="M81" s="63"/>
      <c r="N81" s="63"/>
      <c r="O81" s="63"/>
    </row>
    <row r="82" spans="2:24">
      <c r="B82" s="22" t="s">
        <v>128</v>
      </c>
      <c r="F82" s="64"/>
      <c r="G82" s="63"/>
      <c r="H82" s="63"/>
      <c r="I82" s="63"/>
      <c r="J82" s="63"/>
      <c r="K82" s="63"/>
      <c r="L82" s="63"/>
      <c r="M82" s="63"/>
      <c r="N82" s="63"/>
      <c r="O82" s="63"/>
    </row>
    <row r="83" spans="2:24">
      <c r="B83" s="93" t="s">
        <v>180</v>
      </c>
      <c r="D83" t="s">
        <v>108</v>
      </c>
      <c r="F83" s="69">
        <f>SUM(G83:O83)</f>
        <v>663905.40825112455</v>
      </c>
      <c r="G83" s="87">
        <v>12000</v>
      </c>
      <c r="H83" s="87">
        <v>16638.345000000001</v>
      </c>
      <c r="I83" s="98">
        <f t="shared" ref="I83:I85" si="28">S83+T83</f>
        <v>181330.25258374997</v>
      </c>
      <c r="J83" s="98">
        <f>U83+V83</f>
        <v>0</v>
      </c>
      <c r="K83" s="98">
        <f t="shared" ref="K83:K85" si="29">W83+X83</f>
        <v>395155.27709849598</v>
      </c>
      <c r="L83" s="87">
        <v>57643.82</v>
      </c>
      <c r="M83" s="87">
        <v>229.82597367714561</v>
      </c>
      <c r="N83" s="87">
        <v>907.8875952014547</v>
      </c>
      <c r="O83" s="87"/>
      <c r="S83" s="87">
        <v>86950.13698625</v>
      </c>
      <c r="T83" s="87">
        <v>94380.115597499971</v>
      </c>
      <c r="U83" s="87">
        <v>0</v>
      </c>
      <c r="V83" s="87"/>
      <c r="W83" s="87">
        <v>369864.75665499596</v>
      </c>
      <c r="X83" s="87">
        <v>25290.520443500012</v>
      </c>
    </row>
    <row r="84" spans="2:24">
      <c r="B84" s="93" t="s">
        <v>181</v>
      </c>
      <c r="D84" t="s">
        <v>108</v>
      </c>
      <c r="F84" s="69">
        <f>SUM(G84:O84)</f>
        <v>104396.69352420385</v>
      </c>
      <c r="G84" s="87">
        <v>0</v>
      </c>
      <c r="H84" s="87">
        <v>498.62760000000003</v>
      </c>
      <c r="I84" s="98">
        <f t="shared" si="28"/>
        <v>31746.786192698186</v>
      </c>
      <c r="J84" s="98">
        <f>U84+V84</f>
        <v>0</v>
      </c>
      <c r="K84" s="98">
        <f t="shared" si="29"/>
        <v>56152.342042585522</v>
      </c>
      <c r="L84" s="87">
        <v>7494.59</v>
      </c>
      <c r="M84" s="87">
        <v>48.269626649015557</v>
      </c>
      <c r="N84" s="87">
        <v>8456.0780622711281</v>
      </c>
      <c r="O84" s="87"/>
      <c r="S84" s="87">
        <v>12655.304612493333</v>
      </c>
      <c r="T84" s="87">
        <v>19091.481580204851</v>
      </c>
      <c r="U84" s="87">
        <v>0</v>
      </c>
      <c r="V84" s="87"/>
      <c r="W84" s="87">
        <v>49374.504164137448</v>
      </c>
      <c r="X84" s="87">
        <v>6777.8378784480728</v>
      </c>
    </row>
    <row r="85" spans="2:24">
      <c r="B85" s="94" t="s">
        <v>182</v>
      </c>
      <c r="D85" t="s">
        <v>108</v>
      </c>
      <c r="F85" s="69">
        <f>SUM(G85:O85)</f>
        <v>1039772.9130295167</v>
      </c>
      <c r="G85" s="87"/>
      <c r="H85" s="87"/>
      <c r="I85" s="98">
        <f t="shared" si="28"/>
        <v>166814.40571456257</v>
      </c>
      <c r="J85" s="98">
        <f>U85+V85</f>
        <v>0</v>
      </c>
      <c r="K85" s="98">
        <f t="shared" si="29"/>
        <v>835460.08372192888</v>
      </c>
      <c r="L85" s="87">
        <v>27032.62</v>
      </c>
      <c r="M85" s="87">
        <v>24.909913124737749</v>
      </c>
      <c r="N85" s="87">
        <v>10440.893679900519</v>
      </c>
      <c r="O85" s="87"/>
      <c r="S85" s="454">
        <f>'Aanpassing gegevens (aug. 2016)'!J35</f>
        <v>102692.74538124035</v>
      </c>
      <c r="T85" s="87">
        <v>64121.660333322201</v>
      </c>
      <c r="U85" s="87">
        <v>0</v>
      </c>
      <c r="V85" s="87"/>
      <c r="W85" s="87">
        <v>822196.1809689342</v>
      </c>
      <c r="X85" s="87">
        <v>13263.902752994709</v>
      </c>
    </row>
    <row r="86" spans="2:24">
      <c r="B86" s="23"/>
      <c r="F86" s="64"/>
      <c r="G86" s="63"/>
      <c r="H86" s="63"/>
      <c r="I86" s="63"/>
      <c r="J86" s="63"/>
      <c r="K86" s="63"/>
      <c r="L86" s="63"/>
      <c r="M86" s="63"/>
      <c r="N86" s="63"/>
      <c r="O86" s="63"/>
    </row>
    <row r="87" spans="2:24">
      <c r="F87" s="64"/>
      <c r="G87" s="63"/>
      <c r="H87" s="63"/>
      <c r="I87" s="63"/>
      <c r="J87" s="63"/>
      <c r="K87" s="63"/>
      <c r="L87" s="63"/>
      <c r="M87" s="63"/>
      <c r="N87" s="63"/>
      <c r="O87" s="63"/>
    </row>
    <row r="88" spans="2:24">
      <c r="B88" s="22" t="s">
        <v>219</v>
      </c>
      <c r="F88" s="64"/>
      <c r="G88" s="63"/>
      <c r="H88" s="63"/>
      <c r="I88" s="63"/>
      <c r="J88" s="63"/>
      <c r="K88" s="63"/>
      <c r="L88" s="63"/>
      <c r="M88" s="63"/>
      <c r="N88" s="63"/>
      <c r="O88" s="63"/>
    </row>
    <row r="89" spans="2:24">
      <c r="B89" s="23"/>
      <c r="F89" s="64"/>
      <c r="G89" s="63"/>
      <c r="H89" s="63"/>
      <c r="I89" s="63"/>
      <c r="J89" s="63"/>
      <c r="K89" s="63"/>
      <c r="L89" s="63"/>
      <c r="M89" s="63"/>
      <c r="N89" s="63"/>
      <c r="O89" s="63"/>
    </row>
    <row r="90" spans="2:24">
      <c r="B90" s="22" t="s">
        <v>121</v>
      </c>
      <c r="F90" s="64"/>
      <c r="G90" s="63"/>
      <c r="H90" s="63"/>
      <c r="I90" s="63"/>
      <c r="J90" s="63"/>
      <c r="K90" s="63"/>
      <c r="L90" s="63"/>
      <c r="M90" s="63"/>
      <c r="N90" s="63"/>
      <c r="O90" s="63"/>
    </row>
    <row r="91" spans="2:24">
      <c r="B91" s="23" t="s">
        <v>216</v>
      </c>
      <c r="D91" t="s">
        <v>108</v>
      </c>
      <c r="F91" s="69">
        <f>SUM(G91:O91)</f>
        <v>0</v>
      </c>
      <c r="G91" s="87"/>
      <c r="H91" s="87"/>
      <c r="I91" s="98">
        <f t="shared" ref="I91:I92" si="30">S91+T91</f>
        <v>0</v>
      </c>
      <c r="J91" s="98">
        <f t="shared" ref="J91:J92" si="31">U91+V91</f>
        <v>0</v>
      </c>
      <c r="K91" s="98">
        <f t="shared" ref="K91:K92" si="32">W91+X91</f>
        <v>0</v>
      </c>
      <c r="L91" s="87"/>
      <c r="M91" s="87"/>
      <c r="N91" s="87"/>
      <c r="O91" s="87"/>
      <c r="S91" s="87"/>
      <c r="T91" s="87"/>
      <c r="U91" s="87"/>
      <c r="V91" s="87"/>
      <c r="W91" s="87"/>
      <c r="X91" s="87"/>
    </row>
    <row r="92" spans="2:24">
      <c r="B92" s="23" t="s">
        <v>217</v>
      </c>
      <c r="D92" t="s">
        <v>108</v>
      </c>
      <c r="F92" s="69">
        <f>SUM(G92:O92)</f>
        <v>0</v>
      </c>
      <c r="G92" s="87"/>
      <c r="H92" s="87"/>
      <c r="I92" s="98">
        <f t="shared" si="30"/>
        <v>0</v>
      </c>
      <c r="J92" s="98">
        <f t="shared" si="31"/>
        <v>0</v>
      </c>
      <c r="K92" s="98">
        <f t="shared" si="32"/>
        <v>0</v>
      </c>
      <c r="L92" s="87"/>
      <c r="M92" s="87"/>
      <c r="N92" s="87"/>
      <c r="O92" s="87"/>
      <c r="S92" s="87"/>
      <c r="T92" s="87"/>
      <c r="U92" s="87"/>
      <c r="V92" s="87"/>
      <c r="W92" s="87"/>
      <c r="X92" s="87"/>
    </row>
    <row r="93" spans="2:24">
      <c r="B93" s="23"/>
      <c r="F93" s="64"/>
      <c r="G93" s="63"/>
      <c r="H93" s="63"/>
      <c r="I93" s="29"/>
      <c r="J93" s="63"/>
      <c r="K93" s="63"/>
      <c r="L93" s="63"/>
      <c r="M93" s="63"/>
      <c r="N93" s="63"/>
      <c r="O93" s="63"/>
    </row>
    <row r="94" spans="2:24">
      <c r="B94" s="22" t="s">
        <v>122</v>
      </c>
      <c r="F94" s="64"/>
      <c r="G94" s="63"/>
      <c r="H94" s="63"/>
      <c r="I94" s="63"/>
      <c r="J94" s="63"/>
      <c r="K94" s="63"/>
      <c r="L94" s="63"/>
      <c r="M94" s="63"/>
      <c r="N94" s="63"/>
      <c r="O94" s="63"/>
    </row>
    <row r="95" spans="2:24">
      <c r="B95" s="23" t="s">
        <v>123</v>
      </c>
      <c r="D95" t="s">
        <v>108</v>
      </c>
      <c r="F95" s="69">
        <f>SUM(G95:O95)</f>
        <v>150676021.83609885</v>
      </c>
      <c r="G95" s="87">
        <v>5585000</v>
      </c>
      <c r="H95" s="87">
        <v>3641148.454510028</v>
      </c>
      <c r="I95" s="98">
        <f t="shared" ref="I95:I96" si="33">S95+T95</f>
        <v>2373866.6980462382</v>
      </c>
      <c r="J95" s="98">
        <f t="shared" ref="J95:J96" si="34">U95+V95</f>
        <v>61055105.316657163</v>
      </c>
      <c r="K95" s="98">
        <f t="shared" ref="K95:K96" si="35">W95+X95</f>
        <v>51567978.346525796</v>
      </c>
      <c r="L95" s="87">
        <v>1600744.41</v>
      </c>
      <c r="M95" s="87">
        <v>19728924.63733691</v>
      </c>
      <c r="N95" s="87">
        <v>5123253.973022731</v>
      </c>
      <c r="O95" s="87"/>
      <c r="S95" s="87">
        <v>848170.35100866319</v>
      </c>
      <c r="T95" s="87">
        <v>1525696.347037575</v>
      </c>
      <c r="U95" s="249">
        <f>57358788.0794798+'Aanpassing gegevens (sep.2014)'!H129</f>
        <v>58218886.98612947</v>
      </c>
      <c r="V95" s="87">
        <v>2836218.3305276916</v>
      </c>
      <c r="W95" s="87">
        <v>51048404.906009026</v>
      </c>
      <c r="X95" s="87">
        <v>519573.44051677024</v>
      </c>
    </row>
    <row r="96" spans="2:24">
      <c r="B96" s="23" t="s">
        <v>124</v>
      </c>
      <c r="D96" t="s">
        <v>108</v>
      </c>
      <c r="F96" s="69">
        <f>SUM(G96:O96)</f>
        <v>8541012.0224757046</v>
      </c>
      <c r="G96" s="87">
        <v>0</v>
      </c>
      <c r="H96" s="87"/>
      <c r="I96" s="98">
        <f t="shared" si="33"/>
        <v>0</v>
      </c>
      <c r="J96" s="98">
        <f t="shared" si="34"/>
        <v>0</v>
      </c>
      <c r="K96" s="98">
        <f t="shared" si="35"/>
        <v>0</v>
      </c>
      <c r="L96" s="87">
        <v>404070.44</v>
      </c>
      <c r="M96" s="87">
        <v>8136941.5824757051</v>
      </c>
      <c r="N96" s="87"/>
      <c r="O96" s="87"/>
      <c r="S96" s="87">
        <v>0</v>
      </c>
      <c r="T96" s="87">
        <v>0</v>
      </c>
      <c r="U96" s="87">
        <v>0</v>
      </c>
      <c r="V96" s="87"/>
      <c r="W96" s="87">
        <v>0</v>
      </c>
      <c r="X96" s="87">
        <v>0</v>
      </c>
    </row>
    <row r="97" spans="2:24">
      <c r="B97" s="23"/>
      <c r="F97" s="64"/>
      <c r="G97" s="63"/>
      <c r="H97" s="63"/>
      <c r="I97" s="63"/>
      <c r="J97" s="63"/>
      <c r="K97" s="63"/>
      <c r="L97" s="63"/>
      <c r="M97" s="63"/>
      <c r="N97" s="63"/>
      <c r="O97" s="63"/>
    </row>
    <row r="98" spans="2:24">
      <c r="B98" s="22" t="s">
        <v>125</v>
      </c>
      <c r="F98" s="64"/>
      <c r="G98" s="63"/>
      <c r="H98" s="63"/>
      <c r="I98" s="63"/>
      <c r="J98" s="63"/>
      <c r="K98" s="63"/>
      <c r="L98" s="63"/>
      <c r="M98" s="63"/>
      <c r="N98" s="63"/>
      <c r="O98" s="63"/>
    </row>
    <row r="99" spans="2:24">
      <c r="B99" s="23" t="s">
        <v>126</v>
      </c>
      <c r="D99" t="s">
        <v>108</v>
      </c>
      <c r="F99" s="69">
        <f>SUM(G99:O99)</f>
        <v>8568725.0346175507</v>
      </c>
      <c r="G99" s="87"/>
      <c r="H99" s="87">
        <v>271771.83</v>
      </c>
      <c r="I99" s="98">
        <f t="shared" ref="I99:I100" si="36">S99+T99</f>
        <v>0</v>
      </c>
      <c r="J99" s="98">
        <f t="shared" ref="J99:J100" si="37">U99+V99</f>
        <v>608000</v>
      </c>
      <c r="K99" s="98">
        <f t="shared" ref="K99:K100" si="38">W99+X99</f>
        <v>7686459.2046175497</v>
      </c>
      <c r="L99" s="87"/>
      <c r="M99" s="87"/>
      <c r="N99" s="87">
        <v>2494</v>
      </c>
      <c r="O99" s="87"/>
      <c r="S99" s="87">
        <v>0</v>
      </c>
      <c r="T99" s="87">
        <v>0</v>
      </c>
      <c r="U99" s="87">
        <v>608000</v>
      </c>
      <c r="V99" s="87"/>
      <c r="W99" s="87">
        <f>8356450.20461755-669991</f>
        <v>7686459.2046175497</v>
      </c>
      <c r="X99" s="87">
        <v>0</v>
      </c>
    </row>
    <row r="100" spans="2:24">
      <c r="B100" s="23" t="s">
        <v>127</v>
      </c>
      <c r="D100" t="s">
        <v>108</v>
      </c>
      <c r="F100" s="69">
        <f>SUM(G100:O100)</f>
        <v>4000</v>
      </c>
      <c r="G100" s="87">
        <v>4000</v>
      </c>
      <c r="H100" s="87"/>
      <c r="I100" s="98">
        <f t="shared" si="36"/>
        <v>0</v>
      </c>
      <c r="J100" s="98">
        <f t="shared" si="37"/>
        <v>0</v>
      </c>
      <c r="K100" s="98">
        <f t="shared" si="38"/>
        <v>0</v>
      </c>
      <c r="L100" s="87"/>
      <c r="M100" s="87"/>
      <c r="N100" s="87"/>
      <c r="O100" s="87"/>
      <c r="S100" s="87">
        <v>0</v>
      </c>
      <c r="T100" s="87">
        <v>0</v>
      </c>
      <c r="U100" s="87">
        <v>0</v>
      </c>
      <c r="V100" s="87"/>
      <c r="W100" s="87">
        <v>0</v>
      </c>
      <c r="X100" s="87">
        <v>0</v>
      </c>
    </row>
    <row r="101" spans="2:24">
      <c r="B101" s="23"/>
      <c r="F101" s="64"/>
      <c r="G101" s="63"/>
      <c r="H101" s="63"/>
      <c r="I101" s="63"/>
      <c r="J101" s="63"/>
      <c r="K101" s="63"/>
      <c r="L101" s="63"/>
      <c r="M101" s="63"/>
      <c r="N101" s="63"/>
      <c r="O101" s="63"/>
    </row>
    <row r="102" spans="2:24">
      <c r="B102" s="22" t="s">
        <v>128</v>
      </c>
      <c r="F102" s="64"/>
      <c r="G102" s="63"/>
      <c r="H102" s="63"/>
      <c r="I102" s="63"/>
      <c r="J102" s="63"/>
      <c r="K102" s="63"/>
      <c r="L102" s="63"/>
      <c r="M102" s="63"/>
      <c r="N102" s="63"/>
      <c r="O102" s="63"/>
    </row>
    <row r="103" spans="2:24">
      <c r="B103" s="93" t="s">
        <v>180</v>
      </c>
      <c r="D103" t="s">
        <v>108</v>
      </c>
      <c r="F103" s="69">
        <f>SUM(G103:O103)</f>
        <v>2610148.0303872665</v>
      </c>
      <c r="G103" s="87">
        <v>60000</v>
      </c>
      <c r="H103" s="87">
        <v>76454.364000000001</v>
      </c>
      <c r="I103" s="98">
        <f t="shared" ref="I103:I105" si="39">S103+T103</f>
        <v>0</v>
      </c>
      <c r="J103" s="98">
        <f t="shared" ref="J103:J105" si="40">U103+V103</f>
        <v>923582.58078521874</v>
      </c>
      <c r="K103" s="98">
        <f t="shared" ref="K103:K105" si="41">W103+X103</f>
        <v>671258.49976824608</v>
      </c>
      <c r="L103" s="87"/>
      <c r="M103" s="87">
        <v>873099.73858558701</v>
      </c>
      <c r="N103" s="87">
        <v>5752.8472482147299</v>
      </c>
      <c r="O103" s="87"/>
      <c r="S103" s="87">
        <v>0</v>
      </c>
      <c r="T103" s="87">
        <v>0</v>
      </c>
      <c r="U103" s="87">
        <v>850537.58078521874</v>
      </c>
      <c r="V103" s="87">
        <v>73045</v>
      </c>
      <c r="W103" s="87">
        <v>671258.49976824608</v>
      </c>
      <c r="X103" s="87">
        <v>0</v>
      </c>
    </row>
    <row r="104" spans="2:24">
      <c r="B104" s="93" t="s">
        <v>181</v>
      </c>
      <c r="D104" t="s">
        <v>108</v>
      </c>
      <c r="F104" s="69">
        <f>SUM(G104:O104)</f>
        <v>513965.29186407104</v>
      </c>
      <c r="G104" s="87">
        <v>8000</v>
      </c>
      <c r="H104" s="87">
        <v>11630.301470685243</v>
      </c>
      <c r="I104" s="98">
        <f t="shared" si="39"/>
        <v>0</v>
      </c>
      <c r="J104" s="98">
        <f t="shared" si="40"/>
        <v>167769.91590646797</v>
      </c>
      <c r="K104" s="98">
        <f t="shared" si="41"/>
        <v>89608.579881362559</v>
      </c>
      <c r="L104" s="87"/>
      <c r="M104" s="87">
        <v>183374.39295735388</v>
      </c>
      <c r="N104" s="87">
        <v>53582.101648201329</v>
      </c>
      <c r="O104" s="87"/>
      <c r="S104" s="87">
        <v>0</v>
      </c>
      <c r="T104" s="87">
        <v>0</v>
      </c>
      <c r="U104" s="87">
        <v>153439.91590646797</v>
      </c>
      <c r="V104" s="87">
        <v>14330</v>
      </c>
      <c r="W104" s="87">
        <v>89608.579881362559</v>
      </c>
      <c r="X104" s="87">
        <v>0</v>
      </c>
    </row>
    <row r="105" spans="2:24">
      <c r="B105" s="94" t="s">
        <v>182</v>
      </c>
      <c r="D105" t="s">
        <v>108</v>
      </c>
      <c r="F105" s="69">
        <f>SUM(G105:O105)</f>
        <v>2679806.1985734147</v>
      </c>
      <c r="G105" s="87"/>
      <c r="H105" s="87"/>
      <c r="I105" s="98">
        <f t="shared" si="39"/>
        <v>0</v>
      </c>
      <c r="J105" s="98">
        <f t="shared" si="40"/>
        <v>1026831.7672</v>
      </c>
      <c r="K105" s="98">
        <f t="shared" si="41"/>
        <v>1492183.737492993</v>
      </c>
      <c r="L105" s="87"/>
      <c r="M105" s="87">
        <v>94631.769810102021</v>
      </c>
      <c r="N105" s="87">
        <v>66158.924070319787</v>
      </c>
      <c r="O105" s="87"/>
      <c r="S105" s="87">
        <v>0</v>
      </c>
      <c r="T105" s="87">
        <v>0</v>
      </c>
      <c r="U105" s="87">
        <v>1026831.7672</v>
      </c>
      <c r="V105" s="87"/>
      <c r="W105" s="87">
        <v>1492183.737492993</v>
      </c>
      <c r="X105" s="87">
        <v>0</v>
      </c>
    </row>
    <row r="106" spans="2:24">
      <c r="F106" s="64"/>
      <c r="G106" s="63"/>
      <c r="H106" s="63"/>
      <c r="I106" s="63"/>
      <c r="J106" s="63"/>
      <c r="K106" s="63"/>
      <c r="L106" s="63"/>
      <c r="M106" s="63"/>
      <c r="N106" s="63"/>
      <c r="O106" s="63"/>
    </row>
    <row r="107" spans="2:24">
      <c r="F107" s="64"/>
      <c r="G107" s="63"/>
      <c r="H107" s="63"/>
      <c r="I107" s="63"/>
      <c r="J107" s="63"/>
      <c r="K107" s="63"/>
      <c r="L107" s="63"/>
      <c r="M107" s="63"/>
      <c r="N107" s="63"/>
      <c r="O107" s="63"/>
    </row>
    <row r="108" spans="2:24">
      <c r="B108" s="22" t="s">
        <v>138</v>
      </c>
      <c r="F108" s="64"/>
      <c r="G108" s="63"/>
      <c r="H108" s="63"/>
      <c r="I108" s="63"/>
      <c r="J108" s="63"/>
      <c r="K108" s="63"/>
      <c r="L108" s="63"/>
      <c r="M108" s="63"/>
      <c r="N108" s="63"/>
      <c r="O108" s="63"/>
      <c r="T108" s="254"/>
      <c r="U108" s="254"/>
      <c r="V108" s="254"/>
    </row>
    <row r="109" spans="2:24">
      <c r="B109" s="23"/>
      <c r="F109" s="64"/>
      <c r="G109" s="63"/>
      <c r="H109" s="63"/>
      <c r="I109" s="63"/>
      <c r="J109" s="63"/>
      <c r="K109" s="63"/>
      <c r="L109" s="63"/>
      <c r="M109" s="63"/>
      <c r="N109" s="63"/>
      <c r="O109" s="63"/>
      <c r="T109" s="254"/>
      <c r="U109" s="254"/>
      <c r="V109" s="254"/>
    </row>
    <row r="110" spans="2:24">
      <c r="B110" s="22" t="s">
        <v>121</v>
      </c>
      <c r="F110" s="64"/>
      <c r="G110" s="63"/>
      <c r="H110" s="63"/>
      <c r="I110" s="63"/>
      <c r="J110" s="63"/>
      <c r="K110" s="63"/>
      <c r="L110" s="63"/>
      <c r="M110" s="63"/>
      <c r="N110" s="63"/>
      <c r="O110" s="63"/>
      <c r="T110" s="253"/>
      <c r="U110" s="255"/>
      <c r="V110" s="253"/>
    </row>
    <row r="111" spans="2:24">
      <c r="B111" s="23" t="s">
        <v>216</v>
      </c>
      <c r="D111" t="s">
        <v>108</v>
      </c>
      <c r="F111" s="69">
        <f>SUM(G111:O111)</f>
        <v>0</v>
      </c>
      <c r="G111" s="97">
        <f>G91</f>
        <v>0</v>
      </c>
      <c r="H111" s="97">
        <f t="shared" ref="H111:O111" si="42">H91</f>
        <v>0</v>
      </c>
      <c r="I111" s="97">
        <f t="shared" si="42"/>
        <v>0</v>
      </c>
      <c r="J111" s="97">
        <f t="shared" si="42"/>
        <v>0</v>
      </c>
      <c r="K111" s="97">
        <f t="shared" si="42"/>
        <v>0</v>
      </c>
      <c r="L111" s="97">
        <f t="shared" si="42"/>
        <v>0</v>
      </c>
      <c r="M111" s="97">
        <f t="shared" si="42"/>
        <v>0</v>
      </c>
      <c r="N111" s="97">
        <f t="shared" si="42"/>
        <v>0</v>
      </c>
      <c r="O111" s="97">
        <f t="shared" si="42"/>
        <v>0</v>
      </c>
      <c r="S111" s="29"/>
      <c r="T111" s="253"/>
      <c r="U111" s="255"/>
      <c r="V111" s="253"/>
      <c r="W111" s="29"/>
      <c r="X111" s="29"/>
    </row>
    <row r="112" spans="2:24">
      <c r="B112" s="23" t="s">
        <v>217</v>
      </c>
      <c r="D112" t="s">
        <v>108</v>
      </c>
      <c r="F112" s="69">
        <f>SUM(G112:O112)</f>
        <v>0</v>
      </c>
      <c r="G112" s="97">
        <f>G92</f>
        <v>0</v>
      </c>
      <c r="H112" s="97">
        <f t="shared" ref="H112:O112" si="43">H92</f>
        <v>0</v>
      </c>
      <c r="I112" s="97">
        <f t="shared" si="43"/>
        <v>0</v>
      </c>
      <c r="J112" s="97">
        <f t="shared" si="43"/>
        <v>0</v>
      </c>
      <c r="K112" s="97">
        <f t="shared" si="43"/>
        <v>0</v>
      </c>
      <c r="L112" s="97">
        <f t="shared" si="43"/>
        <v>0</v>
      </c>
      <c r="M112" s="97">
        <f t="shared" si="43"/>
        <v>0</v>
      </c>
      <c r="N112" s="97">
        <f t="shared" si="43"/>
        <v>0</v>
      </c>
      <c r="O112" s="97">
        <f t="shared" si="43"/>
        <v>0</v>
      </c>
      <c r="S112" s="29"/>
      <c r="T112" s="255"/>
      <c r="U112" s="255"/>
      <c r="V112" s="255"/>
      <c r="W112" s="29"/>
      <c r="X112" s="29"/>
    </row>
    <row r="113" spans="2:24">
      <c r="B113" s="23"/>
      <c r="F113" s="64"/>
      <c r="G113" s="63"/>
      <c r="H113" s="63"/>
      <c r="I113" s="63"/>
      <c r="J113" s="63"/>
      <c r="K113" s="63"/>
      <c r="L113" s="63"/>
      <c r="M113" s="63"/>
      <c r="N113" s="63"/>
      <c r="O113" s="63"/>
      <c r="S113" s="28"/>
      <c r="T113" s="255"/>
      <c r="U113" s="255"/>
      <c r="V113" s="255"/>
      <c r="W113" s="28"/>
      <c r="X113" s="28"/>
    </row>
    <row r="114" spans="2:24">
      <c r="B114" s="22" t="s">
        <v>122</v>
      </c>
      <c r="F114" s="64"/>
      <c r="G114" s="63"/>
      <c r="H114" s="63"/>
      <c r="I114" s="63"/>
      <c r="J114" s="63"/>
      <c r="K114" s="63"/>
      <c r="L114" s="63"/>
      <c r="M114" s="63"/>
      <c r="N114" s="63"/>
      <c r="O114" s="63"/>
      <c r="S114" s="28"/>
      <c r="T114" s="253"/>
      <c r="U114" s="255"/>
      <c r="V114" s="253"/>
      <c r="W114" s="28"/>
      <c r="X114" s="28"/>
    </row>
    <row r="115" spans="2:24">
      <c r="B115" s="23" t="s">
        <v>123</v>
      </c>
      <c r="D115" t="s">
        <v>108</v>
      </c>
      <c r="F115" s="69">
        <f>SUM(G115:O115)</f>
        <v>262922125.80768156</v>
      </c>
      <c r="G115" s="98">
        <f>G75+G95</f>
        <v>9107000</v>
      </c>
      <c r="H115" s="98">
        <f t="shared" ref="H115:O115" si="44">H75+H95</f>
        <v>8916184.9327608477</v>
      </c>
      <c r="I115" s="98">
        <f t="shared" si="44"/>
        <v>10148014.777562119</v>
      </c>
      <c r="J115" s="98">
        <f t="shared" si="44"/>
        <v>86737046.069180697</v>
      </c>
      <c r="K115" s="98">
        <f t="shared" si="44"/>
        <v>81334736.039025337</v>
      </c>
      <c r="L115" s="98">
        <f t="shared" si="44"/>
        <v>2095665.3699999999</v>
      </c>
      <c r="M115" s="98">
        <f t="shared" si="44"/>
        <v>58654742.936930329</v>
      </c>
      <c r="N115" s="98">
        <f t="shared" si="44"/>
        <v>5928735.6822222183</v>
      </c>
      <c r="O115" s="98">
        <f t="shared" si="44"/>
        <v>0</v>
      </c>
      <c r="S115" s="29"/>
      <c r="T115" s="253"/>
      <c r="U115" s="255"/>
      <c r="V115" s="253"/>
      <c r="W115" s="29"/>
      <c r="X115" s="29"/>
    </row>
    <row r="116" spans="2:24">
      <c r="B116" s="23" t="s">
        <v>124</v>
      </c>
      <c r="D116" t="s">
        <v>108</v>
      </c>
      <c r="F116" s="69">
        <f>SUM(G116:O116)</f>
        <v>18401304.463298731</v>
      </c>
      <c r="G116" s="98">
        <f>G76+G96</f>
        <v>0</v>
      </c>
      <c r="H116" s="98">
        <f t="shared" ref="H116:O116" si="45">H76+H96</f>
        <v>0</v>
      </c>
      <c r="I116" s="98">
        <f t="shared" si="45"/>
        <v>0</v>
      </c>
      <c r="J116" s="98">
        <f t="shared" si="45"/>
        <v>0</v>
      </c>
      <c r="K116" s="98">
        <f t="shared" si="45"/>
        <v>0</v>
      </c>
      <c r="L116" s="98">
        <f t="shared" si="45"/>
        <v>501142.21</v>
      </c>
      <c r="M116" s="98">
        <f t="shared" si="45"/>
        <v>17900162.25329873</v>
      </c>
      <c r="N116" s="98">
        <f t="shared" si="45"/>
        <v>0</v>
      </c>
      <c r="O116" s="98">
        <f t="shared" si="45"/>
        <v>0</v>
      </c>
      <c r="S116" s="29"/>
      <c r="T116" s="255"/>
      <c r="U116" s="255"/>
      <c r="V116" s="255"/>
      <c r="W116" s="29"/>
      <c r="X116" s="29"/>
    </row>
    <row r="117" spans="2:24">
      <c r="B117" s="23"/>
      <c r="F117" s="64"/>
      <c r="G117" s="63"/>
      <c r="H117" s="63"/>
      <c r="I117" s="63"/>
      <c r="J117" s="63"/>
      <c r="K117" s="63"/>
      <c r="L117" s="63"/>
      <c r="M117" s="63"/>
      <c r="N117" s="63"/>
      <c r="O117" s="63"/>
      <c r="S117" s="28"/>
      <c r="T117" s="255"/>
      <c r="U117" s="255"/>
      <c r="V117" s="255"/>
      <c r="W117" s="28"/>
      <c r="X117" s="28"/>
    </row>
    <row r="118" spans="2:24">
      <c r="B118" s="22" t="s">
        <v>125</v>
      </c>
      <c r="F118" s="64"/>
      <c r="G118" s="63"/>
      <c r="H118" s="63"/>
      <c r="I118" s="63"/>
      <c r="J118" s="63"/>
      <c r="K118" s="63"/>
      <c r="L118" s="63"/>
      <c r="M118" s="63"/>
      <c r="N118" s="63"/>
      <c r="O118" s="63"/>
      <c r="S118" s="28"/>
      <c r="T118" s="253"/>
      <c r="U118" s="255"/>
      <c r="V118" s="253"/>
      <c r="W118" s="28"/>
      <c r="X118" s="28"/>
    </row>
    <row r="119" spans="2:24">
      <c r="B119" s="23" t="s">
        <v>126</v>
      </c>
      <c r="D119" t="s">
        <v>108</v>
      </c>
      <c r="F119" s="69">
        <f>SUM(G119:O119)</f>
        <v>21226316.034617551</v>
      </c>
      <c r="G119" s="98">
        <f>G79+G99</f>
        <v>0</v>
      </c>
      <c r="H119" s="98">
        <f t="shared" ref="H119:O119" si="46">H79+H99</f>
        <v>271771.83</v>
      </c>
      <c r="I119" s="98">
        <f t="shared" si="46"/>
        <v>0</v>
      </c>
      <c r="J119" s="98">
        <f t="shared" si="46"/>
        <v>608000</v>
      </c>
      <c r="K119" s="98">
        <f t="shared" si="46"/>
        <v>7686459.2046175497</v>
      </c>
      <c r="L119" s="98">
        <f t="shared" si="46"/>
        <v>88642</v>
      </c>
      <c r="M119" s="98">
        <f t="shared" si="46"/>
        <v>12568949</v>
      </c>
      <c r="N119" s="98">
        <f t="shared" si="46"/>
        <v>2494</v>
      </c>
      <c r="O119" s="98">
        <f t="shared" si="46"/>
        <v>0</v>
      </c>
      <c r="S119" s="29"/>
      <c r="T119" s="253"/>
      <c r="U119" s="255"/>
      <c r="V119" s="253"/>
      <c r="W119" s="29"/>
      <c r="X119" s="29"/>
    </row>
    <row r="120" spans="2:24">
      <c r="B120" s="23" t="s">
        <v>127</v>
      </c>
      <c r="D120" t="s">
        <v>108</v>
      </c>
      <c r="F120" s="69">
        <f>SUM(G120:O120)</f>
        <v>4000</v>
      </c>
      <c r="G120" s="98">
        <f>G80+G100</f>
        <v>4000</v>
      </c>
      <c r="H120" s="98">
        <f t="shared" ref="H120:O120" si="47">H80+H100</f>
        <v>0</v>
      </c>
      <c r="I120" s="98">
        <f t="shared" si="47"/>
        <v>0</v>
      </c>
      <c r="J120" s="98">
        <f t="shared" si="47"/>
        <v>0</v>
      </c>
      <c r="K120" s="98">
        <f t="shared" si="47"/>
        <v>0</v>
      </c>
      <c r="L120" s="98">
        <f t="shared" si="47"/>
        <v>0</v>
      </c>
      <c r="M120" s="98">
        <f t="shared" si="47"/>
        <v>0</v>
      </c>
      <c r="N120" s="98">
        <f t="shared" si="47"/>
        <v>0</v>
      </c>
      <c r="O120" s="98">
        <f t="shared" si="47"/>
        <v>0</v>
      </c>
      <c r="S120" s="29"/>
      <c r="T120" s="255"/>
      <c r="U120" s="255"/>
      <c r="V120" s="255"/>
      <c r="W120" s="29"/>
      <c r="X120" s="29"/>
    </row>
    <row r="121" spans="2:24">
      <c r="B121" s="23"/>
      <c r="F121" s="64"/>
      <c r="G121" s="63"/>
      <c r="H121" s="63"/>
      <c r="I121" s="63"/>
      <c r="J121" s="63"/>
      <c r="K121" s="63"/>
      <c r="L121" s="63"/>
      <c r="M121" s="63"/>
      <c r="N121" s="63"/>
      <c r="O121" s="63"/>
      <c r="S121" s="28"/>
      <c r="T121" s="254"/>
      <c r="U121" s="254"/>
      <c r="V121" s="254"/>
      <c r="W121" s="28"/>
      <c r="X121" s="28"/>
    </row>
    <row r="122" spans="2:24">
      <c r="B122" s="22" t="s">
        <v>128</v>
      </c>
      <c r="F122" s="64"/>
      <c r="G122" s="63"/>
      <c r="H122" s="63"/>
      <c r="I122" s="63"/>
      <c r="J122" s="63"/>
      <c r="K122" s="63"/>
      <c r="L122" s="63"/>
      <c r="M122" s="63"/>
      <c r="N122" s="63"/>
      <c r="O122" s="63"/>
      <c r="S122" s="28"/>
      <c r="T122" s="28"/>
      <c r="U122" s="28"/>
      <c r="V122" s="28"/>
      <c r="W122" s="28"/>
      <c r="X122" s="28"/>
    </row>
    <row r="123" spans="2:24">
      <c r="B123" s="93" t="s">
        <v>180</v>
      </c>
      <c r="D123" t="s">
        <v>108</v>
      </c>
      <c r="F123" s="69">
        <f>SUM(G123:O123)</f>
        <v>3274053.4386383905</v>
      </c>
      <c r="G123" s="98">
        <f>G83+G103</f>
        <v>72000</v>
      </c>
      <c r="H123" s="98">
        <f t="shared" ref="H123:O123" si="48">H83+H103</f>
        <v>93092.709000000003</v>
      </c>
      <c r="I123" s="98">
        <f t="shared" si="48"/>
        <v>181330.25258374997</v>
      </c>
      <c r="J123" s="98">
        <f t="shared" si="48"/>
        <v>923582.58078521874</v>
      </c>
      <c r="K123" s="98">
        <f t="shared" si="48"/>
        <v>1066413.7768667419</v>
      </c>
      <c r="L123" s="98">
        <f t="shared" si="48"/>
        <v>57643.82</v>
      </c>
      <c r="M123" s="98">
        <f t="shared" si="48"/>
        <v>873329.56455926411</v>
      </c>
      <c r="N123" s="98">
        <f t="shared" si="48"/>
        <v>6660.734843416185</v>
      </c>
      <c r="O123" s="98">
        <f t="shared" si="48"/>
        <v>0</v>
      </c>
      <c r="S123" s="29"/>
      <c r="T123" s="29"/>
      <c r="U123" s="29"/>
      <c r="V123" s="29"/>
      <c r="W123" s="29"/>
      <c r="X123" s="29"/>
    </row>
    <row r="124" spans="2:24">
      <c r="B124" s="93" t="s">
        <v>181</v>
      </c>
      <c r="D124" t="s">
        <v>108</v>
      </c>
      <c r="F124" s="69">
        <f>SUM(G124:O124)</f>
        <v>618361.98538827489</v>
      </c>
      <c r="G124" s="98">
        <f>G84+G104</f>
        <v>8000</v>
      </c>
      <c r="H124" s="98">
        <f t="shared" ref="H124:O124" si="49">H84+H104</f>
        <v>12128.929070685243</v>
      </c>
      <c r="I124" s="98">
        <f t="shared" si="49"/>
        <v>31746.786192698186</v>
      </c>
      <c r="J124" s="98">
        <f t="shared" si="49"/>
        <v>167769.91590646797</v>
      </c>
      <c r="K124" s="98">
        <f t="shared" si="49"/>
        <v>145760.92192394807</v>
      </c>
      <c r="L124" s="98">
        <f t="shared" si="49"/>
        <v>7494.59</v>
      </c>
      <c r="M124" s="98">
        <f t="shared" si="49"/>
        <v>183422.66258400289</v>
      </c>
      <c r="N124" s="98">
        <f t="shared" si="49"/>
        <v>62038.179710472454</v>
      </c>
      <c r="O124" s="98">
        <f t="shared" si="49"/>
        <v>0</v>
      </c>
      <c r="S124" s="29"/>
      <c r="T124" s="29"/>
      <c r="U124" s="29"/>
      <c r="V124" s="29"/>
      <c r="W124" s="29"/>
      <c r="X124" s="29"/>
    </row>
    <row r="125" spans="2:24">
      <c r="B125" s="94" t="s">
        <v>182</v>
      </c>
      <c r="D125" t="s">
        <v>108</v>
      </c>
      <c r="F125" s="69">
        <f>SUM(G125:O125)</f>
        <v>3719579.1116029317</v>
      </c>
      <c r="G125" s="98">
        <f>G85+G105</f>
        <v>0</v>
      </c>
      <c r="H125" s="98">
        <f t="shared" ref="H125:O125" si="50">H85+H105</f>
        <v>0</v>
      </c>
      <c r="I125" s="454">
        <f t="shared" si="50"/>
        <v>166814.40571456257</v>
      </c>
      <c r="J125" s="98">
        <f t="shared" si="50"/>
        <v>1026831.7672</v>
      </c>
      <c r="K125" s="98">
        <f t="shared" si="50"/>
        <v>2327643.8212149218</v>
      </c>
      <c r="L125" s="98">
        <f t="shared" si="50"/>
        <v>27032.62</v>
      </c>
      <c r="M125" s="98">
        <f t="shared" si="50"/>
        <v>94656.679723226756</v>
      </c>
      <c r="N125" s="98">
        <f t="shared" si="50"/>
        <v>76599.817750220303</v>
      </c>
      <c r="O125" s="98">
        <f t="shared" si="50"/>
        <v>0</v>
      </c>
      <c r="S125" s="29"/>
      <c r="T125" s="29"/>
      <c r="U125" s="29"/>
      <c r="V125" s="29"/>
      <c r="W125" s="29"/>
      <c r="X125" s="29"/>
    </row>
    <row r="126" spans="2:24">
      <c r="F126" s="64"/>
      <c r="G126" s="63"/>
      <c r="H126" s="63"/>
      <c r="I126" s="63"/>
      <c r="J126" s="63"/>
      <c r="K126" s="63"/>
      <c r="L126" s="63"/>
      <c r="M126" s="63"/>
      <c r="N126" s="63"/>
      <c r="O126" s="63"/>
      <c r="S126" s="28"/>
      <c r="T126" s="28"/>
      <c r="U126" s="28"/>
      <c r="V126" s="28"/>
      <c r="W126" s="28"/>
      <c r="X126" s="28"/>
    </row>
    <row r="127" spans="2:24">
      <c r="B127" s="79" t="s">
        <v>268</v>
      </c>
      <c r="D127" t="s">
        <v>108</v>
      </c>
      <c r="F127" s="69">
        <f>SUM(G127:O127)</f>
        <v>310165740.84122747</v>
      </c>
      <c r="G127" s="69">
        <f>SUM(G111:G112,G115:G116,G119:G120,G123:G125)</f>
        <v>9191000</v>
      </c>
      <c r="H127" s="69">
        <f t="shared" ref="H127:O127" si="51">SUM(H111:H112,H115:H116,H119:H120,H123:H125)</f>
        <v>9293178.4008315336</v>
      </c>
      <c r="I127" s="69">
        <f t="shared" si="51"/>
        <v>10527906.222053129</v>
      </c>
      <c r="J127" s="69">
        <f t="shared" si="51"/>
        <v>89463230.333072379</v>
      </c>
      <c r="K127" s="69">
        <f t="shared" si="51"/>
        <v>92561013.76364851</v>
      </c>
      <c r="L127" s="69">
        <f t="shared" si="51"/>
        <v>2777620.61</v>
      </c>
      <c r="M127" s="69">
        <f t="shared" si="51"/>
        <v>90275263.097095564</v>
      </c>
      <c r="N127" s="69">
        <f t="shared" si="51"/>
        <v>6076528.4145263266</v>
      </c>
      <c r="O127" s="69">
        <f t="shared" si="51"/>
        <v>0</v>
      </c>
      <c r="S127" s="68"/>
      <c r="T127" s="68"/>
      <c r="U127" s="68"/>
      <c r="V127" s="68"/>
      <c r="W127" s="68"/>
      <c r="X127" s="68"/>
    </row>
    <row r="128" spans="2:24">
      <c r="F128" s="218"/>
      <c r="G128" s="42"/>
      <c r="H128" s="42"/>
      <c r="I128" s="42"/>
      <c r="J128" s="42"/>
      <c r="K128" s="42"/>
      <c r="L128" s="42"/>
      <c r="M128" s="42"/>
      <c r="N128" s="42"/>
      <c r="O128" s="258"/>
      <c r="S128" s="28"/>
      <c r="T128" s="28"/>
      <c r="U128" s="28"/>
      <c r="V128" s="28"/>
      <c r="W128" s="28"/>
      <c r="X128" s="28"/>
    </row>
    <row r="129" spans="2:26">
      <c r="F129" s="62"/>
      <c r="G129" s="42"/>
      <c r="H129" s="42"/>
      <c r="I129" s="42"/>
      <c r="J129" s="42"/>
      <c r="K129" s="42"/>
      <c r="L129" s="42"/>
      <c r="M129" s="42"/>
      <c r="N129" s="42"/>
      <c r="O129" s="258"/>
    </row>
    <row r="130" spans="2:26" s="2" customFormat="1">
      <c r="B130" s="2" t="s">
        <v>242</v>
      </c>
      <c r="F130" s="65"/>
      <c r="G130" s="66"/>
      <c r="H130" s="66"/>
      <c r="I130" s="66"/>
      <c r="J130" s="66"/>
      <c r="K130" s="66"/>
      <c r="L130" s="66"/>
      <c r="M130" s="66"/>
      <c r="N130" s="66"/>
    </row>
    <row r="131" spans="2:26">
      <c r="F131" s="62"/>
      <c r="G131" s="42"/>
      <c r="H131" s="42"/>
      <c r="I131" s="42"/>
      <c r="J131" s="42"/>
      <c r="K131" s="42"/>
      <c r="L131" s="42"/>
      <c r="M131" s="42"/>
      <c r="N131" s="42"/>
      <c r="O131" s="258"/>
    </row>
    <row r="132" spans="2:26">
      <c r="B132" s="22" t="s">
        <v>218</v>
      </c>
      <c r="G132" s="258"/>
      <c r="H132" s="258"/>
      <c r="I132" s="258"/>
      <c r="J132" s="258"/>
      <c r="K132" s="258"/>
      <c r="L132" s="258"/>
      <c r="M132" s="258"/>
      <c r="N132" s="258"/>
      <c r="O132" s="258"/>
    </row>
    <row r="133" spans="2:26">
      <c r="B133" s="23"/>
      <c r="G133" s="258"/>
      <c r="H133" s="258"/>
      <c r="I133" s="258"/>
      <c r="J133" s="258"/>
      <c r="K133" s="258"/>
      <c r="L133" s="258"/>
      <c r="M133" s="258"/>
      <c r="N133" s="258"/>
      <c r="O133" s="258"/>
    </row>
    <row r="134" spans="2:26">
      <c r="B134" s="22" t="s">
        <v>122</v>
      </c>
      <c r="G134" s="258"/>
      <c r="H134" s="258"/>
      <c r="I134" s="258"/>
      <c r="J134" s="258"/>
      <c r="K134" s="258"/>
      <c r="L134" s="258"/>
      <c r="M134" s="258"/>
      <c r="N134" s="258"/>
      <c r="O134" s="258"/>
    </row>
    <row r="135" spans="2:26">
      <c r="B135" s="23" t="s">
        <v>123</v>
      </c>
      <c r="D135" t="s">
        <v>109</v>
      </c>
      <c r="F135" s="69">
        <f>SUM(G135:O135)</f>
        <v>113188660.45257945</v>
      </c>
      <c r="G135" s="87">
        <v>2920216</v>
      </c>
      <c r="H135" s="87">
        <v>3573280.82859811</v>
      </c>
      <c r="I135" s="87">
        <v>8918636.1072638705</v>
      </c>
      <c r="J135" s="98">
        <f>U135+V135</f>
        <v>28574593.440250002</v>
      </c>
      <c r="K135" s="87">
        <v>28120804.989744686</v>
      </c>
      <c r="L135" s="87">
        <v>711284.7</v>
      </c>
      <c r="M135" s="87">
        <v>39567564.327450164</v>
      </c>
      <c r="N135" s="87">
        <v>802280.05927260243</v>
      </c>
      <c r="O135" s="87"/>
      <c r="U135" s="87">
        <v>26232469.440250002</v>
      </c>
      <c r="V135" s="87">
        <v>2342124</v>
      </c>
      <c r="X135" s="256"/>
      <c r="Y135" s="256"/>
      <c r="Z135" s="256"/>
    </row>
    <row r="136" spans="2:26">
      <c r="B136" s="23" t="s">
        <v>124</v>
      </c>
      <c r="D136" t="s">
        <v>109</v>
      </c>
      <c r="F136" s="69">
        <f>SUM(G136:O136)</f>
        <v>2340654.7591494611</v>
      </c>
      <c r="G136" s="87"/>
      <c r="H136" s="87"/>
      <c r="I136" s="87">
        <v>0</v>
      </c>
      <c r="J136" s="98">
        <f>U136+V136</f>
        <v>0</v>
      </c>
      <c r="K136" s="87">
        <v>0</v>
      </c>
      <c r="L136" s="87">
        <v>88461.36</v>
      </c>
      <c r="M136" s="87">
        <v>2252193.3991494612</v>
      </c>
      <c r="N136" s="87"/>
      <c r="O136" s="87"/>
      <c r="U136" s="87">
        <v>0</v>
      </c>
      <c r="V136" s="87">
        <v>0</v>
      </c>
      <c r="X136" s="256"/>
      <c r="Y136" s="256"/>
      <c r="Z136" s="256"/>
    </row>
    <row r="137" spans="2:26">
      <c r="B137" s="23"/>
      <c r="F137" s="64"/>
      <c r="G137" s="63"/>
      <c r="H137" s="63"/>
      <c r="I137" s="63"/>
      <c r="J137" s="63"/>
      <c r="K137" s="63"/>
      <c r="L137" s="63"/>
      <c r="M137" s="63"/>
      <c r="N137" s="63"/>
      <c r="O137" s="63"/>
      <c r="X137" s="253"/>
      <c r="Y137" s="257"/>
      <c r="Z137" s="253"/>
    </row>
    <row r="138" spans="2:26">
      <c r="B138" s="22" t="s">
        <v>125</v>
      </c>
      <c r="F138" s="64"/>
      <c r="G138" s="63"/>
      <c r="H138" s="63"/>
      <c r="I138" s="63"/>
      <c r="J138" s="63"/>
      <c r="K138" s="63"/>
      <c r="L138" s="63"/>
      <c r="M138" s="63"/>
      <c r="N138" s="63"/>
      <c r="O138" s="63"/>
      <c r="X138" s="253"/>
      <c r="Y138" s="257"/>
      <c r="Z138" s="253"/>
    </row>
    <row r="139" spans="2:26">
      <c r="B139" s="23" t="s">
        <v>126</v>
      </c>
      <c r="D139" t="s">
        <v>109</v>
      </c>
      <c r="F139" s="69">
        <f>SUM(G139:O139)</f>
        <v>12873527.76</v>
      </c>
      <c r="G139" s="87"/>
      <c r="H139" s="87"/>
      <c r="I139" s="87">
        <v>0</v>
      </c>
      <c r="J139" s="98">
        <f>U139+V139</f>
        <v>0</v>
      </c>
      <c r="K139" s="87">
        <v>0</v>
      </c>
      <c r="L139" s="87">
        <v>88309.759999999995</v>
      </c>
      <c r="M139" s="87">
        <v>12785218</v>
      </c>
      <c r="N139" s="87"/>
      <c r="O139" s="87"/>
      <c r="U139" s="87">
        <v>0</v>
      </c>
      <c r="V139" s="87">
        <v>0</v>
      </c>
      <c r="X139" s="257"/>
      <c r="Y139" s="257"/>
      <c r="Z139" s="257"/>
    </row>
    <row r="140" spans="2:26">
      <c r="B140" s="23" t="s">
        <v>127</v>
      </c>
      <c r="D140" t="s">
        <v>109</v>
      </c>
      <c r="F140" s="69">
        <f>SUM(G140:O140)</f>
        <v>0</v>
      </c>
      <c r="G140" s="87"/>
      <c r="H140" s="87"/>
      <c r="I140" s="87">
        <v>0</v>
      </c>
      <c r="J140" s="98">
        <f>U140+V140</f>
        <v>0</v>
      </c>
      <c r="K140" s="87">
        <v>0</v>
      </c>
      <c r="L140" s="87"/>
      <c r="M140" s="87"/>
      <c r="N140" s="87"/>
      <c r="O140" s="87"/>
      <c r="U140" s="87">
        <v>0</v>
      </c>
      <c r="V140" s="87">
        <v>0</v>
      </c>
      <c r="X140" s="257"/>
      <c r="Y140" s="257"/>
      <c r="Z140" s="257"/>
    </row>
    <row r="141" spans="2:26">
      <c r="B141" s="23"/>
      <c r="F141" s="64"/>
      <c r="G141" s="63"/>
      <c r="H141" s="63"/>
      <c r="I141" s="63"/>
      <c r="J141" s="63"/>
      <c r="K141" s="63"/>
      <c r="L141" s="63"/>
      <c r="M141" s="63"/>
      <c r="N141" s="63"/>
      <c r="O141" s="63"/>
      <c r="X141" s="253"/>
      <c r="Y141" s="257"/>
      <c r="Z141" s="253"/>
    </row>
    <row r="142" spans="2:26">
      <c r="B142" s="22" t="s">
        <v>128</v>
      </c>
      <c r="F142" s="64"/>
      <c r="G142" s="63"/>
      <c r="H142" s="63"/>
      <c r="I142" s="63"/>
      <c r="J142" s="63"/>
      <c r="K142" s="63"/>
      <c r="L142" s="63"/>
      <c r="M142" s="63"/>
      <c r="N142" s="63"/>
      <c r="O142" s="63"/>
      <c r="X142" s="253"/>
      <c r="Y142" s="257"/>
      <c r="Z142" s="253"/>
    </row>
    <row r="143" spans="2:26">
      <c r="B143" s="93" t="s">
        <v>180</v>
      </c>
      <c r="D143" t="s">
        <v>109</v>
      </c>
      <c r="F143" s="69">
        <f>SUM(G143:O143)</f>
        <v>599745.83626937924</v>
      </c>
      <c r="G143" s="87">
        <v>11891.450000000012</v>
      </c>
      <c r="H143" s="87">
        <v>16622.189999999999</v>
      </c>
      <c r="I143" s="87">
        <v>195419.9373577454</v>
      </c>
      <c r="J143" s="98">
        <f>U143+V143</f>
        <v>0</v>
      </c>
      <c r="K143" s="87">
        <v>309540.19500003924</v>
      </c>
      <c r="L143" s="87">
        <v>65456.33</v>
      </c>
      <c r="M143" s="87">
        <v>239.71947498542261</v>
      </c>
      <c r="N143" s="87">
        <v>576.01443660924087</v>
      </c>
      <c r="O143" s="87"/>
      <c r="U143" s="87">
        <v>0</v>
      </c>
      <c r="V143" s="87">
        <v>0</v>
      </c>
      <c r="X143" s="257"/>
      <c r="Y143" s="257"/>
      <c r="Z143" s="257"/>
    </row>
    <row r="144" spans="2:26">
      <c r="B144" s="93" t="s">
        <v>181</v>
      </c>
      <c r="D144" t="s">
        <v>109</v>
      </c>
      <c r="F144" s="69">
        <f>SUM(G144:O144)</f>
        <v>95644.040365535839</v>
      </c>
      <c r="G144" s="87">
        <v>183.96</v>
      </c>
      <c r="H144" s="87">
        <v>511.36379999999997</v>
      </c>
      <c r="I144" s="87">
        <v>34474.489264398348</v>
      </c>
      <c r="J144" s="98">
        <f>U144+V144</f>
        <v>0</v>
      </c>
      <c r="K144" s="87">
        <v>42968.345203758297</v>
      </c>
      <c r="L144" s="87">
        <v>8272.48</v>
      </c>
      <c r="M144" s="87">
        <v>45.722176461779434</v>
      </c>
      <c r="N144" s="87">
        <v>9187.6799209174169</v>
      </c>
      <c r="O144" s="87"/>
      <c r="U144" s="87">
        <v>0</v>
      </c>
      <c r="V144" s="87">
        <v>0</v>
      </c>
      <c r="X144" s="257"/>
      <c r="Y144" s="257"/>
      <c r="Z144" s="257"/>
    </row>
    <row r="145" spans="2:26">
      <c r="B145" s="94" t="s">
        <v>182</v>
      </c>
      <c r="D145" t="s">
        <v>109</v>
      </c>
      <c r="F145" s="69">
        <f>SUM(G145:O145)</f>
        <v>842839.17663929565</v>
      </c>
      <c r="G145" s="87"/>
      <c r="H145" s="87"/>
      <c r="I145" s="87">
        <v>63652.126601851633</v>
      </c>
      <c r="J145" s="98">
        <f>U145+V145</f>
        <v>0</v>
      </c>
      <c r="K145" s="87">
        <v>735613.74384354334</v>
      </c>
      <c r="L145" s="87">
        <v>40229.01</v>
      </c>
      <c r="M145" s="87">
        <v>22.508366135426975</v>
      </c>
      <c r="N145" s="87">
        <v>3321.7878277652403</v>
      </c>
      <c r="O145" s="87"/>
      <c r="U145" s="87">
        <v>0</v>
      </c>
      <c r="V145" s="87">
        <v>0</v>
      </c>
      <c r="X145" s="253"/>
      <c r="Y145" s="257"/>
      <c r="Z145" s="253"/>
    </row>
    <row r="146" spans="2:26">
      <c r="B146" s="23"/>
      <c r="F146" s="64"/>
      <c r="G146" s="63"/>
      <c r="H146" s="63"/>
      <c r="I146" s="63"/>
      <c r="J146" s="63"/>
      <c r="K146" s="63"/>
      <c r="L146" s="63"/>
      <c r="M146" s="63"/>
      <c r="N146" s="63"/>
      <c r="O146" s="63"/>
      <c r="X146" s="253"/>
      <c r="Y146" s="257"/>
      <c r="Z146" s="253"/>
    </row>
    <row r="147" spans="2:26">
      <c r="F147" s="64"/>
      <c r="G147" s="63"/>
      <c r="H147" s="63"/>
      <c r="I147" s="63"/>
      <c r="J147" s="63"/>
      <c r="K147" s="63"/>
      <c r="L147" s="63"/>
      <c r="M147" s="63"/>
      <c r="N147" s="63"/>
      <c r="O147" s="63"/>
      <c r="X147" s="253"/>
      <c r="Y147" s="257"/>
      <c r="Z147" s="253"/>
    </row>
    <row r="148" spans="2:26">
      <c r="B148" s="22" t="s">
        <v>219</v>
      </c>
      <c r="F148" s="64"/>
      <c r="G148" s="63"/>
      <c r="H148" s="63"/>
      <c r="I148" s="63"/>
      <c r="J148" s="63"/>
      <c r="K148" s="63"/>
      <c r="L148" s="63"/>
      <c r="M148" s="63"/>
      <c r="N148" s="63"/>
      <c r="O148" s="63"/>
      <c r="X148" s="256"/>
      <c r="Y148" s="256"/>
      <c r="Z148" s="256"/>
    </row>
    <row r="149" spans="2:26">
      <c r="B149" s="23"/>
      <c r="F149" s="64"/>
      <c r="G149" s="63"/>
      <c r="H149" s="63"/>
      <c r="I149" s="63"/>
      <c r="J149" s="63"/>
      <c r="K149" s="63"/>
      <c r="L149" s="63"/>
      <c r="M149" s="63"/>
      <c r="N149" s="63"/>
      <c r="O149" s="63"/>
      <c r="X149" s="256"/>
      <c r="Y149" s="256"/>
      <c r="Z149" s="256"/>
    </row>
    <row r="150" spans="2:26">
      <c r="B150" s="22" t="s">
        <v>121</v>
      </c>
      <c r="F150" s="64"/>
      <c r="G150" s="63"/>
      <c r="H150" s="63"/>
      <c r="I150" s="63"/>
      <c r="J150" s="63"/>
      <c r="K150" s="63"/>
      <c r="L150" s="63"/>
      <c r="M150" s="63"/>
      <c r="N150" s="63"/>
      <c r="O150" s="63"/>
      <c r="X150" s="256"/>
      <c r="Y150" s="256"/>
      <c r="Z150" s="256"/>
    </row>
    <row r="151" spans="2:26">
      <c r="B151" s="23" t="s">
        <v>216</v>
      </c>
      <c r="D151" t="s">
        <v>109</v>
      </c>
      <c r="F151" s="69">
        <f>SUM(G151:O151)</f>
        <v>0</v>
      </c>
      <c r="G151" s="87"/>
      <c r="H151" s="87"/>
      <c r="I151" s="87"/>
      <c r="J151" s="98">
        <f t="shared" ref="J151:J152" si="52">U151+V151</f>
        <v>0</v>
      </c>
      <c r="K151" s="87"/>
      <c r="L151" s="87"/>
      <c r="M151" s="87"/>
      <c r="N151" s="87"/>
      <c r="O151" s="87"/>
      <c r="U151" s="87"/>
      <c r="V151" s="87"/>
    </row>
    <row r="152" spans="2:26">
      <c r="B152" s="23" t="s">
        <v>217</v>
      </c>
      <c r="D152" t="s">
        <v>109</v>
      </c>
      <c r="F152" s="69">
        <f>SUM(G152:O152)</f>
        <v>0</v>
      </c>
      <c r="G152" s="87"/>
      <c r="H152" s="87"/>
      <c r="I152" s="87"/>
      <c r="J152" s="98">
        <f t="shared" si="52"/>
        <v>0</v>
      </c>
      <c r="K152" s="87"/>
      <c r="L152" s="87"/>
      <c r="M152" s="87"/>
      <c r="N152" s="87"/>
      <c r="O152" s="87"/>
      <c r="U152" s="87"/>
      <c r="V152" s="87"/>
    </row>
    <row r="153" spans="2:26">
      <c r="B153" s="23"/>
      <c r="F153" s="64"/>
      <c r="G153" s="63"/>
      <c r="H153" s="63"/>
      <c r="I153" s="63"/>
      <c r="J153" s="63"/>
      <c r="K153" s="63"/>
      <c r="L153" s="63"/>
      <c r="M153" s="63"/>
      <c r="N153" s="63"/>
      <c r="O153" s="63"/>
    </row>
    <row r="154" spans="2:26">
      <c r="B154" s="22" t="s">
        <v>122</v>
      </c>
      <c r="F154" s="64"/>
      <c r="G154" s="63"/>
      <c r="H154" s="63"/>
      <c r="I154" s="63"/>
      <c r="J154" s="63"/>
      <c r="K154" s="63"/>
      <c r="L154" s="63"/>
      <c r="M154" s="63"/>
      <c r="N154" s="63"/>
      <c r="O154" s="63"/>
    </row>
    <row r="155" spans="2:26">
      <c r="B155" s="23" t="s">
        <v>123</v>
      </c>
      <c r="D155" t="s">
        <v>109</v>
      </c>
      <c r="F155" s="69">
        <f>SUM(G155:O155)</f>
        <v>162722383.40821421</v>
      </c>
      <c r="G155" s="87">
        <v>5298275</v>
      </c>
      <c r="H155" s="87">
        <v>4426692.0868099593</v>
      </c>
      <c r="I155" s="87">
        <v>2959669.0799824838</v>
      </c>
      <c r="J155" s="98">
        <f t="shared" ref="J155:J156" si="53">U155+V155</f>
        <v>55562446.168268993</v>
      </c>
      <c r="K155" s="87">
        <v>64718851.338360578</v>
      </c>
      <c r="L155" s="87">
        <v>1837667.79</v>
      </c>
      <c r="M155" s="87">
        <v>22826496.911845289</v>
      </c>
      <c r="N155" s="87">
        <v>5092285.0329469275</v>
      </c>
      <c r="O155" s="87"/>
      <c r="U155" s="87">
        <v>52440637.168268993</v>
      </c>
      <c r="V155" s="87">
        <v>3121809</v>
      </c>
    </row>
    <row r="156" spans="2:26">
      <c r="B156" s="23" t="s">
        <v>124</v>
      </c>
      <c r="D156" t="s">
        <v>109</v>
      </c>
      <c r="F156" s="69">
        <f>SUM(G156:O156)</f>
        <v>4210017.0745926136</v>
      </c>
      <c r="G156" s="87"/>
      <c r="H156" s="87"/>
      <c r="I156" s="87">
        <v>0</v>
      </c>
      <c r="J156" s="98">
        <f t="shared" si="53"/>
        <v>0</v>
      </c>
      <c r="K156" s="87">
        <v>0</v>
      </c>
      <c r="L156" s="87">
        <v>241265.6</v>
      </c>
      <c r="M156" s="87">
        <v>3968751.474592614</v>
      </c>
      <c r="N156" s="87"/>
      <c r="O156" s="87"/>
      <c r="U156" s="87">
        <v>0</v>
      </c>
      <c r="V156" s="87">
        <v>0</v>
      </c>
    </row>
    <row r="157" spans="2:26">
      <c r="B157" s="23"/>
      <c r="F157" s="64"/>
      <c r="G157" s="63"/>
      <c r="H157" s="63"/>
      <c r="I157" s="63"/>
      <c r="J157" s="63"/>
      <c r="K157" s="63"/>
      <c r="L157" s="63"/>
      <c r="M157" s="63"/>
      <c r="N157" s="63"/>
      <c r="O157" s="63"/>
    </row>
    <row r="158" spans="2:26">
      <c r="B158" s="22" t="s">
        <v>125</v>
      </c>
      <c r="F158" s="64"/>
      <c r="G158" s="63"/>
      <c r="H158" s="63"/>
      <c r="I158" s="63"/>
      <c r="J158" s="63"/>
      <c r="K158" s="63"/>
      <c r="L158" s="63"/>
      <c r="M158" s="63"/>
      <c r="N158" s="63"/>
      <c r="O158" s="63"/>
    </row>
    <row r="159" spans="2:26">
      <c r="B159" s="23" t="s">
        <v>126</v>
      </c>
      <c r="D159" t="s">
        <v>109</v>
      </c>
      <c r="F159" s="69">
        <f>SUM(G159:O159)</f>
        <v>12379076.953036755</v>
      </c>
      <c r="G159" s="87"/>
      <c r="H159" s="87">
        <v>368104</v>
      </c>
      <c r="I159" s="87">
        <v>0</v>
      </c>
      <c r="J159" s="98">
        <f t="shared" ref="J159:J160" si="54">U159+V159</f>
        <v>680680</v>
      </c>
      <c r="K159" s="87">
        <v>11315354.953036755</v>
      </c>
      <c r="L159" s="87"/>
      <c r="M159" s="87"/>
      <c r="N159" s="87">
        <v>14938</v>
      </c>
      <c r="O159" s="87"/>
      <c r="U159" s="87">
        <v>680680</v>
      </c>
      <c r="V159" s="87">
        <v>0</v>
      </c>
    </row>
    <row r="160" spans="2:26">
      <c r="B160" s="23" t="s">
        <v>127</v>
      </c>
      <c r="D160" t="s">
        <v>109</v>
      </c>
      <c r="F160" s="69">
        <f>SUM(G160:O160)</f>
        <v>1946</v>
      </c>
      <c r="G160" s="87">
        <v>1946</v>
      </c>
      <c r="H160" s="87"/>
      <c r="I160" s="87">
        <v>0</v>
      </c>
      <c r="J160" s="98">
        <f t="shared" si="54"/>
        <v>0</v>
      </c>
      <c r="K160" s="87">
        <v>0</v>
      </c>
      <c r="L160" s="87"/>
      <c r="M160" s="87"/>
      <c r="N160" s="87"/>
      <c r="O160" s="87"/>
      <c r="U160" s="87">
        <v>0</v>
      </c>
      <c r="V160" s="87">
        <v>0</v>
      </c>
    </row>
    <row r="161" spans="2:23">
      <c r="B161" s="23"/>
      <c r="F161" s="64"/>
      <c r="G161" s="63"/>
      <c r="H161" s="63"/>
      <c r="I161" s="63"/>
      <c r="J161" s="63"/>
      <c r="K161" s="63"/>
      <c r="L161" s="63"/>
      <c r="M161" s="63"/>
      <c r="N161" s="63"/>
      <c r="O161" s="63"/>
    </row>
    <row r="162" spans="2:23">
      <c r="B162" s="22" t="s">
        <v>128</v>
      </c>
      <c r="F162" s="64"/>
      <c r="G162" s="63"/>
      <c r="H162" s="63"/>
      <c r="I162" s="63"/>
      <c r="J162" s="63"/>
      <c r="K162" s="63"/>
      <c r="L162" s="63"/>
      <c r="M162" s="63"/>
      <c r="N162" s="63"/>
      <c r="O162" s="63"/>
    </row>
    <row r="163" spans="2:23">
      <c r="B163" s="93" t="s">
        <v>180</v>
      </c>
      <c r="D163" t="s">
        <v>109</v>
      </c>
      <c r="F163" s="69">
        <f>SUM(G163:O163)</f>
        <v>2858931.4534016466</v>
      </c>
      <c r="G163" s="87">
        <v>61967.94</v>
      </c>
      <c r="H163" s="87">
        <v>77960.650125</v>
      </c>
      <c r="I163" s="87">
        <v>0</v>
      </c>
      <c r="J163" s="98">
        <f t="shared" ref="J163:J165" si="55">U163+V163</f>
        <v>998180.57910558535</v>
      </c>
      <c r="K163" s="87">
        <v>806487.60079342732</v>
      </c>
      <c r="L163" s="87"/>
      <c r="M163" s="87">
        <v>910684.75679631066</v>
      </c>
      <c r="N163" s="87">
        <v>3649.9265813232469</v>
      </c>
      <c r="O163" s="87"/>
      <c r="U163" s="87">
        <v>919245.90143891866</v>
      </c>
      <c r="V163" s="87">
        <v>78934.677666666656</v>
      </c>
    </row>
    <row r="164" spans="2:23">
      <c r="B164" s="93" t="s">
        <v>181</v>
      </c>
      <c r="D164" t="s">
        <v>109</v>
      </c>
      <c r="F164" s="69">
        <f>SUM(G164:O164)</f>
        <v>542264.01804568572</v>
      </c>
      <c r="G164" s="87">
        <v>7707.33</v>
      </c>
      <c r="H164" s="87">
        <v>11632.593250000002</v>
      </c>
      <c r="I164" s="87">
        <v>0</v>
      </c>
      <c r="J164" s="98">
        <f t="shared" si="55"/>
        <v>179058.11931062461</v>
      </c>
      <c r="K164" s="87">
        <v>111951.33360124167</v>
      </c>
      <c r="L164" s="87"/>
      <c r="M164" s="87">
        <v>173696.73095532038</v>
      </c>
      <c r="N164" s="87">
        <v>58217.910928499048</v>
      </c>
      <c r="O164" s="87"/>
      <c r="U164" s="87">
        <v>163112.79697729126</v>
      </c>
      <c r="V164" s="87">
        <v>15945.322333333334</v>
      </c>
    </row>
    <row r="165" spans="2:23">
      <c r="B165" s="94" t="s">
        <v>182</v>
      </c>
      <c r="D165" t="s">
        <v>109</v>
      </c>
      <c r="F165" s="69">
        <f>SUM(G165:O165)</f>
        <v>3478948.4153629248</v>
      </c>
      <c r="G165" s="87"/>
      <c r="H165" s="87"/>
      <c r="I165" s="87">
        <v>0</v>
      </c>
      <c r="J165" s="98">
        <f t="shared" si="55"/>
        <v>1455795.894486869</v>
      </c>
      <c r="K165" s="87">
        <v>1916595.5600143457</v>
      </c>
      <c r="L165" s="87"/>
      <c r="M165" s="87">
        <v>85508.388257441824</v>
      </c>
      <c r="N165" s="87">
        <v>21048.572604268389</v>
      </c>
      <c r="O165" s="87"/>
      <c r="U165" s="87">
        <v>1455795.894486869</v>
      </c>
      <c r="V165" s="87">
        <v>0</v>
      </c>
    </row>
    <row r="166" spans="2:23">
      <c r="F166" s="64"/>
      <c r="G166" s="63"/>
      <c r="H166" s="63"/>
      <c r="I166" s="63"/>
      <c r="J166" s="63"/>
      <c r="K166" s="63"/>
      <c r="L166" s="63"/>
      <c r="M166" s="63"/>
      <c r="N166" s="63"/>
      <c r="O166" s="63"/>
    </row>
    <row r="167" spans="2:23">
      <c r="F167" s="64"/>
      <c r="G167" s="63"/>
      <c r="H167" s="63"/>
      <c r="I167" s="63"/>
      <c r="J167" s="63"/>
      <c r="K167" s="63"/>
      <c r="L167" s="63"/>
      <c r="M167" s="63"/>
      <c r="N167" s="63"/>
      <c r="O167" s="63"/>
    </row>
    <row r="168" spans="2:23">
      <c r="B168" s="22" t="s">
        <v>138</v>
      </c>
      <c r="F168" s="64"/>
      <c r="G168" s="63"/>
      <c r="H168" s="63"/>
      <c r="I168" s="63"/>
      <c r="J168" s="63"/>
      <c r="K168" s="63"/>
      <c r="L168" s="63"/>
      <c r="M168" s="63"/>
      <c r="N168" s="63"/>
      <c r="O168" s="63"/>
    </row>
    <row r="169" spans="2:23">
      <c r="B169" s="23"/>
      <c r="F169" s="64"/>
      <c r="G169" s="63"/>
      <c r="H169" s="63"/>
      <c r="I169" s="63"/>
      <c r="J169" s="63"/>
      <c r="K169" s="63"/>
      <c r="L169" s="63"/>
      <c r="M169" s="63"/>
      <c r="N169" s="63"/>
      <c r="O169" s="63"/>
    </row>
    <row r="170" spans="2:23">
      <c r="B170" s="22" t="s">
        <v>121</v>
      </c>
      <c r="F170" s="64"/>
      <c r="G170" s="63"/>
      <c r="H170" s="63"/>
      <c r="I170" s="63"/>
      <c r="J170" s="63"/>
      <c r="K170" s="63"/>
      <c r="L170" s="63"/>
      <c r="M170" s="63"/>
      <c r="N170" s="63"/>
      <c r="O170" s="63"/>
      <c r="T170" s="28"/>
      <c r="U170" s="28"/>
      <c r="V170" s="28"/>
      <c r="W170" s="28"/>
    </row>
    <row r="171" spans="2:23">
      <c r="B171" s="23" t="s">
        <v>216</v>
      </c>
      <c r="D171" t="s">
        <v>109</v>
      </c>
      <c r="F171" s="69">
        <f>SUM(G171:O171)</f>
        <v>0</v>
      </c>
      <c r="G171" s="97">
        <f>G151</f>
        <v>0</v>
      </c>
      <c r="H171" s="97">
        <f t="shared" ref="H171:O171" si="56">H151</f>
        <v>0</v>
      </c>
      <c r="I171" s="97">
        <f t="shared" si="56"/>
        <v>0</v>
      </c>
      <c r="J171" s="97">
        <f t="shared" si="56"/>
        <v>0</v>
      </c>
      <c r="K171" s="97">
        <f t="shared" si="56"/>
        <v>0</v>
      </c>
      <c r="L171" s="97">
        <f t="shared" si="56"/>
        <v>0</v>
      </c>
      <c r="M171" s="97">
        <f t="shared" si="56"/>
        <v>0</v>
      </c>
      <c r="N171" s="97">
        <f t="shared" si="56"/>
        <v>0</v>
      </c>
      <c r="O171" s="97">
        <f t="shared" si="56"/>
        <v>0</v>
      </c>
      <c r="T171" s="28"/>
      <c r="U171" s="29"/>
      <c r="V171" s="29"/>
      <c r="W171" s="28"/>
    </row>
    <row r="172" spans="2:23">
      <c r="B172" s="23" t="s">
        <v>217</v>
      </c>
      <c r="D172" t="s">
        <v>109</v>
      </c>
      <c r="F172" s="69">
        <f>SUM(G172:O172)</f>
        <v>0</v>
      </c>
      <c r="G172" s="97">
        <f>G152</f>
        <v>0</v>
      </c>
      <c r="H172" s="97">
        <f t="shared" ref="H172:O172" si="57">H152</f>
        <v>0</v>
      </c>
      <c r="I172" s="97">
        <f t="shared" si="57"/>
        <v>0</v>
      </c>
      <c r="J172" s="97">
        <f t="shared" si="57"/>
        <v>0</v>
      </c>
      <c r="K172" s="97">
        <f t="shared" si="57"/>
        <v>0</v>
      </c>
      <c r="L172" s="97">
        <f t="shared" si="57"/>
        <v>0</v>
      </c>
      <c r="M172" s="97">
        <f t="shared" si="57"/>
        <v>0</v>
      </c>
      <c r="N172" s="97">
        <f t="shared" si="57"/>
        <v>0</v>
      </c>
      <c r="O172" s="97">
        <f t="shared" si="57"/>
        <v>0</v>
      </c>
      <c r="T172" s="28"/>
      <c r="U172" s="29"/>
      <c r="V172" s="29"/>
      <c r="W172" s="28"/>
    </row>
    <row r="173" spans="2:23">
      <c r="B173" s="23"/>
      <c r="F173" s="64"/>
      <c r="G173" s="63"/>
      <c r="H173" s="63"/>
      <c r="I173" s="63"/>
      <c r="J173" s="63"/>
      <c r="K173" s="63"/>
      <c r="L173" s="63"/>
      <c r="M173" s="63"/>
      <c r="N173" s="63"/>
      <c r="O173" s="63"/>
      <c r="T173" s="28"/>
      <c r="U173" s="28"/>
      <c r="V173" s="28"/>
      <c r="W173" s="28"/>
    </row>
    <row r="174" spans="2:23">
      <c r="B174" s="22" t="s">
        <v>122</v>
      </c>
      <c r="F174" s="64"/>
      <c r="G174" s="63"/>
      <c r="H174" s="63"/>
      <c r="I174" s="63"/>
      <c r="J174" s="63"/>
      <c r="K174" s="63"/>
      <c r="L174" s="63"/>
      <c r="M174" s="63"/>
      <c r="N174" s="63"/>
      <c r="O174" s="63"/>
      <c r="T174" s="28"/>
      <c r="U174" s="28"/>
      <c r="V174" s="28"/>
      <c r="W174" s="28"/>
    </row>
    <row r="175" spans="2:23">
      <c r="B175" s="23" t="s">
        <v>123</v>
      </c>
      <c r="D175" t="s">
        <v>109</v>
      </c>
      <c r="F175" s="69">
        <f>SUM(G175:O175)</f>
        <v>275911043.86079365</v>
      </c>
      <c r="G175" s="98">
        <f>G135+G155</f>
        <v>8218491</v>
      </c>
      <c r="H175" s="98">
        <f t="shared" ref="H175:O175" si="58">H135+H155</f>
        <v>7999972.9154080693</v>
      </c>
      <c r="I175" s="98">
        <f t="shared" si="58"/>
        <v>11878305.187246354</v>
      </c>
      <c r="J175" s="98">
        <f t="shared" si="58"/>
        <v>84137039.608518988</v>
      </c>
      <c r="K175" s="98">
        <f t="shared" si="58"/>
        <v>92839656.328105271</v>
      </c>
      <c r="L175" s="98">
        <f t="shared" si="58"/>
        <v>2548952.4900000002</v>
      </c>
      <c r="M175" s="98">
        <f t="shared" si="58"/>
        <v>62394061.239295453</v>
      </c>
      <c r="N175" s="98">
        <f t="shared" si="58"/>
        <v>5894565.0922195297</v>
      </c>
      <c r="O175" s="98">
        <f t="shared" si="58"/>
        <v>0</v>
      </c>
      <c r="T175" s="28"/>
      <c r="U175" s="29"/>
      <c r="V175" s="29"/>
      <c r="W175" s="28"/>
    </row>
    <row r="176" spans="2:23">
      <c r="B176" s="23" t="s">
        <v>124</v>
      </c>
      <c r="D176" t="s">
        <v>109</v>
      </c>
      <c r="F176" s="69">
        <f>SUM(G176:O176)</f>
        <v>6550671.8337420756</v>
      </c>
      <c r="G176" s="98">
        <f>G136+G156</f>
        <v>0</v>
      </c>
      <c r="H176" s="98">
        <f t="shared" ref="H176:O176" si="59">H136+H156</f>
        <v>0</v>
      </c>
      <c r="I176" s="98">
        <f t="shared" si="59"/>
        <v>0</v>
      </c>
      <c r="J176" s="98">
        <f t="shared" si="59"/>
        <v>0</v>
      </c>
      <c r="K176" s="98">
        <f t="shared" si="59"/>
        <v>0</v>
      </c>
      <c r="L176" s="98">
        <f t="shared" si="59"/>
        <v>329726.96000000002</v>
      </c>
      <c r="M176" s="98">
        <f t="shared" si="59"/>
        <v>6220944.8737420756</v>
      </c>
      <c r="N176" s="98">
        <f t="shared" si="59"/>
        <v>0</v>
      </c>
      <c r="O176" s="98">
        <f t="shared" si="59"/>
        <v>0</v>
      </c>
      <c r="T176" s="28"/>
      <c r="U176" s="29"/>
      <c r="V176" s="29"/>
      <c r="W176" s="28"/>
    </row>
    <row r="177" spans="2:23">
      <c r="B177" s="23"/>
      <c r="F177" s="64"/>
      <c r="G177" s="63"/>
      <c r="H177" s="63"/>
      <c r="I177" s="63"/>
      <c r="J177" s="63"/>
      <c r="K177" s="63"/>
      <c r="L177" s="63"/>
      <c r="M177" s="63"/>
      <c r="N177" s="63"/>
      <c r="O177" s="63"/>
      <c r="T177" s="28"/>
      <c r="U177" s="28"/>
      <c r="V177" s="28"/>
      <c r="W177" s="28"/>
    </row>
    <row r="178" spans="2:23">
      <c r="B178" s="22" t="s">
        <v>125</v>
      </c>
      <c r="F178" s="64"/>
      <c r="G178" s="63"/>
      <c r="H178" s="63"/>
      <c r="I178" s="63"/>
      <c r="J178" s="63"/>
      <c r="K178" s="63"/>
      <c r="L178" s="63"/>
      <c r="M178" s="63"/>
      <c r="N178" s="63"/>
      <c r="O178" s="63"/>
      <c r="T178" s="28"/>
      <c r="U178" s="28"/>
      <c r="V178" s="28"/>
      <c r="W178" s="28"/>
    </row>
    <row r="179" spans="2:23">
      <c r="B179" s="23" t="s">
        <v>126</v>
      </c>
      <c r="D179" t="s">
        <v>109</v>
      </c>
      <c r="F179" s="69">
        <f>SUM(G179:O179)</f>
        <v>25252604.713036753</v>
      </c>
      <c r="G179" s="98">
        <f>G139+G159</f>
        <v>0</v>
      </c>
      <c r="H179" s="98">
        <f t="shared" ref="H179:O179" si="60">H139+H159</f>
        <v>368104</v>
      </c>
      <c r="I179" s="98">
        <f t="shared" si="60"/>
        <v>0</v>
      </c>
      <c r="J179" s="98">
        <f t="shared" si="60"/>
        <v>680680</v>
      </c>
      <c r="K179" s="98">
        <f t="shared" si="60"/>
        <v>11315354.953036755</v>
      </c>
      <c r="L179" s="98">
        <f t="shared" si="60"/>
        <v>88309.759999999995</v>
      </c>
      <c r="M179" s="98">
        <f t="shared" si="60"/>
        <v>12785218</v>
      </c>
      <c r="N179" s="98">
        <f t="shared" si="60"/>
        <v>14938</v>
      </c>
      <c r="O179" s="98">
        <f t="shared" si="60"/>
        <v>0</v>
      </c>
      <c r="T179" s="28"/>
      <c r="U179" s="29"/>
      <c r="V179" s="29"/>
      <c r="W179" s="28"/>
    </row>
    <row r="180" spans="2:23">
      <c r="B180" s="23" t="s">
        <v>127</v>
      </c>
      <c r="D180" t="s">
        <v>109</v>
      </c>
      <c r="F180" s="69">
        <f>SUM(G180:O180)</f>
        <v>1946</v>
      </c>
      <c r="G180" s="98">
        <f>G140+G160</f>
        <v>1946</v>
      </c>
      <c r="H180" s="98">
        <f t="shared" ref="H180:O180" si="61">H140+H160</f>
        <v>0</v>
      </c>
      <c r="I180" s="98">
        <f t="shared" si="61"/>
        <v>0</v>
      </c>
      <c r="J180" s="98">
        <f t="shared" si="61"/>
        <v>0</v>
      </c>
      <c r="K180" s="98">
        <f t="shared" si="61"/>
        <v>0</v>
      </c>
      <c r="L180" s="98">
        <f t="shared" si="61"/>
        <v>0</v>
      </c>
      <c r="M180" s="98">
        <f t="shared" si="61"/>
        <v>0</v>
      </c>
      <c r="N180" s="98">
        <f t="shared" si="61"/>
        <v>0</v>
      </c>
      <c r="O180" s="98">
        <f t="shared" si="61"/>
        <v>0</v>
      </c>
      <c r="T180" s="28"/>
      <c r="U180" s="29"/>
      <c r="V180" s="29"/>
      <c r="W180" s="28"/>
    </row>
    <row r="181" spans="2:23">
      <c r="B181" s="23"/>
      <c r="F181" s="64"/>
      <c r="G181" s="63"/>
      <c r="H181" s="63"/>
      <c r="I181" s="63"/>
      <c r="J181" s="63"/>
      <c r="K181" s="63"/>
      <c r="L181" s="63"/>
      <c r="M181" s="63"/>
      <c r="N181" s="63"/>
      <c r="O181" s="63"/>
      <c r="T181" s="28"/>
      <c r="U181" s="28"/>
      <c r="V181" s="28"/>
      <c r="W181" s="28"/>
    </row>
    <row r="182" spans="2:23">
      <c r="B182" s="22" t="s">
        <v>128</v>
      </c>
      <c r="F182" s="64"/>
      <c r="G182" s="63"/>
      <c r="H182" s="63"/>
      <c r="I182" s="63"/>
      <c r="J182" s="63"/>
      <c r="K182" s="63"/>
      <c r="L182" s="63"/>
      <c r="M182" s="63"/>
      <c r="N182" s="63"/>
      <c r="O182" s="63"/>
      <c r="T182" s="28"/>
      <c r="U182" s="28"/>
      <c r="V182" s="28"/>
      <c r="W182" s="28"/>
    </row>
    <row r="183" spans="2:23">
      <c r="B183" s="93" t="s">
        <v>180</v>
      </c>
      <c r="D183" t="s">
        <v>109</v>
      </c>
      <c r="F183" s="69">
        <f>SUM(G183:O183)</f>
        <v>3458677.2896710252</v>
      </c>
      <c r="G183" s="98">
        <f>G143+G163</f>
        <v>73859.390000000014</v>
      </c>
      <c r="H183" s="98">
        <f t="shared" ref="H183:O183" si="62">H143+H163</f>
        <v>94582.840125000002</v>
      </c>
      <c r="I183" s="98">
        <f t="shared" si="62"/>
        <v>195419.9373577454</v>
      </c>
      <c r="J183" s="98">
        <f t="shared" si="62"/>
        <v>998180.57910558535</v>
      </c>
      <c r="K183" s="98">
        <f t="shared" si="62"/>
        <v>1116027.7957934665</v>
      </c>
      <c r="L183" s="98">
        <f t="shared" si="62"/>
        <v>65456.33</v>
      </c>
      <c r="M183" s="98">
        <f t="shared" si="62"/>
        <v>910924.47627129604</v>
      </c>
      <c r="N183" s="98">
        <f t="shared" si="62"/>
        <v>4225.9410179324877</v>
      </c>
      <c r="O183" s="98">
        <f t="shared" si="62"/>
        <v>0</v>
      </c>
      <c r="T183" s="28"/>
      <c r="U183" s="29"/>
      <c r="V183" s="29"/>
      <c r="W183" s="28"/>
    </row>
    <row r="184" spans="2:23">
      <c r="B184" s="93" t="s">
        <v>181</v>
      </c>
      <c r="D184" t="s">
        <v>109</v>
      </c>
      <c r="F184" s="69">
        <f>SUM(G184:O184)</f>
        <v>637908.05841122149</v>
      </c>
      <c r="G184" s="98">
        <f>G144+G164</f>
        <v>7891.29</v>
      </c>
      <c r="H184" s="98">
        <f t="shared" ref="H184:O184" si="63">H144+H164</f>
        <v>12143.957050000001</v>
      </c>
      <c r="I184" s="98">
        <f t="shared" si="63"/>
        <v>34474.489264398348</v>
      </c>
      <c r="J184" s="98">
        <f t="shared" si="63"/>
        <v>179058.11931062461</v>
      </c>
      <c r="K184" s="98">
        <f t="shared" si="63"/>
        <v>154919.67880499997</v>
      </c>
      <c r="L184" s="98">
        <f t="shared" si="63"/>
        <v>8272.48</v>
      </c>
      <c r="M184" s="98">
        <f t="shared" si="63"/>
        <v>173742.45313178215</v>
      </c>
      <c r="N184" s="98">
        <f t="shared" si="63"/>
        <v>67405.590849416461</v>
      </c>
      <c r="O184" s="98">
        <f t="shared" si="63"/>
        <v>0</v>
      </c>
      <c r="T184" s="28"/>
      <c r="U184" s="29"/>
      <c r="V184" s="29"/>
      <c r="W184" s="28"/>
    </row>
    <row r="185" spans="2:23">
      <c r="B185" s="94" t="s">
        <v>182</v>
      </c>
      <c r="D185" t="s">
        <v>109</v>
      </c>
      <c r="F185" s="69">
        <f>SUM(G185:O185)</f>
        <v>4321787.5920022195</v>
      </c>
      <c r="G185" s="98">
        <f>G145+G165</f>
        <v>0</v>
      </c>
      <c r="H185" s="98">
        <f t="shared" ref="H185:O185" si="64">H145+H165</f>
        <v>0</v>
      </c>
      <c r="I185" s="98">
        <f t="shared" si="64"/>
        <v>63652.126601851633</v>
      </c>
      <c r="J185" s="98">
        <f t="shared" si="64"/>
        <v>1455795.894486869</v>
      </c>
      <c r="K185" s="98">
        <f t="shared" si="64"/>
        <v>2652209.303857889</v>
      </c>
      <c r="L185" s="98">
        <f t="shared" si="64"/>
        <v>40229.01</v>
      </c>
      <c r="M185" s="98">
        <f t="shared" si="64"/>
        <v>85530.896623577253</v>
      </c>
      <c r="N185" s="98">
        <f t="shared" si="64"/>
        <v>24370.360432033631</v>
      </c>
      <c r="O185" s="98">
        <f t="shared" si="64"/>
        <v>0</v>
      </c>
      <c r="T185" s="28"/>
      <c r="U185" s="29"/>
      <c r="V185" s="29"/>
      <c r="W185" s="28"/>
    </row>
    <row r="186" spans="2:23">
      <c r="F186" s="64"/>
      <c r="G186" s="63"/>
      <c r="H186" s="63"/>
      <c r="I186" s="63"/>
      <c r="J186" s="63"/>
      <c r="K186" s="63"/>
      <c r="L186" s="63"/>
      <c r="M186" s="63"/>
      <c r="N186" s="63"/>
      <c r="O186" s="63"/>
      <c r="T186" s="28"/>
      <c r="U186" s="28"/>
      <c r="V186" s="28"/>
      <c r="W186" s="28"/>
    </row>
    <row r="187" spans="2:23">
      <c r="B187" s="79" t="s">
        <v>268</v>
      </c>
      <c r="D187" t="s">
        <v>109</v>
      </c>
      <c r="F187" s="69">
        <f>SUM(G187:O187)</f>
        <v>316134639.34765697</v>
      </c>
      <c r="G187" s="69">
        <f>SUM(G171:G172,G175:G176,G179:G180,G183:G185)</f>
        <v>8302187.6799999997</v>
      </c>
      <c r="H187" s="69">
        <f t="shared" ref="H187:O187" si="65">SUM(H171:H172,H175:H176,H179:H180,H183:H185)</f>
        <v>8474803.7125830688</v>
      </c>
      <c r="I187" s="69">
        <f t="shared" si="65"/>
        <v>12171851.740470352</v>
      </c>
      <c r="J187" s="69">
        <f t="shared" si="65"/>
        <v>87450754.201422065</v>
      </c>
      <c r="K187" s="69">
        <f t="shared" si="65"/>
        <v>108078168.05959839</v>
      </c>
      <c r="L187" s="69">
        <f t="shared" si="65"/>
        <v>3080947.03</v>
      </c>
      <c r="M187" s="69">
        <f t="shared" si="65"/>
        <v>82570421.93906419</v>
      </c>
      <c r="N187" s="69">
        <f t="shared" si="65"/>
        <v>6005504.9845189117</v>
      </c>
      <c r="O187" s="69">
        <f t="shared" si="65"/>
        <v>0</v>
      </c>
      <c r="T187" s="28"/>
      <c r="U187" s="68"/>
      <c r="V187" s="68"/>
      <c r="W187" s="28"/>
    </row>
    <row r="188" spans="2:23">
      <c r="F188" s="218"/>
      <c r="G188" s="42"/>
      <c r="H188" s="42"/>
      <c r="I188" s="42"/>
      <c r="J188" s="42"/>
      <c r="K188" s="42"/>
      <c r="L188" s="42"/>
      <c r="M188" s="42"/>
      <c r="N188" s="42"/>
      <c r="O188" s="258"/>
      <c r="T188" s="28"/>
      <c r="U188" s="28"/>
      <c r="V188" s="28"/>
      <c r="W188" s="28"/>
    </row>
    <row r="189" spans="2:23">
      <c r="F189" s="62"/>
      <c r="G189" s="42"/>
      <c r="H189" s="42"/>
      <c r="I189" s="42"/>
      <c r="J189" s="42"/>
      <c r="K189" s="42"/>
      <c r="L189" s="42"/>
      <c r="M189" s="42"/>
      <c r="N189" s="42"/>
      <c r="O189" s="258"/>
    </row>
    <row r="190" spans="2:23" s="2" customFormat="1">
      <c r="B190" s="2" t="s">
        <v>243</v>
      </c>
      <c r="F190" s="65"/>
      <c r="G190" s="66"/>
      <c r="H190" s="66"/>
      <c r="I190" s="66"/>
      <c r="J190" s="66"/>
      <c r="K190" s="66"/>
      <c r="L190" s="66"/>
      <c r="M190" s="66"/>
      <c r="N190" s="66"/>
    </row>
    <row r="191" spans="2:23">
      <c r="F191" s="62"/>
      <c r="G191" s="42"/>
      <c r="H191" s="42"/>
      <c r="I191" s="42"/>
      <c r="J191" s="42"/>
      <c r="K191" s="42"/>
      <c r="L191" s="42"/>
      <c r="M191" s="42"/>
      <c r="N191" s="42"/>
      <c r="O191" s="258"/>
    </row>
    <row r="192" spans="2:23">
      <c r="B192" s="22" t="s">
        <v>218</v>
      </c>
      <c r="G192" s="258"/>
      <c r="H192" s="258"/>
      <c r="I192" s="258"/>
      <c r="J192" s="258"/>
      <c r="K192" s="258"/>
      <c r="L192" s="258"/>
      <c r="M192" s="258"/>
      <c r="N192" s="258"/>
      <c r="O192" s="258"/>
    </row>
    <row r="193" spans="2:15">
      <c r="B193" s="23"/>
      <c r="G193" s="258"/>
      <c r="H193" s="258"/>
      <c r="I193" s="258"/>
      <c r="J193" s="258"/>
      <c r="K193" s="258"/>
      <c r="L193" s="258"/>
      <c r="M193" s="258"/>
      <c r="N193" s="258"/>
      <c r="O193" s="258"/>
    </row>
    <row r="194" spans="2:15">
      <c r="B194" s="22" t="s">
        <v>122</v>
      </c>
      <c r="G194" s="258"/>
      <c r="H194" s="258"/>
      <c r="I194" s="258"/>
      <c r="J194" s="258"/>
      <c r="K194" s="258"/>
      <c r="L194" s="258"/>
      <c r="M194" s="258"/>
      <c r="N194" s="258"/>
      <c r="O194" s="258"/>
    </row>
    <row r="195" spans="2:15">
      <c r="B195" s="23" t="s">
        <v>123</v>
      </c>
      <c r="D195" t="s">
        <v>110</v>
      </c>
      <c r="F195" s="69">
        <f>SUM(G195:O195)</f>
        <v>105681715.99608271</v>
      </c>
      <c r="G195" s="87">
        <v>2613309</v>
      </c>
      <c r="H195" s="87">
        <v>4929026.3107573129</v>
      </c>
      <c r="I195" s="87">
        <v>9508969.9424801487</v>
      </c>
      <c r="J195" s="87">
        <v>21008641.336119</v>
      </c>
      <c r="K195" s="87">
        <v>32916649.996785201</v>
      </c>
      <c r="L195" s="87">
        <v>767064.66</v>
      </c>
      <c r="M195" s="87">
        <v>33077783.485539705</v>
      </c>
      <c r="N195" s="87">
        <v>860271.26440133143</v>
      </c>
      <c r="O195" s="87">
        <v>0</v>
      </c>
    </row>
    <row r="196" spans="2:15">
      <c r="B196" s="23" t="s">
        <v>124</v>
      </c>
      <c r="D196" t="s">
        <v>110</v>
      </c>
      <c r="F196" s="69">
        <f>SUM(G196:O196)</f>
        <v>590540.81232417887</v>
      </c>
      <c r="G196" s="87">
        <v>0</v>
      </c>
      <c r="H196" s="87">
        <v>0</v>
      </c>
      <c r="I196" s="87">
        <v>0</v>
      </c>
      <c r="J196" s="87">
        <v>0</v>
      </c>
      <c r="K196" s="87">
        <v>0</v>
      </c>
      <c r="L196" s="87">
        <v>52165.29</v>
      </c>
      <c r="M196" s="87">
        <v>538375.52232417883</v>
      </c>
      <c r="N196" s="87">
        <v>0</v>
      </c>
      <c r="O196" s="87">
        <v>0</v>
      </c>
    </row>
    <row r="197" spans="2:15">
      <c r="B197" s="23"/>
      <c r="F197" s="64"/>
      <c r="G197" s="63"/>
      <c r="H197" s="63"/>
      <c r="I197" s="63"/>
      <c r="J197" s="63"/>
      <c r="K197" s="63"/>
      <c r="L197" s="63"/>
      <c r="M197" s="63"/>
      <c r="N197" s="63"/>
      <c r="O197" s="63"/>
    </row>
    <row r="198" spans="2:15">
      <c r="B198" s="22" t="s">
        <v>125</v>
      </c>
      <c r="F198" s="64"/>
      <c r="G198" s="63"/>
      <c r="H198" s="63"/>
      <c r="I198" s="63"/>
      <c r="J198" s="63"/>
      <c r="K198" s="63"/>
      <c r="L198" s="63"/>
      <c r="M198" s="63"/>
      <c r="N198" s="63"/>
      <c r="O198" s="63"/>
    </row>
    <row r="199" spans="2:15">
      <c r="B199" s="23" t="s">
        <v>126</v>
      </c>
      <c r="D199" t="s">
        <v>110</v>
      </c>
      <c r="F199" s="69">
        <f>SUM(G199:O199)</f>
        <v>12994671.439999999</v>
      </c>
      <c r="G199" s="87">
        <v>84</v>
      </c>
      <c r="H199" s="87">
        <v>0</v>
      </c>
      <c r="I199" s="87">
        <v>0</v>
      </c>
      <c r="J199" s="87">
        <v>0</v>
      </c>
      <c r="K199" s="87">
        <v>0</v>
      </c>
      <c r="L199" s="87">
        <v>96427.44</v>
      </c>
      <c r="M199" s="87">
        <v>12898160</v>
      </c>
      <c r="N199" s="87">
        <v>0</v>
      </c>
      <c r="O199" s="87">
        <v>0</v>
      </c>
    </row>
    <row r="200" spans="2:15">
      <c r="B200" s="23" t="s">
        <v>127</v>
      </c>
      <c r="D200" t="s">
        <v>110</v>
      </c>
      <c r="F200" s="69">
        <f>SUM(G200:O200)</f>
        <v>1124</v>
      </c>
      <c r="G200" s="87">
        <v>1124</v>
      </c>
      <c r="H200" s="87">
        <v>0</v>
      </c>
      <c r="I200" s="87">
        <v>0</v>
      </c>
      <c r="J200" s="87">
        <v>0</v>
      </c>
      <c r="K200" s="87">
        <v>0</v>
      </c>
      <c r="L200" s="87">
        <v>0</v>
      </c>
      <c r="M200" s="87">
        <v>0</v>
      </c>
      <c r="N200" s="87">
        <v>0</v>
      </c>
      <c r="O200" s="87">
        <v>0</v>
      </c>
    </row>
    <row r="201" spans="2:15">
      <c r="B201" s="23"/>
      <c r="F201" s="64"/>
      <c r="G201" s="63"/>
      <c r="H201" s="63"/>
      <c r="I201" s="63"/>
      <c r="J201" s="63"/>
      <c r="K201" s="63"/>
      <c r="L201" s="63"/>
      <c r="M201" s="63"/>
      <c r="N201" s="63"/>
      <c r="O201" s="63"/>
    </row>
    <row r="202" spans="2:15">
      <c r="B202" s="22" t="s">
        <v>128</v>
      </c>
      <c r="F202" s="64"/>
      <c r="G202" s="63"/>
      <c r="H202" s="63"/>
      <c r="I202" s="63"/>
      <c r="J202" s="63"/>
      <c r="K202" s="63"/>
      <c r="L202" s="63"/>
      <c r="M202" s="63"/>
      <c r="N202" s="63"/>
      <c r="O202" s="63"/>
    </row>
    <row r="203" spans="2:15">
      <c r="B203" s="93" t="s">
        <v>180</v>
      </c>
      <c r="D203" t="s">
        <v>110</v>
      </c>
      <c r="F203" s="69">
        <f>SUM(G203:O203)</f>
        <v>578505.36860006163</v>
      </c>
      <c r="G203" s="87">
        <v>81919</v>
      </c>
      <c r="H203" s="87">
        <v>16768.200000000004</v>
      </c>
      <c r="I203" s="87">
        <v>212907.46572199996</v>
      </c>
      <c r="J203" s="87">
        <v>0</v>
      </c>
      <c r="K203" s="87">
        <v>200527.71448628858</v>
      </c>
      <c r="L203" s="87">
        <v>64038.92</v>
      </c>
      <c r="M203" s="87">
        <v>248.72070201443873</v>
      </c>
      <c r="N203" s="87">
        <v>2095.3476897586297</v>
      </c>
      <c r="O203" s="87">
        <v>0</v>
      </c>
    </row>
    <row r="204" spans="2:15">
      <c r="B204" s="93" t="s">
        <v>181</v>
      </c>
      <c r="D204" t="s">
        <v>110</v>
      </c>
      <c r="F204" s="69">
        <f>SUM(G204:O204)</f>
        <v>67811.658400006912</v>
      </c>
      <c r="G204" s="87">
        <v>3504</v>
      </c>
      <c r="H204" s="87">
        <v>567.16382627118639</v>
      </c>
      <c r="I204" s="87">
        <v>35975.923927049807</v>
      </c>
      <c r="J204" s="87">
        <v>0</v>
      </c>
      <c r="K204" s="87">
        <v>11254.539380607383</v>
      </c>
      <c r="L204" s="87">
        <v>8080.36</v>
      </c>
      <c r="M204" s="87">
        <v>47.466079268902249</v>
      </c>
      <c r="N204" s="87">
        <v>8382.2051868096332</v>
      </c>
      <c r="O204" s="87">
        <v>0</v>
      </c>
    </row>
    <row r="205" spans="2:15">
      <c r="B205" s="94" t="s">
        <v>182</v>
      </c>
      <c r="D205" t="s">
        <v>110</v>
      </c>
      <c r="F205" s="69">
        <f>SUM(G205:O205)</f>
        <v>1329075.9366905892</v>
      </c>
      <c r="G205" s="87">
        <v>0</v>
      </c>
      <c r="H205" s="87">
        <v>0</v>
      </c>
      <c r="I205" s="454">
        <f>'Aanpassing gegevens (aug. 2016)'!J36</f>
        <v>127205.70868412919</v>
      </c>
      <c r="J205" s="87">
        <v>0</v>
      </c>
      <c r="K205" s="87">
        <v>1173587.6311752219</v>
      </c>
      <c r="L205" s="87">
        <v>28255.919999999998</v>
      </c>
      <c r="M205" s="87">
        <v>26.676831238212568</v>
      </c>
      <c r="N205" s="87">
        <v>0</v>
      </c>
      <c r="O205" s="87">
        <v>0</v>
      </c>
    </row>
    <row r="206" spans="2:15">
      <c r="B206" s="23"/>
      <c r="F206" s="64"/>
      <c r="G206" s="63"/>
      <c r="H206" s="63"/>
      <c r="I206" s="63"/>
      <c r="J206" s="63"/>
      <c r="K206" s="63"/>
      <c r="L206" s="63"/>
      <c r="M206" s="63"/>
      <c r="N206" s="63"/>
      <c r="O206" s="63"/>
    </row>
    <row r="207" spans="2:15">
      <c r="F207" s="64"/>
      <c r="G207" s="63"/>
      <c r="H207" s="63"/>
      <c r="I207" s="63"/>
      <c r="J207" s="63"/>
      <c r="K207" s="63"/>
      <c r="L207" s="63"/>
      <c r="M207" s="63"/>
      <c r="N207" s="63"/>
      <c r="O207" s="63"/>
    </row>
    <row r="208" spans="2:15">
      <c r="B208" s="22" t="s">
        <v>219</v>
      </c>
      <c r="F208" s="64"/>
      <c r="G208" s="63"/>
      <c r="H208" s="63"/>
      <c r="I208" s="63"/>
      <c r="J208" s="63"/>
      <c r="K208" s="63"/>
      <c r="L208" s="63"/>
      <c r="M208" s="63"/>
      <c r="N208" s="63"/>
      <c r="O208" s="63"/>
    </row>
    <row r="209" spans="2:15">
      <c r="B209" s="23"/>
      <c r="F209" s="64"/>
      <c r="G209" s="63"/>
      <c r="H209" s="63"/>
      <c r="I209" s="63"/>
      <c r="J209" s="63"/>
      <c r="K209" s="63"/>
      <c r="L209" s="63"/>
      <c r="M209" s="63"/>
      <c r="N209" s="63"/>
      <c r="O209" s="63"/>
    </row>
    <row r="210" spans="2:15">
      <c r="B210" s="22" t="s">
        <v>121</v>
      </c>
      <c r="F210" s="64"/>
      <c r="G210" s="63"/>
      <c r="H210" s="63"/>
      <c r="I210" s="63"/>
      <c r="J210" s="63"/>
      <c r="K210" s="63"/>
      <c r="L210" s="63"/>
      <c r="M210" s="63"/>
      <c r="N210" s="63"/>
      <c r="O210" s="63"/>
    </row>
    <row r="211" spans="2:15">
      <c r="B211" s="23" t="s">
        <v>216</v>
      </c>
      <c r="D211" t="s">
        <v>110</v>
      </c>
      <c r="F211" s="69">
        <f>SUM(G211:O211)</f>
        <v>0</v>
      </c>
      <c r="G211" s="87">
        <v>0</v>
      </c>
      <c r="H211" s="87">
        <v>0</v>
      </c>
      <c r="I211" s="87">
        <v>0</v>
      </c>
      <c r="J211" s="87">
        <v>0</v>
      </c>
      <c r="K211" s="87">
        <v>0</v>
      </c>
      <c r="L211" s="87">
        <v>0</v>
      </c>
      <c r="M211" s="87">
        <v>0</v>
      </c>
      <c r="N211" s="87">
        <v>0</v>
      </c>
      <c r="O211" s="87">
        <v>0</v>
      </c>
    </row>
    <row r="212" spans="2:15">
      <c r="B212" s="23" t="s">
        <v>217</v>
      </c>
      <c r="D212" t="s">
        <v>110</v>
      </c>
      <c r="F212" s="69">
        <f>SUM(G212:O212)</f>
        <v>0</v>
      </c>
      <c r="G212" s="87">
        <v>0</v>
      </c>
      <c r="H212" s="87">
        <v>0</v>
      </c>
      <c r="I212" s="87">
        <v>0</v>
      </c>
      <c r="J212" s="87">
        <v>0</v>
      </c>
      <c r="K212" s="87">
        <v>0</v>
      </c>
      <c r="L212" s="87">
        <v>0</v>
      </c>
      <c r="M212" s="87">
        <v>0</v>
      </c>
      <c r="N212" s="87">
        <v>0</v>
      </c>
      <c r="O212" s="87">
        <v>0</v>
      </c>
    </row>
    <row r="213" spans="2:15">
      <c r="B213" s="23"/>
      <c r="F213" s="64"/>
      <c r="G213" s="63"/>
      <c r="H213" s="63"/>
      <c r="I213" s="63"/>
      <c r="J213" s="63"/>
      <c r="K213" s="63"/>
      <c r="L213" s="63"/>
      <c r="M213" s="63"/>
      <c r="N213" s="63"/>
      <c r="O213" s="63"/>
    </row>
    <row r="214" spans="2:15">
      <c r="B214" s="22" t="s">
        <v>122</v>
      </c>
      <c r="F214" s="64"/>
      <c r="G214" s="63"/>
      <c r="H214" s="63"/>
      <c r="I214" s="63"/>
      <c r="J214" s="63"/>
      <c r="K214" s="63"/>
      <c r="L214" s="63"/>
      <c r="M214" s="63"/>
      <c r="N214" s="63"/>
      <c r="O214" s="63"/>
    </row>
    <row r="215" spans="2:15">
      <c r="B215" s="23" t="s">
        <v>123</v>
      </c>
      <c r="D215" t="s">
        <v>110</v>
      </c>
      <c r="F215" s="69">
        <f>SUM(G215:O215)</f>
        <v>169327624.02710488</v>
      </c>
      <c r="G215" s="87">
        <v>4610892</v>
      </c>
      <c r="H215" s="87">
        <v>4710726.3818928888</v>
      </c>
      <c r="I215" s="87">
        <v>2316655.1605683565</v>
      </c>
      <c r="J215" s="87">
        <v>62826983.122869499</v>
      </c>
      <c r="K215" s="87">
        <v>56427961.50817325</v>
      </c>
      <c r="L215" s="87">
        <v>1971394.24</v>
      </c>
      <c r="M215" s="87">
        <v>31011886.163394421</v>
      </c>
      <c r="N215" s="87">
        <v>5451125.4502064772</v>
      </c>
      <c r="O215" s="87">
        <v>0</v>
      </c>
    </row>
    <row r="216" spans="2:15">
      <c r="B216" s="23" t="s">
        <v>124</v>
      </c>
      <c r="D216" t="s">
        <v>110</v>
      </c>
      <c r="F216" s="69">
        <f>SUM(G216:O216)</f>
        <v>4821681.8784680795</v>
      </c>
      <c r="G216" s="87">
        <v>0</v>
      </c>
      <c r="H216" s="87">
        <v>0</v>
      </c>
      <c r="I216" s="87">
        <v>0</v>
      </c>
      <c r="J216" s="87">
        <v>0</v>
      </c>
      <c r="K216" s="87">
        <v>0</v>
      </c>
      <c r="L216" s="87">
        <v>260171.35</v>
      </c>
      <c r="M216" s="87">
        <v>4561510.5284680799</v>
      </c>
      <c r="N216" s="87">
        <v>0</v>
      </c>
      <c r="O216" s="87">
        <v>0</v>
      </c>
    </row>
    <row r="217" spans="2:15">
      <c r="B217" s="23"/>
      <c r="F217" s="64"/>
      <c r="G217" s="63"/>
      <c r="H217" s="63"/>
      <c r="I217" s="63"/>
      <c r="J217" s="63"/>
      <c r="K217" s="63"/>
      <c r="L217" s="63"/>
      <c r="M217" s="63"/>
      <c r="N217" s="63"/>
      <c r="O217" s="63"/>
    </row>
    <row r="218" spans="2:15">
      <c r="B218" s="22" t="s">
        <v>125</v>
      </c>
      <c r="F218" s="64"/>
      <c r="G218" s="63"/>
      <c r="H218" s="63"/>
      <c r="I218" s="63"/>
      <c r="J218" s="63"/>
      <c r="K218" s="63"/>
      <c r="L218" s="63"/>
      <c r="M218" s="63"/>
      <c r="N218" s="63"/>
      <c r="O218" s="63"/>
    </row>
    <row r="219" spans="2:15">
      <c r="B219" s="23" t="s">
        <v>126</v>
      </c>
      <c r="D219" t="s">
        <v>110</v>
      </c>
      <c r="F219" s="69">
        <f>SUM(G219:O219)</f>
        <v>14858689.875894757</v>
      </c>
      <c r="G219" s="87">
        <v>0</v>
      </c>
      <c r="H219" s="87">
        <v>391176.4</v>
      </c>
      <c r="I219" s="87">
        <v>0</v>
      </c>
      <c r="J219" s="87">
        <v>767902.47589475755</v>
      </c>
      <c r="K219" s="87">
        <v>13691948</v>
      </c>
      <c r="L219" s="87">
        <v>0</v>
      </c>
      <c r="M219" s="87">
        <v>0</v>
      </c>
      <c r="N219" s="87">
        <v>7663</v>
      </c>
      <c r="O219" s="87">
        <v>0</v>
      </c>
    </row>
    <row r="220" spans="2:15">
      <c r="B220" s="23" t="s">
        <v>127</v>
      </c>
      <c r="D220" t="s">
        <v>110</v>
      </c>
      <c r="F220" s="69">
        <f>SUM(G220:O220)</f>
        <v>0</v>
      </c>
      <c r="G220" s="87">
        <v>0</v>
      </c>
      <c r="H220" s="87">
        <v>0</v>
      </c>
      <c r="I220" s="87">
        <v>0</v>
      </c>
      <c r="J220" s="87">
        <v>0</v>
      </c>
      <c r="K220" s="87">
        <v>0</v>
      </c>
      <c r="L220" s="87">
        <v>0</v>
      </c>
      <c r="M220" s="87">
        <v>0</v>
      </c>
      <c r="N220" s="87">
        <v>0</v>
      </c>
      <c r="O220" s="87">
        <v>0</v>
      </c>
    </row>
    <row r="221" spans="2:15">
      <c r="B221" s="23"/>
      <c r="F221" s="64"/>
      <c r="G221" s="63"/>
      <c r="H221" s="63"/>
      <c r="I221" s="63"/>
      <c r="J221" s="63"/>
      <c r="K221" s="63"/>
      <c r="L221" s="63"/>
      <c r="M221" s="63"/>
      <c r="N221" s="63"/>
      <c r="O221" s="63"/>
    </row>
    <row r="222" spans="2:15">
      <c r="B222" s="22" t="s">
        <v>128</v>
      </c>
      <c r="F222" s="64"/>
      <c r="G222" s="63"/>
      <c r="H222" s="63"/>
      <c r="I222" s="63"/>
      <c r="J222" s="63"/>
      <c r="K222" s="63"/>
      <c r="L222" s="63"/>
      <c r="M222" s="63"/>
      <c r="N222" s="63"/>
      <c r="O222" s="63"/>
    </row>
    <row r="223" spans="2:15">
      <c r="B223" s="93" t="s">
        <v>180</v>
      </c>
      <c r="D223" t="s">
        <v>110</v>
      </c>
      <c r="F223" s="69">
        <f>SUM(G223:O223)</f>
        <v>3066868.2217244445</v>
      </c>
      <c r="G223" s="87">
        <v>0</v>
      </c>
      <c r="H223" s="87">
        <v>85121.167950000017</v>
      </c>
      <c r="I223" s="87">
        <v>0</v>
      </c>
      <c r="J223" s="87">
        <v>1025841.4026185945</v>
      </c>
      <c r="K223" s="87">
        <v>997748.37964060344</v>
      </c>
      <c r="L223" s="87">
        <v>0</v>
      </c>
      <c r="M223" s="87">
        <v>944880.06048737036</v>
      </c>
      <c r="N223" s="87">
        <v>13277.211027876496</v>
      </c>
      <c r="O223" s="87">
        <v>0</v>
      </c>
    </row>
    <row r="224" spans="2:15">
      <c r="B224" s="93" t="s">
        <v>181</v>
      </c>
      <c r="D224" t="s">
        <v>110</v>
      </c>
      <c r="F224" s="69">
        <f>SUM(G224:O224)</f>
        <v>590953.36229198892</v>
      </c>
      <c r="G224" s="87">
        <v>0</v>
      </c>
      <c r="H224" s="87">
        <v>12503.51395932203</v>
      </c>
      <c r="I224" s="87">
        <v>0</v>
      </c>
      <c r="J224" s="87">
        <v>177160.62569518763</v>
      </c>
      <c r="K224" s="87">
        <v>167853.46948795416</v>
      </c>
      <c r="L224" s="87">
        <v>0</v>
      </c>
      <c r="M224" s="87">
        <v>180321.7484007224</v>
      </c>
      <c r="N224" s="87">
        <v>53114.004748802603</v>
      </c>
      <c r="O224" s="87">
        <v>0</v>
      </c>
    </row>
    <row r="225" spans="2:15">
      <c r="B225" s="94" t="s">
        <v>182</v>
      </c>
      <c r="D225" t="s">
        <v>110</v>
      </c>
      <c r="F225" s="69">
        <f>SUM(G225:O225)</f>
        <v>5207602.7040725267</v>
      </c>
      <c r="G225" s="87">
        <v>0</v>
      </c>
      <c r="H225" s="87">
        <v>0</v>
      </c>
      <c r="I225" s="87">
        <v>0</v>
      </c>
      <c r="J225" s="87">
        <v>2829182.2484512334</v>
      </c>
      <c r="K225" s="87">
        <v>2218358.3847220186</v>
      </c>
      <c r="L225" s="87">
        <v>0</v>
      </c>
      <c r="M225" s="87">
        <v>101344.22148949379</v>
      </c>
      <c r="N225" s="87">
        <v>58717.849409781425</v>
      </c>
      <c r="O225" s="87">
        <v>0</v>
      </c>
    </row>
    <row r="226" spans="2:15">
      <c r="F226" s="64"/>
      <c r="G226" s="63"/>
      <c r="H226" s="63"/>
      <c r="I226" s="63"/>
      <c r="J226" s="63"/>
      <c r="K226" s="63"/>
      <c r="L226" s="63"/>
      <c r="M226" s="63"/>
      <c r="N226" s="63"/>
      <c r="O226" s="63"/>
    </row>
    <row r="227" spans="2:15">
      <c r="F227" s="64"/>
      <c r="G227" s="63"/>
      <c r="H227" s="63"/>
      <c r="I227" s="63"/>
      <c r="J227" s="63"/>
      <c r="K227" s="63"/>
      <c r="L227" s="63"/>
      <c r="M227" s="63"/>
      <c r="N227" s="63"/>
      <c r="O227" s="63"/>
    </row>
    <row r="228" spans="2:15">
      <c r="B228" s="22" t="s">
        <v>138</v>
      </c>
      <c r="F228" s="64"/>
      <c r="G228" s="63"/>
      <c r="H228" s="63"/>
      <c r="I228" s="63"/>
      <c r="J228" s="63"/>
      <c r="K228" s="63"/>
      <c r="L228" s="63"/>
      <c r="M228" s="63"/>
      <c r="N228" s="63"/>
      <c r="O228" s="63"/>
    </row>
    <row r="229" spans="2:15">
      <c r="B229" s="23"/>
      <c r="F229" s="64"/>
      <c r="G229" s="63"/>
      <c r="H229" s="63"/>
      <c r="I229" s="63"/>
      <c r="J229" s="63"/>
      <c r="K229" s="63"/>
      <c r="L229" s="63"/>
      <c r="M229" s="63"/>
      <c r="N229" s="63"/>
      <c r="O229" s="63"/>
    </row>
    <row r="230" spans="2:15">
      <c r="B230" s="22" t="s">
        <v>121</v>
      </c>
      <c r="F230" s="64"/>
      <c r="G230" s="63"/>
      <c r="H230" s="63"/>
      <c r="I230" s="63"/>
      <c r="J230" s="63"/>
      <c r="K230" s="63"/>
      <c r="L230" s="63"/>
      <c r="M230" s="63"/>
      <c r="N230" s="63"/>
      <c r="O230" s="63"/>
    </row>
    <row r="231" spans="2:15">
      <c r="B231" s="23" t="s">
        <v>216</v>
      </c>
      <c r="D231" t="s">
        <v>110</v>
      </c>
      <c r="F231" s="69">
        <f>SUM(G231:O231)</f>
        <v>0</v>
      </c>
      <c r="G231" s="97">
        <f>G211</f>
        <v>0</v>
      </c>
      <c r="H231" s="97">
        <f t="shared" ref="H231:O231" si="66">H211</f>
        <v>0</v>
      </c>
      <c r="I231" s="97">
        <f t="shared" si="66"/>
        <v>0</v>
      </c>
      <c r="J231" s="97">
        <f t="shared" si="66"/>
        <v>0</v>
      </c>
      <c r="K231" s="97">
        <f t="shared" si="66"/>
        <v>0</v>
      </c>
      <c r="L231" s="97">
        <f t="shared" si="66"/>
        <v>0</v>
      </c>
      <c r="M231" s="97">
        <f t="shared" si="66"/>
        <v>0</v>
      </c>
      <c r="N231" s="97">
        <f t="shared" si="66"/>
        <v>0</v>
      </c>
      <c r="O231" s="97">
        <f t="shared" si="66"/>
        <v>0</v>
      </c>
    </row>
    <row r="232" spans="2:15">
      <c r="B232" s="23" t="s">
        <v>217</v>
      </c>
      <c r="D232" t="s">
        <v>110</v>
      </c>
      <c r="F232" s="69">
        <f>SUM(G232:O232)</f>
        <v>0</v>
      </c>
      <c r="G232" s="97">
        <f>G212</f>
        <v>0</v>
      </c>
      <c r="H232" s="97">
        <f t="shared" ref="H232:O232" si="67">H212</f>
        <v>0</v>
      </c>
      <c r="I232" s="97">
        <f t="shared" si="67"/>
        <v>0</v>
      </c>
      <c r="J232" s="97">
        <f t="shared" si="67"/>
        <v>0</v>
      </c>
      <c r="K232" s="97">
        <f t="shared" si="67"/>
        <v>0</v>
      </c>
      <c r="L232" s="97">
        <f t="shared" si="67"/>
        <v>0</v>
      </c>
      <c r="M232" s="97">
        <f t="shared" si="67"/>
        <v>0</v>
      </c>
      <c r="N232" s="97">
        <f t="shared" si="67"/>
        <v>0</v>
      </c>
      <c r="O232" s="97">
        <f t="shared" si="67"/>
        <v>0</v>
      </c>
    </row>
    <row r="233" spans="2:15">
      <c r="B233" s="23"/>
      <c r="F233" s="64"/>
      <c r="G233" s="63"/>
      <c r="H233" s="63"/>
      <c r="I233" s="63"/>
      <c r="J233" s="63"/>
      <c r="K233" s="63"/>
      <c r="L233" s="63"/>
      <c r="M233" s="63"/>
      <c r="N233" s="63"/>
      <c r="O233" s="63"/>
    </row>
    <row r="234" spans="2:15">
      <c r="B234" s="22" t="s">
        <v>122</v>
      </c>
      <c r="F234" s="64"/>
      <c r="G234" s="63"/>
      <c r="H234" s="63"/>
      <c r="I234" s="63"/>
      <c r="J234" s="63"/>
      <c r="K234" s="63"/>
      <c r="L234" s="63"/>
      <c r="M234" s="63"/>
      <c r="N234" s="63"/>
      <c r="O234" s="63"/>
    </row>
    <row r="235" spans="2:15">
      <c r="B235" s="23" t="s">
        <v>123</v>
      </c>
      <c r="D235" t="s">
        <v>110</v>
      </c>
      <c r="F235" s="69">
        <f>SUM(G235:O235)</f>
        <v>275009340.02318764</v>
      </c>
      <c r="G235" s="98">
        <f>G195+G215</f>
        <v>7224201</v>
      </c>
      <c r="H235" s="98">
        <f t="shared" ref="H235:O235" si="68">H195+H215</f>
        <v>9639752.6926502027</v>
      </c>
      <c r="I235" s="98">
        <f t="shared" si="68"/>
        <v>11825625.103048505</v>
      </c>
      <c r="J235" s="98">
        <f t="shared" si="68"/>
        <v>83835624.458988503</v>
      </c>
      <c r="K235" s="98">
        <f t="shared" si="68"/>
        <v>89344611.504958451</v>
      </c>
      <c r="L235" s="98">
        <f t="shared" si="68"/>
        <v>2738458.9</v>
      </c>
      <c r="M235" s="98">
        <f t="shared" si="68"/>
        <v>64089669.648934126</v>
      </c>
      <c r="N235" s="98">
        <f t="shared" si="68"/>
        <v>6311396.7146078087</v>
      </c>
      <c r="O235" s="98">
        <f t="shared" si="68"/>
        <v>0</v>
      </c>
    </row>
    <row r="236" spans="2:15">
      <c r="B236" s="23" t="s">
        <v>124</v>
      </c>
      <c r="D236" t="s">
        <v>110</v>
      </c>
      <c r="F236" s="69">
        <f>SUM(G236:O236)</f>
        <v>5412222.6907922579</v>
      </c>
      <c r="G236" s="98">
        <f>G196+G216</f>
        <v>0</v>
      </c>
      <c r="H236" s="98">
        <f t="shared" ref="H236:O236" si="69">H196+H216</f>
        <v>0</v>
      </c>
      <c r="I236" s="98">
        <f t="shared" si="69"/>
        <v>0</v>
      </c>
      <c r="J236" s="98">
        <f t="shared" si="69"/>
        <v>0</v>
      </c>
      <c r="K236" s="98">
        <f t="shared" si="69"/>
        <v>0</v>
      </c>
      <c r="L236" s="98">
        <f t="shared" si="69"/>
        <v>312336.64000000001</v>
      </c>
      <c r="M236" s="98">
        <f t="shared" si="69"/>
        <v>5099886.0507922582</v>
      </c>
      <c r="N236" s="98">
        <f t="shared" si="69"/>
        <v>0</v>
      </c>
      <c r="O236" s="98">
        <f t="shared" si="69"/>
        <v>0</v>
      </c>
    </row>
    <row r="237" spans="2:15">
      <c r="B237" s="23"/>
      <c r="F237" s="64"/>
      <c r="G237" s="63"/>
      <c r="H237" s="63"/>
      <c r="I237" s="63"/>
      <c r="J237" s="63"/>
      <c r="K237" s="63"/>
      <c r="L237" s="63"/>
      <c r="M237" s="63"/>
      <c r="N237" s="63"/>
      <c r="O237" s="63"/>
    </row>
    <row r="238" spans="2:15">
      <c r="B238" s="22" t="s">
        <v>125</v>
      </c>
      <c r="F238" s="64"/>
      <c r="G238" s="63"/>
      <c r="H238" s="63"/>
      <c r="I238" s="63"/>
      <c r="J238" s="63"/>
      <c r="K238" s="63"/>
      <c r="L238" s="63"/>
      <c r="M238" s="63"/>
      <c r="N238" s="63"/>
      <c r="O238" s="63"/>
    </row>
    <row r="239" spans="2:15">
      <c r="B239" s="23" t="s">
        <v>126</v>
      </c>
      <c r="D239" t="s">
        <v>110</v>
      </c>
      <c r="F239" s="69">
        <f>SUM(G239:O239)</f>
        <v>27853361.315894756</v>
      </c>
      <c r="G239" s="98">
        <f>G199+G219</f>
        <v>84</v>
      </c>
      <c r="H239" s="98">
        <f t="shared" ref="H239:O239" si="70">H199+H219</f>
        <v>391176.4</v>
      </c>
      <c r="I239" s="98">
        <f t="shared" si="70"/>
        <v>0</v>
      </c>
      <c r="J239" s="98">
        <f t="shared" si="70"/>
        <v>767902.47589475755</v>
      </c>
      <c r="K239" s="98">
        <f t="shared" si="70"/>
        <v>13691948</v>
      </c>
      <c r="L239" s="98">
        <f t="shared" si="70"/>
        <v>96427.44</v>
      </c>
      <c r="M239" s="98">
        <f t="shared" si="70"/>
        <v>12898160</v>
      </c>
      <c r="N239" s="98">
        <f t="shared" si="70"/>
        <v>7663</v>
      </c>
      <c r="O239" s="98">
        <f t="shared" si="70"/>
        <v>0</v>
      </c>
    </row>
    <row r="240" spans="2:15">
      <c r="B240" s="23" t="s">
        <v>127</v>
      </c>
      <c r="D240" t="s">
        <v>110</v>
      </c>
      <c r="F240" s="69">
        <f>SUM(G240:O240)</f>
        <v>1124</v>
      </c>
      <c r="G240" s="98">
        <f>G200+G220</f>
        <v>1124</v>
      </c>
      <c r="H240" s="98">
        <f t="shared" ref="H240:O240" si="71">H200+H220</f>
        <v>0</v>
      </c>
      <c r="I240" s="98">
        <f t="shared" si="71"/>
        <v>0</v>
      </c>
      <c r="J240" s="98">
        <f t="shared" si="71"/>
        <v>0</v>
      </c>
      <c r="K240" s="98">
        <f t="shared" si="71"/>
        <v>0</v>
      </c>
      <c r="L240" s="98">
        <f t="shared" si="71"/>
        <v>0</v>
      </c>
      <c r="M240" s="98">
        <f t="shared" si="71"/>
        <v>0</v>
      </c>
      <c r="N240" s="98">
        <f t="shared" si="71"/>
        <v>0</v>
      </c>
      <c r="O240" s="98">
        <f t="shared" si="71"/>
        <v>0</v>
      </c>
    </row>
    <row r="241" spans="2:15">
      <c r="B241" s="23"/>
      <c r="F241" s="64"/>
      <c r="G241" s="63"/>
      <c r="H241" s="63"/>
      <c r="I241" s="63"/>
      <c r="J241" s="63"/>
      <c r="K241" s="63"/>
      <c r="L241" s="63"/>
      <c r="M241" s="63"/>
      <c r="N241" s="63"/>
      <c r="O241" s="63"/>
    </row>
    <row r="242" spans="2:15">
      <c r="B242" s="22" t="s">
        <v>128</v>
      </c>
      <c r="F242" s="64"/>
      <c r="G242" s="63"/>
      <c r="H242" s="63"/>
      <c r="I242" s="63"/>
      <c r="J242" s="63"/>
      <c r="K242" s="63"/>
      <c r="L242" s="63"/>
      <c r="M242" s="63"/>
      <c r="N242" s="63"/>
      <c r="O242" s="63"/>
    </row>
    <row r="243" spans="2:15">
      <c r="B243" s="93" t="s">
        <v>180</v>
      </c>
      <c r="D243" t="s">
        <v>110</v>
      </c>
      <c r="F243" s="69">
        <f>SUM(G243:O243)</f>
        <v>3645373.5903245066</v>
      </c>
      <c r="G243" s="98">
        <f>G203+G223</f>
        <v>81919</v>
      </c>
      <c r="H243" s="98">
        <f t="shared" ref="H243:O243" si="72">H203+H223</f>
        <v>101889.36795000001</v>
      </c>
      <c r="I243" s="98">
        <f t="shared" si="72"/>
        <v>212907.46572199996</v>
      </c>
      <c r="J243" s="98">
        <f t="shared" si="72"/>
        <v>1025841.4026185945</v>
      </c>
      <c r="K243" s="98">
        <f t="shared" si="72"/>
        <v>1198276.094126892</v>
      </c>
      <c r="L243" s="98">
        <f t="shared" si="72"/>
        <v>64038.92</v>
      </c>
      <c r="M243" s="98">
        <f t="shared" si="72"/>
        <v>945128.78118938475</v>
      </c>
      <c r="N243" s="98">
        <f t="shared" si="72"/>
        <v>15372.558717635126</v>
      </c>
      <c r="O243" s="98">
        <f t="shared" si="72"/>
        <v>0</v>
      </c>
    </row>
    <row r="244" spans="2:15">
      <c r="B244" s="93" t="s">
        <v>181</v>
      </c>
      <c r="D244" t="s">
        <v>110</v>
      </c>
      <c r="F244" s="69">
        <f>SUM(G244:O244)</f>
        <v>658765.02069199574</v>
      </c>
      <c r="G244" s="98">
        <f>G204+G224</f>
        <v>3504</v>
      </c>
      <c r="H244" s="98">
        <f t="shared" ref="H244:O244" si="73">H204+H224</f>
        <v>13070.677785593216</v>
      </c>
      <c r="I244" s="98">
        <f t="shared" si="73"/>
        <v>35975.923927049807</v>
      </c>
      <c r="J244" s="98">
        <f t="shared" si="73"/>
        <v>177160.62569518763</v>
      </c>
      <c r="K244" s="98">
        <f t="shared" si="73"/>
        <v>179108.00886856153</v>
      </c>
      <c r="L244" s="98">
        <f t="shared" si="73"/>
        <v>8080.36</v>
      </c>
      <c r="M244" s="98">
        <f t="shared" si="73"/>
        <v>180369.21447999129</v>
      </c>
      <c r="N244" s="98">
        <f t="shared" si="73"/>
        <v>61496.209935612234</v>
      </c>
      <c r="O244" s="98">
        <f t="shared" si="73"/>
        <v>0</v>
      </c>
    </row>
    <row r="245" spans="2:15">
      <c r="B245" s="94" t="s">
        <v>182</v>
      </c>
      <c r="D245" t="s">
        <v>110</v>
      </c>
      <c r="F245" s="69">
        <f>SUM(G245:O245)</f>
        <v>6536678.6407631161</v>
      </c>
      <c r="G245" s="98">
        <f>G205+G225</f>
        <v>0</v>
      </c>
      <c r="H245" s="98">
        <f t="shared" ref="H245:O245" si="74">H205+H225</f>
        <v>0</v>
      </c>
      <c r="I245" s="98">
        <f t="shared" si="74"/>
        <v>127205.70868412919</v>
      </c>
      <c r="J245" s="98">
        <f t="shared" si="74"/>
        <v>2829182.2484512334</v>
      </c>
      <c r="K245" s="98">
        <f t="shared" si="74"/>
        <v>3391946.0158972405</v>
      </c>
      <c r="L245" s="98">
        <f t="shared" si="74"/>
        <v>28255.919999999998</v>
      </c>
      <c r="M245" s="98">
        <f t="shared" si="74"/>
        <v>101370.89832073201</v>
      </c>
      <c r="N245" s="98">
        <f t="shared" si="74"/>
        <v>58717.849409781425</v>
      </c>
      <c r="O245" s="98">
        <f t="shared" si="74"/>
        <v>0</v>
      </c>
    </row>
    <row r="246" spans="2:15">
      <c r="F246" s="64"/>
      <c r="G246" s="63"/>
      <c r="H246" s="63"/>
      <c r="I246" s="63"/>
      <c r="J246" s="63"/>
      <c r="K246" s="63"/>
      <c r="L246" s="63"/>
      <c r="M246" s="63"/>
      <c r="N246" s="63"/>
      <c r="O246" s="63"/>
    </row>
    <row r="247" spans="2:15">
      <c r="B247" s="79" t="s">
        <v>268</v>
      </c>
      <c r="D247" t="s">
        <v>110</v>
      </c>
      <c r="F247" s="69">
        <f>SUM(G247:O247)</f>
        <v>319116865.28165424</v>
      </c>
      <c r="G247" s="69">
        <f>SUM(G231:G232,G235:G236,G239:G240,G243:G245)</f>
        <v>7310832</v>
      </c>
      <c r="H247" s="69">
        <f t="shared" ref="H247:O247" si="75">SUM(H231:H232,H235:H236,H239:H240,H243:H245)</f>
        <v>10145889.138385797</v>
      </c>
      <c r="I247" s="69">
        <f t="shared" si="75"/>
        <v>12201714.201381685</v>
      </c>
      <c r="J247" s="69">
        <f t="shared" si="75"/>
        <v>88635711.21164827</v>
      </c>
      <c r="K247" s="69">
        <f t="shared" si="75"/>
        <v>107805889.62385115</v>
      </c>
      <c r="L247" s="69">
        <f t="shared" si="75"/>
        <v>3247598.1799999997</v>
      </c>
      <c r="M247" s="69">
        <f t="shared" si="75"/>
        <v>83314584.593716502</v>
      </c>
      <c r="N247" s="69">
        <f t="shared" si="75"/>
        <v>6454646.3326708376</v>
      </c>
      <c r="O247" s="69">
        <f t="shared" si="75"/>
        <v>0</v>
      </c>
    </row>
    <row r="248" spans="2:15">
      <c r="F248" s="217"/>
      <c r="G248" s="258"/>
      <c r="H248" s="258"/>
      <c r="I248" s="258"/>
      <c r="J248" s="258"/>
      <c r="K248" s="258"/>
      <c r="L248" s="258"/>
      <c r="M248" s="258"/>
      <c r="N248" s="258"/>
      <c r="O248" s="258"/>
    </row>
    <row r="249" spans="2:15">
      <c r="G249" s="258"/>
      <c r="H249" s="258"/>
      <c r="I249" s="258"/>
      <c r="J249" s="258"/>
      <c r="K249" s="258"/>
      <c r="L249" s="258"/>
      <c r="M249" s="258"/>
      <c r="N249" s="258"/>
      <c r="O249" s="258"/>
    </row>
    <row r="250" spans="2:15" s="2" customFormat="1">
      <c r="B250" s="2" t="s">
        <v>246</v>
      </c>
      <c r="F250" s="49"/>
    </row>
    <row r="251" spans="2:15">
      <c r="G251" s="258"/>
      <c r="H251" s="258"/>
      <c r="I251" s="258"/>
      <c r="J251" s="258"/>
      <c r="K251" s="258"/>
      <c r="L251" s="258"/>
      <c r="M251" s="258"/>
      <c r="N251" s="258"/>
      <c r="O251" s="258"/>
    </row>
    <row r="252" spans="2:15">
      <c r="B252" s="22" t="s">
        <v>218</v>
      </c>
      <c r="G252" s="258"/>
      <c r="H252" s="258"/>
      <c r="I252" s="258"/>
      <c r="J252" s="258"/>
      <c r="K252" s="258"/>
      <c r="L252" s="258"/>
      <c r="M252" s="258"/>
      <c r="N252" s="258"/>
      <c r="O252" s="258"/>
    </row>
    <row r="253" spans="2:15">
      <c r="B253" s="23"/>
      <c r="G253" s="258"/>
      <c r="H253" s="258"/>
      <c r="I253" s="258"/>
      <c r="J253" s="258"/>
      <c r="K253" s="258"/>
      <c r="L253" s="258"/>
      <c r="M253" s="258"/>
      <c r="N253" s="258"/>
      <c r="O253" s="258"/>
    </row>
    <row r="254" spans="2:15">
      <c r="B254" s="22" t="s">
        <v>122</v>
      </c>
      <c r="G254" s="258"/>
      <c r="H254" s="258"/>
      <c r="I254" s="258"/>
      <c r="J254" s="258"/>
      <c r="K254" s="258"/>
      <c r="L254" s="258"/>
      <c r="M254" s="258"/>
      <c r="N254" s="258"/>
      <c r="O254" s="258"/>
    </row>
    <row r="255" spans="2:15">
      <c r="B255" s="23" t="s">
        <v>123</v>
      </c>
      <c r="D255" t="s">
        <v>107</v>
      </c>
      <c r="F255" s="69">
        <f>SUM(G255:O255)</f>
        <v>605228.75341958727</v>
      </c>
      <c r="G255" s="29"/>
      <c r="H255" s="87">
        <v>605228.75341958727</v>
      </c>
      <c r="I255" s="29"/>
      <c r="J255" s="87"/>
      <c r="K255" s="29"/>
      <c r="L255" s="29"/>
      <c r="M255" s="29"/>
      <c r="N255" s="29"/>
      <c r="O255" s="87"/>
    </row>
    <row r="256" spans="2:15">
      <c r="B256" s="23" t="s">
        <v>124</v>
      </c>
      <c r="D256" t="s">
        <v>107</v>
      </c>
      <c r="F256" s="69">
        <f>SUM(G256:O256)</f>
        <v>0</v>
      </c>
      <c r="G256" s="29"/>
      <c r="H256" s="87"/>
      <c r="I256" s="29"/>
      <c r="J256" s="87"/>
      <c r="K256" s="29"/>
      <c r="L256" s="29"/>
      <c r="M256" s="29"/>
      <c r="N256" s="29"/>
      <c r="O256" s="87"/>
    </row>
    <row r="257" spans="2:15">
      <c r="B257" s="23"/>
      <c r="F257" s="64"/>
      <c r="G257" s="63"/>
      <c r="H257" s="63"/>
      <c r="I257" s="29"/>
      <c r="J257" s="63"/>
      <c r="K257" s="29"/>
      <c r="L257" s="29"/>
      <c r="M257" s="29"/>
      <c r="N257" s="29"/>
      <c r="O257" s="63"/>
    </row>
    <row r="258" spans="2:15">
      <c r="B258" s="22" t="s">
        <v>125</v>
      </c>
      <c r="F258" s="64"/>
      <c r="G258" s="63"/>
      <c r="H258" s="63"/>
      <c r="I258" s="29"/>
      <c r="J258" s="63"/>
      <c r="K258" s="29"/>
      <c r="L258" s="29"/>
      <c r="M258" s="29"/>
      <c r="N258" s="29"/>
      <c r="O258" s="63"/>
    </row>
    <row r="259" spans="2:15">
      <c r="B259" s="23" t="s">
        <v>126</v>
      </c>
      <c r="D259" t="s">
        <v>107</v>
      </c>
      <c r="F259" s="69">
        <f>SUM(G259:O259)</f>
        <v>0</v>
      </c>
      <c r="G259" s="29"/>
      <c r="H259" s="87"/>
      <c r="I259" s="29"/>
      <c r="J259" s="87"/>
      <c r="K259" s="29"/>
      <c r="L259" s="29"/>
      <c r="M259" s="29"/>
      <c r="N259" s="29"/>
      <c r="O259" s="87"/>
    </row>
    <row r="260" spans="2:15">
      <c r="B260" s="23" t="s">
        <v>127</v>
      </c>
      <c r="D260" t="s">
        <v>107</v>
      </c>
      <c r="F260" s="69">
        <f>SUM(G260:O260)</f>
        <v>0</v>
      </c>
      <c r="G260" s="29"/>
      <c r="H260" s="87"/>
      <c r="I260" s="29"/>
      <c r="J260" s="87"/>
      <c r="K260" s="29"/>
      <c r="L260" s="29"/>
      <c r="M260" s="29"/>
      <c r="N260" s="29"/>
      <c r="O260" s="87"/>
    </row>
    <row r="261" spans="2:15">
      <c r="B261" s="23"/>
      <c r="F261" s="64"/>
      <c r="G261" s="63"/>
      <c r="H261" s="63"/>
      <c r="I261" s="29"/>
      <c r="J261" s="63"/>
      <c r="K261" s="29"/>
      <c r="L261" s="29"/>
      <c r="M261" s="29"/>
      <c r="N261" s="29"/>
      <c r="O261" s="63"/>
    </row>
    <row r="262" spans="2:15">
      <c r="B262" s="22" t="s">
        <v>128</v>
      </c>
      <c r="F262" s="64"/>
      <c r="G262" s="63"/>
      <c r="H262" s="63"/>
      <c r="I262" s="29"/>
      <c r="J262" s="63"/>
      <c r="K262" s="29"/>
      <c r="L262" s="29"/>
      <c r="M262" s="29"/>
      <c r="N262" s="29"/>
      <c r="O262" s="63"/>
    </row>
    <row r="263" spans="2:15">
      <c r="B263" s="93" t="s">
        <v>180</v>
      </c>
      <c r="D263" t="s">
        <v>107</v>
      </c>
      <c r="F263" s="69">
        <f>SUM(G263:O263)</f>
        <v>0</v>
      </c>
      <c r="G263" s="29"/>
      <c r="H263" s="87"/>
      <c r="I263" s="29"/>
      <c r="J263" s="87"/>
      <c r="K263" s="29"/>
      <c r="L263" s="29"/>
      <c r="M263" s="29"/>
      <c r="N263" s="29"/>
      <c r="O263" s="87"/>
    </row>
    <row r="264" spans="2:15">
      <c r="B264" s="93" t="s">
        <v>181</v>
      </c>
      <c r="D264" t="s">
        <v>107</v>
      </c>
      <c r="F264" s="69">
        <f>SUM(G264:O264)</f>
        <v>35.544600000000003</v>
      </c>
      <c r="G264" s="29"/>
      <c r="H264" s="87">
        <v>35.544600000000003</v>
      </c>
      <c r="I264" s="29"/>
      <c r="J264" s="87"/>
      <c r="K264" s="29"/>
      <c r="L264" s="29"/>
      <c r="M264" s="29"/>
      <c r="N264" s="29"/>
      <c r="O264" s="87"/>
    </row>
    <row r="265" spans="2:15">
      <c r="B265" s="94" t="s">
        <v>182</v>
      </c>
      <c r="D265" t="s">
        <v>107</v>
      </c>
      <c r="F265" s="69">
        <f>SUM(G265:O265)</f>
        <v>0</v>
      </c>
      <c r="G265" s="29"/>
      <c r="H265" s="87"/>
      <c r="I265" s="29"/>
      <c r="J265" s="87"/>
      <c r="K265" s="29"/>
      <c r="L265" s="29"/>
      <c r="M265" s="29"/>
      <c r="N265" s="29"/>
      <c r="O265" s="87"/>
    </row>
    <row r="266" spans="2:15">
      <c r="B266" s="23"/>
      <c r="F266" s="64"/>
      <c r="G266" s="63"/>
      <c r="H266" s="63"/>
      <c r="I266" s="29"/>
      <c r="J266" s="63"/>
      <c r="K266" s="29"/>
      <c r="L266" s="29"/>
      <c r="M266" s="29"/>
      <c r="N266" s="29"/>
      <c r="O266" s="63"/>
    </row>
    <row r="267" spans="2:15">
      <c r="F267" s="64"/>
      <c r="G267" s="63"/>
      <c r="H267" s="63"/>
      <c r="I267" s="29"/>
      <c r="J267" s="63"/>
      <c r="K267" s="29"/>
      <c r="L267" s="29"/>
      <c r="M267" s="29"/>
      <c r="N267" s="29"/>
      <c r="O267" s="63"/>
    </row>
    <row r="268" spans="2:15">
      <c r="B268" s="22" t="s">
        <v>219</v>
      </c>
      <c r="F268" s="64"/>
      <c r="G268" s="63"/>
      <c r="H268" s="63"/>
      <c r="I268" s="29"/>
      <c r="J268" s="63"/>
      <c r="K268" s="29"/>
      <c r="L268" s="29"/>
      <c r="M268" s="29"/>
      <c r="N268" s="29"/>
      <c r="O268" s="63"/>
    </row>
    <row r="269" spans="2:15">
      <c r="B269" s="23"/>
      <c r="F269" s="64"/>
      <c r="G269" s="63"/>
      <c r="H269" s="63"/>
      <c r="I269" s="29"/>
      <c r="J269" s="63"/>
      <c r="K269" s="29"/>
      <c r="L269" s="29"/>
      <c r="M269" s="29"/>
      <c r="N269" s="29"/>
      <c r="O269" s="63"/>
    </row>
    <row r="270" spans="2:15">
      <c r="B270" s="22" t="s">
        <v>121</v>
      </c>
      <c r="F270" s="64"/>
      <c r="G270" s="63"/>
      <c r="H270" s="63"/>
      <c r="I270" s="29"/>
      <c r="J270" s="63"/>
      <c r="K270" s="29"/>
      <c r="L270" s="29"/>
      <c r="M270" s="29"/>
      <c r="N270" s="29"/>
      <c r="O270" s="63"/>
    </row>
    <row r="271" spans="2:15">
      <c r="B271" s="23" t="s">
        <v>216</v>
      </c>
      <c r="D271" t="s">
        <v>107</v>
      </c>
      <c r="F271" s="69">
        <f>SUM(G271:O271)</f>
        <v>0</v>
      </c>
      <c r="G271" s="29"/>
      <c r="H271" s="87"/>
      <c r="I271" s="29"/>
      <c r="J271" s="87"/>
      <c r="K271" s="29"/>
      <c r="L271" s="29"/>
      <c r="M271" s="29"/>
      <c r="N271" s="29"/>
      <c r="O271" s="87"/>
    </row>
    <row r="272" spans="2:15">
      <c r="B272" s="23" t="s">
        <v>217</v>
      </c>
      <c r="D272" t="s">
        <v>107</v>
      </c>
      <c r="F272" s="69">
        <f>SUM(G272:O272)</f>
        <v>0</v>
      </c>
      <c r="G272" s="29"/>
      <c r="H272" s="87"/>
      <c r="I272" s="29"/>
      <c r="J272" s="87"/>
      <c r="K272" s="29"/>
      <c r="L272" s="29"/>
      <c r="M272" s="29"/>
      <c r="N272" s="29"/>
      <c r="O272" s="87"/>
    </row>
    <row r="273" spans="2:15">
      <c r="B273" s="23"/>
      <c r="F273" s="64"/>
      <c r="G273" s="63"/>
      <c r="H273" s="63"/>
      <c r="I273" s="29"/>
      <c r="J273" s="63"/>
      <c r="K273" s="29"/>
      <c r="L273" s="29"/>
      <c r="M273" s="29"/>
      <c r="N273" s="29"/>
      <c r="O273" s="63"/>
    </row>
    <row r="274" spans="2:15">
      <c r="B274" s="22" t="s">
        <v>122</v>
      </c>
      <c r="F274" s="64"/>
      <c r="G274" s="63"/>
      <c r="H274" s="63"/>
      <c r="I274" s="29"/>
      <c r="J274" s="63"/>
      <c r="K274" s="29"/>
      <c r="L274" s="29"/>
      <c r="M274" s="29"/>
      <c r="N274" s="29"/>
      <c r="O274" s="63"/>
    </row>
    <row r="275" spans="2:15">
      <c r="B275" s="23" t="s">
        <v>123</v>
      </c>
      <c r="D275" t="s">
        <v>107</v>
      </c>
      <c r="F275" s="69">
        <f>SUM(G275:O275)</f>
        <v>1562163.595815348</v>
      </c>
      <c r="G275" s="29"/>
      <c r="H275" s="87">
        <v>285689.48581534787</v>
      </c>
      <c r="I275" s="29"/>
      <c r="J275" s="87">
        <v>83000</v>
      </c>
      <c r="K275" s="29"/>
      <c r="L275" s="29"/>
      <c r="M275" s="29"/>
      <c r="N275" s="29"/>
      <c r="O275" s="87">
        <v>1193474.1100000001</v>
      </c>
    </row>
    <row r="276" spans="2:15">
      <c r="B276" s="23" t="s">
        <v>124</v>
      </c>
      <c r="D276" t="s">
        <v>107</v>
      </c>
      <c r="F276" s="69">
        <f>SUM(G276:O276)</f>
        <v>0</v>
      </c>
      <c r="G276" s="29"/>
      <c r="H276" s="87"/>
      <c r="I276" s="29"/>
      <c r="J276" s="87">
        <v>0</v>
      </c>
      <c r="K276" s="29"/>
      <c r="L276" s="29"/>
      <c r="M276" s="29"/>
      <c r="N276" s="29"/>
      <c r="O276" s="87"/>
    </row>
    <row r="277" spans="2:15">
      <c r="B277" s="23"/>
      <c r="F277" s="64"/>
      <c r="G277" s="29"/>
      <c r="H277" s="63"/>
      <c r="I277" s="29"/>
      <c r="J277" s="63"/>
      <c r="K277" s="29"/>
      <c r="L277" s="29"/>
      <c r="M277" s="29"/>
      <c r="N277" s="29"/>
      <c r="O277" s="63"/>
    </row>
    <row r="278" spans="2:15">
      <c r="B278" s="22" t="s">
        <v>125</v>
      </c>
      <c r="F278" s="64"/>
      <c r="G278" s="63"/>
      <c r="H278" s="63"/>
      <c r="I278" s="29"/>
      <c r="J278" s="63"/>
      <c r="K278" s="29"/>
      <c r="L278" s="29"/>
      <c r="M278" s="29"/>
      <c r="N278" s="29"/>
      <c r="O278" s="63"/>
    </row>
    <row r="279" spans="2:15">
      <c r="B279" s="23" t="s">
        <v>126</v>
      </c>
      <c r="D279" t="s">
        <v>107</v>
      </c>
      <c r="F279" s="69">
        <f>SUM(G279:O279)</f>
        <v>0</v>
      </c>
      <c r="G279" s="29"/>
      <c r="H279" s="87"/>
      <c r="I279" s="29"/>
      <c r="J279" s="87"/>
      <c r="K279" s="29"/>
      <c r="L279" s="29"/>
      <c r="M279" s="29"/>
      <c r="N279" s="29"/>
      <c r="O279" s="87"/>
    </row>
    <row r="280" spans="2:15">
      <c r="B280" s="23" t="s">
        <v>127</v>
      </c>
      <c r="D280" t="s">
        <v>107</v>
      </c>
      <c r="F280" s="69">
        <f>SUM(G280:O280)</f>
        <v>0</v>
      </c>
      <c r="G280" s="29"/>
      <c r="H280" s="87"/>
      <c r="I280" s="29"/>
      <c r="J280" s="87"/>
      <c r="K280" s="29"/>
      <c r="L280" s="29"/>
      <c r="M280" s="29"/>
      <c r="N280" s="29"/>
      <c r="O280" s="87"/>
    </row>
    <row r="281" spans="2:15">
      <c r="B281" s="23"/>
      <c r="F281" s="64"/>
      <c r="G281" s="63"/>
      <c r="H281" s="63"/>
      <c r="I281" s="29"/>
      <c r="J281" s="63"/>
      <c r="K281" s="29"/>
      <c r="L281" s="29"/>
      <c r="M281" s="29"/>
      <c r="N281" s="29"/>
      <c r="O281" s="63"/>
    </row>
    <row r="282" spans="2:15">
      <c r="B282" s="22" t="s">
        <v>128</v>
      </c>
      <c r="F282" s="64"/>
      <c r="G282" s="63"/>
      <c r="H282" s="63"/>
      <c r="I282" s="29"/>
      <c r="J282" s="63"/>
      <c r="K282" s="29"/>
      <c r="L282" s="29"/>
      <c r="M282" s="29"/>
      <c r="N282" s="29"/>
      <c r="O282" s="63"/>
    </row>
    <row r="283" spans="2:15">
      <c r="B283" s="93" t="s">
        <v>180</v>
      </c>
      <c r="D283" t="s">
        <v>107</v>
      </c>
      <c r="F283" s="69">
        <f>SUM(G283:O283)</f>
        <v>0</v>
      </c>
      <c r="G283" s="29"/>
      <c r="H283" s="87"/>
      <c r="I283" s="29"/>
      <c r="J283" s="87"/>
      <c r="K283" s="29"/>
      <c r="L283" s="29"/>
      <c r="M283" s="29"/>
      <c r="N283" s="29"/>
      <c r="O283" s="87"/>
    </row>
    <row r="284" spans="2:15">
      <c r="B284" s="93" t="s">
        <v>181</v>
      </c>
      <c r="D284" t="s">
        <v>107</v>
      </c>
      <c r="F284" s="69">
        <f>SUM(G284:O284)</f>
        <v>58603.281206437299</v>
      </c>
      <c r="G284" s="29"/>
      <c r="H284" s="87">
        <v>7585.5712064373029</v>
      </c>
      <c r="I284" s="29"/>
      <c r="J284" s="87"/>
      <c r="K284" s="29"/>
      <c r="L284" s="29"/>
      <c r="M284" s="29"/>
      <c r="N284" s="29"/>
      <c r="O284" s="87">
        <v>51017.71</v>
      </c>
    </row>
    <row r="285" spans="2:15">
      <c r="B285" s="94" t="s">
        <v>182</v>
      </c>
      <c r="D285" t="s">
        <v>107</v>
      </c>
      <c r="F285" s="69">
        <f>SUM(G285:O285)</f>
        <v>0</v>
      </c>
      <c r="G285" s="29"/>
      <c r="H285" s="87"/>
      <c r="I285" s="29"/>
      <c r="J285" s="87"/>
      <c r="K285" s="29"/>
      <c r="L285" s="29"/>
      <c r="M285" s="29"/>
      <c r="N285" s="29"/>
      <c r="O285" s="87"/>
    </row>
    <row r="286" spans="2:15">
      <c r="F286" s="64"/>
      <c r="G286" s="63"/>
      <c r="H286" s="63"/>
      <c r="I286" s="29"/>
      <c r="J286" s="63"/>
      <c r="K286" s="29"/>
      <c r="L286" s="29"/>
      <c r="M286" s="29"/>
      <c r="N286" s="29"/>
      <c r="O286" s="63"/>
    </row>
    <row r="287" spans="2:15">
      <c r="F287" s="64"/>
      <c r="G287" s="63"/>
      <c r="H287" s="63"/>
      <c r="I287" s="29"/>
      <c r="J287" s="63"/>
      <c r="K287" s="29"/>
      <c r="L287" s="29"/>
      <c r="M287" s="29"/>
      <c r="N287" s="29"/>
      <c r="O287" s="63"/>
    </row>
    <row r="288" spans="2:15">
      <c r="B288" s="22" t="s">
        <v>138</v>
      </c>
      <c r="F288" s="64"/>
      <c r="G288" s="63"/>
      <c r="H288" s="63"/>
      <c r="I288" s="29"/>
      <c r="J288" s="63"/>
      <c r="K288" s="29"/>
      <c r="L288" s="29"/>
      <c r="M288" s="29"/>
      <c r="N288" s="29"/>
      <c r="O288" s="63"/>
    </row>
    <row r="289" spans="2:15">
      <c r="B289" s="23"/>
      <c r="F289" s="64"/>
      <c r="G289" s="63"/>
      <c r="H289" s="63"/>
      <c r="I289" s="29"/>
      <c r="J289" s="63"/>
      <c r="K289" s="29"/>
      <c r="L289" s="29"/>
      <c r="M289" s="29"/>
      <c r="N289" s="29"/>
      <c r="O289" s="63"/>
    </row>
    <row r="290" spans="2:15">
      <c r="B290" s="22" t="s">
        <v>121</v>
      </c>
      <c r="F290" s="64"/>
      <c r="G290" s="63"/>
      <c r="H290" s="63"/>
      <c r="I290" s="29"/>
      <c r="J290" s="63"/>
      <c r="K290" s="29"/>
      <c r="L290" s="29"/>
      <c r="M290" s="29"/>
      <c r="N290" s="29"/>
      <c r="O290" s="63"/>
    </row>
    <row r="291" spans="2:15">
      <c r="B291" s="23" t="s">
        <v>216</v>
      </c>
      <c r="D291" t="s">
        <v>107</v>
      </c>
      <c r="F291" s="69">
        <f>SUM(G291:O291)</f>
        <v>0</v>
      </c>
      <c r="G291" s="29"/>
      <c r="H291" s="97">
        <f t="shared" ref="H291:O291" si="76">H271</f>
        <v>0</v>
      </c>
      <c r="I291" s="29"/>
      <c r="J291" s="97">
        <f t="shared" si="76"/>
        <v>0</v>
      </c>
      <c r="K291" s="29"/>
      <c r="L291" s="29"/>
      <c r="M291" s="29"/>
      <c r="N291" s="29"/>
      <c r="O291" s="97">
        <f t="shared" si="76"/>
        <v>0</v>
      </c>
    </row>
    <row r="292" spans="2:15">
      <c r="B292" s="23" t="s">
        <v>217</v>
      </c>
      <c r="D292" t="s">
        <v>107</v>
      </c>
      <c r="F292" s="69">
        <f>SUM(G292:O292)</f>
        <v>0</v>
      </c>
      <c r="G292" s="29"/>
      <c r="H292" s="97">
        <f t="shared" ref="H292:O292" si="77">H272</f>
        <v>0</v>
      </c>
      <c r="I292" s="29"/>
      <c r="J292" s="97">
        <f t="shared" si="77"/>
        <v>0</v>
      </c>
      <c r="K292" s="29"/>
      <c r="L292" s="29"/>
      <c r="M292" s="29"/>
      <c r="N292" s="29"/>
      <c r="O292" s="97">
        <f t="shared" si="77"/>
        <v>0</v>
      </c>
    </row>
    <row r="293" spans="2:15">
      <c r="B293" s="23"/>
      <c r="F293" s="64"/>
      <c r="G293" s="63"/>
      <c r="H293" s="63"/>
      <c r="I293" s="29"/>
      <c r="J293" s="63"/>
      <c r="K293" s="29"/>
      <c r="L293" s="29"/>
      <c r="M293" s="29"/>
      <c r="N293" s="29"/>
      <c r="O293" s="63"/>
    </row>
    <row r="294" spans="2:15">
      <c r="B294" s="22" t="s">
        <v>122</v>
      </c>
      <c r="F294" s="64"/>
      <c r="G294" s="63"/>
      <c r="H294" s="63"/>
      <c r="I294" s="29"/>
      <c r="J294" s="63"/>
      <c r="K294" s="29"/>
      <c r="L294" s="29"/>
      <c r="M294" s="29"/>
      <c r="N294" s="29"/>
      <c r="O294" s="63"/>
    </row>
    <row r="295" spans="2:15">
      <c r="B295" s="23" t="s">
        <v>123</v>
      </c>
      <c r="D295" t="s">
        <v>107</v>
      </c>
      <c r="F295" s="69">
        <f>SUM(G295:O295)</f>
        <v>2167392.3492349354</v>
      </c>
      <c r="G295" s="29"/>
      <c r="H295" s="98">
        <f t="shared" ref="H295:O295" si="78">H255+H275</f>
        <v>890918.23923493514</v>
      </c>
      <c r="I295" s="29"/>
      <c r="J295" s="98">
        <f t="shared" si="78"/>
        <v>83000</v>
      </c>
      <c r="K295" s="29"/>
      <c r="L295" s="29"/>
      <c r="M295" s="29"/>
      <c r="N295" s="29"/>
      <c r="O295" s="98">
        <f t="shared" si="78"/>
        <v>1193474.1100000001</v>
      </c>
    </row>
    <row r="296" spans="2:15">
      <c r="B296" s="23" t="s">
        <v>124</v>
      </c>
      <c r="D296" t="s">
        <v>107</v>
      </c>
      <c r="F296" s="69">
        <f>SUM(G296:O296)</f>
        <v>0</v>
      </c>
      <c r="G296" s="29"/>
      <c r="H296" s="98">
        <f t="shared" ref="H296:O296" si="79">H256+H276</f>
        <v>0</v>
      </c>
      <c r="I296" s="29"/>
      <c r="J296" s="98">
        <f t="shared" si="79"/>
        <v>0</v>
      </c>
      <c r="K296" s="29"/>
      <c r="L296" s="29"/>
      <c r="M296" s="29"/>
      <c r="N296" s="29"/>
      <c r="O296" s="98">
        <f t="shared" si="79"/>
        <v>0</v>
      </c>
    </row>
    <row r="297" spans="2:15">
      <c r="B297" s="23"/>
      <c r="F297" s="64"/>
      <c r="G297" s="63"/>
      <c r="H297" s="63"/>
      <c r="I297" s="29"/>
      <c r="J297" s="63"/>
      <c r="K297" s="29"/>
      <c r="L297" s="29"/>
      <c r="M297" s="29"/>
      <c r="N297" s="29"/>
      <c r="O297" s="63"/>
    </row>
    <row r="298" spans="2:15">
      <c r="B298" s="22" t="s">
        <v>125</v>
      </c>
      <c r="F298" s="64"/>
      <c r="G298" s="63"/>
      <c r="H298" s="63"/>
      <c r="I298" s="29"/>
      <c r="J298" s="63"/>
      <c r="K298" s="29"/>
      <c r="L298" s="29"/>
      <c r="M298" s="29"/>
      <c r="N298" s="29"/>
      <c r="O298" s="63"/>
    </row>
    <row r="299" spans="2:15">
      <c r="B299" s="23" t="s">
        <v>126</v>
      </c>
      <c r="D299" t="s">
        <v>107</v>
      </c>
      <c r="F299" s="69">
        <f>SUM(G299:O299)</f>
        <v>0</v>
      </c>
      <c r="G299" s="29"/>
      <c r="H299" s="98">
        <f t="shared" ref="H299:O299" si="80">H259+H279</f>
        <v>0</v>
      </c>
      <c r="I299" s="29"/>
      <c r="J299" s="98">
        <f t="shared" si="80"/>
        <v>0</v>
      </c>
      <c r="K299" s="29"/>
      <c r="L299" s="29"/>
      <c r="M299" s="29"/>
      <c r="N299" s="29"/>
      <c r="O299" s="98">
        <f t="shared" si="80"/>
        <v>0</v>
      </c>
    </row>
    <row r="300" spans="2:15">
      <c r="B300" s="23" t="s">
        <v>127</v>
      </c>
      <c r="D300" t="s">
        <v>107</v>
      </c>
      <c r="F300" s="69">
        <f>SUM(G300:O300)</f>
        <v>0</v>
      </c>
      <c r="G300" s="29"/>
      <c r="H300" s="98">
        <f t="shared" ref="H300:O300" si="81">H260+H280</f>
        <v>0</v>
      </c>
      <c r="I300" s="29"/>
      <c r="J300" s="98">
        <f t="shared" si="81"/>
        <v>0</v>
      </c>
      <c r="K300" s="29"/>
      <c r="L300" s="29"/>
      <c r="M300" s="29"/>
      <c r="N300" s="29"/>
      <c r="O300" s="98">
        <f t="shared" si="81"/>
        <v>0</v>
      </c>
    </row>
    <row r="301" spans="2:15">
      <c r="B301" s="23"/>
      <c r="F301" s="64"/>
      <c r="G301" s="63"/>
      <c r="H301" s="63"/>
      <c r="I301" s="29"/>
      <c r="J301" s="63"/>
      <c r="K301" s="29"/>
      <c r="L301" s="29"/>
      <c r="M301" s="29"/>
      <c r="N301" s="29"/>
      <c r="O301" s="63"/>
    </row>
    <row r="302" spans="2:15">
      <c r="B302" s="22" t="s">
        <v>128</v>
      </c>
      <c r="F302" s="64"/>
      <c r="G302" s="63"/>
      <c r="H302" s="63"/>
      <c r="I302" s="29"/>
      <c r="J302" s="63"/>
      <c r="K302" s="29"/>
      <c r="L302" s="29"/>
      <c r="M302" s="29"/>
      <c r="N302" s="29"/>
      <c r="O302" s="63"/>
    </row>
    <row r="303" spans="2:15">
      <c r="B303" s="93" t="s">
        <v>180</v>
      </c>
      <c r="D303" t="s">
        <v>107</v>
      </c>
      <c r="F303" s="69">
        <f>SUM(G303:O303)</f>
        <v>0</v>
      </c>
      <c r="G303" s="29"/>
      <c r="H303" s="98">
        <f t="shared" ref="H303:O303" si="82">H263+H283</f>
        <v>0</v>
      </c>
      <c r="I303" s="29"/>
      <c r="J303" s="98">
        <f t="shared" si="82"/>
        <v>0</v>
      </c>
      <c r="K303" s="29"/>
      <c r="L303" s="29"/>
      <c r="M303" s="29"/>
      <c r="N303" s="29"/>
      <c r="O303" s="98">
        <f t="shared" si="82"/>
        <v>0</v>
      </c>
    </row>
    <row r="304" spans="2:15">
      <c r="B304" s="93" t="s">
        <v>181</v>
      </c>
      <c r="D304" t="s">
        <v>107</v>
      </c>
      <c r="F304" s="69">
        <f>SUM(G304:O304)</f>
        <v>58638.8258064373</v>
      </c>
      <c r="G304" s="29"/>
      <c r="H304" s="98">
        <f t="shared" ref="H304:O304" si="83">H264+H284</f>
        <v>7621.115806437303</v>
      </c>
      <c r="I304" s="29"/>
      <c r="J304" s="98">
        <f t="shared" si="83"/>
        <v>0</v>
      </c>
      <c r="K304" s="29"/>
      <c r="L304" s="29"/>
      <c r="M304" s="29"/>
      <c r="N304" s="29"/>
      <c r="O304" s="98">
        <f t="shared" si="83"/>
        <v>51017.71</v>
      </c>
    </row>
    <row r="305" spans="2:15">
      <c r="B305" s="94" t="s">
        <v>182</v>
      </c>
      <c r="D305" t="s">
        <v>107</v>
      </c>
      <c r="F305" s="69">
        <f>SUM(G305:O305)</f>
        <v>0</v>
      </c>
      <c r="G305" s="29"/>
      <c r="H305" s="98">
        <f t="shared" ref="H305:O305" si="84">H265+H285</f>
        <v>0</v>
      </c>
      <c r="I305" s="29"/>
      <c r="J305" s="98">
        <f t="shared" si="84"/>
        <v>0</v>
      </c>
      <c r="K305" s="29"/>
      <c r="L305" s="29"/>
      <c r="M305" s="29"/>
      <c r="N305" s="29"/>
      <c r="O305" s="98">
        <f t="shared" si="84"/>
        <v>0</v>
      </c>
    </row>
    <row r="306" spans="2:15">
      <c r="F306" s="64"/>
      <c r="G306" s="63"/>
      <c r="H306" s="63"/>
      <c r="I306" s="29"/>
      <c r="J306" s="63"/>
      <c r="K306" s="29"/>
      <c r="L306" s="29"/>
      <c r="M306" s="29"/>
      <c r="N306" s="29"/>
      <c r="O306" s="63"/>
    </row>
    <row r="307" spans="2:15">
      <c r="B307" s="79" t="s">
        <v>269</v>
      </c>
      <c r="D307" t="s">
        <v>107</v>
      </c>
      <c r="F307" s="69">
        <f>SUM(G307:O307)</f>
        <v>2226031.1750413724</v>
      </c>
      <c r="G307" s="68"/>
      <c r="H307" s="69">
        <f t="shared" ref="H307:O307" si="85">SUM(H291:H292,H295:H296,H299:H300,H303:H305)</f>
        <v>898539.35504137247</v>
      </c>
      <c r="I307" s="68"/>
      <c r="J307" s="69">
        <f t="shared" si="85"/>
        <v>83000</v>
      </c>
      <c r="K307" s="68"/>
      <c r="L307" s="68"/>
      <c r="M307" s="68"/>
      <c r="N307" s="68"/>
      <c r="O307" s="69">
        <f t="shared" si="85"/>
        <v>1244491.82</v>
      </c>
    </row>
    <row r="308" spans="2:15">
      <c r="F308" s="62"/>
      <c r="G308" s="42"/>
      <c r="H308" s="42"/>
      <c r="I308" s="38"/>
      <c r="J308" s="42"/>
      <c r="K308" s="38"/>
      <c r="L308" s="38"/>
      <c r="M308" s="38"/>
      <c r="N308" s="38"/>
      <c r="O308" s="258"/>
    </row>
    <row r="309" spans="2:15">
      <c r="F309" s="62"/>
      <c r="G309" s="42"/>
      <c r="H309" s="42"/>
      <c r="I309" s="42"/>
      <c r="J309" s="42"/>
      <c r="K309" s="42"/>
      <c r="L309" s="42"/>
      <c r="M309" s="42"/>
      <c r="N309" s="42"/>
      <c r="O309" s="258"/>
    </row>
    <row r="310" spans="2:15" s="2" customFormat="1">
      <c r="B310" s="2" t="s">
        <v>247</v>
      </c>
      <c r="F310" s="65"/>
      <c r="G310" s="66"/>
      <c r="H310" s="66"/>
      <c r="I310" s="66"/>
      <c r="J310" s="66"/>
      <c r="K310" s="66"/>
      <c r="L310" s="66"/>
      <c r="M310" s="66"/>
      <c r="N310" s="66"/>
    </row>
    <row r="311" spans="2:15">
      <c r="F311" s="62"/>
      <c r="G311" s="42"/>
      <c r="H311" s="42"/>
      <c r="I311" s="42"/>
      <c r="J311" s="42"/>
      <c r="K311" s="42"/>
      <c r="L311" s="42"/>
      <c r="M311" s="42"/>
      <c r="N311" s="42"/>
      <c r="O311" s="258"/>
    </row>
    <row r="312" spans="2:15">
      <c r="B312" s="22" t="s">
        <v>218</v>
      </c>
      <c r="G312" s="258"/>
      <c r="H312" s="258"/>
      <c r="I312" s="258"/>
      <c r="J312" s="258"/>
      <c r="K312" s="258"/>
      <c r="L312" s="258"/>
      <c r="M312" s="258"/>
      <c r="N312" s="258"/>
      <c r="O312" s="258"/>
    </row>
    <row r="313" spans="2:15">
      <c r="B313" s="23"/>
      <c r="G313" s="258"/>
      <c r="H313" s="258"/>
      <c r="I313" s="258"/>
      <c r="J313" s="258"/>
      <c r="K313" s="258"/>
      <c r="L313" s="258"/>
      <c r="M313" s="258"/>
      <c r="N313" s="258"/>
      <c r="O313" s="258"/>
    </row>
    <row r="314" spans="2:15">
      <c r="B314" s="22" t="s">
        <v>122</v>
      </c>
      <c r="G314" s="258"/>
      <c r="H314" s="258"/>
      <c r="I314" s="258"/>
      <c r="J314" s="258"/>
      <c r="K314" s="258"/>
      <c r="L314" s="258"/>
      <c r="M314" s="258"/>
      <c r="N314" s="258"/>
      <c r="O314" s="258"/>
    </row>
    <row r="315" spans="2:15">
      <c r="B315" s="23" t="s">
        <v>123</v>
      </c>
      <c r="D315" t="s">
        <v>108</v>
      </c>
      <c r="F315" s="69">
        <f>SUM(G315:O315)</f>
        <v>252817.0060661812</v>
      </c>
      <c r="G315" s="29"/>
      <c r="H315" s="87">
        <v>252817.0060661812</v>
      </c>
      <c r="I315" s="29"/>
      <c r="J315" s="87"/>
      <c r="K315" s="29"/>
      <c r="L315" s="29"/>
      <c r="M315" s="29"/>
      <c r="N315" s="29"/>
      <c r="O315" s="87"/>
    </row>
    <row r="316" spans="2:15">
      <c r="B316" s="23" t="s">
        <v>124</v>
      </c>
      <c r="D316" t="s">
        <v>108</v>
      </c>
      <c r="F316" s="69">
        <f>SUM(G316:O316)</f>
        <v>0</v>
      </c>
      <c r="G316" s="29"/>
      <c r="H316" s="87"/>
      <c r="I316" s="29"/>
      <c r="J316" s="87"/>
      <c r="K316" s="29"/>
      <c r="L316" s="29"/>
      <c r="M316" s="29"/>
      <c r="N316" s="29"/>
      <c r="O316" s="87"/>
    </row>
    <row r="317" spans="2:15">
      <c r="B317" s="23"/>
      <c r="F317" s="64"/>
      <c r="G317" s="63"/>
      <c r="H317" s="63"/>
      <c r="I317" s="29"/>
      <c r="J317" s="63"/>
      <c r="K317" s="29"/>
      <c r="L317" s="29"/>
      <c r="M317" s="29"/>
      <c r="N317" s="29"/>
      <c r="O317" s="63"/>
    </row>
    <row r="318" spans="2:15">
      <c r="B318" s="22" t="s">
        <v>125</v>
      </c>
      <c r="F318" s="64"/>
      <c r="G318" s="63"/>
      <c r="H318" s="63"/>
      <c r="I318" s="29"/>
      <c r="J318" s="63"/>
      <c r="K318" s="29"/>
      <c r="L318" s="29"/>
      <c r="M318" s="29"/>
      <c r="N318" s="29"/>
      <c r="O318" s="63"/>
    </row>
    <row r="319" spans="2:15">
      <c r="B319" s="23" t="s">
        <v>126</v>
      </c>
      <c r="D319" t="s">
        <v>108</v>
      </c>
      <c r="F319" s="69">
        <f>SUM(G319:O319)</f>
        <v>0</v>
      </c>
      <c r="G319" s="29"/>
      <c r="H319" s="87"/>
      <c r="I319" s="29"/>
      <c r="J319" s="87"/>
      <c r="K319" s="29"/>
      <c r="L319" s="29"/>
      <c r="M319" s="29"/>
      <c r="N319" s="29"/>
      <c r="O319" s="87"/>
    </row>
    <row r="320" spans="2:15">
      <c r="B320" s="23" t="s">
        <v>127</v>
      </c>
      <c r="D320" t="s">
        <v>108</v>
      </c>
      <c r="F320" s="69">
        <f>SUM(G320:O320)</f>
        <v>0</v>
      </c>
      <c r="G320" s="29"/>
      <c r="H320" s="87"/>
      <c r="I320" s="29"/>
      <c r="J320" s="87"/>
      <c r="K320" s="29"/>
      <c r="L320" s="29"/>
      <c r="M320" s="29"/>
      <c r="N320" s="29"/>
      <c r="O320" s="87"/>
    </row>
    <row r="321" spans="2:15">
      <c r="B321" s="23"/>
      <c r="F321" s="64"/>
      <c r="G321" s="63"/>
      <c r="H321" s="63"/>
      <c r="I321" s="29"/>
      <c r="J321" s="63"/>
      <c r="K321" s="29"/>
      <c r="L321" s="29"/>
      <c r="M321" s="29"/>
      <c r="N321" s="29"/>
      <c r="O321" s="63"/>
    </row>
    <row r="322" spans="2:15">
      <c r="B322" s="22" t="s">
        <v>128</v>
      </c>
      <c r="F322" s="64"/>
      <c r="G322" s="63"/>
      <c r="H322" s="63"/>
      <c r="I322" s="29"/>
      <c r="J322" s="63"/>
      <c r="K322" s="29"/>
      <c r="L322" s="29"/>
      <c r="M322" s="29"/>
      <c r="N322" s="29"/>
      <c r="O322" s="63"/>
    </row>
    <row r="323" spans="2:15">
      <c r="B323" s="93" t="s">
        <v>180</v>
      </c>
      <c r="D323" t="s">
        <v>108</v>
      </c>
      <c r="F323" s="69">
        <f>SUM(G323:O323)</f>
        <v>0</v>
      </c>
      <c r="G323" s="29"/>
      <c r="H323" s="87"/>
      <c r="I323" s="29"/>
      <c r="J323" s="87"/>
      <c r="K323" s="29"/>
      <c r="L323" s="29"/>
      <c r="M323" s="29"/>
      <c r="N323" s="29"/>
      <c r="O323" s="87"/>
    </row>
    <row r="324" spans="2:15">
      <c r="B324" s="93" t="s">
        <v>181</v>
      </c>
      <c r="D324" t="s">
        <v>108</v>
      </c>
      <c r="F324" s="69">
        <f>SUM(G324:O324)</f>
        <v>9.8472000000000008</v>
      </c>
      <c r="G324" s="29"/>
      <c r="H324" s="87">
        <v>9.8472000000000008</v>
      </c>
      <c r="I324" s="29"/>
      <c r="J324" s="87"/>
      <c r="K324" s="29"/>
      <c r="L324" s="29"/>
      <c r="M324" s="29"/>
      <c r="N324" s="29"/>
      <c r="O324" s="87"/>
    </row>
    <row r="325" spans="2:15">
      <c r="B325" s="94" t="s">
        <v>182</v>
      </c>
      <c r="D325" t="s">
        <v>108</v>
      </c>
      <c r="F325" s="69">
        <f>SUM(G325:O325)</f>
        <v>0</v>
      </c>
      <c r="G325" s="29"/>
      <c r="H325" s="87"/>
      <c r="I325" s="29"/>
      <c r="J325" s="87"/>
      <c r="K325" s="29"/>
      <c r="L325" s="29"/>
      <c r="M325" s="29"/>
      <c r="N325" s="29"/>
      <c r="O325" s="87"/>
    </row>
    <row r="326" spans="2:15">
      <c r="B326" s="23"/>
      <c r="F326" s="64"/>
      <c r="G326" s="63"/>
      <c r="H326" s="63"/>
      <c r="I326" s="29"/>
      <c r="J326" s="63"/>
      <c r="K326" s="29"/>
      <c r="L326" s="29"/>
      <c r="M326" s="29"/>
      <c r="N326" s="29"/>
      <c r="O326" s="63"/>
    </row>
    <row r="327" spans="2:15">
      <c r="F327" s="64"/>
      <c r="G327" s="63"/>
      <c r="H327" s="63"/>
      <c r="I327" s="29"/>
      <c r="J327" s="63"/>
      <c r="K327" s="29"/>
      <c r="L327" s="29"/>
      <c r="M327" s="29"/>
      <c r="N327" s="29"/>
      <c r="O327" s="63"/>
    </row>
    <row r="328" spans="2:15">
      <c r="B328" s="22" t="s">
        <v>219</v>
      </c>
      <c r="F328" s="64"/>
      <c r="G328" s="63"/>
      <c r="H328" s="63"/>
      <c r="I328" s="29"/>
      <c r="J328" s="63"/>
      <c r="K328" s="29"/>
      <c r="L328" s="29"/>
      <c r="M328" s="29"/>
      <c r="N328" s="29"/>
      <c r="O328" s="63"/>
    </row>
    <row r="329" spans="2:15">
      <c r="B329" s="23"/>
      <c r="F329" s="64"/>
      <c r="G329" s="63"/>
      <c r="H329" s="63"/>
      <c r="I329" s="29"/>
      <c r="J329" s="63"/>
      <c r="K329" s="29"/>
      <c r="L329" s="29"/>
      <c r="M329" s="29"/>
      <c r="N329" s="29"/>
      <c r="O329" s="63"/>
    </row>
    <row r="330" spans="2:15">
      <c r="B330" s="22" t="s">
        <v>121</v>
      </c>
      <c r="F330" s="64"/>
      <c r="G330" s="63"/>
      <c r="H330" s="63"/>
      <c r="I330" s="29"/>
      <c r="J330" s="63"/>
      <c r="K330" s="29"/>
      <c r="L330" s="29"/>
      <c r="M330" s="29"/>
      <c r="N330" s="29"/>
      <c r="O330" s="63"/>
    </row>
    <row r="331" spans="2:15">
      <c r="B331" s="23" t="s">
        <v>216</v>
      </c>
      <c r="D331" t="s">
        <v>108</v>
      </c>
      <c r="F331" s="69">
        <f>SUM(G331:O331)</f>
        <v>0</v>
      </c>
      <c r="G331" s="29"/>
      <c r="H331" s="87"/>
      <c r="I331" s="29"/>
      <c r="J331" s="87"/>
      <c r="K331" s="29"/>
      <c r="L331" s="29"/>
      <c r="M331" s="29"/>
      <c r="N331" s="29"/>
      <c r="O331" s="87"/>
    </row>
    <row r="332" spans="2:15">
      <c r="B332" s="23" t="s">
        <v>217</v>
      </c>
      <c r="D332" t="s">
        <v>108</v>
      </c>
      <c r="F332" s="69">
        <f>SUM(G332:O332)</f>
        <v>0</v>
      </c>
      <c r="G332" s="29"/>
      <c r="H332" s="87"/>
      <c r="I332" s="29"/>
      <c r="J332" s="87"/>
      <c r="K332" s="29"/>
      <c r="L332" s="29"/>
      <c r="M332" s="29"/>
      <c r="N332" s="29"/>
      <c r="O332" s="87"/>
    </row>
    <row r="333" spans="2:15">
      <c r="B333" s="23"/>
      <c r="F333" s="64"/>
      <c r="G333" s="63"/>
      <c r="H333" s="63"/>
      <c r="I333" s="29"/>
      <c r="J333" s="63"/>
      <c r="K333" s="29"/>
      <c r="L333" s="29"/>
      <c r="M333" s="29"/>
      <c r="N333" s="29"/>
      <c r="O333" s="63"/>
    </row>
    <row r="334" spans="2:15">
      <c r="B334" s="22" t="s">
        <v>122</v>
      </c>
      <c r="F334" s="64"/>
      <c r="G334" s="63"/>
      <c r="H334" s="63"/>
      <c r="I334" s="29"/>
      <c r="J334" s="63"/>
      <c r="K334" s="29"/>
      <c r="L334" s="29"/>
      <c r="M334" s="29"/>
      <c r="N334" s="29"/>
      <c r="O334" s="63"/>
    </row>
    <row r="335" spans="2:15">
      <c r="B335" s="23" t="s">
        <v>123</v>
      </c>
      <c r="D335" t="s">
        <v>108</v>
      </c>
      <c r="F335" s="69">
        <f>SUM(G335:O335)</f>
        <v>1761532.9677603659</v>
      </c>
      <c r="G335" s="29"/>
      <c r="H335" s="87">
        <v>508098.73363536608</v>
      </c>
      <c r="I335" s="29"/>
      <c r="J335" s="87">
        <v>105000</v>
      </c>
      <c r="K335" s="29"/>
      <c r="L335" s="29"/>
      <c r="M335" s="29"/>
      <c r="N335" s="29"/>
      <c r="O335" s="87">
        <v>1148434.234125</v>
      </c>
    </row>
    <row r="336" spans="2:15">
      <c r="B336" s="23" t="s">
        <v>124</v>
      </c>
      <c r="D336" t="s">
        <v>108</v>
      </c>
      <c r="F336" s="69">
        <f>SUM(G336:O336)</f>
        <v>0</v>
      </c>
      <c r="G336" s="29"/>
      <c r="H336" s="87"/>
      <c r="I336" s="29"/>
      <c r="J336" s="87">
        <v>0</v>
      </c>
      <c r="K336" s="29"/>
      <c r="L336" s="29"/>
      <c r="M336" s="29"/>
      <c r="N336" s="29"/>
      <c r="O336" s="87"/>
    </row>
    <row r="337" spans="2:15">
      <c r="B337" s="23"/>
      <c r="F337" s="64"/>
      <c r="G337" s="29"/>
      <c r="H337" s="63"/>
      <c r="I337" s="29"/>
      <c r="J337" s="63"/>
      <c r="K337" s="29"/>
      <c r="L337" s="29"/>
      <c r="M337" s="29"/>
      <c r="N337" s="29"/>
      <c r="O337" s="63"/>
    </row>
    <row r="338" spans="2:15">
      <c r="B338" s="22" t="s">
        <v>125</v>
      </c>
      <c r="F338" s="64"/>
      <c r="G338" s="63"/>
      <c r="H338" s="63"/>
      <c r="I338" s="29"/>
      <c r="J338" s="63"/>
      <c r="K338" s="29"/>
      <c r="L338" s="29"/>
      <c r="M338" s="29"/>
      <c r="N338" s="29"/>
      <c r="O338" s="63"/>
    </row>
    <row r="339" spans="2:15">
      <c r="B339" s="23" t="s">
        <v>126</v>
      </c>
      <c r="D339" t="s">
        <v>108</v>
      </c>
      <c r="F339" s="69">
        <f>SUM(G339:O339)</f>
        <v>0</v>
      </c>
      <c r="G339" s="29"/>
      <c r="H339" s="87"/>
      <c r="I339" s="29"/>
      <c r="J339" s="87">
        <v>0</v>
      </c>
      <c r="K339" s="29"/>
      <c r="L339" s="29"/>
      <c r="M339" s="29"/>
      <c r="N339" s="29"/>
      <c r="O339" s="87"/>
    </row>
    <row r="340" spans="2:15">
      <c r="B340" s="23" t="s">
        <v>127</v>
      </c>
      <c r="D340" t="s">
        <v>108</v>
      </c>
      <c r="F340" s="69">
        <f>SUM(G340:O340)</f>
        <v>0</v>
      </c>
      <c r="G340" s="29"/>
      <c r="H340" s="87"/>
      <c r="I340" s="29"/>
      <c r="J340" s="87">
        <v>0</v>
      </c>
      <c r="K340" s="29"/>
      <c r="L340" s="29"/>
      <c r="M340" s="29"/>
      <c r="N340" s="29"/>
      <c r="O340" s="87"/>
    </row>
    <row r="341" spans="2:15">
      <c r="B341" s="23"/>
      <c r="F341" s="64"/>
      <c r="G341" s="63"/>
      <c r="H341" s="63"/>
      <c r="I341" s="29"/>
      <c r="J341" s="63"/>
      <c r="K341" s="29"/>
      <c r="L341" s="29"/>
      <c r="M341" s="29"/>
      <c r="N341" s="29"/>
      <c r="O341" s="63"/>
    </row>
    <row r="342" spans="2:15">
      <c r="B342" s="22" t="s">
        <v>128</v>
      </c>
      <c r="F342" s="64"/>
      <c r="G342" s="63"/>
      <c r="H342" s="63"/>
      <c r="I342" s="29"/>
      <c r="J342" s="63"/>
      <c r="K342" s="29"/>
      <c r="L342" s="29"/>
      <c r="M342" s="29"/>
      <c r="N342" s="29"/>
      <c r="O342" s="63"/>
    </row>
    <row r="343" spans="2:15">
      <c r="B343" s="93" t="s">
        <v>180</v>
      </c>
      <c r="D343" t="s">
        <v>108</v>
      </c>
      <c r="F343" s="69">
        <f>SUM(G343:O343)</f>
        <v>0</v>
      </c>
      <c r="G343" s="29"/>
      <c r="H343" s="87"/>
      <c r="I343" s="29"/>
      <c r="J343" s="87">
        <v>0</v>
      </c>
      <c r="K343" s="29"/>
      <c r="L343" s="29"/>
      <c r="M343" s="29"/>
      <c r="N343" s="29"/>
      <c r="O343" s="87"/>
    </row>
    <row r="344" spans="2:15">
      <c r="B344" s="93" t="s">
        <v>181</v>
      </c>
      <c r="D344" t="s">
        <v>108</v>
      </c>
      <c r="F344" s="69">
        <f>SUM(G344:O344)</f>
        <v>57420.150539998584</v>
      </c>
      <c r="G344" s="29"/>
      <c r="H344" s="87">
        <v>7854.3846649985762</v>
      </c>
      <c r="I344" s="29"/>
      <c r="J344" s="87">
        <v>0</v>
      </c>
      <c r="K344" s="29"/>
      <c r="L344" s="29"/>
      <c r="M344" s="29"/>
      <c r="N344" s="29"/>
      <c r="O344" s="87">
        <v>49565.765875000005</v>
      </c>
    </row>
    <row r="345" spans="2:15">
      <c r="B345" s="94" t="s">
        <v>182</v>
      </c>
      <c r="D345" t="s">
        <v>108</v>
      </c>
      <c r="F345" s="69">
        <f>SUM(G345:O345)</f>
        <v>0</v>
      </c>
      <c r="G345" s="29"/>
      <c r="H345" s="87"/>
      <c r="I345" s="29"/>
      <c r="J345" s="87">
        <v>0</v>
      </c>
      <c r="K345" s="29"/>
      <c r="L345" s="29"/>
      <c r="M345" s="29"/>
      <c r="N345" s="29"/>
      <c r="O345" s="87"/>
    </row>
    <row r="346" spans="2:15">
      <c r="F346" s="64"/>
      <c r="G346" s="63"/>
      <c r="H346" s="63"/>
      <c r="I346" s="29"/>
      <c r="J346" s="63"/>
      <c r="K346" s="29"/>
      <c r="L346" s="29"/>
      <c r="M346" s="29"/>
      <c r="N346" s="29"/>
      <c r="O346" s="63"/>
    </row>
    <row r="347" spans="2:15">
      <c r="F347" s="64"/>
      <c r="G347" s="63"/>
      <c r="H347" s="63"/>
      <c r="I347" s="29"/>
      <c r="J347" s="63"/>
      <c r="K347" s="29"/>
      <c r="L347" s="29"/>
      <c r="M347" s="29"/>
      <c r="N347" s="29"/>
      <c r="O347" s="63"/>
    </row>
    <row r="348" spans="2:15">
      <c r="B348" s="22" t="s">
        <v>138</v>
      </c>
      <c r="F348" s="64"/>
      <c r="G348" s="63"/>
      <c r="H348" s="63"/>
      <c r="I348" s="29"/>
      <c r="J348" s="63"/>
      <c r="K348" s="29"/>
      <c r="L348" s="29"/>
      <c r="M348" s="29"/>
      <c r="N348" s="29"/>
      <c r="O348" s="63"/>
    </row>
    <row r="349" spans="2:15">
      <c r="B349" s="23"/>
      <c r="F349" s="64"/>
      <c r="G349" s="63"/>
      <c r="H349" s="63"/>
      <c r="I349" s="29"/>
      <c r="J349" s="63"/>
      <c r="K349" s="29"/>
      <c r="L349" s="29"/>
      <c r="M349" s="29"/>
      <c r="N349" s="29"/>
      <c r="O349" s="63"/>
    </row>
    <row r="350" spans="2:15">
      <c r="B350" s="22" t="s">
        <v>121</v>
      </c>
      <c r="F350" s="64"/>
      <c r="G350" s="63"/>
      <c r="H350" s="63"/>
      <c r="I350" s="29"/>
      <c r="J350" s="63"/>
      <c r="K350" s="29"/>
      <c r="L350" s="29"/>
      <c r="M350" s="29"/>
      <c r="N350" s="29"/>
      <c r="O350" s="63"/>
    </row>
    <row r="351" spans="2:15">
      <c r="B351" s="23" t="s">
        <v>216</v>
      </c>
      <c r="D351" t="s">
        <v>108</v>
      </c>
      <c r="F351" s="69">
        <f>SUM(G351:O351)</f>
        <v>0</v>
      </c>
      <c r="G351" s="29"/>
      <c r="H351" s="97">
        <f t="shared" ref="H351" si="86">H331</f>
        <v>0</v>
      </c>
      <c r="I351" s="29"/>
      <c r="J351" s="97">
        <f t="shared" ref="J351" si="87">J331</f>
        <v>0</v>
      </c>
      <c r="K351" s="29"/>
      <c r="L351" s="29"/>
      <c r="M351" s="29"/>
      <c r="N351" s="29"/>
      <c r="O351" s="97">
        <f t="shared" ref="O351" si="88">O331</f>
        <v>0</v>
      </c>
    </row>
    <row r="352" spans="2:15">
      <c r="B352" s="23" t="s">
        <v>217</v>
      </c>
      <c r="D352" t="s">
        <v>108</v>
      </c>
      <c r="F352" s="69">
        <f>SUM(G352:O352)</f>
        <v>0</v>
      </c>
      <c r="G352" s="29"/>
      <c r="H352" s="97">
        <f t="shared" ref="H352" si="89">H332</f>
        <v>0</v>
      </c>
      <c r="I352" s="29"/>
      <c r="J352" s="97">
        <f t="shared" ref="J352" si="90">J332</f>
        <v>0</v>
      </c>
      <c r="K352" s="29"/>
      <c r="L352" s="29"/>
      <c r="M352" s="29"/>
      <c r="N352" s="29"/>
      <c r="O352" s="97">
        <f t="shared" ref="O352" si="91">O332</f>
        <v>0</v>
      </c>
    </row>
    <row r="353" spans="2:15">
      <c r="B353" s="23"/>
      <c r="F353" s="64"/>
      <c r="G353" s="63"/>
      <c r="H353" s="63"/>
      <c r="I353" s="29"/>
      <c r="J353" s="63"/>
      <c r="K353" s="29"/>
      <c r="L353" s="29"/>
      <c r="M353" s="29"/>
      <c r="N353" s="29"/>
      <c r="O353" s="63"/>
    </row>
    <row r="354" spans="2:15">
      <c r="B354" s="22" t="s">
        <v>122</v>
      </c>
      <c r="F354" s="64"/>
      <c r="G354" s="63"/>
      <c r="H354" s="63"/>
      <c r="I354" s="29"/>
      <c r="J354" s="63"/>
      <c r="K354" s="29"/>
      <c r="L354" s="29"/>
      <c r="M354" s="29"/>
      <c r="N354" s="29"/>
      <c r="O354" s="63"/>
    </row>
    <row r="355" spans="2:15">
      <c r="B355" s="23" t="s">
        <v>123</v>
      </c>
      <c r="D355" t="s">
        <v>108</v>
      </c>
      <c r="F355" s="69">
        <f>SUM(G355:O355)</f>
        <v>2014349.9738265472</v>
      </c>
      <c r="G355" s="29"/>
      <c r="H355" s="98">
        <f t="shared" ref="H355" si="92">H315+H335</f>
        <v>760915.73970154731</v>
      </c>
      <c r="I355" s="29"/>
      <c r="J355" s="98">
        <f t="shared" ref="J355" si="93">J315+J335</f>
        <v>105000</v>
      </c>
      <c r="K355" s="29"/>
      <c r="L355" s="29"/>
      <c r="M355" s="29"/>
      <c r="N355" s="29"/>
      <c r="O355" s="98">
        <f t="shared" ref="O355" si="94">O315+O335</f>
        <v>1148434.234125</v>
      </c>
    </row>
    <row r="356" spans="2:15">
      <c r="B356" s="23" t="s">
        <v>124</v>
      </c>
      <c r="D356" t="s">
        <v>108</v>
      </c>
      <c r="F356" s="69">
        <f>SUM(G356:O356)</f>
        <v>0</v>
      </c>
      <c r="G356" s="29"/>
      <c r="H356" s="98">
        <f t="shared" ref="H356" si="95">H316+H336</f>
        <v>0</v>
      </c>
      <c r="I356" s="29"/>
      <c r="J356" s="98">
        <f t="shared" ref="J356" si="96">J316+J336</f>
        <v>0</v>
      </c>
      <c r="K356" s="29"/>
      <c r="L356" s="29"/>
      <c r="M356" s="29"/>
      <c r="N356" s="29"/>
      <c r="O356" s="98">
        <f t="shared" ref="O356" si="97">O316+O336</f>
        <v>0</v>
      </c>
    </row>
    <row r="357" spans="2:15">
      <c r="B357" s="23"/>
      <c r="F357" s="64"/>
      <c r="G357" s="63"/>
      <c r="H357" s="63"/>
      <c r="I357" s="29"/>
      <c r="J357" s="63"/>
      <c r="K357" s="29"/>
      <c r="L357" s="29"/>
      <c r="M357" s="29"/>
      <c r="N357" s="29"/>
      <c r="O357" s="63"/>
    </row>
    <row r="358" spans="2:15">
      <c r="B358" s="22" t="s">
        <v>125</v>
      </c>
      <c r="F358" s="64"/>
      <c r="G358" s="63"/>
      <c r="H358" s="63"/>
      <c r="I358" s="29"/>
      <c r="J358" s="63"/>
      <c r="K358" s="29"/>
      <c r="L358" s="29"/>
      <c r="M358" s="29"/>
      <c r="N358" s="29"/>
      <c r="O358" s="63"/>
    </row>
    <row r="359" spans="2:15">
      <c r="B359" s="23" t="s">
        <v>126</v>
      </c>
      <c r="D359" t="s">
        <v>108</v>
      </c>
      <c r="F359" s="69">
        <f>SUM(G359:O359)</f>
        <v>0</v>
      </c>
      <c r="G359" s="29"/>
      <c r="H359" s="98">
        <f t="shared" ref="H359" si="98">H319+H339</f>
        <v>0</v>
      </c>
      <c r="I359" s="29"/>
      <c r="J359" s="98">
        <f t="shared" ref="J359" si="99">J319+J339</f>
        <v>0</v>
      </c>
      <c r="K359" s="29"/>
      <c r="L359" s="29"/>
      <c r="M359" s="29"/>
      <c r="N359" s="29"/>
      <c r="O359" s="98">
        <f t="shared" ref="O359" si="100">O319+O339</f>
        <v>0</v>
      </c>
    </row>
    <row r="360" spans="2:15">
      <c r="B360" s="23" t="s">
        <v>127</v>
      </c>
      <c r="D360" t="s">
        <v>108</v>
      </c>
      <c r="F360" s="69">
        <f>SUM(G360:O360)</f>
        <v>0</v>
      </c>
      <c r="G360" s="29"/>
      <c r="H360" s="98">
        <f t="shared" ref="H360" si="101">H320+H340</f>
        <v>0</v>
      </c>
      <c r="I360" s="29"/>
      <c r="J360" s="98">
        <f t="shared" ref="J360" si="102">J320+J340</f>
        <v>0</v>
      </c>
      <c r="K360" s="29"/>
      <c r="L360" s="29"/>
      <c r="M360" s="29"/>
      <c r="N360" s="29"/>
      <c r="O360" s="98">
        <f t="shared" ref="O360" si="103">O320+O340</f>
        <v>0</v>
      </c>
    </row>
    <row r="361" spans="2:15">
      <c r="B361" s="23"/>
      <c r="F361" s="64"/>
      <c r="G361" s="63"/>
      <c r="H361" s="63"/>
      <c r="I361" s="29"/>
      <c r="J361" s="63"/>
      <c r="K361" s="29"/>
      <c r="L361" s="29"/>
      <c r="M361" s="29"/>
      <c r="N361" s="29"/>
      <c r="O361" s="63"/>
    </row>
    <row r="362" spans="2:15">
      <c r="B362" s="22" t="s">
        <v>128</v>
      </c>
      <c r="F362" s="64"/>
      <c r="G362" s="63"/>
      <c r="H362" s="63"/>
      <c r="I362" s="29"/>
      <c r="J362" s="63"/>
      <c r="K362" s="29"/>
      <c r="L362" s="29"/>
      <c r="M362" s="29"/>
      <c r="N362" s="29"/>
      <c r="O362" s="63"/>
    </row>
    <row r="363" spans="2:15">
      <c r="B363" s="93" t="s">
        <v>180</v>
      </c>
      <c r="D363" t="s">
        <v>108</v>
      </c>
      <c r="F363" s="69">
        <f>SUM(G363:O363)</f>
        <v>0</v>
      </c>
      <c r="G363" s="29"/>
      <c r="H363" s="98">
        <f t="shared" ref="H363" si="104">H323+H343</f>
        <v>0</v>
      </c>
      <c r="I363" s="29"/>
      <c r="J363" s="98">
        <f t="shared" ref="J363" si="105">J323+J343</f>
        <v>0</v>
      </c>
      <c r="K363" s="29"/>
      <c r="L363" s="29"/>
      <c r="M363" s="29"/>
      <c r="N363" s="29"/>
      <c r="O363" s="98">
        <f t="shared" ref="O363" si="106">O323+O343</f>
        <v>0</v>
      </c>
    </row>
    <row r="364" spans="2:15">
      <c r="B364" s="93" t="s">
        <v>181</v>
      </c>
      <c r="D364" t="s">
        <v>108</v>
      </c>
      <c r="F364" s="69">
        <f>SUM(G364:O364)</f>
        <v>57429.99773999858</v>
      </c>
      <c r="G364" s="29"/>
      <c r="H364" s="98">
        <f t="shared" ref="H364" si="107">H324+H344</f>
        <v>7864.2318649985764</v>
      </c>
      <c r="I364" s="29"/>
      <c r="J364" s="98">
        <f t="shared" ref="J364" si="108">J324+J344</f>
        <v>0</v>
      </c>
      <c r="K364" s="29"/>
      <c r="L364" s="29"/>
      <c r="M364" s="29"/>
      <c r="N364" s="29"/>
      <c r="O364" s="98">
        <f t="shared" ref="O364" si="109">O324+O344</f>
        <v>49565.765875000005</v>
      </c>
    </row>
    <row r="365" spans="2:15">
      <c r="B365" s="94" t="s">
        <v>182</v>
      </c>
      <c r="D365" t="s">
        <v>108</v>
      </c>
      <c r="F365" s="69">
        <f>SUM(G365:O365)</f>
        <v>0</v>
      </c>
      <c r="G365" s="29"/>
      <c r="H365" s="98">
        <f t="shared" ref="H365" si="110">H325+H345</f>
        <v>0</v>
      </c>
      <c r="I365" s="29"/>
      <c r="J365" s="98">
        <f t="shared" ref="J365" si="111">J325+J345</f>
        <v>0</v>
      </c>
      <c r="K365" s="29"/>
      <c r="L365" s="29"/>
      <c r="M365" s="29"/>
      <c r="N365" s="29"/>
      <c r="O365" s="98">
        <f t="shared" ref="O365" si="112">O325+O345</f>
        <v>0</v>
      </c>
    </row>
    <row r="366" spans="2:15">
      <c r="F366" s="64"/>
      <c r="G366" s="63"/>
      <c r="H366" s="63"/>
      <c r="I366" s="29"/>
      <c r="J366" s="63"/>
      <c r="K366" s="29"/>
      <c r="L366" s="29"/>
      <c r="M366" s="29"/>
      <c r="N366" s="29"/>
      <c r="O366" s="63"/>
    </row>
    <row r="367" spans="2:15">
      <c r="B367" s="79" t="s">
        <v>269</v>
      </c>
      <c r="D367" t="s">
        <v>108</v>
      </c>
      <c r="F367" s="69">
        <f>SUM(G367:O367)</f>
        <v>2071779.9715665458</v>
      </c>
      <c r="G367" s="68"/>
      <c r="H367" s="69">
        <f t="shared" ref="H367" si="113">SUM(H351:H352,H355:H356,H359:H360,H363:H365)</f>
        <v>768779.97156654589</v>
      </c>
      <c r="I367" s="68"/>
      <c r="J367" s="69">
        <f t="shared" ref="J367" si="114">SUM(J351:J352,J355:J356,J359:J360,J363:J365)</f>
        <v>105000</v>
      </c>
      <c r="K367" s="68"/>
      <c r="L367" s="68"/>
      <c r="M367" s="68"/>
      <c r="N367" s="68"/>
      <c r="O367" s="69">
        <f t="shared" ref="O367" si="115">SUM(O351:O352,O355:O356,O359:O360,O363:O365)</f>
        <v>1198000</v>
      </c>
    </row>
    <row r="368" spans="2:15">
      <c r="F368" s="62"/>
      <c r="G368" s="42"/>
      <c r="H368" s="42"/>
      <c r="I368" s="42"/>
      <c r="J368" s="42"/>
      <c r="K368" s="42"/>
      <c r="L368" s="42"/>
      <c r="M368" s="42"/>
      <c r="N368" s="42"/>
      <c r="O368" s="258"/>
    </row>
    <row r="369" spans="2:15">
      <c r="F369" s="62"/>
      <c r="G369" s="42"/>
      <c r="H369" s="42"/>
      <c r="I369" s="42"/>
      <c r="J369" s="42"/>
      <c r="K369" s="42"/>
      <c r="L369" s="42"/>
      <c r="M369" s="42"/>
      <c r="N369" s="42"/>
      <c r="O369" s="258"/>
    </row>
    <row r="370" spans="2:15" s="2" customFormat="1">
      <c r="B370" s="2" t="s">
        <v>248</v>
      </c>
      <c r="F370" s="65"/>
      <c r="G370" s="66"/>
      <c r="H370" s="66"/>
      <c r="I370" s="66"/>
      <c r="J370" s="66"/>
      <c r="K370" s="66"/>
      <c r="L370" s="66"/>
      <c r="M370" s="66"/>
      <c r="N370" s="66"/>
    </row>
    <row r="371" spans="2:15">
      <c r="F371" s="62"/>
      <c r="G371" s="42"/>
      <c r="H371" s="42"/>
      <c r="I371" s="42"/>
      <c r="J371" s="42"/>
      <c r="K371" s="42"/>
      <c r="L371" s="42"/>
      <c r="M371" s="42"/>
      <c r="N371" s="42"/>
      <c r="O371" s="258"/>
    </row>
    <row r="372" spans="2:15">
      <c r="B372" s="22" t="s">
        <v>218</v>
      </c>
      <c r="G372" s="258"/>
      <c r="H372" s="258"/>
      <c r="I372" s="258"/>
      <c r="J372" s="258"/>
      <c r="K372" s="258"/>
      <c r="L372" s="258"/>
      <c r="M372" s="258"/>
      <c r="N372" s="258"/>
      <c r="O372" s="258"/>
    </row>
    <row r="373" spans="2:15">
      <c r="B373" s="23"/>
      <c r="G373" s="258"/>
      <c r="H373" s="258"/>
      <c r="I373" s="258"/>
      <c r="J373" s="258"/>
      <c r="K373" s="258"/>
      <c r="L373" s="258"/>
      <c r="M373" s="258"/>
      <c r="N373" s="258"/>
      <c r="O373" s="258"/>
    </row>
    <row r="374" spans="2:15">
      <c r="B374" s="22" t="s">
        <v>122</v>
      </c>
      <c r="G374" s="258"/>
      <c r="H374" s="258"/>
      <c r="I374" s="258"/>
      <c r="J374" s="258"/>
      <c r="K374" s="258"/>
      <c r="L374" s="258"/>
      <c r="M374" s="258"/>
      <c r="N374" s="258"/>
      <c r="O374" s="258"/>
    </row>
    <row r="375" spans="2:15">
      <c r="B375" s="23" t="s">
        <v>123</v>
      </c>
      <c r="D375" t="s">
        <v>109</v>
      </c>
      <c r="F375" s="69">
        <f>SUM(G375:O375)</f>
        <v>69511.62515147285</v>
      </c>
      <c r="G375" s="29"/>
      <c r="H375" s="87">
        <v>69511.62515147285</v>
      </c>
      <c r="I375" s="29"/>
      <c r="J375" s="87">
        <v>0</v>
      </c>
      <c r="K375" s="29"/>
      <c r="L375" s="29"/>
      <c r="M375" s="29"/>
      <c r="N375" s="29"/>
      <c r="O375" s="87"/>
    </row>
    <row r="376" spans="2:15">
      <c r="B376" s="23" t="s">
        <v>124</v>
      </c>
      <c r="D376" t="s">
        <v>109</v>
      </c>
      <c r="F376" s="69">
        <f>SUM(G376:O376)</f>
        <v>0</v>
      </c>
      <c r="G376" s="29"/>
      <c r="H376" s="87"/>
      <c r="I376" s="29"/>
      <c r="J376" s="87">
        <v>0</v>
      </c>
      <c r="K376" s="29"/>
      <c r="L376" s="29"/>
      <c r="M376" s="29"/>
      <c r="N376" s="29"/>
      <c r="O376" s="87"/>
    </row>
    <row r="377" spans="2:15">
      <c r="B377" s="23"/>
      <c r="F377" s="64"/>
      <c r="G377" s="63"/>
      <c r="H377" s="63"/>
      <c r="I377" s="29"/>
      <c r="J377" s="63"/>
      <c r="K377" s="29"/>
      <c r="L377" s="29"/>
      <c r="M377" s="29"/>
      <c r="N377" s="29"/>
      <c r="O377" s="63"/>
    </row>
    <row r="378" spans="2:15">
      <c r="B378" s="22" t="s">
        <v>125</v>
      </c>
      <c r="F378" s="64"/>
      <c r="G378" s="63"/>
      <c r="H378" s="63"/>
      <c r="I378" s="29"/>
      <c r="J378" s="63"/>
      <c r="K378" s="29"/>
      <c r="L378" s="29"/>
      <c r="M378" s="29"/>
      <c r="N378" s="29"/>
      <c r="O378" s="63"/>
    </row>
    <row r="379" spans="2:15">
      <c r="B379" s="23" t="s">
        <v>126</v>
      </c>
      <c r="D379" t="s">
        <v>109</v>
      </c>
      <c r="F379" s="69">
        <f>SUM(G379:O379)</f>
        <v>0</v>
      </c>
      <c r="G379" s="29"/>
      <c r="H379" s="87"/>
      <c r="I379" s="29"/>
      <c r="J379" s="87">
        <v>0</v>
      </c>
      <c r="K379" s="29"/>
      <c r="L379" s="29"/>
      <c r="M379" s="29"/>
      <c r="N379" s="29"/>
      <c r="O379" s="87"/>
    </row>
    <row r="380" spans="2:15">
      <c r="B380" s="23" t="s">
        <v>127</v>
      </c>
      <c r="D380" t="s">
        <v>109</v>
      </c>
      <c r="F380" s="69">
        <f>SUM(G380:O380)</f>
        <v>0</v>
      </c>
      <c r="G380" s="29"/>
      <c r="H380" s="87"/>
      <c r="I380" s="29"/>
      <c r="J380" s="87">
        <v>0</v>
      </c>
      <c r="K380" s="29"/>
      <c r="L380" s="29"/>
      <c r="M380" s="29"/>
      <c r="N380" s="29"/>
      <c r="O380" s="87"/>
    </row>
    <row r="381" spans="2:15">
      <c r="B381" s="23"/>
      <c r="F381" s="64"/>
      <c r="G381" s="63"/>
      <c r="H381" s="63"/>
      <c r="I381" s="29"/>
      <c r="J381" s="63"/>
      <c r="K381" s="29"/>
      <c r="L381" s="29"/>
      <c r="M381" s="29"/>
      <c r="N381" s="29"/>
      <c r="O381" s="63"/>
    </row>
    <row r="382" spans="2:15">
      <c r="B382" s="22" t="s">
        <v>128</v>
      </c>
      <c r="F382" s="64"/>
      <c r="G382" s="63"/>
      <c r="H382" s="63"/>
      <c r="I382" s="29"/>
      <c r="J382" s="63"/>
      <c r="K382" s="29"/>
      <c r="L382" s="29"/>
      <c r="M382" s="29"/>
      <c r="N382" s="29"/>
      <c r="O382" s="63"/>
    </row>
    <row r="383" spans="2:15">
      <c r="B383" s="93" t="s">
        <v>180</v>
      </c>
      <c r="D383" t="s">
        <v>109</v>
      </c>
      <c r="F383" s="69">
        <f>SUM(G383:O383)</f>
        <v>0</v>
      </c>
      <c r="G383" s="29"/>
      <c r="H383" s="87"/>
      <c r="I383" s="29"/>
      <c r="J383" s="87">
        <v>0</v>
      </c>
      <c r="K383" s="29"/>
      <c r="L383" s="29"/>
      <c r="M383" s="29"/>
      <c r="N383" s="29"/>
      <c r="O383" s="87"/>
    </row>
    <row r="384" spans="2:15">
      <c r="B384" s="93" t="s">
        <v>181</v>
      </c>
      <c r="D384" t="s">
        <v>109</v>
      </c>
      <c r="F384" s="69">
        <f>SUM(G384:O384)</f>
        <v>15.307200000000002</v>
      </c>
      <c r="G384" s="29"/>
      <c r="H384" s="87">
        <v>10.087200000000001</v>
      </c>
      <c r="I384" s="29"/>
      <c r="J384" s="87">
        <v>5.22</v>
      </c>
      <c r="K384" s="29"/>
      <c r="L384" s="29"/>
      <c r="M384" s="29"/>
      <c r="N384" s="29"/>
      <c r="O384" s="87"/>
    </row>
    <row r="385" spans="2:15">
      <c r="B385" s="94" t="s">
        <v>182</v>
      </c>
      <c r="D385" t="s">
        <v>109</v>
      </c>
      <c r="F385" s="69">
        <f>SUM(G385:O385)</f>
        <v>0</v>
      </c>
      <c r="G385" s="29"/>
      <c r="H385" s="87"/>
      <c r="I385" s="29"/>
      <c r="J385" s="87">
        <v>0</v>
      </c>
      <c r="K385" s="29"/>
      <c r="L385" s="29"/>
      <c r="M385" s="29"/>
      <c r="N385" s="29"/>
      <c r="O385" s="87"/>
    </row>
    <row r="386" spans="2:15">
      <c r="B386" s="23"/>
      <c r="F386" s="64"/>
      <c r="G386" s="63"/>
      <c r="H386" s="63"/>
      <c r="I386" s="29"/>
      <c r="J386" s="63"/>
      <c r="K386" s="29"/>
      <c r="L386" s="29"/>
      <c r="M386" s="29"/>
      <c r="N386" s="29"/>
      <c r="O386" s="63"/>
    </row>
    <row r="387" spans="2:15">
      <c r="F387" s="64"/>
      <c r="G387" s="63"/>
      <c r="H387" s="63"/>
      <c r="I387" s="29"/>
      <c r="J387" s="63"/>
      <c r="K387" s="29"/>
      <c r="L387" s="29"/>
      <c r="M387" s="29"/>
      <c r="N387" s="29"/>
      <c r="O387" s="63"/>
    </row>
    <row r="388" spans="2:15">
      <c r="B388" s="22" t="s">
        <v>219</v>
      </c>
      <c r="F388" s="64"/>
      <c r="G388" s="63"/>
      <c r="H388" s="63"/>
      <c r="I388" s="29"/>
      <c r="J388" s="63"/>
      <c r="K388" s="29"/>
      <c r="L388" s="29"/>
      <c r="M388" s="29"/>
      <c r="N388" s="29"/>
      <c r="O388" s="63"/>
    </row>
    <row r="389" spans="2:15">
      <c r="B389" s="23"/>
      <c r="F389" s="64"/>
      <c r="G389" s="63"/>
      <c r="H389" s="63"/>
      <c r="I389" s="29"/>
      <c r="J389" s="63"/>
      <c r="K389" s="29"/>
      <c r="L389" s="29"/>
      <c r="M389" s="29"/>
      <c r="N389" s="29"/>
      <c r="O389" s="63"/>
    </row>
    <row r="390" spans="2:15">
      <c r="B390" s="22" t="s">
        <v>121</v>
      </c>
      <c r="F390" s="64"/>
      <c r="G390" s="63"/>
      <c r="H390" s="63"/>
      <c r="I390" s="29"/>
      <c r="J390" s="63"/>
      <c r="K390" s="29"/>
      <c r="L390" s="29"/>
      <c r="M390" s="29"/>
      <c r="N390" s="29"/>
      <c r="O390" s="63"/>
    </row>
    <row r="391" spans="2:15">
      <c r="B391" s="23" t="s">
        <v>216</v>
      </c>
      <c r="D391" t="s">
        <v>109</v>
      </c>
      <c r="F391" s="69">
        <f>SUM(G391:O391)</f>
        <v>0</v>
      </c>
      <c r="G391" s="29"/>
      <c r="H391" s="87"/>
      <c r="I391" s="29"/>
      <c r="J391" s="87"/>
      <c r="K391" s="29"/>
      <c r="L391" s="29"/>
      <c r="M391" s="29"/>
      <c r="N391" s="29"/>
      <c r="O391" s="87"/>
    </row>
    <row r="392" spans="2:15">
      <c r="B392" s="23" t="s">
        <v>217</v>
      </c>
      <c r="D392" t="s">
        <v>109</v>
      </c>
      <c r="F392" s="69">
        <f>SUM(G392:O392)</f>
        <v>0</v>
      </c>
      <c r="G392" s="29"/>
      <c r="H392" s="87"/>
      <c r="I392" s="29"/>
      <c r="J392" s="87"/>
      <c r="K392" s="29"/>
      <c r="L392" s="29"/>
      <c r="M392" s="29"/>
      <c r="N392" s="29"/>
      <c r="O392" s="87"/>
    </row>
    <row r="393" spans="2:15">
      <c r="B393" s="23"/>
      <c r="F393" s="64"/>
      <c r="G393" s="63"/>
      <c r="H393" s="63"/>
      <c r="I393" s="29"/>
      <c r="J393" s="63"/>
      <c r="K393" s="29"/>
      <c r="L393" s="29"/>
      <c r="M393" s="29"/>
      <c r="N393" s="29"/>
      <c r="O393" s="63"/>
    </row>
    <row r="394" spans="2:15">
      <c r="B394" s="22" t="s">
        <v>122</v>
      </c>
      <c r="F394" s="64"/>
      <c r="G394" s="63"/>
      <c r="H394" s="63"/>
      <c r="I394" s="29"/>
      <c r="J394" s="63"/>
      <c r="K394" s="29"/>
      <c r="L394" s="29"/>
      <c r="M394" s="29"/>
      <c r="N394" s="29"/>
      <c r="O394" s="63"/>
    </row>
    <row r="395" spans="2:15">
      <c r="B395" s="23" t="s">
        <v>123</v>
      </c>
      <c r="D395" t="s">
        <v>109</v>
      </c>
      <c r="F395" s="69">
        <f>SUM(G395:O395)</f>
        <v>2511690.9815565972</v>
      </c>
      <c r="G395" s="29"/>
      <c r="H395" s="87">
        <v>665649.98155659705</v>
      </c>
      <c r="I395" s="29"/>
      <c r="J395" s="87">
        <v>87096</v>
      </c>
      <c r="K395" s="29"/>
      <c r="L395" s="29"/>
      <c r="M395" s="29"/>
      <c r="N395" s="29"/>
      <c r="O395" s="87">
        <v>1758945</v>
      </c>
    </row>
    <row r="396" spans="2:15">
      <c r="B396" s="23" t="s">
        <v>124</v>
      </c>
      <c r="D396" t="s">
        <v>109</v>
      </c>
      <c r="F396" s="69">
        <f>SUM(G396:O396)</f>
        <v>0</v>
      </c>
      <c r="G396" s="29"/>
      <c r="H396" s="87"/>
      <c r="I396" s="29"/>
      <c r="J396" s="87">
        <v>0</v>
      </c>
      <c r="K396" s="29"/>
      <c r="L396" s="29"/>
      <c r="M396" s="29"/>
      <c r="N396" s="29"/>
      <c r="O396" s="87"/>
    </row>
    <row r="397" spans="2:15">
      <c r="B397" s="23"/>
      <c r="F397" s="64"/>
      <c r="G397" s="29"/>
      <c r="H397" s="63"/>
      <c r="I397" s="29"/>
      <c r="J397" s="63"/>
      <c r="K397" s="29"/>
      <c r="L397" s="29"/>
      <c r="M397" s="29"/>
      <c r="N397" s="29"/>
      <c r="O397" s="63"/>
    </row>
    <row r="398" spans="2:15">
      <c r="B398" s="22" t="s">
        <v>125</v>
      </c>
      <c r="F398" s="64"/>
      <c r="G398" s="63"/>
      <c r="H398" s="63"/>
      <c r="I398" s="29"/>
      <c r="J398" s="63"/>
      <c r="K398" s="29"/>
      <c r="L398" s="29"/>
      <c r="M398" s="29"/>
      <c r="N398" s="29"/>
      <c r="O398" s="63"/>
    </row>
    <row r="399" spans="2:15">
      <c r="B399" s="23" t="s">
        <v>126</v>
      </c>
      <c r="D399" t="s">
        <v>109</v>
      </c>
      <c r="F399" s="69">
        <f>SUM(G399:O399)</f>
        <v>0</v>
      </c>
      <c r="G399" s="29"/>
      <c r="H399" s="87"/>
      <c r="I399" s="29"/>
      <c r="J399" s="87">
        <v>0</v>
      </c>
      <c r="K399" s="29"/>
      <c r="L399" s="29"/>
      <c r="M399" s="29"/>
      <c r="N399" s="29"/>
      <c r="O399" s="87"/>
    </row>
    <row r="400" spans="2:15">
      <c r="B400" s="23" t="s">
        <v>127</v>
      </c>
      <c r="D400" t="s">
        <v>109</v>
      </c>
      <c r="F400" s="69">
        <f>SUM(G400:O400)</f>
        <v>0</v>
      </c>
      <c r="G400" s="29"/>
      <c r="H400" s="87"/>
      <c r="I400" s="29"/>
      <c r="J400" s="87">
        <v>0</v>
      </c>
      <c r="K400" s="29"/>
      <c r="L400" s="29"/>
      <c r="M400" s="29"/>
      <c r="N400" s="29"/>
      <c r="O400" s="87"/>
    </row>
    <row r="401" spans="2:15">
      <c r="B401" s="23"/>
      <c r="F401" s="64"/>
      <c r="G401" s="63"/>
      <c r="H401" s="63"/>
      <c r="I401" s="29"/>
      <c r="J401" s="63"/>
      <c r="K401" s="29"/>
      <c r="L401" s="29"/>
      <c r="M401" s="29"/>
      <c r="N401" s="29"/>
      <c r="O401" s="63"/>
    </row>
    <row r="402" spans="2:15">
      <c r="B402" s="22" t="s">
        <v>128</v>
      </c>
      <c r="F402" s="64"/>
      <c r="G402" s="63"/>
      <c r="H402" s="63"/>
      <c r="I402" s="29"/>
      <c r="J402" s="63"/>
      <c r="K402" s="29"/>
      <c r="L402" s="29"/>
      <c r="M402" s="29"/>
      <c r="N402" s="29"/>
      <c r="O402" s="63"/>
    </row>
    <row r="403" spans="2:15">
      <c r="B403" s="93" t="s">
        <v>180</v>
      </c>
      <c r="D403" t="s">
        <v>109</v>
      </c>
      <c r="F403" s="69">
        <f>SUM(G403:O403)</f>
        <v>0</v>
      </c>
      <c r="G403" s="29"/>
      <c r="H403" s="87"/>
      <c r="I403" s="29"/>
      <c r="J403" s="87">
        <v>0</v>
      </c>
      <c r="K403" s="29"/>
      <c r="L403" s="29"/>
      <c r="M403" s="29"/>
      <c r="N403" s="29"/>
      <c r="O403" s="87"/>
    </row>
    <row r="404" spans="2:15">
      <c r="B404" s="93" t="s">
        <v>181</v>
      </c>
      <c r="D404" t="s">
        <v>109</v>
      </c>
      <c r="F404" s="69">
        <f>SUM(G404:O404)</f>
        <v>62310.627999999997</v>
      </c>
      <c r="G404" s="29"/>
      <c r="H404" s="87">
        <v>8309.6280000000006</v>
      </c>
      <c r="I404" s="29"/>
      <c r="J404" s="87">
        <v>3600</v>
      </c>
      <c r="K404" s="29"/>
      <c r="L404" s="29"/>
      <c r="M404" s="29"/>
      <c r="N404" s="29"/>
      <c r="O404" s="87">
        <v>50401</v>
      </c>
    </row>
    <row r="405" spans="2:15">
      <c r="B405" s="94" t="s">
        <v>182</v>
      </c>
      <c r="D405" t="s">
        <v>109</v>
      </c>
      <c r="F405" s="69">
        <f>SUM(G405:O405)</f>
        <v>0</v>
      </c>
      <c r="G405" s="29"/>
      <c r="H405" s="87"/>
      <c r="I405" s="29"/>
      <c r="J405" s="87">
        <v>0</v>
      </c>
      <c r="K405" s="29"/>
      <c r="L405" s="29"/>
      <c r="M405" s="29"/>
      <c r="N405" s="29"/>
      <c r="O405" s="87"/>
    </row>
    <row r="406" spans="2:15">
      <c r="F406" s="64"/>
      <c r="G406" s="63"/>
      <c r="H406" s="63"/>
      <c r="I406" s="29"/>
      <c r="J406" s="63"/>
      <c r="K406" s="29"/>
      <c r="L406" s="29"/>
      <c r="M406" s="29"/>
      <c r="N406" s="29"/>
      <c r="O406" s="63"/>
    </row>
    <row r="407" spans="2:15">
      <c r="F407" s="64"/>
      <c r="G407" s="63"/>
      <c r="H407" s="63"/>
      <c r="I407" s="29"/>
      <c r="J407" s="63"/>
      <c r="K407" s="29"/>
      <c r="L407" s="29"/>
      <c r="M407" s="29"/>
      <c r="N407" s="29"/>
      <c r="O407" s="63"/>
    </row>
    <row r="408" spans="2:15">
      <c r="B408" s="22" t="s">
        <v>138</v>
      </c>
      <c r="F408" s="64"/>
      <c r="G408" s="63"/>
      <c r="H408" s="63"/>
      <c r="I408" s="29"/>
      <c r="J408" s="63"/>
      <c r="K408" s="29"/>
      <c r="L408" s="29"/>
      <c r="M408" s="29"/>
      <c r="N408" s="29"/>
      <c r="O408" s="63"/>
    </row>
    <row r="409" spans="2:15">
      <c r="B409" s="23"/>
      <c r="F409" s="64"/>
      <c r="G409" s="63"/>
      <c r="H409" s="63"/>
      <c r="I409" s="29"/>
      <c r="J409" s="63"/>
      <c r="K409" s="29"/>
      <c r="L409" s="29"/>
      <c r="M409" s="29"/>
      <c r="N409" s="29"/>
      <c r="O409" s="63"/>
    </row>
    <row r="410" spans="2:15">
      <c r="B410" s="22" t="s">
        <v>121</v>
      </c>
      <c r="F410" s="64"/>
      <c r="G410" s="63"/>
      <c r="H410" s="63"/>
      <c r="I410" s="29"/>
      <c r="J410" s="63"/>
      <c r="K410" s="29"/>
      <c r="L410" s="29"/>
      <c r="M410" s="29"/>
      <c r="N410" s="29"/>
      <c r="O410" s="63"/>
    </row>
    <row r="411" spans="2:15">
      <c r="B411" s="23" t="s">
        <v>216</v>
      </c>
      <c r="D411" t="s">
        <v>109</v>
      </c>
      <c r="F411" s="69">
        <f>SUM(G411:O411)</f>
        <v>0</v>
      </c>
      <c r="G411" s="29"/>
      <c r="H411" s="97">
        <f t="shared" ref="H411" si="116">H391</f>
        <v>0</v>
      </c>
      <c r="I411" s="29"/>
      <c r="J411" s="97">
        <f t="shared" ref="J411" si="117">J391</f>
        <v>0</v>
      </c>
      <c r="K411" s="29"/>
      <c r="L411" s="29"/>
      <c r="M411" s="29"/>
      <c r="N411" s="29"/>
      <c r="O411" s="97">
        <f t="shared" ref="O411" si="118">O391</f>
        <v>0</v>
      </c>
    </row>
    <row r="412" spans="2:15">
      <c r="B412" s="23" t="s">
        <v>217</v>
      </c>
      <c r="D412" t="s">
        <v>109</v>
      </c>
      <c r="F412" s="69">
        <f>SUM(G412:O412)</f>
        <v>0</v>
      </c>
      <c r="G412" s="29"/>
      <c r="H412" s="97">
        <f t="shared" ref="H412" si="119">H392</f>
        <v>0</v>
      </c>
      <c r="I412" s="29"/>
      <c r="J412" s="97">
        <f t="shared" ref="J412" si="120">J392</f>
        <v>0</v>
      </c>
      <c r="K412" s="29"/>
      <c r="L412" s="29"/>
      <c r="M412" s="29"/>
      <c r="N412" s="29"/>
      <c r="O412" s="97">
        <f t="shared" ref="O412" si="121">O392</f>
        <v>0</v>
      </c>
    </row>
    <row r="413" spans="2:15">
      <c r="B413" s="23"/>
      <c r="F413" s="64"/>
      <c r="G413" s="63"/>
      <c r="H413" s="63"/>
      <c r="I413" s="29"/>
      <c r="J413" s="63"/>
      <c r="K413" s="29"/>
      <c r="L413" s="29"/>
      <c r="M413" s="29"/>
      <c r="N413" s="29"/>
      <c r="O413" s="63"/>
    </row>
    <row r="414" spans="2:15">
      <c r="B414" s="22" t="s">
        <v>122</v>
      </c>
      <c r="F414" s="64"/>
      <c r="G414" s="63"/>
      <c r="H414" s="63"/>
      <c r="I414" s="29"/>
      <c r="J414" s="63"/>
      <c r="K414" s="29"/>
      <c r="L414" s="29"/>
      <c r="M414" s="29"/>
      <c r="N414" s="29"/>
      <c r="O414" s="63"/>
    </row>
    <row r="415" spans="2:15">
      <c r="B415" s="23" t="s">
        <v>123</v>
      </c>
      <c r="D415" t="s">
        <v>109</v>
      </c>
      <c r="F415" s="69">
        <f>SUM(G415:O415)</f>
        <v>2581202.6067080698</v>
      </c>
      <c r="G415" s="29"/>
      <c r="H415" s="98">
        <f t="shared" ref="H415" si="122">H375+H395</f>
        <v>735161.60670806991</v>
      </c>
      <c r="I415" s="29"/>
      <c r="J415" s="98">
        <f t="shared" ref="J415" si="123">J375+J395</f>
        <v>87096</v>
      </c>
      <c r="K415" s="29"/>
      <c r="L415" s="29"/>
      <c r="M415" s="29"/>
      <c r="N415" s="29"/>
      <c r="O415" s="98">
        <f t="shared" ref="O415" si="124">O375+O395</f>
        <v>1758945</v>
      </c>
    </row>
    <row r="416" spans="2:15">
      <c r="B416" s="23" t="s">
        <v>124</v>
      </c>
      <c r="D416" t="s">
        <v>109</v>
      </c>
      <c r="F416" s="69">
        <f>SUM(G416:O416)</f>
        <v>0</v>
      </c>
      <c r="G416" s="29"/>
      <c r="H416" s="98">
        <f t="shared" ref="H416" si="125">H376+H396</f>
        <v>0</v>
      </c>
      <c r="I416" s="29"/>
      <c r="J416" s="98">
        <f t="shared" ref="J416" si="126">J376+J396</f>
        <v>0</v>
      </c>
      <c r="K416" s="29"/>
      <c r="L416" s="29"/>
      <c r="M416" s="29"/>
      <c r="N416" s="29"/>
      <c r="O416" s="98">
        <f t="shared" ref="O416" si="127">O376+O396</f>
        <v>0</v>
      </c>
    </row>
    <row r="417" spans="2:15">
      <c r="B417" s="23"/>
      <c r="F417" s="64"/>
      <c r="G417" s="63"/>
      <c r="H417" s="63"/>
      <c r="I417" s="29"/>
      <c r="J417" s="63"/>
      <c r="K417" s="29"/>
      <c r="L417" s="29"/>
      <c r="M417" s="29"/>
      <c r="N417" s="29"/>
      <c r="O417" s="63"/>
    </row>
    <row r="418" spans="2:15">
      <c r="B418" s="22" t="s">
        <v>125</v>
      </c>
      <c r="F418" s="64"/>
      <c r="G418" s="63"/>
      <c r="H418" s="63"/>
      <c r="I418" s="29"/>
      <c r="J418" s="63"/>
      <c r="K418" s="29"/>
      <c r="L418" s="29"/>
      <c r="M418" s="29"/>
      <c r="N418" s="29"/>
      <c r="O418" s="63"/>
    </row>
    <row r="419" spans="2:15">
      <c r="B419" s="23" t="s">
        <v>126</v>
      </c>
      <c r="D419" t="s">
        <v>109</v>
      </c>
      <c r="F419" s="69">
        <f>SUM(G419:O419)</f>
        <v>0</v>
      </c>
      <c r="G419" s="29"/>
      <c r="H419" s="98">
        <f t="shared" ref="H419" si="128">H379+H399</f>
        <v>0</v>
      </c>
      <c r="I419" s="29"/>
      <c r="J419" s="98">
        <f t="shared" ref="J419" si="129">J379+J399</f>
        <v>0</v>
      </c>
      <c r="K419" s="29"/>
      <c r="L419" s="29"/>
      <c r="M419" s="29"/>
      <c r="N419" s="29"/>
      <c r="O419" s="98">
        <f t="shared" ref="O419" si="130">O379+O399</f>
        <v>0</v>
      </c>
    </row>
    <row r="420" spans="2:15">
      <c r="B420" s="23" t="s">
        <v>127</v>
      </c>
      <c r="D420" t="s">
        <v>109</v>
      </c>
      <c r="F420" s="69">
        <f>SUM(G420:O420)</f>
        <v>0</v>
      </c>
      <c r="G420" s="29"/>
      <c r="H420" s="98">
        <f t="shared" ref="H420" si="131">H380+H400</f>
        <v>0</v>
      </c>
      <c r="I420" s="29"/>
      <c r="J420" s="98">
        <f t="shared" ref="J420" si="132">J380+J400</f>
        <v>0</v>
      </c>
      <c r="K420" s="29"/>
      <c r="L420" s="29"/>
      <c r="M420" s="29"/>
      <c r="N420" s="29"/>
      <c r="O420" s="98">
        <f t="shared" ref="O420" si="133">O380+O400</f>
        <v>0</v>
      </c>
    </row>
    <row r="421" spans="2:15">
      <c r="B421" s="23"/>
      <c r="F421" s="64"/>
      <c r="G421" s="63"/>
      <c r="H421" s="63"/>
      <c r="I421" s="29"/>
      <c r="J421" s="63"/>
      <c r="K421" s="29"/>
      <c r="L421" s="29"/>
      <c r="M421" s="29"/>
      <c r="N421" s="29"/>
      <c r="O421" s="63"/>
    </row>
    <row r="422" spans="2:15">
      <c r="B422" s="22" t="s">
        <v>128</v>
      </c>
      <c r="F422" s="64"/>
      <c r="G422" s="63"/>
      <c r="H422" s="63"/>
      <c r="I422" s="29"/>
      <c r="J422" s="63"/>
      <c r="K422" s="29"/>
      <c r="L422" s="29"/>
      <c r="M422" s="29"/>
      <c r="N422" s="29"/>
      <c r="O422" s="63"/>
    </row>
    <row r="423" spans="2:15">
      <c r="B423" s="93" t="s">
        <v>180</v>
      </c>
      <c r="D423" t="s">
        <v>109</v>
      </c>
      <c r="F423" s="69">
        <f>SUM(G423:O423)</f>
        <v>0</v>
      </c>
      <c r="G423" s="29"/>
      <c r="H423" s="98">
        <f t="shared" ref="H423" si="134">H383+H403</f>
        <v>0</v>
      </c>
      <c r="I423" s="29"/>
      <c r="J423" s="98">
        <f t="shared" ref="J423" si="135">J383+J403</f>
        <v>0</v>
      </c>
      <c r="K423" s="29"/>
      <c r="L423" s="29"/>
      <c r="M423" s="29"/>
      <c r="N423" s="29"/>
      <c r="O423" s="98">
        <f t="shared" ref="O423" si="136">O383+O403</f>
        <v>0</v>
      </c>
    </row>
    <row r="424" spans="2:15">
      <c r="B424" s="93" t="s">
        <v>181</v>
      </c>
      <c r="D424" t="s">
        <v>109</v>
      </c>
      <c r="F424" s="69">
        <f>SUM(G424:O424)</f>
        <v>62325.9352</v>
      </c>
      <c r="G424" s="29"/>
      <c r="H424" s="98">
        <f t="shared" ref="H424" si="137">H384+H404</f>
        <v>8319.7152000000006</v>
      </c>
      <c r="I424" s="29"/>
      <c r="J424" s="98">
        <f t="shared" ref="J424" si="138">J384+J404</f>
        <v>3605.22</v>
      </c>
      <c r="K424" s="29"/>
      <c r="L424" s="29"/>
      <c r="M424" s="29"/>
      <c r="N424" s="29"/>
      <c r="O424" s="98">
        <f t="shared" ref="O424" si="139">O384+O404</f>
        <v>50401</v>
      </c>
    </row>
    <row r="425" spans="2:15">
      <c r="B425" s="94" t="s">
        <v>182</v>
      </c>
      <c r="D425" t="s">
        <v>109</v>
      </c>
      <c r="F425" s="69">
        <f>SUM(G425:O425)</f>
        <v>0</v>
      </c>
      <c r="G425" s="29"/>
      <c r="H425" s="98">
        <f t="shared" ref="H425" si="140">H385+H405</f>
        <v>0</v>
      </c>
      <c r="I425" s="29"/>
      <c r="J425" s="98">
        <f t="shared" ref="J425" si="141">J385+J405</f>
        <v>0</v>
      </c>
      <c r="K425" s="29"/>
      <c r="L425" s="29"/>
      <c r="M425" s="29"/>
      <c r="N425" s="29"/>
      <c r="O425" s="98">
        <f t="shared" ref="O425" si="142">O385+O405</f>
        <v>0</v>
      </c>
    </row>
    <row r="426" spans="2:15">
      <c r="F426" s="64"/>
      <c r="G426" s="63"/>
      <c r="H426" s="63"/>
      <c r="I426" s="29"/>
      <c r="J426" s="63"/>
      <c r="K426" s="29"/>
      <c r="L426" s="29"/>
      <c r="M426" s="29"/>
      <c r="N426" s="29"/>
      <c r="O426" s="63"/>
    </row>
    <row r="427" spans="2:15">
      <c r="B427" s="79" t="s">
        <v>269</v>
      </c>
      <c r="D427" t="s">
        <v>109</v>
      </c>
      <c r="F427" s="69">
        <f>SUM(G427:O427)</f>
        <v>2643528.54190807</v>
      </c>
      <c r="G427" s="68"/>
      <c r="H427" s="69">
        <f t="shared" ref="H427" si="143">SUM(H411:H412,H415:H416,H419:H420,H423:H425)</f>
        <v>743481.32190806989</v>
      </c>
      <c r="I427" s="68"/>
      <c r="J427" s="69">
        <f t="shared" ref="J427" si="144">SUM(J411:J412,J415:J416,J419:J420,J423:J425)</f>
        <v>90701.22</v>
      </c>
      <c r="K427" s="68"/>
      <c r="L427" s="68"/>
      <c r="M427" s="68"/>
      <c r="N427" s="68"/>
      <c r="O427" s="69">
        <f t="shared" ref="O427" si="145">SUM(O411:O412,O415:O416,O419:O420,O423:O425)</f>
        <v>1809346</v>
      </c>
    </row>
    <row r="428" spans="2:15">
      <c r="F428" s="62"/>
      <c r="G428" s="42"/>
      <c r="H428" s="42"/>
      <c r="I428" s="42"/>
      <c r="J428" s="42"/>
      <c r="K428" s="42"/>
      <c r="L428" s="42"/>
      <c r="M428" s="42"/>
      <c r="N428" s="42"/>
      <c r="O428" s="258"/>
    </row>
    <row r="429" spans="2:15">
      <c r="F429" s="62"/>
      <c r="G429" s="42"/>
      <c r="H429" s="42"/>
      <c r="I429" s="42"/>
      <c r="J429" s="42"/>
      <c r="K429" s="42"/>
      <c r="L429" s="42"/>
      <c r="M429" s="42"/>
      <c r="N429" s="42"/>
      <c r="O429" s="258"/>
    </row>
    <row r="430" spans="2:15" s="2" customFormat="1">
      <c r="B430" s="2" t="s">
        <v>249</v>
      </c>
      <c r="F430" s="65"/>
      <c r="G430" s="66"/>
      <c r="H430" s="66"/>
      <c r="I430" s="66"/>
      <c r="J430" s="66"/>
      <c r="K430" s="66"/>
      <c r="L430" s="66"/>
      <c r="M430" s="66"/>
      <c r="N430" s="66"/>
    </row>
    <row r="431" spans="2:15">
      <c r="F431" s="62"/>
      <c r="G431" s="42"/>
      <c r="H431" s="42"/>
      <c r="I431" s="42"/>
      <c r="J431" s="42"/>
      <c r="K431" s="42"/>
      <c r="L431" s="42"/>
      <c r="M431" s="42"/>
      <c r="N431" s="42"/>
      <c r="O431" s="258"/>
    </row>
    <row r="432" spans="2:15">
      <c r="B432" s="22" t="s">
        <v>218</v>
      </c>
      <c r="G432" s="258"/>
      <c r="H432" s="258"/>
      <c r="I432" s="258"/>
      <c r="J432" s="258"/>
      <c r="K432" s="258"/>
      <c r="L432" s="258"/>
      <c r="M432" s="258"/>
      <c r="N432" s="258"/>
      <c r="O432" s="258"/>
    </row>
    <row r="433" spans="2:15">
      <c r="B433" s="23"/>
      <c r="G433" s="258"/>
      <c r="H433" s="258"/>
      <c r="I433" s="258"/>
      <c r="J433" s="258"/>
      <c r="K433" s="258"/>
      <c r="L433" s="258"/>
      <c r="M433" s="258"/>
      <c r="N433" s="258"/>
      <c r="O433" s="258"/>
    </row>
    <row r="434" spans="2:15">
      <c r="B434" s="22" t="s">
        <v>122</v>
      </c>
      <c r="G434" s="258"/>
      <c r="H434" s="258"/>
      <c r="I434" s="258"/>
      <c r="J434" s="258"/>
      <c r="K434" s="258"/>
      <c r="L434" s="258"/>
      <c r="M434" s="258"/>
      <c r="N434" s="258"/>
      <c r="O434" s="258"/>
    </row>
    <row r="435" spans="2:15">
      <c r="B435" s="23" t="s">
        <v>123</v>
      </c>
      <c r="D435" t="s">
        <v>110</v>
      </c>
      <c r="F435" s="69">
        <f>SUM(G435:O435)</f>
        <v>199935.84686554264</v>
      </c>
      <c r="G435" s="29"/>
      <c r="H435" s="87">
        <v>199935.84686554264</v>
      </c>
      <c r="I435" s="29"/>
      <c r="J435" s="87">
        <v>0</v>
      </c>
      <c r="K435" s="29"/>
      <c r="L435" s="29"/>
      <c r="M435" s="29"/>
      <c r="N435" s="29"/>
      <c r="O435" s="87">
        <v>0</v>
      </c>
    </row>
    <row r="436" spans="2:15">
      <c r="B436" s="23" t="s">
        <v>124</v>
      </c>
      <c r="D436" t="s">
        <v>110</v>
      </c>
      <c r="F436" s="69">
        <f>SUM(G436:O436)</f>
        <v>0</v>
      </c>
      <c r="G436" s="29"/>
      <c r="H436" s="87">
        <v>0</v>
      </c>
      <c r="I436" s="29"/>
      <c r="J436" s="87">
        <v>0</v>
      </c>
      <c r="K436" s="29"/>
      <c r="L436" s="29"/>
      <c r="M436" s="29"/>
      <c r="N436" s="29"/>
      <c r="O436" s="87">
        <v>0</v>
      </c>
    </row>
    <row r="437" spans="2:15">
      <c r="B437" s="23"/>
      <c r="F437" s="64"/>
      <c r="G437" s="63"/>
      <c r="H437" s="63"/>
      <c r="I437" s="29"/>
      <c r="J437" s="63"/>
      <c r="K437" s="29"/>
      <c r="L437" s="29"/>
      <c r="M437" s="29"/>
      <c r="N437" s="29"/>
      <c r="O437" s="63"/>
    </row>
    <row r="438" spans="2:15">
      <c r="B438" s="22" t="s">
        <v>125</v>
      </c>
      <c r="F438" s="64"/>
      <c r="G438" s="63"/>
      <c r="H438" s="63"/>
      <c r="I438" s="29"/>
      <c r="J438" s="63"/>
      <c r="K438" s="29"/>
      <c r="L438" s="29"/>
      <c r="M438" s="29"/>
      <c r="N438" s="29"/>
      <c r="O438" s="63"/>
    </row>
    <row r="439" spans="2:15">
      <c r="B439" s="23" t="s">
        <v>126</v>
      </c>
      <c r="D439" t="s">
        <v>110</v>
      </c>
      <c r="F439" s="69">
        <f>SUM(G439:O439)</f>
        <v>0</v>
      </c>
      <c r="G439" s="29"/>
      <c r="H439" s="87">
        <v>0</v>
      </c>
      <c r="I439" s="29"/>
      <c r="J439" s="87">
        <v>0</v>
      </c>
      <c r="K439" s="29"/>
      <c r="L439" s="29"/>
      <c r="M439" s="29"/>
      <c r="N439" s="29"/>
      <c r="O439" s="87">
        <v>0</v>
      </c>
    </row>
    <row r="440" spans="2:15">
      <c r="B440" s="23" t="s">
        <v>127</v>
      </c>
      <c r="D440" t="s">
        <v>110</v>
      </c>
      <c r="F440" s="69">
        <f>SUM(G440:O440)</f>
        <v>0</v>
      </c>
      <c r="G440" s="29"/>
      <c r="H440" s="87">
        <v>0</v>
      </c>
      <c r="I440" s="29"/>
      <c r="J440" s="87">
        <v>0</v>
      </c>
      <c r="K440" s="29"/>
      <c r="L440" s="29"/>
      <c r="M440" s="29"/>
      <c r="N440" s="29"/>
      <c r="O440" s="87">
        <v>0</v>
      </c>
    </row>
    <row r="441" spans="2:15">
      <c r="B441" s="23"/>
      <c r="F441" s="64"/>
      <c r="G441" s="63"/>
      <c r="H441" s="63"/>
      <c r="I441" s="29"/>
      <c r="J441" s="63"/>
      <c r="K441" s="29"/>
      <c r="L441" s="29"/>
      <c r="M441" s="29"/>
      <c r="N441" s="29"/>
      <c r="O441" s="63"/>
    </row>
    <row r="442" spans="2:15">
      <c r="B442" s="22" t="s">
        <v>128</v>
      </c>
      <c r="F442" s="64"/>
      <c r="G442" s="63"/>
      <c r="H442" s="63"/>
      <c r="I442" s="29"/>
      <c r="J442" s="63"/>
      <c r="K442" s="29"/>
      <c r="L442" s="29"/>
      <c r="M442" s="29"/>
      <c r="N442" s="29"/>
      <c r="O442" s="63"/>
    </row>
    <row r="443" spans="2:15">
      <c r="B443" s="93" t="s">
        <v>180</v>
      </c>
      <c r="D443" t="s">
        <v>110</v>
      </c>
      <c r="F443" s="69">
        <f>SUM(G443:O443)</f>
        <v>0</v>
      </c>
      <c r="G443" s="29"/>
      <c r="H443" s="87">
        <v>0</v>
      </c>
      <c r="I443" s="29"/>
      <c r="J443" s="87">
        <v>0</v>
      </c>
      <c r="K443" s="29"/>
      <c r="L443" s="29"/>
      <c r="M443" s="29"/>
      <c r="N443" s="29"/>
      <c r="O443" s="87">
        <v>0</v>
      </c>
    </row>
    <row r="444" spans="2:15">
      <c r="B444" s="93" t="s">
        <v>181</v>
      </c>
      <c r="D444" t="s">
        <v>110</v>
      </c>
      <c r="F444" s="69">
        <f>SUM(G444:O444)</f>
        <v>11.004000000000001</v>
      </c>
      <c r="G444" s="29"/>
      <c r="H444" s="87">
        <v>11.004000000000001</v>
      </c>
      <c r="I444" s="29"/>
      <c r="J444" s="87">
        <v>0</v>
      </c>
      <c r="K444" s="29"/>
      <c r="L444" s="29"/>
      <c r="M444" s="29"/>
      <c r="N444" s="29"/>
      <c r="O444" s="87">
        <v>0</v>
      </c>
    </row>
    <row r="445" spans="2:15">
      <c r="B445" s="94" t="s">
        <v>182</v>
      </c>
      <c r="D445" t="s">
        <v>110</v>
      </c>
      <c r="F445" s="69">
        <f>SUM(G445:O445)</f>
        <v>0</v>
      </c>
      <c r="G445" s="29"/>
      <c r="H445" s="87">
        <v>0</v>
      </c>
      <c r="I445" s="29"/>
      <c r="J445" s="87">
        <v>0</v>
      </c>
      <c r="K445" s="29"/>
      <c r="L445" s="29"/>
      <c r="M445" s="29"/>
      <c r="N445" s="29"/>
      <c r="O445" s="87">
        <v>0</v>
      </c>
    </row>
    <row r="446" spans="2:15">
      <c r="B446" s="23"/>
      <c r="F446" s="64"/>
      <c r="G446" s="63"/>
      <c r="H446" s="63"/>
      <c r="I446" s="29"/>
      <c r="J446" s="63"/>
      <c r="K446" s="29"/>
      <c r="L446" s="29"/>
      <c r="M446" s="29"/>
      <c r="N446" s="29"/>
      <c r="O446" s="63"/>
    </row>
    <row r="447" spans="2:15">
      <c r="F447" s="64"/>
      <c r="G447" s="63"/>
      <c r="H447" s="63"/>
      <c r="I447" s="29"/>
      <c r="J447" s="63"/>
      <c r="K447" s="29"/>
      <c r="L447" s="29"/>
      <c r="M447" s="29"/>
      <c r="N447" s="29"/>
      <c r="O447" s="63"/>
    </row>
    <row r="448" spans="2:15">
      <c r="B448" s="22" t="s">
        <v>219</v>
      </c>
      <c r="F448" s="64"/>
      <c r="G448" s="63"/>
      <c r="H448" s="63"/>
      <c r="I448" s="29"/>
      <c r="J448" s="63"/>
      <c r="K448" s="29"/>
      <c r="L448" s="29"/>
      <c r="M448" s="29"/>
      <c r="N448" s="29"/>
      <c r="O448" s="63"/>
    </row>
    <row r="449" spans="2:15">
      <c r="B449" s="23"/>
      <c r="F449" s="64"/>
      <c r="G449" s="63"/>
      <c r="H449" s="63"/>
      <c r="I449" s="29"/>
      <c r="J449" s="63"/>
      <c r="K449" s="29"/>
      <c r="L449" s="29"/>
      <c r="M449" s="29"/>
      <c r="N449" s="29"/>
      <c r="O449" s="63"/>
    </row>
    <row r="450" spans="2:15">
      <c r="B450" s="22" t="s">
        <v>121</v>
      </c>
      <c r="F450" s="64"/>
      <c r="G450" s="63"/>
      <c r="H450" s="63"/>
      <c r="I450" s="29"/>
      <c r="J450" s="63"/>
      <c r="K450" s="29"/>
      <c r="L450" s="29"/>
      <c r="M450" s="29"/>
      <c r="N450" s="29"/>
      <c r="O450" s="63"/>
    </row>
    <row r="451" spans="2:15">
      <c r="B451" s="23" t="s">
        <v>216</v>
      </c>
      <c r="D451" t="s">
        <v>110</v>
      </c>
      <c r="F451" s="69">
        <f>SUM(G451:O451)</f>
        <v>0</v>
      </c>
      <c r="G451" s="29"/>
      <c r="H451" s="87">
        <v>0</v>
      </c>
      <c r="I451" s="29"/>
      <c r="J451" s="87">
        <v>0</v>
      </c>
      <c r="K451" s="29"/>
      <c r="L451" s="29"/>
      <c r="M451" s="29"/>
      <c r="N451" s="29"/>
      <c r="O451" s="87">
        <v>0</v>
      </c>
    </row>
    <row r="452" spans="2:15">
      <c r="B452" s="23" t="s">
        <v>217</v>
      </c>
      <c r="D452" t="s">
        <v>110</v>
      </c>
      <c r="F452" s="69">
        <f>SUM(G452:O452)</f>
        <v>0</v>
      </c>
      <c r="G452" s="29"/>
      <c r="H452" s="87">
        <v>0</v>
      </c>
      <c r="I452" s="29"/>
      <c r="J452" s="87">
        <v>0</v>
      </c>
      <c r="K452" s="29"/>
      <c r="L452" s="29"/>
      <c r="M452" s="29"/>
      <c r="N452" s="29"/>
      <c r="O452" s="87">
        <v>0</v>
      </c>
    </row>
    <row r="453" spans="2:15">
      <c r="B453" s="23"/>
      <c r="F453" s="64"/>
      <c r="G453" s="63"/>
      <c r="H453" s="63"/>
      <c r="I453" s="29"/>
      <c r="J453" s="63"/>
      <c r="K453" s="29"/>
      <c r="L453" s="29"/>
      <c r="M453" s="29"/>
      <c r="N453" s="29"/>
      <c r="O453" s="63"/>
    </row>
    <row r="454" spans="2:15">
      <c r="B454" s="22" t="s">
        <v>122</v>
      </c>
      <c r="F454" s="64"/>
      <c r="G454" s="63"/>
      <c r="H454" s="63"/>
      <c r="I454" s="29"/>
      <c r="J454" s="63"/>
      <c r="K454" s="29"/>
      <c r="L454" s="29"/>
      <c r="M454" s="29"/>
      <c r="N454" s="29"/>
      <c r="O454" s="63"/>
    </row>
    <row r="455" spans="2:15">
      <c r="B455" s="23" t="s">
        <v>123</v>
      </c>
      <c r="D455" t="s">
        <v>110</v>
      </c>
      <c r="F455" s="69">
        <f>SUM(G455:O455)</f>
        <v>2030100.0653145211</v>
      </c>
      <c r="G455" s="29"/>
      <c r="H455" s="87">
        <v>492948.2053145211</v>
      </c>
      <c r="I455" s="29"/>
      <c r="J455" s="87">
        <v>139966.85999999999</v>
      </c>
      <c r="K455" s="29"/>
      <c r="L455" s="29"/>
      <c r="M455" s="29"/>
      <c r="N455" s="29"/>
      <c r="O455" s="87">
        <v>1397185</v>
      </c>
    </row>
    <row r="456" spans="2:15">
      <c r="B456" s="23" t="s">
        <v>124</v>
      </c>
      <c r="D456" t="s">
        <v>110</v>
      </c>
      <c r="F456" s="69">
        <f>SUM(G456:O456)</f>
        <v>0</v>
      </c>
      <c r="G456" s="29"/>
      <c r="H456" s="87">
        <v>0</v>
      </c>
      <c r="I456" s="29"/>
      <c r="J456" s="87">
        <v>0</v>
      </c>
      <c r="K456" s="29"/>
      <c r="L456" s="29"/>
      <c r="M456" s="29"/>
      <c r="N456" s="29"/>
      <c r="O456" s="87">
        <v>0</v>
      </c>
    </row>
    <row r="457" spans="2:15">
      <c r="B457" s="23"/>
      <c r="F457" s="64"/>
      <c r="G457" s="29"/>
      <c r="H457" s="63"/>
      <c r="I457" s="29"/>
      <c r="J457" s="63"/>
      <c r="K457" s="29"/>
      <c r="L457" s="29"/>
      <c r="M457" s="29"/>
      <c r="N457" s="29"/>
      <c r="O457" s="63"/>
    </row>
    <row r="458" spans="2:15">
      <c r="B458" s="22" t="s">
        <v>125</v>
      </c>
      <c r="F458" s="64"/>
      <c r="G458" s="63"/>
      <c r="H458" s="63"/>
      <c r="I458" s="29"/>
      <c r="J458" s="63"/>
      <c r="K458" s="29"/>
      <c r="L458" s="29"/>
      <c r="M458" s="29"/>
      <c r="N458" s="29"/>
      <c r="O458" s="63"/>
    </row>
    <row r="459" spans="2:15">
      <c r="B459" s="23" t="s">
        <v>126</v>
      </c>
      <c r="D459" t="s">
        <v>110</v>
      </c>
      <c r="F459" s="69">
        <f>SUM(G459:O459)</f>
        <v>0</v>
      </c>
      <c r="G459" s="29"/>
      <c r="H459" s="87">
        <v>0</v>
      </c>
      <c r="I459" s="29"/>
      <c r="J459" s="87">
        <v>0</v>
      </c>
      <c r="K459" s="29"/>
      <c r="L459" s="29"/>
      <c r="M459" s="29"/>
      <c r="N459" s="29"/>
      <c r="O459" s="87">
        <v>0</v>
      </c>
    </row>
    <row r="460" spans="2:15">
      <c r="B460" s="23" t="s">
        <v>127</v>
      </c>
      <c r="D460" t="s">
        <v>110</v>
      </c>
      <c r="F460" s="69">
        <f>SUM(G460:O460)</f>
        <v>0</v>
      </c>
      <c r="G460" s="29"/>
      <c r="H460" s="87">
        <v>0</v>
      </c>
      <c r="I460" s="29"/>
      <c r="J460" s="87">
        <v>0</v>
      </c>
      <c r="K460" s="29"/>
      <c r="L460" s="29"/>
      <c r="M460" s="29"/>
      <c r="N460" s="29"/>
      <c r="O460" s="87">
        <v>0</v>
      </c>
    </row>
    <row r="461" spans="2:15">
      <c r="B461" s="23"/>
      <c r="F461" s="64"/>
      <c r="G461" s="63"/>
      <c r="H461" s="63"/>
      <c r="I461" s="29"/>
      <c r="J461" s="63"/>
      <c r="K461" s="29"/>
      <c r="L461" s="29"/>
      <c r="M461" s="29"/>
      <c r="N461" s="29"/>
      <c r="O461" s="63"/>
    </row>
    <row r="462" spans="2:15">
      <c r="B462" s="22" t="s">
        <v>128</v>
      </c>
      <c r="F462" s="64"/>
      <c r="G462" s="63"/>
      <c r="H462" s="63"/>
      <c r="I462" s="29"/>
      <c r="J462" s="63"/>
      <c r="K462" s="29"/>
      <c r="L462" s="29"/>
      <c r="M462" s="29"/>
      <c r="N462" s="29"/>
      <c r="O462" s="63"/>
    </row>
    <row r="463" spans="2:15">
      <c r="B463" s="93" t="s">
        <v>180</v>
      </c>
      <c r="D463" t="s">
        <v>110</v>
      </c>
      <c r="F463" s="69">
        <f>SUM(G463:O463)</f>
        <v>0</v>
      </c>
      <c r="G463" s="29"/>
      <c r="H463" s="87">
        <v>0</v>
      </c>
      <c r="I463" s="29"/>
      <c r="J463" s="87">
        <v>0</v>
      </c>
      <c r="K463" s="29"/>
      <c r="L463" s="29"/>
      <c r="M463" s="29"/>
      <c r="N463" s="29"/>
      <c r="O463" s="87">
        <v>0</v>
      </c>
    </row>
    <row r="464" spans="2:15">
      <c r="B464" s="93" t="s">
        <v>181</v>
      </c>
      <c r="D464" t="s">
        <v>110</v>
      </c>
      <c r="F464" s="69">
        <f>SUM(G464:O464)</f>
        <v>57498.481599999999</v>
      </c>
      <c r="G464" s="29"/>
      <c r="H464" s="87">
        <v>9048.2615999999998</v>
      </c>
      <c r="I464" s="29"/>
      <c r="J464" s="87">
        <v>3695.2200000000003</v>
      </c>
      <c r="K464" s="29"/>
      <c r="L464" s="29"/>
      <c r="M464" s="29"/>
      <c r="N464" s="29"/>
      <c r="O464" s="87">
        <v>44755</v>
      </c>
    </row>
    <row r="465" spans="2:15">
      <c r="B465" s="94" t="s">
        <v>182</v>
      </c>
      <c r="D465" t="s">
        <v>110</v>
      </c>
      <c r="F465" s="69">
        <f>SUM(G465:O465)</f>
        <v>0</v>
      </c>
      <c r="G465" s="29"/>
      <c r="H465" s="87">
        <v>0</v>
      </c>
      <c r="I465" s="29"/>
      <c r="J465" s="87">
        <v>0</v>
      </c>
      <c r="K465" s="29"/>
      <c r="L465" s="29"/>
      <c r="M465" s="29"/>
      <c r="N465" s="29"/>
      <c r="O465" s="87">
        <v>0</v>
      </c>
    </row>
    <row r="466" spans="2:15">
      <c r="F466" s="64"/>
      <c r="G466" s="63"/>
      <c r="H466" s="63"/>
      <c r="I466" s="29"/>
      <c r="J466" s="63"/>
      <c r="K466" s="29"/>
      <c r="L466" s="29"/>
      <c r="M466" s="29"/>
      <c r="N466" s="29"/>
      <c r="O466" s="63"/>
    </row>
    <row r="467" spans="2:15">
      <c r="F467" s="64"/>
      <c r="G467" s="63"/>
      <c r="H467" s="63"/>
      <c r="I467" s="29"/>
      <c r="J467" s="63"/>
      <c r="K467" s="29"/>
      <c r="L467" s="29"/>
      <c r="M467" s="29"/>
      <c r="N467" s="29"/>
      <c r="O467" s="63"/>
    </row>
    <row r="468" spans="2:15">
      <c r="B468" s="22" t="s">
        <v>138</v>
      </c>
      <c r="F468" s="64"/>
      <c r="G468" s="63"/>
      <c r="H468" s="63"/>
      <c r="I468" s="29"/>
      <c r="J468" s="63"/>
      <c r="K468" s="29"/>
      <c r="L468" s="29"/>
      <c r="M468" s="29"/>
      <c r="N468" s="29"/>
      <c r="O468" s="63"/>
    </row>
    <row r="469" spans="2:15">
      <c r="B469" s="23"/>
      <c r="F469" s="64"/>
      <c r="G469" s="63"/>
      <c r="H469" s="63"/>
      <c r="I469" s="29"/>
      <c r="J469" s="63"/>
      <c r="K469" s="29"/>
      <c r="L469" s="29"/>
      <c r="M469" s="29"/>
      <c r="N469" s="29"/>
      <c r="O469" s="63"/>
    </row>
    <row r="470" spans="2:15">
      <c r="B470" s="22" t="s">
        <v>121</v>
      </c>
      <c r="F470" s="64"/>
      <c r="G470" s="63"/>
      <c r="H470" s="63"/>
      <c r="I470" s="29"/>
      <c r="J470" s="63"/>
      <c r="K470" s="29"/>
      <c r="L470" s="29"/>
      <c r="M470" s="29"/>
      <c r="N470" s="29"/>
      <c r="O470" s="63"/>
    </row>
    <row r="471" spans="2:15">
      <c r="B471" s="23" t="s">
        <v>216</v>
      </c>
      <c r="D471" t="s">
        <v>110</v>
      </c>
      <c r="F471" s="69">
        <f>SUM(G471:O471)</f>
        <v>0</v>
      </c>
      <c r="G471" s="29"/>
      <c r="H471" s="97">
        <f t="shared" ref="H471" si="146">H451</f>
        <v>0</v>
      </c>
      <c r="I471" s="29"/>
      <c r="J471" s="97">
        <f t="shared" ref="J471" si="147">J451</f>
        <v>0</v>
      </c>
      <c r="K471" s="29"/>
      <c r="L471" s="29"/>
      <c r="M471" s="29"/>
      <c r="N471" s="29"/>
      <c r="O471" s="97">
        <f t="shared" ref="O471" si="148">O451</f>
        <v>0</v>
      </c>
    </row>
    <row r="472" spans="2:15">
      <c r="B472" s="23" t="s">
        <v>217</v>
      </c>
      <c r="D472" t="s">
        <v>110</v>
      </c>
      <c r="F472" s="69">
        <f>SUM(G472:O472)</f>
        <v>0</v>
      </c>
      <c r="G472" s="29"/>
      <c r="H472" s="97">
        <f t="shared" ref="H472" si="149">H452</f>
        <v>0</v>
      </c>
      <c r="I472" s="29"/>
      <c r="J472" s="97">
        <f t="shared" ref="J472" si="150">J452</f>
        <v>0</v>
      </c>
      <c r="K472" s="29"/>
      <c r="L472" s="29"/>
      <c r="M472" s="29"/>
      <c r="N472" s="29"/>
      <c r="O472" s="97">
        <f t="shared" ref="O472" si="151">O452</f>
        <v>0</v>
      </c>
    </row>
    <row r="473" spans="2:15">
      <c r="B473" s="23"/>
      <c r="F473" s="64"/>
      <c r="G473" s="63"/>
      <c r="H473" s="63"/>
      <c r="I473" s="29"/>
      <c r="J473" s="63"/>
      <c r="K473" s="29"/>
      <c r="L473" s="29"/>
      <c r="M473" s="29"/>
      <c r="N473" s="29"/>
      <c r="O473" s="63"/>
    </row>
    <row r="474" spans="2:15">
      <c r="B474" s="22" t="s">
        <v>122</v>
      </c>
      <c r="F474" s="64"/>
      <c r="G474" s="63"/>
      <c r="H474" s="63"/>
      <c r="I474" s="29"/>
      <c r="J474" s="63"/>
      <c r="K474" s="29"/>
      <c r="L474" s="29"/>
      <c r="M474" s="29"/>
      <c r="N474" s="29"/>
      <c r="O474" s="63"/>
    </row>
    <row r="475" spans="2:15">
      <c r="B475" s="23" t="s">
        <v>123</v>
      </c>
      <c r="D475" t="s">
        <v>110</v>
      </c>
      <c r="F475" s="69">
        <f>SUM(G475:O475)</f>
        <v>2230035.9121800638</v>
      </c>
      <c r="G475" s="29"/>
      <c r="H475" s="98">
        <f t="shared" ref="H475" si="152">H435+H455</f>
        <v>692884.05218006368</v>
      </c>
      <c r="I475" s="29"/>
      <c r="J475" s="98">
        <f t="shared" ref="J475" si="153">J435+J455</f>
        <v>139966.85999999999</v>
      </c>
      <c r="K475" s="29"/>
      <c r="L475" s="29"/>
      <c r="M475" s="29"/>
      <c r="N475" s="29"/>
      <c r="O475" s="98">
        <f t="shared" ref="O475" si="154">O435+O455</f>
        <v>1397185</v>
      </c>
    </row>
    <row r="476" spans="2:15">
      <c r="B476" s="23" t="s">
        <v>124</v>
      </c>
      <c r="D476" t="s">
        <v>110</v>
      </c>
      <c r="F476" s="69">
        <f>SUM(G476:O476)</f>
        <v>0</v>
      </c>
      <c r="G476" s="29"/>
      <c r="H476" s="98">
        <f t="shared" ref="H476" si="155">H436+H456</f>
        <v>0</v>
      </c>
      <c r="I476" s="29"/>
      <c r="J476" s="98">
        <f t="shared" ref="J476" si="156">J436+J456</f>
        <v>0</v>
      </c>
      <c r="K476" s="29"/>
      <c r="L476" s="29"/>
      <c r="M476" s="29"/>
      <c r="N476" s="29"/>
      <c r="O476" s="98">
        <f t="shared" ref="O476" si="157">O436+O456</f>
        <v>0</v>
      </c>
    </row>
    <row r="477" spans="2:15">
      <c r="B477" s="23"/>
      <c r="F477" s="64"/>
      <c r="G477" s="63"/>
      <c r="H477" s="63"/>
      <c r="I477" s="29"/>
      <c r="J477" s="63"/>
      <c r="K477" s="29"/>
      <c r="L477" s="29"/>
      <c r="M477" s="29"/>
      <c r="N477" s="29"/>
      <c r="O477" s="63"/>
    </row>
    <row r="478" spans="2:15">
      <c r="B478" s="22" t="s">
        <v>125</v>
      </c>
      <c r="F478" s="64"/>
      <c r="G478" s="63"/>
      <c r="H478" s="63"/>
      <c r="I478" s="29"/>
      <c r="J478" s="63"/>
      <c r="K478" s="29"/>
      <c r="L478" s="29"/>
      <c r="M478" s="29"/>
      <c r="N478" s="29"/>
      <c r="O478" s="63"/>
    </row>
    <row r="479" spans="2:15">
      <c r="B479" s="23" t="s">
        <v>126</v>
      </c>
      <c r="D479" t="s">
        <v>110</v>
      </c>
      <c r="F479" s="69">
        <f>SUM(G479:O479)</f>
        <v>0</v>
      </c>
      <c r="G479" s="29"/>
      <c r="H479" s="98">
        <f t="shared" ref="H479" si="158">H439+H459</f>
        <v>0</v>
      </c>
      <c r="I479" s="29"/>
      <c r="J479" s="98">
        <f t="shared" ref="J479" si="159">J439+J459</f>
        <v>0</v>
      </c>
      <c r="K479" s="29"/>
      <c r="L479" s="29"/>
      <c r="M479" s="29"/>
      <c r="N479" s="29"/>
      <c r="O479" s="98">
        <f t="shared" ref="O479" si="160">O439+O459</f>
        <v>0</v>
      </c>
    </row>
    <row r="480" spans="2:15">
      <c r="B480" s="23" t="s">
        <v>127</v>
      </c>
      <c r="D480" t="s">
        <v>110</v>
      </c>
      <c r="F480" s="69">
        <f>SUM(G480:O480)</f>
        <v>0</v>
      </c>
      <c r="G480" s="29"/>
      <c r="H480" s="98">
        <f t="shared" ref="H480" si="161">H440+H460</f>
        <v>0</v>
      </c>
      <c r="I480" s="29"/>
      <c r="J480" s="98">
        <f t="shared" ref="J480" si="162">J440+J460</f>
        <v>0</v>
      </c>
      <c r="K480" s="29"/>
      <c r="L480" s="29"/>
      <c r="M480" s="29"/>
      <c r="N480" s="29"/>
      <c r="O480" s="98">
        <f t="shared" ref="O480" si="163">O440+O460</f>
        <v>0</v>
      </c>
    </row>
    <row r="481" spans="2:15">
      <c r="B481" s="23"/>
      <c r="F481" s="64"/>
      <c r="G481" s="63"/>
      <c r="H481" s="63"/>
      <c r="I481" s="29"/>
      <c r="J481" s="63"/>
      <c r="K481" s="29"/>
      <c r="L481" s="29"/>
      <c r="M481" s="29"/>
      <c r="N481" s="29"/>
      <c r="O481" s="63"/>
    </row>
    <row r="482" spans="2:15">
      <c r="B482" s="22" t="s">
        <v>128</v>
      </c>
      <c r="F482" s="64"/>
      <c r="G482" s="63"/>
      <c r="H482" s="63"/>
      <c r="I482" s="29"/>
      <c r="J482" s="63"/>
      <c r="K482" s="29"/>
      <c r="L482" s="29"/>
      <c r="M482" s="29"/>
      <c r="N482" s="29"/>
      <c r="O482" s="63"/>
    </row>
    <row r="483" spans="2:15">
      <c r="B483" s="93" t="s">
        <v>180</v>
      </c>
      <c r="D483" t="s">
        <v>110</v>
      </c>
      <c r="F483" s="69">
        <f>SUM(G483:O483)</f>
        <v>0</v>
      </c>
      <c r="G483" s="29"/>
      <c r="H483" s="98">
        <f t="shared" ref="H483" si="164">H443+H463</f>
        <v>0</v>
      </c>
      <c r="I483" s="29"/>
      <c r="J483" s="98">
        <f t="shared" ref="J483" si="165">J443+J463</f>
        <v>0</v>
      </c>
      <c r="K483" s="29"/>
      <c r="L483" s="29"/>
      <c r="M483" s="29"/>
      <c r="N483" s="29"/>
      <c r="O483" s="98">
        <f t="shared" ref="O483" si="166">O443+O463</f>
        <v>0</v>
      </c>
    </row>
    <row r="484" spans="2:15">
      <c r="B484" s="93" t="s">
        <v>181</v>
      </c>
      <c r="D484" t="s">
        <v>110</v>
      </c>
      <c r="F484" s="69">
        <f>SUM(G484:O484)</f>
        <v>57509.4856</v>
      </c>
      <c r="G484" s="29"/>
      <c r="H484" s="98">
        <f t="shared" ref="H484" si="167">H444+H464</f>
        <v>9059.2656000000006</v>
      </c>
      <c r="I484" s="29"/>
      <c r="J484" s="98">
        <f t="shared" ref="J484" si="168">J444+J464</f>
        <v>3695.2200000000003</v>
      </c>
      <c r="K484" s="29"/>
      <c r="L484" s="29"/>
      <c r="M484" s="29"/>
      <c r="N484" s="29"/>
      <c r="O484" s="98">
        <f t="shared" ref="O484" si="169">O444+O464</f>
        <v>44755</v>
      </c>
    </row>
    <row r="485" spans="2:15">
      <c r="B485" s="94" t="s">
        <v>182</v>
      </c>
      <c r="D485" t="s">
        <v>110</v>
      </c>
      <c r="F485" s="69">
        <f>SUM(G485:O485)</f>
        <v>0</v>
      </c>
      <c r="G485" s="29"/>
      <c r="H485" s="98">
        <f t="shared" ref="H485" si="170">H445+H465</f>
        <v>0</v>
      </c>
      <c r="I485" s="29"/>
      <c r="J485" s="98">
        <f t="shared" ref="J485" si="171">J445+J465</f>
        <v>0</v>
      </c>
      <c r="K485" s="29"/>
      <c r="L485" s="29"/>
      <c r="M485" s="29"/>
      <c r="N485" s="29"/>
      <c r="O485" s="98">
        <f t="shared" ref="O485" si="172">O445+O465</f>
        <v>0</v>
      </c>
    </row>
    <row r="486" spans="2:15">
      <c r="F486" s="64"/>
      <c r="G486" s="63"/>
      <c r="H486" s="63"/>
      <c r="I486" s="29"/>
      <c r="J486" s="63"/>
      <c r="K486" s="29"/>
      <c r="L486" s="29"/>
      <c r="M486" s="29"/>
      <c r="N486" s="29"/>
      <c r="O486" s="63"/>
    </row>
    <row r="487" spans="2:15">
      <c r="B487" s="79" t="s">
        <v>269</v>
      </c>
      <c r="D487" t="s">
        <v>110</v>
      </c>
      <c r="F487" s="69">
        <f>SUM(G487:O487)</f>
        <v>2287545.3977800636</v>
      </c>
      <c r="G487" s="68"/>
      <c r="H487" s="69">
        <f t="shared" ref="H487" si="173">SUM(H471:H472,H475:H476,H479:H480,H483:H485)</f>
        <v>701943.31778006372</v>
      </c>
      <c r="I487" s="68"/>
      <c r="J487" s="69">
        <f t="shared" ref="J487" si="174">SUM(J471:J472,J475:J476,J479:J480,J483:J485)</f>
        <v>143662.07999999999</v>
      </c>
      <c r="K487" s="68"/>
      <c r="L487" s="68"/>
      <c r="M487" s="68"/>
      <c r="N487" s="68"/>
      <c r="O487" s="69">
        <f t="shared" ref="O487" si="175">SUM(O471:O472,O475:O476,O479:O480,O483:O485)</f>
        <v>1441940</v>
      </c>
    </row>
  </sheetData>
  <phoneticPr fontId="4" type="noConversion"/>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DBE721"/>
    <pageSetUpPr fitToPage="1"/>
  </sheetPr>
  <dimension ref="B1:X233"/>
  <sheetViews>
    <sheetView showGridLines="0" zoomScale="85" zoomScaleNormal="85" workbookViewId="0">
      <pane xSplit="4" ySplit="7" topLeftCell="E8" activePane="bottomRight" state="frozen"/>
      <selection activeCell="L8" sqref="L8"/>
      <selection pane="topRight" activeCell="L8" sqref="L8"/>
      <selection pane="bottomLeft" activeCell="L8" sqref="L8"/>
      <selection pane="bottomRight" activeCell="E8" sqref="E8"/>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7" customWidth="1"/>
    <col min="7" max="14" width="14.85546875" customWidth="1"/>
    <col min="15" max="15" width="15" customWidth="1"/>
    <col min="17" max="17" width="24" customWidth="1"/>
    <col min="19" max="24" width="15" customWidth="1"/>
  </cols>
  <sheetData>
    <row r="1" spans="2:24" ht="12" customHeight="1"/>
    <row r="2" spans="2:24" s="1" customFormat="1" ht="18">
      <c r="B2" s="1" t="s">
        <v>541</v>
      </c>
      <c r="F2" s="48" t="s">
        <v>105</v>
      </c>
      <c r="G2" s="5" t="s">
        <v>96</v>
      </c>
      <c r="H2" s="5" t="s">
        <v>97</v>
      </c>
      <c r="I2" s="5" t="s">
        <v>98</v>
      </c>
      <c r="J2" s="5" t="s">
        <v>99</v>
      </c>
      <c r="K2" s="5" t="s">
        <v>100</v>
      </c>
      <c r="L2" s="5" t="s">
        <v>101</v>
      </c>
      <c r="M2" s="5" t="s">
        <v>102</v>
      </c>
      <c r="N2" s="5" t="s">
        <v>103</v>
      </c>
      <c r="O2" s="5" t="s">
        <v>197</v>
      </c>
      <c r="Q2" s="5" t="s">
        <v>567</v>
      </c>
      <c r="S2" s="5" t="s">
        <v>653</v>
      </c>
      <c r="T2" s="5" t="s">
        <v>654</v>
      </c>
      <c r="U2" s="5" t="s">
        <v>655</v>
      </c>
      <c r="V2" s="5" t="s">
        <v>656</v>
      </c>
      <c r="W2" s="5" t="s">
        <v>657</v>
      </c>
      <c r="X2" s="5" t="s">
        <v>658</v>
      </c>
    </row>
    <row r="4" spans="2:24">
      <c r="B4" s="78" t="s">
        <v>562</v>
      </c>
    </row>
    <row r="5" spans="2:24">
      <c r="B5" s="28" t="s">
        <v>3</v>
      </c>
    </row>
    <row r="6" spans="2:24">
      <c r="B6" s="78" t="s">
        <v>994</v>
      </c>
    </row>
    <row r="7" spans="2:24">
      <c r="B7" s="28"/>
    </row>
    <row r="8" spans="2:24">
      <c r="B8" s="250"/>
    </row>
    <row r="10" spans="2:24" s="2" customFormat="1">
      <c r="B10" s="2" t="s">
        <v>4</v>
      </c>
      <c r="F10" s="49"/>
    </row>
    <row r="12" spans="2:24">
      <c r="B12" s="3"/>
    </row>
    <row r="13" spans="2:24">
      <c r="B13" s="3" t="s">
        <v>5</v>
      </c>
      <c r="F13" s="219"/>
    </row>
    <row r="14" spans="2:24">
      <c r="B14" t="s">
        <v>6</v>
      </c>
      <c r="D14" t="s">
        <v>107</v>
      </c>
      <c r="F14" s="80">
        <f t="shared" ref="F14:F20" si="0">SUM(G14:O14)</f>
        <v>3209733.5483454289</v>
      </c>
      <c r="G14" s="41">
        <v>0</v>
      </c>
      <c r="H14" s="41">
        <v>0</v>
      </c>
      <c r="I14" s="81">
        <f>S14+T14</f>
        <v>0</v>
      </c>
      <c r="J14" s="81">
        <f>U14+V14</f>
        <v>1827244.3</v>
      </c>
      <c r="K14" s="81">
        <f>W14+X14</f>
        <v>1118433.8899999997</v>
      </c>
      <c r="L14" s="41">
        <v>0</v>
      </c>
      <c r="M14" s="41">
        <v>264055.35834542941</v>
      </c>
      <c r="N14" s="41">
        <v>0</v>
      </c>
      <c r="O14" s="41">
        <v>0</v>
      </c>
      <c r="S14" s="41">
        <v>0</v>
      </c>
      <c r="T14" s="41">
        <v>0</v>
      </c>
      <c r="U14" s="41">
        <v>901000</v>
      </c>
      <c r="V14" s="41">
        <v>926244.3</v>
      </c>
      <c r="W14" s="41">
        <v>1118433.8899999997</v>
      </c>
      <c r="X14" s="41">
        <v>0</v>
      </c>
    </row>
    <row r="15" spans="2:24">
      <c r="B15" t="s">
        <v>665</v>
      </c>
      <c r="D15" t="s">
        <v>107</v>
      </c>
      <c r="F15" s="80">
        <f t="shared" si="0"/>
        <v>218713.72</v>
      </c>
      <c r="G15" s="41">
        <v>0</v>
      </c>
      <c r="H15" s="41">
        <v>0</v>
      </c>
      <c r="I15" s="81">
        <f t="shared" ref="I15:I20" si="1">S15+T15</f>
        <v>0</v>
      </c>
      <c r="J15" s="81">
        <f t="shared" ref="J15:J20" si="2">U15+V15</f>
        <v>212000</v>
      </c>
      <c r="K15" s="81">
        <f t="shared" ref="K15:K20" si="3">W15+X15</f>
        <v>0</v>
      </c>
      <c r="L15" s="41">
        <v>6713.72</v>
      </c>
      <c r="M15" s="41">
        <v>0</v>
      </c>
      <c r="N15" s="41">
        <v>0</v>
      </c>
      <c r="O15" s="41">
        <v>0</v>
      </c>
      <c r="S15" s="41">
        <v>0</v>
      </c>
      <c r="T15" s="41">
        <v>0</v>
      </c>
      <c r="U15" s="41">
        <v>212000</v>
      </c>
      <c r="V15" s="41">
        <v>0</v>
      </c>
      <c r="W15" s="41">
        <v>0</v>
      </c>
      <c r="X15" s="41">
        <v>0</v>
      </c>
    </row>
    <row r="16" spans="2:24">
      <c r="B16" t="s">
        <v>9</v>
      </c>
      <c r="D16" t="s">
        <v>107</v>
      </c>
      <c r="F16" s="80">
        <f t="shared" si="0"/>
        <v>8953249.7581790071</v>
      </c>
      <c r="G16" s="41">
        <v>0</v>
      </c>
      <c r="H16" s="41">
        <v>0</v>
      </c>
      <c r="I16" s="81">
        <f t="shared" si="1"/>
        <v>-78969.313185659266</v>
      </c>
      <c r="J16" s="81">
        <f t="shared" si="2"/>
        <v>9006000</v>
      </c>
      <c r="K16" s="81">
        <f t="shared" si="3"/>
        <v>-15201.478635333069</v>
      </c>
      <c r="L16" s="41">
        <v>41420.550000000003</v>
      </c>
      <c r="M16" s="41">
        <v>0</v>
      </c>
      <c r="N16" s="41">
        <v>0</v>
      </c>
      <c r="O16" s="41">
        <v>0</v>
      </c>
      <c r="S16" s="41">
        <v>-21818.4644430759</v>
      </c>
      <c r="T16" s="41">
        <v>-57150.848742583359</v>
      </c>
      <c r="U16" s="41">
        <v>9006000</v>
      </c>
      <c r="V16" s="41">
        <v>0</v>
      </c>
      <c r="W16" s="41">
        <v>0</v>
      </c>
      <c r="X16" s="41">
        <v>-15201.478635333069</v>
      </c>
    </row>
    <row r="17" spans="2:24">
      <c r="B17" t="s">
        <v>10</v>
      </c>
      <c r="D17" t="s">
        <v>107</v>
      </c>
      <c r="F17" s="80">
        <f t="shared" si="0"/>
        <v>41433.886652360496</v>
      </c>
      <c r="G17" s="41">
        <v>0</v>
      </c>
      <c r="H17" s="41">
        <v>0</v>
      </c>
      <c r="I17" s="81">
        <f t="shared" si="1"/>
        <v>41433.886652360496</v>
      </c>
      <c r="J17" s="81">
        <f>U17+V17</f>
        <v>0</v>
      </c>
      <c r="K17" s="81">
        <f t="shared" si="3"/>
        <v>0</v>
      </c>
      <c r="L17" s="41">
        <v>0</v>
      </c>
      <c r="M17" s="41">
        <v>0</v>
      </c>
      <c r="N17" s="41">
        <v>0</v>
      </c>
      <c r="O17" s="41">
        <v>0</v>
      </c>
      <c r="S17" s="41">
        <v>41433.886652360496</v>
      </c>
      <c r="T17" s="41">
        <v>0</v>
      </c>
      <c r="U17" s="41">
        <v>0</v>
      </c>
      <c r="V17" s="41">
        <v>0</v>
      </c>
      <c r="W17" s="41">
        <v>0</v>
      </c>
      <c r="X17" s="41">
        <v>0</v>
      </c>
    </row>
    <row r="18" spans="2:24">
      <c r="B18" t="s">
        <v>11</v>
      </c>
      <c r="D18" t="s">
        <v>107</v>
      </c>
      <c r="F18" s="80">
        <f t="shared" si="0"/>
        <v>5890.7441292685289</v>
      </c>
      <c r="G18" s="41">
        <v>0</v>
      </c>
      <c r="H18" s="41">
        <v>0</v>
      </c>
      <c r="I18" s="81">
        <f t="shared" si="1"/>
        <v>0</v>
      </c>
      <c r="J18" s="81">
        <f t="shared" si="2"/>
        <v>0</v>
      </c>
      <c r="K18" s="81">
        <f t="shared" si="3"/>
        <v>5890.7441292685289</v>
      </c>
      <c r="L18" s="41">
        <v>0</v>
      </c>
      <c r="M18" s="41">
        <v>0</v>
      </c>
      <c r="N18" s="41">
        <v>0</v>
      </c>
      <c r="O18" s="41">
        <v>0</v>
      </c>
      <c r="S18" s="41">
        <v>0</v>
      </c>
      <c r="T18" s="41">
        <v>0</v>
      </c>
      <c r="U18" s="41">
        <v>0</v>
      </c>
      <c r="V18" s="41">
        <v>0</v>
      </c>
      <c r="W18" s="41">
        <v>5890.7441292685289</v>
      </c>
      <c r="X18" s="41">
        <v>0</v>
      </c>
    </row>
    <row r="19" spans="2:24">
      <c r="B19" t="s">
        <v>12</v>
      </c>
      <c r="D19" t="s">
        <v>107</v>
      </c>
      <c r="F19" s="80">
        <f t="shared" si="0"/>
        <v>0</v>
      </c>
      <c r="G19" s="41">
        <v>0</v>
      </c>
      <c r="H19" s="41">
        <v>0</v>
      </c>
      <c r="I19" s="81">
        <f t="shared" si="1"/>
        <v>0</v>
      </c>
      <c r="J19" s="81">
        <f t="shared" si="2"/>
        <v>0</v>
      </c>
      <c r="K19" s="81">
        <f t="shared" si="3"/>
        <v>0</v>
      </c>
      <c r="L19" s="41">
        <v>0</v>
      </c>
      <c r="M19" s="41">
        <v>0</v>
      </c>
      <c r="N19" s="41">
        <v>0</v>
      </c>
      <c r="O19" s="41">
        <v>0</v>
      </c>
      <c r="S19" s="41">
        <v>0</v>
      </c>
      <c r="T19" s="41">
        <v>0</v>
      </c>
      <c r="U19" s="41">
        <v>0</v>
      </c>
      <c r="V19" s="41">
        <v>0</v>
      </c>
      <c r="W19" s="41">
        <v>0</v>
      </c>
      <c r="X19" s="41">
        <v>0</v>
      </c>
    </row>
    <row r="20" spans="2:24">
      <c r="B20" t="s">
        <v>13</v>
      </c>
      <c r="D20" t="s">
        <v>107</v>
      </c>
      <c r="F20" s="80">
        <f t="shared" si="0"/>
        <v>0</v>
      </c>
      <c r="G20" s="41">
        <v>0</v>
      </c>
      <c r="H20" s="41">
        <v>0</v>
      </c>
      <c r="I20" s="81">
        <f t="shared" si="1"/>
        <v>0</v>
      </c>
      <c r="J20" s="81">
        <f t="shared" si="2"/>
        <v>0</v>
      </c>
      <c r="K20" s="81">
        <f t="shared" si="3"/>
        <v>0</v>
      </c>
      <c r="L20" s="41">
        <v>0</v>
      </c>
      <c r="M20" s="41">
        <v>0</v>
      </c>
      <c r="N20" s="41">
        <v>0</v>
      </c>
      <c r="O20" s="41">
        <v>0</v>
      </c>
      <c r="S20" s="41">
        <v>0</v>
      </c>
      <c r="T20" s="41">
        <v>0</v>
      </c>
      <c r="U20" s="41">
        <v>0</v>
      </c>
      <c r="V20" s="41">
        <v>0</v>
      </c>
      <c r="W20" s="41">
        <v>0</v>
      </c>
      <c r="X20" s="41">
        <v>0</v>
      </c>
    </row>
    <row r="21" spans="2:24">
      <c r="F21" s="67"/>
      <c r="G21" s="38"/>
      <c r="H21" s="38"/>
      <c r="I21" s="38"/>
      <c r="J21" s="38"/>
      <c r="K21" s="38"/>
      <c r="L21" s="38"/>
      <c r="M21" s="38"/>
      <c r="N21" s="38"/>
      <c r="O21" s="38"/>
    </row>
    <row r="22" spans="2:24">
      <c r="B22" t="s">
        <v>104</v>
      </c>
      <c r="D22" t="s">
        <v>107</v>
      </c>
      <c r="F22" s="81">
        <f t="shared" ref="F22:O22" si="4">SUM(F14:F20)</f>
        <v>12429021.657306064</v>
      </c>
      <c r="G22" s="81">
        <f t="shared" si="4"/>
        <v>0</v>
      </c>
      <c r="H22" s="81">
        <f t="shared" si="4"/>
        <v>0</v>
      </c>
      <c r="I22" s="81">
        <f t="shared" si="4"/>
        <v>-37535.426533298771</v>
      </c>
      <c r="J22" s="81">
        <f t="shared" si="4"/>
        <v>11045244.300000001</v>
      </c>
      <c r="K22" s="81">
        <f t="shared" si="4"/>
        <v>1109123.1554939351</v>
      </c>
      <c r="L22" s="81">
        <f t="shared" si="4"/>
        <v>48134.270000000004</v>
      </c>
      <c r="M22" s="81">
        <f t="shared" si="4"/>
        <v>264055.35834542941</v>
      </c>
      <c r="N22" s="81">
        <f t="shared" si="4"/>
        <v>0</v>
      </c>
      <c r="O22" s="81">
        <f t="shared" si="4"/>
        <v>0</v>
      </c>
    </row>
    <row r="24" spans="2:24">
      <c r="B24" s="3"/>
    </row>
    <row r="25" spans="2:24">
      <c r="B25" s="3" t="s">
        <v>14</v>
      </c>
    </row>
    <row r="26" spans="2:24">
      <c r="B26" t="s">
        <v>6</v>
      </c>
      <c r="D26" t="s">
        <v>107</v>
      </c>
      <c r="F26" s="80">
        <f t="shared" ref="F26:F32" si="5">SUM(G26:O26)</f>
        <v>6784934.4099999992</v>
      </c>
      <c r="G26" s="41">
        <v>0</v>
      </c>
      <c r="H26" s="41">
        <v>0</v>
      </c>
      <c r="I26" s="81">
        <f t="shared" ref="I26:I32" si="6">S26+T26</f>
        <v>0</v>
      </c>
      <c r="J26" s="81">
        <f t="shared" ref="J26:J32" si="7">U26+V26</f>
        <v>4162344.3</v>
      </c>
      <c r="K26" s="81">
        <f>W26+X26</f>
        <v>1118433.8899999997</v>
      </c>
      <c r="L26" s="41">
        <v>0</v>
      </c>
      <c r="M26" s="41">
        <v>1504156.2199999997</v>
      </c>
      <c r="N26" s="41">
        <v>0</v>
      </c>
      <c r="O26" s="41">
        <v>0</v>
      </c>
      <c r="S26" s="41">
        <v>0</v>
      </c>
      <c r="T26" s="41">
        <v>0</v>
      </c>
      <c r="U26" s="41">
        <v>3236100</v>
      </c>
      <c r="V26" s="41">
        <v>926244.3</v>
      </c>
      <c r="W26" s="41">
        <v>1118433.8899999997</v>
      </c>
      <c r="X26" s="41">
        <v>0</v>
      </c>
    </row>
    <row r="27" spans="2:24">
      <c r="B27" t="s">
        <v>8</v>
      </c>
      <c r="D27" t="s">
        <v>107</v>
      </c>
      <c r="F27" s="80">
        <f t="shared" si="5"/>
        <v>212300</v>
      </c>
      <c r="G27" s="41">
        <v>0</v>
      </c>
      <c r="H27" s="41">
        <v>0</v>
      </c>
      <c r="I27" s="81">
        <f t="shared" si="6"/>
        <v>0</v>
      </c>
      <c r="J27" s="81">
        <f t="shared" si="7"/>
        <v>212300</v>
      </c>
      <c r="K27" s="81">
        <f t="shared" ref="K27:K32" si="8">W27+X27</f>
        <v>0</v>
      </c>
      <c r="L27" s="41">
        <v>0</v>
      </c>
      <c r="M27" s="41">
        <v>0</v>
      </c>
      <c r="N27" s="41">
        <v>0</v>
      </c>
      <c r="O27" s="41">
        <v>0</v>
      </c>
      <c r="S27" s="41">
        <v>0</v>
      </c>
      <c r="T27" s="41">
        <v>0</v>
      </c>
      <c r="U27" s="41">
        <v>212300</v>
      </c>
      <c r="V27" s="41">
        <v>0</v>
      </c>
      <c r="W27" s="41">
        <v>0</v>
      </c>
      <c r="X27" s="41">
        <v>0</v>
      </c>
    </row>
    <row r="28" spans="2:24">
      <c r="B28" t="s">
        <v>9</v>
      </c>
      <c r="D28" t="s">
        <v>107</v>
      </c>
      <c r="F28" s="80">
        <f t="shared" si="5"/>
        <v>7828024.6000638492</v>
      </c>
      <c r="G28" s="41">
        <v>0</v>
      </c>
      <c r="H28" s="41">
        <v>0</v>
      </c>
      <c r="I28" s="81">
        <f t="shared" si="6"/>
        <v>0</v>
      </c>
      <c r="J28" s="81">
        <f t="shared" si="7"/>
        <v>7828024.6000638492</v>
      </c>
      <c r="K28" s="81">
        <f t="shared" si="8"/>
        <v>0</v>
      </c>
      <c r="L28" s="41">
        <v>0</v>
      </c>
      <c r="M28" s="41">
        <v>0</v>
      </c>
      <c r="N28" s="41">
        <v>0</v>
      </c>
      <c r="O28" s="41">
        <v>0</v>
      </c>
      <c r="S28" s="41">
        <v>0</v>
      </c>
      <c r="T28" s="41">
        <v>0</v>
      </c>
      <c r="U28" s="41">
        <v>7828024.6000638492</v>
      </c>
      <c r="V28" s="41">
        <v>0</v>
      </c>
      <c r="W28" s="41">
        <v>0</v>
      </c>
      <c r="X28" s="41">
        <v>0</v>
      </c>
    </row>
    <row r="29" spans="2:24">
      <c r="B29" t="s">
        <v>10</v>
      </c>
      <c r="D29" t="s">
        <v>107</v>
      </c>
      <c r="F29" s="80">
        <f t="shared" si="5"/>
        <v>41433.886652360496</v>
      </c>
      <c r="G29" s="41">
        <v>0</v>
      </c>
      <c r="H29" s="41">
        <v>0</v>
      </c>
      <c r="I29" s="81">
        <f t="shared" si="6"/>
        <v>41433.886652360496</v>
      </c>
      <c r="J29" s="81">
        <f t="shared" si="7"/>
        <v>0</v>
      </c>
      <c r="K29" s="81">
        <f>W29+X29</f>
        <v>0</v>
      </c>
      <c r="L29" s="41">
        <v>0</v>
      </c>
      <c r="M29" s="41">
        <v>0</v>
      </c>
      <c r="N29" s="41">
        <v>0</v>
      </c>
      <c r="O29" s="41">
        <v>0</v>
      </c>
      <c r="S29" s="41">
        <v>41433.886652360496</v>
      </c>
      <c r="T29" s="41">
        <v>0</v>
      </c>
      <c r="U29" s="41">
        <v>0</v>
      </c>
      <c r="V29" s="41">
        <v>0</v>
      </c>
      <c r="W29" s="41">
        <v>0</v>
      </c>
      <c r="X29" s="41">
        <v>0</v>
      </c>
    </row>
    <row r="30" spans="2:24">
      <c r="B30" t="s">
        <v>11</v>
      </c>
      <c r="D30" t="s">
        <v>107</v>
      </c>
      <c r="F30" s="80">
        <f t="shared" si="5"/>
        <v>5890.7441292685289</v>
      </c>
      <c r="G30" s="41">
        <v>0</v>
      </c>
      <c r="H30" s="41">
        <v>0</v>
      </c>
      <c r="I30" s="81">
        <f t="shared" si="6"/>
        <v>0</v>
      </c>
      <c r="J30" s="81">
        <f t="shared" si="7"/>
        <v>0</v>
      </c>
      <c r="K30" s="81">
        <f t="shared" si="8"/>
        <v>5890.7441292685289</v>
      </c>
      <c r="L30" s="41">
        <v>0</v>
      </c>
      <c r="M30" s="41">
        <v>0</v>
      </c>
      <c r="N30" s="41">
        <v>0</v>
      </c>
      <c r="O30" s="41">
        <v>0</v>
      </c>
      <c r="S30" s="41">
        <v>0</v>
      </c>
      <c r="T30" s="41">
        <v>0</v>
      </c>
      <c r="U30" s="41">
        <v>0</v>
      </c>
      <c r="V30" s="41">
        <v>0</v>
      </c>
      <c r="W30" s="41">
        <v>5890.7441292685289</v>
      </c>
      <c r="X30" s="41">
        <v>0</v>
      </c>
    </row>
    <row r="31" spans="2:24">
      <c r="B31" t="s">
        <v>12</v>
      </c>
      <c r="D31" t="s">
        <v>107</v>
      </c>
      <c r="F31" s="80">
        <f t="shared" si="5"/>
        <v>0</v>
      </c>
      <c r="G31" s="41">
        <v>0</v>
      </c>
      <c r="H31" s="41">
        <v>0</v>
      </c>
      <c r="I31" s="81">
        <f t="shared" si="6"/>
        <v>0</v>
      </c>
      <c r="J31" s="81">
        <f t="shared" si="7"/>
        <v>0</v>
      </c>
      <c r="K31" s="81">
        <f t="shared" si="8"/>
        <v>0</v>
      </c>
      <c r="L31" s="41">
        <v>0</v>
      </c>
      <c r="M31" s="41">
        <v>0</v>
      </c>
      <c r="N31" s="41">
        <v>0</v>
      </c>
      <c r="O31" s="41">
        <v>0</v>
      </c>
      <c r="S31" s="41">
        <v>0</v>
      </c>
      <c r="T31" s="41">
        <v>0</v>
      </c>
      <c r="U31" s="41">
        <v>0</v>
      </c>
      <c r="V31" s="41">
        <v>0</v>
      </c>
      <c r="W31" s="41">
        <v>0</v>
      </c>
      <c r="X31" s="41">
        <v>0</v>
      </c>
    </row>
    <row r="32" spans="2:24">
      <c r="B32" t="s">
        <v>13</v>
      </c>
      <c r="D32" t="s">
        <v>107</v>
      </c>
      <c r="F32" s="80">
        <f t="shared" si="5"/>
        <v>0</v>
      </c>
      <c r="G32" s="41">
        <v>0</v>
      </c>
      <c r="H32" s="41">
        <v>0</v>
      </c>
      <c r="I32" s="81">
        <f t="shared" si="6"/>
        <v>0</v>
      </c>
      <c r="J32" s="81">
        <f t="shared" si="7"/>
        <v>0</v>
      </c>
      <c r="K32" s="81">
        <f t="shared" si="8"/>
        <v>0</v>
      </c>
      <c r="L32" s="41">
        <v>0</v>
      </c>
      <c r="M32" s="41">
        <v>0</v>
      </c>
      <c r="N32" s="41">
        <v>0</v>
      </c>
      <c r="O32" s="41">
        <v>0</v>
      </c>
      <c r="S32" s="41">
        <v>0</v>
      </c>
      <c r="T32" s="41">
        <v>0</v>
      </c>
      <c r="U32" s="41">
        <v>0</v>
      </c>
      <c r="V32" s="41">
        <v>0</v>
      </c>
      <c r="W32" s="41">
        <v>0</v>
      </c>
      <c r="X32" s="41">
        <v>0</v>
      </c>
    </row>
    <row r="33" spans="2:24">
      <c r="F33" s="67"/>
      <c r="G33" s="38"/>
      <c r="H33" s="38"/>
      <c r="I33" s="38"/>
      <c r="J33" s="38"/>
      <c r="K33" s="38"/>
      <c r="L33" s="38"/>
      <c r="M33" s="38"/>
      <c r="N33" s="38"/>
      <c r="O33" s="38"/>
    </row>
    <row r="34" spans="2:24">
      <c r="B34" t="s">
        <v>104</v>
      </c>
      <c r="D34" t="s">
        <v>107</v>
      </c>
      <c r="F34" s="81">
        <f t="shared" ref="F34:O34" si="9">SUM(F26:F32)</f>
        <v>14872583.640845478</v>
      </c>
      <c r="G34" s="81">
        <f t="shared" si="9"/>
        <v>0</v>
      </c>
      <c r="H34" s="81">
        <f t="shared" si="9"/>
        <v>0</v>
      </c>
      <c r="I34" s="81">
        <f t="shared" si="9"/>
        <v>41433.886652360496</v>
      </c>
      <c r="J34" s="81">
        <f t="shared" si="9"/>
        <v>12202668.90006385</v>
      </c>
      <c r="K34" s="81">
        <f t="shared" si="9"/>
        <v>1124324.6341292681</v>
      </c>
      <c r="L34" s="81">
        <f t="shared" si="9"/>
        <v>0</v>
      </c>
      <c r="M34" s="81">
        <f t="shared" si="9"/>
        <v>1504156.2199999997</v>
      </c>
      <c r="N34" s="81">
        <f t="shared" si="9"/>
        <v>0</v>
      </c>
      <c r="O34" s="81">
        <f t="shared" si="9"/>
        <v>0</v>
      </c>
    </row>
    <row r="37" spans="2:24">
      <c r="B37" s="55" t="s">
        <v>15</v>
      </c>
    </row>
    <row r="38" spans="2:24">
      <c r="B38" s="28" t="s">
        <v>666</v>
      </c>
      <c r="D38" t="s">
        <v>107</v>
      </c>
      <c r="F38" s="80">
        <f t="shared" ref="F38:F47" si="10">SUM(G38:O38)</f>
        <v>5222.8500000000004</v>
      </c>
      <c r="G38" s="41">
        <v>5222.8500000000004</v>
      </c>
      <c r="H38" s="41">
        <v>0</v>
      </c>
      <c r="I38" s="81">
        <f t="shared" ref="I38:I47" si="11">S38+T38</f>
        <v>0</v>
      </c>
      <c r="J38" s="81">
        <f t="shared" ref="J38:J47" si="12">U38+V38</f>
        <v>0</v>
      </c>
      <c r="K38" s="81">
        <f>W38+X38</f>
        <v>0</v>
      </c>
      <c r="L38" s="41">
        <v>0</v>
      </c>
      <c r="M38" s="41">
        <v>0</v>
      </c>
      <c r="N38" s="41">
        <v>0</v>
      </c>
      <c r="O38" s="41">
        <v>0</v>
      </c>
      <c r="S38" s="41">
        <v>0</v>
      </c>
      <c r="T38" s="41">
        <v>0</v>
      </c>
      <c r="U38" s="41">
        <v>0</v>
      </c>
      <c r="V38" s="41">
        <v>0</v>
      </c>
      <c r="W38" s="41">
        <v>0</v>
      </c>
      <c r="X38" s="41">
        <v>0</v>
      </c>
    </row>
    <row r="39" spans="2:24">
      <c r="B39" t="s">
        <v>16</v>
      </c>
      <c r="D39" t="s">
        <v>107</v>
      </c>
      <c r="F39" s="80">
        <f t="shared" si="10"/>
        <v>40603.22</v>
      </c>
      <c r="G39" s="41">
        <v>173.55000000000018</v>
      </c>
      <c r="H39" s="41">
        <v>0</v>
      </c>
      <c r="I39" s="81">
        <f t="shared" si="11"/>
        <v>0</v>
      </c>
      <c r="J39" s="81">
        <f t="shared" si="12"/>
        <v>0</v>
      </c>
      <c r="K39" s="81">
        <f t="shared" ref="K39:K47" si="13">W39+X39</f>
        <v>0</v>
      </c>
      <c r="L39" s="41">
        <v>0</v>
      </c>
      <c r="M39" s="41">
        <v>40429.67</v>
      </c>
      <c r="N39" s="41">
        <v>0</v>
      </c>
      <c r="O39" s="41">
        <v>0</v>
      </c>
      <c r="S39" s="41">
        <v>0</v>
      </c>
      <c r="T39" s="41">
        <v>0</v>
      </c>
      <c r="U39" s="41">
        <v>0</v>
      </c>
      <c r="V39" s="41">
        <v>0</v>
      </c>
      <c r="W39" s="41">
        <v>0</v>
      </c>
      <c r="X39" s="41">
        <v>0</v>
      </c>
    </row>
    <row r="40" spans="2:24">
      <c r="B40" t="s">
        <v>17</v>
      </c>
      <c r="D40" t="s">
        <v>107</v>
      </c>
      <c r="F40" s="80">
        <f t="shared" si="10"/>
        <v>584622.77</v>
      </c>
      <c r="G40" s="41">
        <v>822.77000000000407</v>
      </c>
      <c r="H40" s="41">
        <v>0</v>
      </c>
      <c r="I40" s="81">
        <f t="shared" si="11"/>
        <v>0</v>
      </c>
      <c r="J40" s="81">
        <f t="shared" si="12"/>
        <v>583800</v>
      </c>
      <c r="K40" s="81">
        <f t="shared" si="13"/>
        <v>0</v>
      </c>
      <c r="L40" s="41">
        <v>0</v>
      </c>
      <c r="M40" s="41">
        <v>0</v>
      </c>
      <c r="N40" s="41">
        <v>0</v>
      </c>
      <c r="O40" s="41">
        <v>0</v>
      </c>
      <c r="S40" s="41">
        <v>0</v>
      </c>
      <c r="T40" s="41">
        <v>0</v>
      </c>
      <c r="U40" s="41">
        <v>583800</v>
      </c>
      <c r="V40" s="41">
        <v>0</v>
      </c>
      <c r="W40" s="41">
        <v>0</v>
      </c>
      <c r="X40" s="41">
        <v>0</v>
      </c>
    </row>
    <row r="41" spans="2:24">
      <c r="B41" t="s">
        <v>667</v>
      </c>
      <c r="D41" t="s">
        <v>107</v>
      </c>
      <c r="F41" s="80">
        <f t="shared" si="10"/>
        <v>2010720.519518201</v>
      </c>
      <c r="G41" s="41">
        <v>25489.124164751051</v>
      </c>
      <c r="H41" s="41">
        <v>0</v>
      </c>
      <c r="I41" s="81">
        <f t="shared" si="11"/>
        <v>0</v>
      </c>
      <c r="J41" s="81">
        <f t="shared" si="12"/>
        <v>1171375.3912644142</v>
      </c>
      <c r="K41" s="81">
        <f t="shared" si="13"/>
        <v>363816.33500000002</v>
      </c>
      <c r="L41" s="41">
        <v>56698.66</v>
      </c>
      <c r="M41" s="41">
        <v>380123.37702093029</v>
      </c>
      <c r="N41" s="41">
        <v>13217.632068105742</v>
      </c>
      <c r="O41" s="41">
        <v>0</v>
      </c>
      <c r="S41" s="41">
        <v>0</v>
      </c>
      <c r="T41" s="41">
        <v>0</v>
      </c>
      <c r="U41" s="41">
        <v>1157900</v>
      </c>
      <c r="V41" s="41">
        <v>13475.391264414213</v>
      </c>
      <c r="W41" s="41">
        <v>363816.33500000002</v>
      </c>
      <c r="X41" s="41">
        <v>0</v>
      </c>
    </row>
    <row r="42" spans="2:24">
      <c r="B42" t="s">
        <v>668</v>
      </c>
      <c r="D42" t="s">
        <v>107</v>
      </c>
      <c r="F42" s="80">
        <f t="shared" si="10"/>
        <v>4884333.3436102634</v>
      </c>
      <c r="G42" s="41">
        <v>0</v>
      </c>
      <c r="H42" s="41">
        <v>3981</v>
      </c>
      <c r="I42" s="81">
        <f t="shared" si="11"/>
        <v>0</v>
      </c>
      <c r="J42" s="81">
        <f t="shared" si="12"/>
        <v>115129.46</v>
      </c>
      <c r="K42" s="81">
        <f t="shared" si="13"/>
        <v>3949991.8496101694</v>
      </c>
      <c r="L42" s="41">
        <v>22674.69</v>
      </c>
      <c r="M42" s="41">
        <v>792556.34400009387</v>
      </c>
      <c r="N42" s="41">
        <v>0</v>
      </c>
      <c r="O42" s="41">
        <v>0</v>
      </c>
      <c r="S42" s="41">
        <v>0</v>
      </c>
      <c r="T42" s="41">
        <v>0</v>
      </c>
      <c r="U42" s="41">
        <v>0</v>
      </c>
      <c r="V42" s="41">
        <v>115129.46</v>
      </c>
      <c r="W42" s="41">
        <v>3949991.8496101694</v>
      </c>
      <c r="X42" s="41">
        <v>0</v>
      </c>
    </row>
    <row r="43" spans="2:24">
      <c r="B43" t="s">
        <v>9</v>
      </c>
      <c r="D43" t="s">
        <v>107</v>
      </c>
      <c r="F43" s="80">
        <f t="shared" si="10"/>
        <v>46757.5</v>
      </c>
      <c r="G43" s="41">
        <v>46757.5</v>
      </c>
      <c r="H43" s="41">
        <v>0</v>
      </c>
      <c r="I43" s="81">
        <f t="shared" si="11"/>
        <v>0</v>
      </c>
      <c r="J43" s="81">
        <f t="shared" si="12"/>
        <v>0</v>
      </c>
      <c r="K43" s="81">
        <f t="shared" si="13"/>
        <v>0</v>
      </c>
      <c r="L43" s="41">
        <v>0</v>
      </c>
      <c r="M43" s="41">
        <v>0</v>
      </c>
      <c r="N43" s="41">
        <v>0</v>
      </c>
      <c r="O43" s="41">
        <v>0</v>
      </c>
      <c r="S43" s="41">
        <v>0</v>
      </c>
      <c r="T43" s="41">
        <v>0</v>
      </c>
      <c r="U43" s="41">
        <v>0</v>
      </c>
      <c r="V43" s="41">
        <v>0</v>
      </c>
      <c r="W43" s="41">
        <v>0</v>
      </c>
      <c r="X43" s="41">
        <v>0</v>
      </c>
    </row>
    <row r="44" spans="2:24">
      <c r="B44" t="s">
        <v>10</v>
      </c>
      <c r="D44" t="s">
        <v>107</v>
      </c>
      <c r="F44" s="80">
        <f t="shared" si="10"/>
        <v>0</v>
      </c>
      <c r="G44" s="41">
        <v>0</v>
      </c>
      <c r="H44" s="41">
        <v>0</v>
      </c>
      <c r="I44" s="81">
        <f t="shared" si="11"/>
        <v>0</v>
      </c>
      <c r="J44" s="81">
        <f t="shared" si="12"/>
        <v>0</v>
      </c>
      <c r="K44" s="81">
        <f t="shared" si="13"/>
        <v>0</v>
      </c>
      <c r="L44" s="41">
        <v>0</v>
      </c>
      <c r="M44" s="41">
        <v>0</v>
      </c>
      <c r="N44" s="41">
        <v>0</v>
      </c>
      <c r="O44" s="41">
        <v>0</v>
      </c>
      <c r="S44" s="41">
        <v>0</v>
      </c>
      <c r="T44" s="41">
        <v>0</v>
      </c>
      <c r="U44" s="41">
        <v>0</v>
      </c>
      <c r="V44" s="41">
        <v>0</v>
      </c>
      <c r="W44" s="41">
        <v>0</v>
      </c>
      <c r="X44" s="41">
        <v>0</v>
      </c>
    </row>
    <row r="45" spans="2:24">
      <c r="B45" t="s">
        <v>11</v>
      </c>
      <c r="D45" t="s">
        <v>107</v>
      </c>
      <c r="F45" s="80">
        <f t="shared" si="10"/>
        <v>0</v>
      </c>
      <c r="G45" s="41">
        <v>0</v>
      </c>
      <c r="H45" s="41">
        <v>0</v>
      </c>
      <c r="I45" s="81">
        <f t="shared" si="11"/>
        <v>0</v>
      </c>
      <c r="J45" s="81">
        <f t="shared" si="12"/>
        <v>0</v>
      </c>
      <c r="K45" s="81">
        <f t="shared" si="13"/>
        <v>0</v>
      </c>
      <c r="L45" s="41">
        <v>0</v>
      </c>
      <c r="M45" s="41">
        <v>0</v>
      </c>
      <c r="N45" s="41">
        <v>0</v>
      </c>
      <c r="O45" s="41">
        <v>0</v>
      </c>
      <c r="S45" s="41">
        <v>0</v>
      </c>
      <c r="T45" s="41">
        <v>0</v>
      </c>
      <c r="U45" s="41">
        <v>0</v>
      </c>
      <c r="V45" s="41">
        <v>0</v>
      </c>
      <c r="W45" s="41">
        <v>0</v>
      </c>
      <c r="X45" s="41">
        <v>0</v>
      </c>
    </row>
    <row r="46" spans="2:24">
      <c r="B46" t="s">
        <v>12</v>
      </c>
      <c r="D46" t="s">
        <v>107</v>
      </c>
      <c r="F46" s="80">
        <f t="shared" si="10"/>
        <v>0</v>
      </c>
      <c r="G46" s="41">
        <v>0</v>
      </c>
      <c r="H46" s="41">
        <v>0</v>
      </c>
      <c r="I46" s="81">
        <f t="shared" si="11"/>
        <v>0</v>
      </c>
      <c r="J46" s="81">
        <f t="shared" si="12"/>
        <v>0</v>
      </c>
      <c r="K46" s="81">
        <f>W46+X46</f>
        <v>0</v>
      </c>
      <c r="L46" s="41">
        <v>0</v>
      </c>
      <c r="M46" s="41">
        <v>0</v>
      </c>
      <c r="N46" s="41">
        <v>0</v>
      </c>
      <c r="O46" s="41">
        <v>0</v>
      </c>
      <c r="S46" s="41">
        <v>0</v>
      </c>
      <c r="T46" s="41">
        <v>0</v>
      </c>
      <c r="U46" s="41">
        <v>0</v>
      </c>
      <c r="V46" s="41">
        <v>0</v>
      </c>
      <c r="W46" s="41">
        <v>0</v>
      </c>
      <c r="X46" s="41">
        <v>0</v>
      </c>
    </row>
    <row r="47" spans="2:24">
      <c r="B47" t="s">
        <v>13</v>
      </c>
      <c r="D47" t="s">
        <v>107</v>
      </c>
      <c r="F47" s="80">
        <f t="shared" si="10"/>
        <v>0</v>
      </c>
      <c r="G47" s="41">
        <v>0</v>
      </c>
      <c r="H47" s="41">
        <v>0</v>
      </c>
      <c r="I47" s="81">
        <f t="shared" si="11"/>
        <v>0</v>
      </c>
      <c r="J47" s="81">
        <f t="shared" si="12"/>
        <v>0</v>
      </c>
      <c r="K47" s="81">
        <f t="shared" si="13"/>
        <v>0</v>
      </c>
      <c r="L47" s="41">
        <v>0</v>
      </c>
      <c r="M47" s="41">
        <v>0</v>
      </c>
      <c r="N47" s="41">
        <v>0</v>
      </c>
      <c r="O47" s="41">
        <v>0</v>
      </c>
      <c r="S47" s="41">
        <v>0</v>
      </c>
      <c r="T47" s="41">
        <v>0</v>
      </c>
      <c r="U47" s="41">
        <v>0</v>
      </c>
      <c r="V47" s="41">
        <v>0</v>
      </c>
      <c r="W47" s="41">
        <v>0</v>
      </c>
      <c r="X47" s="41">
        <v>0</v>
      </c>
    </row>
    <row r="48" spans="2:24">
      <c r="F48" s="67"/>
      <c r="G48" s="38"/>
      <c r="H48" s="38"/>
      <c r="I48" s="38"/>
      <c r="J48" s="38"/>
      <c r="K48" s="38"/>
      <c r="L48" s="38"/>
      <c r="M48" s="38"/>
      <c r="N48" s="38"/>
      <c r="O48" s="38"/>
    </row>
    <row r="49" spans="2:24">
      <c r="B49" t="s">
        <v>104</v>
      </c>
      <c r="D49" t="s">
        <v>107</v>
      </c>
      <c r="F49" s="81">
        <f t="shared" ref="F49:O49" si="14">SUM(F38:F47)</f>
        <v>7572260.2031284645</v>
      </c>
      <c r="G49" s="81">
        <f t="shared" si="14"/>
        <v>78465.79416475106</v>
      </c>
      <c r="H49" s="81">
        <f t="shared" si="14"/>
        <v>3981</v>
      </c>
      <c r="I49" s="81">
        <f t="shared" si="14"/>
        <v>0</v>
      </c>
      <c r="J49" s="81">
        <f t="shared" si="14"/>
        <v>1870304.8512644141</v>
      </c>
      <c r="K49" s="81">
        <f t="shared" si="14"/>
        <v>4313808.1846101694</v>
      </c>
      <c r="L49" s="81">
        <f t="shared" si="14"/>
        <v>79373.350000000006</v>
      </c>
      <c r="M49" s="81">
        <f t="shared" si="14"/>
        <v>1213109.3910210242</v>
      </c>
      <c r="N49" s="81">
        <f t="shared" si="14"/>
        <v>13217.632068105742</v>
      </c>
      <c r="O49" s="81">
        <f t="shared" si="14"/>
        <v>0</v>
      </c>
    </row>
    <row r="50" spans="2:24">
      <c r="C50" s="28"/>
    </row>
    <row r="51" spans="2:24">
      <c r="C51" s="28"/>
    </row>
    <row r="52" spans="2:24">
      <c r="B52" s="3" t="s">
        <v>663</v>
      </c>
      <c r="C52" s="28"/>
    </row>
    <row r="53" spans="2:24">
      <c r="B53" s="51" t="s">
        <v>677</v>
      </c>
      <c r="C53" s="28"/>
      <c r="D53" t="s">
        <v>107</v>
      </c>
      <c r="F53" s="80">
        <f>SUM(G53:N53)</f>
        <v>3000</v>
      </c>
      <c r="G53" s="41"/>
      <c r="H53" s="41"/>
      <c r="I53" s="474">
        <f t="shared" ref="I53" si="15">S53+T53</f>
        <v>3000</v>
      </c>
      <c r="J53" s="81">
        <f t="shared" ref="J53" si="16">U53+V53</f>
        <v>0</v>
      </c>
      <c r="K53" s="81">
        <f t="shared" ref="K53" si="17">W53+X53</f>
        <v>0</v>
      </c>
      <c r="L53" s="41"/>
      <c r="M53" s="41"/>
      <c r="N53" s="41"/>
      <c r="O53" s="41"/>
      <c r="S53" s="473">
        <f>'Aanpassing gegevens (aug. 2016)'!J24</f>
        <v>3000</v>
      </c>
      <c r="T53" s="41"/>
      <c r="U53" s="41"/>
      <c r="V53" s="41"/>
      <c r="W53" s="41"/>
      <c r="X53" s="41"/>
    </row>
    <row r="56" spans="2:24">
      <c r="B56" s="3" t="s">
        <v>31</v>
      </c>
      <c r="C56" s="28"/>
    </row>
    <row r="57" spans="2:24">
      <c r="B57" t="s">
        <v>32</v>
      </c>
      <c r="C57" s="28"/>
      <c r="D57" t="s">
        <v>107</v>
      </c>
      <c r="F57" s="80">
        <f>SUM(G57:N57)</f>
        <v>0</v>
      </c>
      <c r="G57" s="41"/>
      <c r="H57" s="41"/>
      <c r="I57" s="81">
        <f t="shared" ref="I57" si="18">S57+T57</f>
        <v>0</v>
      </c>
      <c r="J57" s="81">
        <f t="shared" ref="J57" si="19">U57+V57</f>
        <v>0</v>
      </c>
      <c r="K57" s="81">
        <f t="shared" ref="K57" si="20">W57+X57</f>
        <v>0</v>
      </c>
      <c r="L57" s="41"/>
      <c r="M57" s="41"/>
      <c r="N57" s="41"/>
      <c r="O57" s="41"/>
      <c r="S57" s="41"/>
      <c r="T57" s="41"/>
      <c r="U57" s="41"/>
      <c r="V57" s="41"/>
      <c r="W57" s="41"/>
      <c r="X57" s="41"/>
    </row>
    <row r="59" spans="2:24">
      <c r="B59" s="79"/>
    </row>
    <row r="60" spans="2:24" s="2" customFormat="1">
      <c r="B60" s="2" t="s">
        <v>18</v>
      </c>
      <c r="F60" s="49"/>
    </row>
    <row r="62" spans="2:24">
      <c r="B62" s="3" t="s">
        <v>5</v>
      </c>
      <c r="F62" s="219"/>
    </row>
    <row r="63" spans="2:24">
      <c r="B63" t="s">
        <v>6</v>
      </c>
      <c r="D63" t="s">
        <v>108</v>
      </c>
      <c r="F63" s="80">
        <f t="shared" ref="F63:F69" si="21">SUM(G63:O63)</f>
        <v>3534266.3132127933</v>
      </c>
      <c r="G63" s="41">
        <v>0</v>
      </c>
      <c r="H63" s="41">
        <v>0</v>
      </c>
      <c r="I63" s="81">
        <f t="shared" ref="I63:I69" si="22">S63+T63</f>
        <v>9083.7699946602515</v>
      </c>
      <c r="J63" s="81">
        <f t="shared" ref="J63:J69" si="23">U63+V63</f>
        <v>1035773</v>
      </c>
      <c r="K63" s="81">
        <f>W63+X63</f>
        <v>2110218.66</v>
      </c>
      <c r="L63" s="41">
        <v>0</v>
      </c>
      <c r="M63" s="41">
        <v>379190.88321813295</v>
      </c>
      <c r="N63" s="41">
        <v>0</v>
      </c>
      <c r="O63" s="41">
        <v>0</v>
      </c>
      <c r="S63" s="41">
        <v>518.11999999999534</v>
      </c>
      <c r="T63" s="41">
        <v>8565.6499946602562</v>
      </c>
      <c r="U63" s="41">
        <v>344000</v>
      </c>
      <c r="V63" s="41">
        <v>691773</v>
      </c>
      <c r="W63" s="41">
        <v>2109335.66</v>
      </c>
      <c r="X63" s="41">
        <v>883</v>
      </c>
    </row>
    <row r="64" spans="2:24">
      <c r="B64" t="s">
        <v>665</v>
      </c>
      <c r="D64" t="s">
        <v>108</v>
      </c>
      <c r="F64" s="80">
        <f t="shared" si="21"/>
        <v>228947</v>
      </c>
      <c r="G64" s="41">
        <v>0</v>
      </c>
      <c r="H64" s="41">
        <v>0</v>
      </c>
      <c r="I64" s="81">
        <f t="shared" si="22"/>
        <v>0</v>
      </c>
      <c r="J64" s="81">
        <f t="shared" si="23"/>
        <v>219000</v>
      </c>
      <c r="K64" s="81">
        <f t="shared" ref="K64:K69" si="24">W64+X64</f>
        <v>0</v>
      </c>
      <c r="L64" s="41">
        <v>9947</v>
      </c>
      <c r="M64" s="41">
        <v>0</v>
      </c>
      <c r="N64" s="41">
        <v>0</v>
      </c>
      <c r="O64" s="41">
        <v>0</v>
      </c>
      <c r="S64" s="41">
        <v>0</v>
      </c>
      <c r="T64" s="41">
        <v>0</v>
      </c>
      <c r="U64" s="41">
        <v>219000</v>
      </c>
      <c r="V64" s="41">
        <v>0</v>
      </c>
      <c r="W64" s="41">
        <v>0</v>
      </c>
      <c r="X64" s="41">
        <v>0</v>
      </c>
    </row>
    <row r="65" spans="2:24">
      <c r="B65" t="s">
        <v>9</v>
      </c>
      <c r="D65" t="s">
        <v>108</v>
      </c>
      <c r="F65" s="80">
        <f t="shared" si="21"/>
        <v>7908616.8506090278</v>
      </c>
      <c r="G65" s="41">
        <v>0</v>
      </c>
      <c r="H65" s="41">
        <v>0</v>
      </c>
      <c r="I65" s="81">
        <f t="shared" si="22"/>
        <v>384164.33732397913</v>
      </c>
      <c r="J65" s="81">
        <f t="shared" si="23"/>
        <v>6176000</v>
      </c>
      <c r="K65" s="81">
        <f t="shared" si="24"/>
        <v>1311287.8732850491</v>
      </c>
      <c r="L65" s="41">
        <v>3279</v>
      </c>
      <c r="M65" s="41">
        <v>33885.64</v>
      </c>
      <c r="N65" s="41">
        <v>0</v>
      </c>
      <c r="O65" s="41">
        <v>0</v>
      </c>
      <c r="S65" s="41">
        <v>187604.700165424</v>
      </c>
      <c r="T65" s="41">
        <v>196559.63715855515</v>
      </c>
      <c r="U65" s="313">
        <f>5876000+'Aanpassing gegevens (sep.2014)'!H130</f>
        <v>6176000</v>
      </c>
      <c r="V65" s="41">
        <v>0</v>
      </c>
      <c r="W65" s="41">
        <v>1256671.5941141769</v>
      </c>
      <c r="X65" s="41">
        <v>54616.27917087212</v>
      </c>
    </row>
    <row r="66" spans="2:24">
      <c r="B66" t="s">
        <v>10</v>
      </c>
      <c r="D66" t="s">
        <v>108</v>
      </c>
      <c r="F66" s="80">
        <f t="shared" si="21"/>
        <v>0</v>
      </c>
      <c r="G66" s="41">
        <v>0</v>
      </c>
      <c r="H66" s="41">
        <v>0</v>
      </c>
      <c r="I66" s="81">
        <f t="shared" si="22"/>
        <v>0</v>
      </c>
      <c r="J66" s="81">
        <f t="shared" si="23"/>
        <v>0</v>
      </c>
      <c r="K66" s="81">
        <f t="shared" si="24"/>
        <v>0</v>
      </c>
      <c r="L66" s="41">
        <v>0</v>
      </c>
      <c r="M66" s="41">
        <v>0</v>
      </c>
      <c r="N66" s="41">
        <v>0</v>
      </c>
      <c r="O66" s="41">
        <v>0</v>
      </c>
      <c r="S66" s="41">
        <v>0</v>
      </c>
      <c r="T66" s="41">
        <v>0</v>
      </c>
      <c r="U66" s="41">
        <v>0</v>
      </c>
      <c r="V66" s="41">
        <v>0</v>
      </c>
      <c r="W66" s="41">
        <v>0</v>
      </c>
      <c r="X66" s="41">
        <v>0</v>
      </c>
    </row>
    <row r="67" spans="2:24">
      <c r="B67" t="s">
        <v>11</v>
      </c>
      <c r="D67" t="s">
        <v>108</v>
      </c>
      <c r="F67" s="80">
        <f t="shared" si="21"/>
        <v>0</v>
      </c>
      <c r="G67" s="41">
        <v>0</v>
      </c>
      <c r="H67" s="41">
        <v>0</v>
      </c>
      <c r="I67" s="81">
        <f t="shared" si="22"/>
        <v>0</v>
      </c>
      <c r="J67" s="81">
        <f t="shared" si="23"/>
        <v>0</v>
      </c>
      <c r="K67" s="81">
        <f t="shared" si="24"/>
        <v>0</v>
      </c>
      <c r="L67" s="41">
        <v>0</v>
      </c>
      <c r="M67" s="41">
        <v>0</v>
      </c>
      <c r="N67" s="41">
        <v>0</v>
      </c>
      <c r="O67" s="41">
        <v>0</v>
      </c>
      <c r="S67" s="41">
        <v>0</v>
      </c>
      <c r="T67" s="41">
        <v>0</v>
      </c>
      <c r="U67" s="41">
        <v>0</v>
      </c>
      <c r="V67" s="41">
        <v>0</v>
      </c>
      <c r="W67" s="41">
        <v>0</v>
      </c>
      <c r="X67" s="41">
        <v>0</v>
      </c>
    </row>
    <row r="68" spans="2:24">
      <c r="B68" t="s">
        <v>12</v>
      </c>
      <c r="D68" t="s">
        <v>108</v>
      </c>
      <c r="F68" s="80">
        <f t="shared" si="21"/>
        <v>0</v>
      </c>
      <c r="G68" s="41">
        <v>0</v>
      </c>
      <c r="H68" s="41">
        <v>0</v>
      </c>
      <c r="I68" s="81">
        <f t="shared" si="22"/>
        <v>0</v>
      </c>
      <c r="J68" s="81">
        <f t="shared" si="23"/>
        <v>0</v>
      </c>
      <c r="K68" s="81">
        <f t="shared" si="24"/>
        <v>0</v>
      </c>
      <c r="L68" s="41">
        <v>0</v>
      </c>
      <c r="M68" s="41">
        <v>0</v>
      </c>
      <c r="N68" s="41">
        <v>0</v>
      </c>
      <c r="O68" s="41">
        <v>0</v>
      </c>
      <c r="S68" s="41">
        <v>0</v>
      </c>
      <c r="T68" s="41">
        <v>0</v>
      </c>
      <c r="U68" s="41">
        <v>0</v>
      </c>
      <c r="V68" s="41">
        <v>0</v>
      </c>
      <c r="W68" s="41">
        <v>0</v>
      </c>
      <c r="X68" s="41">
        <v>0</v>
      </c>
    </row>
    <row r="69" spans="2:24">
      <c r="B69" t="s">
        <v>13</v>
      </c>
      <c r="D69" t="s">
        <v>108</v>
      </c>
      <c r="F69" s="80">
        <f t="shared" si="21"/>
        <v>0</v>
      </c>
      <c r="G69" s="41">
        <v>0</v>
      </c>
      <c r="H69" s="41">
        <v>0</v>
      </c>
      <c r="I69" s="81">
        <f t="shared" si="22"/>
        <v>0</v>
      </c>
      <c r="J69" s="81">
        <f t="shared" si="23"/>
        <v>0</v>
      </c>
      <c r="K69" s="81">
        <f t="shared" si="24"/>
        <v>0</v>
      </c>
      <c r="L69" s="41">
        <v>0</v>
      </c>
      <c r="M69" s="41">
        <v>0</v>
      </c>
      <c r="N69" s="41">
        <v>0</v>
      </c>
      <c r="O69" s="41">
        <v>0</v>
      </c>
      <c r="S69" s="41">
        <v>0</v>
      </c>
      <c r="T69" s="41">
        <v>0</v>
      </c>
      <c r="U69" s="41">
        <v>0</v>
      </c>
      <c r="V69" s="41">
        <v>0</v>
      </c>
      <c r="W69" s="41">
        <v>0</v>
      </c>
      <c r="X69" s="41">
        <v>0</v>
      </c>
    </row>
    <row r="70" spans="2:24">
      <c r="F70" s="67"/>
      <c r="G70" s="38"/>
      <c r="H70" s="38"/>
      <c r="I70" s="38"/>
      <c r="J70" s="38"/>
      <c r="K70" s="38"/>
      <c r="L70" s="38"/>
      <c r="M70" s="38"/>
      <c r="N70" s="38"/>
      <c r="O70" s="38"/>
    </row>
    <row r="71" spans="2:24">
      <c r="B71" t="s">
        <v>104</v>
      </c>
      <c r="D71" t="s">
        <v>108</v>
      </c>
      <c r="F71" s="81">
        <f t="shared" ref="F71:O71" si="25">SUM(F63:F69)</f>
        <v>11671830.16382182</v>
      </c>
      <c r="G71" s="81">
        <f t="shared" si="25"/>
        <v>0</v>
      </c>
      <c r="H71" s="81">
        <f t="shared" si="25"/>
        <v>0</v>
      </c>
      <c r="I71" s="81">
        <f t="shared" si="25"/>
        <v>393248.10731863941</v>
      </c>
      <c r="J71" s="81">
        <f t="shared" si="25"/>
        <v>7430773</v>
      </c>
      <c r="K71" s="81">
        <f t="shared" si="25"/>
        <v>3421506.5332850493</v>
      </c>
      <c r="L71" s="81">
        <f t="shared" si="25"/>
        <v>13226</v>
      </c>
      <c r="M71" s="81">
        <f t="shared" si="25"/>
        <v>413076.52321813296</v>
      </c>
      <c r="N71" s="81">
        <f t="shared" si="25"/>
        <v>0</v>
      </c>
      <c r="O71" s="81">
        <f t="shared" si="25"/>
        <v>0</v>
      </c>
    </row>
    <row r="73" spans="2:24">
      <c r="B73" s="3"/>
    </row>
    <row r="74" spans="2:24">
      <c r="B74" s="3" t="s">
        <v>14</v>
      </c>
    </row>
    <row r="75" spans="2:24">
      <c r="B75" t="s">
        <v>6</v>
      </c>
      <c r="D75" t="s">
        <v>108</v>
      </c>
      <c r="F75" s="80">
        <f t="shared" ref="F75:F81" si="26">SUM(G75:O75)</f>
        <v>4192606.3099946603</v>
      </c>
      <c r="G75" s="41">
        <v>0</v>
      </c>
      <c r="H75" s="41">
        <v>0</v>
      </c>
      <c r="I75" s="81">
        <f t="shared" ref="I75:I81" si="27">S75+T75</f>
        <v>9083.7699946602515</v>
      </c>
      <c r="J75" s="81">
        <f t="shared" ref="J75:J80" si="28">U75+V75</f>
        <v>1035473</v>
      </c>
      <c r="K75" s="81">
        <f>W75+X75</f>
        <v>2110218.66</v>
      </c>
      <c r="L75" s="41">
        <v>0</v>
      </c>
      <c r="M75" s="41">
        <v>1037830.88</v>
      </c>
      <c r="N75" s="41">
        <v>0</v>
      </c>
      <c r="O75" s="41">
        <v>0</v>
      </c>
      <c r="S75" s="41">
        <v>518.11999999999534</v>
      </c>
      <c r="T75" s="41">
        <v>8565.6499946602562</v>
      </c>
      <c r="U75" s="41">
        <v>343700</v>
      </c>
      <c r="V75" s="41">
        <v>691773</v>
      </c>
      <c r="W75" s="41">
        <v>2109335.66</v>
      </c>
      <c r="X75" s="41">
        <v>883</v>
      </c>
    </row>
    <row r="76" spans="2:24">
      <c r="B76" t="s">
        <v>8</v>
      </c>
      <c r="D76" t="s">
        <v>108</v>
      </c>
      <c r="F76" s="80">
        <f t="shared" si="26"/>
        <v>218800</v>
      </c>
      <c r="G76" s="41">
        <v>0</v>
      </c>
      <c r="H76" s="41">
        <v>0</v>
      </c>
      <c r="I76" s="81">
        <f t="shared" si="27"/>
        <v>0</v>
      </c>
      <c r="J76" s="81">
        <f t="shared" si="28"/>
        <v>218800</v>
      </c>
      <c r="K76" s="81">
        <f t="shared" ref="K76:K81" si="29">W76+X76</f>
        <v>0</v>
      </c>
      <c r="L76" s="41">
        <v>0</v>
      </c>
      <c r="M76" s="41">
        <v>0</v>
      </c>
      <c r="N76" s="41">
        <v>0</v>
      </c>
      <c r="O76" s="41">
        <v>0</v>
      </c>
      <c r="S76" s="41">
        <v>0</v>
      </c>
      <c r="T76" s="41">
        <v>0</v>
      </c>
      <c r="U76" s="41">
        <v>218800</v>
      </c>
      <c r="V76" s="41">
        <v>0</v>
      </c>
      <c r="W76" s="41">
        <v>0</v>
      </c>
      <c r="X76" s="41">
        <v>0</v>
      </c>
    </row>
    <row r="77" spans="2:24">
      <c r="B77" t="s">
        <v>9</v>
      </c>
      <c r="D77" t="s">
        <v>108</v>
      </c>
      <c r="F77" s="80">
        <f t="shared" si="26"/>
        <v>5909700</v>
      </c>
      <c r="G77" s="41">
        <v>0</v>
      </c>
      <c r="H77" s="41">
        <v>0</v>
      </c>
      <c r="I77" s="81">
        <f t="shared" si="27"/>
        <v>0</v>
      </c>
      <c r="J77" s="81">
        <f t="shared" si="28"/>
        <v>5909700</v>
      </c>
      <c r="K77" s="81">
        <f t="shared" si="29"/>
        <v>0</v>
      </c>
      <c r="L77" s="41">
        <v>0</v>
      </c>
      <c r="M77" s="41">
        <v>0</v>
      </c>
      <c r="N77" s="41">
        <v>0</v>
      </c>
      <c r="O77" s="41">
        <v>0</v>
      </c>
      <c r="S77" s="41">
        <v>0</v>
      </c>
      <c r="T77" s="41">
        <v>0</v>
      </c>
      <c r="U77" s="313">
        <f>5609700+'Aanpassing gegevens (sep.2014)'!H131</f>
        <v>5909700</v>
      </c>
      <c r="V77" s="41">
        <v>0</v>
      </c>
      <c r="W77" s="41">
        <v>0</v>
      </c>
      <c r="X77" s="41">
        <v>0</v>
      </c>
    </row>
    <row r="78" spans="2:24">
      <c r="B78" t="s">
        <v>10</v>
      </c>
      <c r="D78" t="s">
        <v>108</v>
      </c>
      <c r="F78" s="80">
        <f t="shared" si="26"/>
        <v>0</v>
      </c>
      <c r="G78" s="41">
        <v>0</v>
      </c>
      <c r="H78" s="41">
        <v>0</v>
      </c>
      <c r="I78" s="81">
        <f t="shared" si="27"/>
        <v>0</v>
      </c>
      <c r="J78" s="81">
        <f t="shared" si="28"/>
        <v>0</v>
      </c>
      <c r="K78" s="81">
        <f>W78+X78</f>
        <v>0</v>
      </c>
      <c r="L78" s="41">
        <v>0</v>
      </c>
      <c r="M78" s="41">
        <v>0</v>
      </c>
      <c r="N78" s="41">
        <v>0</v>
      </c>
      <c r="O78" s="41">
        <v>0</v>
      </c>
      <c r="S78" s="41">
        <v>0</v>
      </c>
      <c r="T78" s="41">
        <v>0</v>
      </c>
      <c r="U78" s="41">
        <v>0</v>
      </c>
      <c r="V78" s="41">
        <v>0</v>
      </c>
      <c r="W78" s="41">
        <v>0</v>
      </c>
      <c r="X78" s="41">
        <v>0</v>
      </c>
    </row>
    <row r="79" spans="2:24">
      <c r="B79" t="s">
        <v>11</v>
      </c>
      <c r="D79" t="s">
        <v>108</v>
      </c>
      <c r="F79" s="80">
        <f t="shared" si="26"/>
        <v>0</v>
      </c>
      <c r="G79" s="41">
        <v>0</v>
      </c>
      <c r="H79" s="41">
        <v>0</v>
      </c>
      <c r="I79" s="81">
        <f t="shared" si="27"/>
        <v>0</v>
      </c>
      <c r="J79" s="81">
        <f t="shared" si="28"/>
        <v>0</v>
      </c>
      <c r="K79" s="81">
        <f t="shared" si="29"/>
        <v>0</v>
      </c>
      <c r="L79" s="41">
        <v>0</v>
      </c>
      <c r="M79" s="41">
        <v>0</v>
      </c>
      <c r="N79" s="41">
        <v>0</v>
      </c>
      <c r="O79" s="41">
        <v>0</v>
      </c>
      <c r="S79" s="41">
        <v>0</v>
      </c>
      <c r="T79" s="41">
        <v>0</v>
      </c>
      <c r="U79" s="41">
        <v>0</v>
      </c>
      <c r="V79" s="41">
        <v>0</v>
      </c>
      <c r="W79" s="41">
        <v>0</v>
      </c>
      <c r="X79" s="41">
        <v>0</v>
      </c>
    </row>
    <row r="80" spans="2:24">
      <c r="B80" t="s">
        <v>12</v>
      </c>
      <c r="D80" t="s">
        <v>108</v>
      </c>
      <c r="F80" s="80">
        <f t="shared" si="26"/>
        <v>0</v>
      </c>
      <c r="G80" s="41">
        <v>0</v>
      </c>
      <c r="H80" s="41">
        <v>0</v>
      </c>
      <c r="I80" s="81">
        <f t="shared" si="27"/>
        <v>0</v>
      </c>
      <c r="J80" s="81">
        <f t="shared" si="28"/>
        <v>0</v>
      </c>
      <c r="K80" s="81">
        <f t="shared" si="29"/>
        <v>0</v>
      </c>
      <c r="L80" s="41">
        <v>0</v>
      </c>
      <c r="M80" s="41">
        <v>0</v>
      </c>
      <c r="N80" s="41">
        <v>0</v>
      </c>
      <c r="O80" s="41">
        <v>0</v>
      </c>
      <c r="S80" s="41">
        <v>0</v>
      </c>
      <c r="T80" s="41">
        <v>0</v>
      </c>
      <c r="U80" s="41">
        <v>0</v>
      </c>
      <c r="V80" s="41">
        <v>0</v>
      </c>
      <c r="W80" s="41">
        <v>0</v>
      </c>
      <c r="X80" s="41">
        <v>0</v>
      </c>
    </row>
    <row r="81" spans="2:24">
      <c r="B81" t="s">
        <v>13</v>
      </c>
      <c r="D81" t="s">
        <v>108</v>
      </c>
      <c r="F81" s="80">
        <f t="shared" si="26"/>
        <v>0</v>
      </c>
      <c r="G81" s="41">
        <v>0</v>
      </c>
      <c r="H81" s="41">
        <v>0</v>
      </c>
      <c r="I81" s="81">
        <f t="shared" si="27"/>
        <v>0</v>
      </c>
      <c r="J81" s="81">
        <f>U81+V81</f>
        <v>0</v>
      </c>
      <c r="K81" s="81">
        <f t="shared" si="29"/>
        <v>0</v>
      </c>
      <c r="L81" s="41">
        <v>0</v>
      </c>
      <c r="M81" s="41">
        <v>0</v>
      </c>
      <c r="N81" s="41">
        <v>0</v>
      </c>
      <c r="O81" s="41">
        <v>0</v>
      </c>
      <c r="S81" s="41">
        <v>0</v>
      </c>
      <c r="T81" s="41">
        <v>0</v>
      </c>
      <c r="U81" s="41">
        <v>0</v>
      </c>
      <c r="V81" s="41">
        <v>0</v>
      </c>
      <c r="W81" s="41">
        <v>0</v>
      </c>
      <c r="X81" s="41">
        <v>0</v>
      </c>
    </row>
    <row r="82" spans="2:24">
      <c r="F82" s="67"/>
      <c r="G82" s="38"/>
      <c r="H82" s="38"/>
      <c r="I82" s="38"/>
      <c r="J82" s="38"/>
      <c r="K82" s="38"/>
      <c r="L82" s="38"/>
      <c r="M82" s="38"/>
      <c r="N82" s="38"/>
      <c r="O82" s="38"/>
    </row>
    <row r="83" spans="2:24">
      <c r="B83" t="s">
        <v>104</v>
      </c>
      <c r="D83" t="s">
        <v>108</v>
      </c>
      <c r="F83" s="81">
        <f t="shared" ref="F83:O83" si="30">SUM(F75:F81)</f>
        <v>10321106.30999466</v>
      </c>
      <c r="G83" s="81">
        <f t="shared" si="30"/>
        <v>0</v>
      </c>
      <c r="H83" s="81">
        <f t="shared" si="30"/>
        <v>0</v>
      </c>
      <c r="I83" s="81">
        <f t="shared" si="30"/>
        <v>9083.7699946602515</v>
      </c>
      <c r="J83" s="81">
        <f t="shared" si="30"/>
        <v>7163973</v>
      </c>
      <c r="K83" s="81">
        <f t="shared" si="30"/>
        <v>2110218.66</v>
      </c>
      <c r="L83" s="81">
        <f t="shared" si="30"/>
        <v>0</v>
      </c>
      <c r="M83" s="81">
        <f t="shared" si="30"/>
        <v>1037830.88</v>
      </c>
      <c r="N83" s="81">
        <f t="shared" si="30"/>
        <v>0</v>
      </c>
      <c r="O83" s="81">
        <f t="shared" si="30"/>
        <v>0</v>
      </c>
    </row>
    <row r="86" spans="2:24">
      <c r="B86" s="55" t="s">
        <v>15</v>
      </c>
    </row>
    <row r="87" spans="2:24">
      <c r="B87" s="28" t="s">
        <v>666</v>
      </c>
      <c r="D87" t="s">
        <v>108</v>
      </c>
      <c r="F87" s="80">
        <f t="shared" ref="F87:F96" si="31">SUM(G87:O87)</f>
        <v>21941.63</v>
      </c>
      <c r="G87" s="41">
        <v>21941.63</v>
      </c>
      <c r="H87" s="41">
        <v>0</v>
      </c>
      <c r="I87" s="81">
        <f t="shared" ref="I87:I96" si="32">S87+T87</f>
        <v>0</v>
      </c>
      <c r="J87" s="81">
        <f t="shared" ref="J87:J96" si="33">U87+V87</f>
        <v>0</v>
      </c>
      <c r="K87" s="81">
        <f>W87+X87</f>
        <v>0</v>
      </c>
      <c r="L87" s="41">
        <v>0</v>
      </c>
      <c r="M87" s="41">
        <v>0</v>
      </c>
      <c r="N87" s="41">
        <v>0</v>
      </c>
      <c r="O87" s="41">
        <v>0</v>
      </c>
      <c r="S87" s="41">
        <v>0</v>
      </c>
      <c r="T87" s="41">
        <v>0</v>
      </c>
      <c r="U87" s="41">
        <v>0</v>
      </c>
      <c r="V87" s="41">
        <v>0</v>
      </c>
      <c r="W87" s="41">
        <v>0</v>
      </c>
      <c r="X87" s="41">
        <v>0</v>
      </c>
    </row>
    <row r="88" spans="2:24">
      <c r="B88" t="s">
        <v>16</v>
      </c>
      <c r="D88" t="s">
        <v>108</v>
      </c>
      <c r="F88" s="80">
        <f t="shared" si="31"/>
        <v>140052.06</v>
      </c>
      <c r="G88" s="41">
        <v>2627.74</v>
      </c>
      <c r="H88" s="41">
        <v>0</v>
      </c>
      <c r="I88" s="81">
        <f t="shared" si="32"/>
        <v>0</v>
      </c>
      <c r="J88" s="81">
        <f t="shared" si="33"/>
        <v>0</v>
      </c>
      <c r="K88" s="81">
        <f t="shared" ref="K88:K96" si="34">W88+X88</f>
        <v>0</v>
      </c>
      <c r="L88" s="41">
        <v>0</v>
      </c>
      <c r="M88" s="41">
        <v>137424.32000000001</v>
      </c>
      <c r="N88" s="41">
        <v>0</v>
      </c>
      <c r="O88" s="41">
        <v>0</v>
      </c>
      <c r="S88" s="41">
        <v>0</v>
      </c>
      <c r="T88" s="41">
        <v>0</v>
      </c>
      <c r="U88" s="41">
        <v>0</v>
      </c>
      <c r="V88" s="41">
        <v>0</v>
      </c>
      <c r="W88" s="41">
        <v>0</v>
      </c>
      <c r="X88" s="41">
        <v>0</v>
      </c>
    </row>
    <row r="89" spans="2:24">
      <c r="B89" t="s">
        <v>17</v>
      </c>
      <c r="D89" t="s">
        <v>108</v>
      </c>
      <c r="F89" s="80">
        <f t="shared" si="31"/>
        <v>391545.99</v>
      </c>
      <c r="G89" s="41">
        <v>3145.99</v>
      </c>
      <c r="H89" s="41">
        <v>0</v>
      </c>
      <c r="I89" s="81">
        <f t="shared" si="32"/>
        <v>0</v>
      </c>
      <c r="J89" s="81">
        <f t="shared" si="33"/>
        <v>388400</v>
      </c>
      <c r="K89" s="81">
        <f t="shared" si="34"/>
        <v>0</v>
      </c>
      <c r="L89" s="41">
        <v>0</v>
      </c>
      <c r="M89" s="41">
        <v>0</v>
      </c>
      <c r="N89" s="41">
        <v>0</v>
      </c>
      <c r="O89" s="41">
        <v>0</v>
      </c>
      <c r="S89" s="41">
        <v>0</v>
      </c>
      <c r="T89" s="41">
        <v>0</v>
      </c>
      <c r="U89" s="41">
        <v>388400</v>
      </c>
      <c r="V89" s="41">
        <v>0</v>
      </c>
      <c r="W89" s="41">
        <v>0</v>
      </c>
      <c r="X89" s="41">
        <v>0</v>
      </c>
    </row>
    <row r="90" spans="2:24">
      <c r="B90" t="s">
        <v>667</v>
      </c>
      <c r="D90" t="s">
        <v>108</v>
      </c>
      <c r="F90" s="80">
        <f t="shared" si="31"/>
        <v>1902866.8317650803</v>
      </c>
      <c r="G90" s="41">
        <v>11703.329947687442</v>
      </c>
      <c r="H90" s="41">
        <v>0</v>
      </c>
      <c r="I90" s="81">
        <f t="shared" si="32"/>
        <v>17584.986603428209</v>
      </c>
      <c r="J90" s="81">
        <f t="shared" si="33"/>
        <v>1001168.8069318437</v>
      </c>
      <c r="K90" s="81">
        <f t="shared" si="34"/>
        <v>475090.24999999988</v>
      </c>
      <c r="L90" s="41">
        <v>73960</v>
      </c>
      <c r="M90" s="41">
        <v>304058.21456771641</v>
      </c>
      <c r="N90" s="41">
        <v>19301.243714404605</v>
      </c>
      <c r="O90" s="41">
        <v>0</v>
      </c>
      <c r="S90" s="41">
        <v>34288.55000000001</v>
      </c>
      <c r="T90" s="41">
        <v>-16703.563396571801</v>
      </c>
      <c r="U90" s="41">
        <v>999900</v>
      </c>
      <c r="V90" s="41">
        <v>1268.8069318437142</v>
      </c>
      <c r="W90" s="41">
        <v>475090.24999999988</v>
      </c>
      <c r="X90" s="41">
        <v>0</v>
      </c>
    </row>
    <row r="91" spans="2:24">
      <c r="B91" t="s">
        <v>668</v>
      </c>
      <c r="D91" t="s">
        <v>108</v>
      </c>
      <c r="F91" s="80">
        <f t="shared" si="31"/>
        <v>5329280.1040031062</v>
      </c>
      <c r="G91" s="41">
        <v>0</v>
      </c>
      <c r="H91" s="41">
        <v>-362.09999999999997</v>
      </c>
      <c r="I91" s="81">
        <f t="shared" si="32"/>
        <v>55042.238691550054</v>
      </c>
      <c r="J91" s="81">
        <f t="shared" si="33"/>
        <v>137555.85999999999</v>
      </c>
      <c r="K91" s="81">
        <f t="shared" si="34"/>
        <v>3980498.5909848963</v>
      </c>
      <c r="L91" s="41">
        <v>29769</v>
      </c>
      <c r="M91" s="41">
        <v>1126776.5143266597</v>
      </c>
      <c r="N91" s="41">
        <v>0</v>
      </c>
      <c r="O91" s="41">
        <v>0</v>
      </c>
      <c r="S91" s="41">
        <v>30134.769748666044</v>
      </c>
      <c r="T91" s="41">
        <v>24907.46894288401</v>
      </c>
      <c r="U91" s="41">
        <v>0</v>
      </c>
      <c r="V91" s="41">
        <v>137555.85999999999</v>
      </c>
      <c r="W91" s="41">
        <v>3953411.7565952828</v>
      </c>
      <c r="X91" s="41">
        <v>27086.834389613578</v>
      </c>
    </row>
    <row r="92" spans="2:24">
      <c r="B92" t="s">
        <v>9</v>
      </c>
      <c r="D92" t="s">
        <v>108</v>
      </c>
      <c r="F92" s="80">
        <f t="shared" si="31"/>
        <v>30175.200000000001</v>
      </c>
      <c r="G92" s="41">
        <v>30175.200000000001</v>
      </c>
      <c r="H92" s="41">
        <v>0</v>
      </c>
      <c r="I92" s="81">
        <f t="shared" si="32"/>
        <v>0</v>
      </c>
      <c r="J92" s="81">
        <f t="shared" si="33"/>
        <v>0</v>
      </c>
      <c r="K92" s="81">
        <f t="shared" si="34"/>
        <v>0</v>
      </c>
      <c r="L92" s="41">
        <v>0</v>
      </c>
      <c r="M92" s="41">
        <v>0</v>
      </c>
      <c r="N92" s="41">
        <v>0</v>
      </c>
      <c r="O92" s="41">
        <v>0</v>
      </c>
      <c r="S92" s="41">
        <v>0</v>
      </c>
      <c r="T92" s="41">
        <v>0</v>
      </c>
      <c r="U92" s="41">
        <v>0</v>
      </c>
      <c r="V92" s="41">
        <v>0</v>
      </c>
      <c r="W92" s="41">
        <v>0</v>
      </c>
      <c r="X92" s="41">
        <v>0</v>
      </c>
    </row>
    <row r="93" spans="2:24">
      <c r="B93" t="s">
        <v>10</v>
      </c>
      <c r="D93" t="s">
        <v>108</v>
      </c>
      <c r="F93" s="80">
        <f t="shared" si="31"/>
        <v>0</v>
      </c>
      <c r="G93" s="41">
        <v>0</v>
      </c>
      <c r="H93" s="41">
        <v>0</v>
      </c>
      <c r="I93" s="81">
        <f t="shared" si="32"/>
        <v>0</v>
      </c>
      <c r="J93" s="81">
        <f t="shared" si="33"/>
        <v>0</v>
      </c>
      <c r="K93" s="81">
        <f t="shared" si="34"/>
        <v>0</v>
      </c>
      <c r="L93" s="41">
        <v>0</v>
      </c>
      <c r="M93" s="41">
        <v>0</v>
      </c>
      <c r="N93" s="41">
        <v>0</v>
      </c>
      <c r="O93" s="41">
        <v>0</v>
      </c>
      <c r="S93" s="41">
        <v>0</v>
      </c>
      <c r="T93" s="41">
        <v>0</v>
      </c>
      <c r="U93" s="41">
        <v>0</v>
      </c>
      <c r="V93" s="41">
        <v>0</v>
      </c>
      <c r="W93" s="41">
        <v>0</v>
      </c>
      <c r="X93" s="41">
        <v>0</v>
      </c>
    </row>
    <row r="94" spans="2:24">
      <c r="B94" t="s">
        <v>11</v>
      </c>
      <c r="D94" t="s">
        <v>108</v>
      </c>
      <c r="F94" s="80">
        <f t="shared" si="31"/>
        <v>0</v>
      </c>
      <c r="G94" s="41">
        <v>0</v>
      </c>
      <c r="H94" s="41">
        <v>0</v>
      </c>
      <c r="I94" s="81">
        <f t="shared" si="32"/>
        <v>0</v>
      </c>
      <c r="J94" s="81">
        <f t="shared" si="33"/>
        <v>0</v>
      </c>
      <c r="K94" s="81">
        <f t="shared" si="34"/>
        <v>0</v>
      </c>
      <c r="L94" s="41">
        <v>0</v>
      </c>
      <c r="M94" s="41">
        <v>0</v>
      </c>
      <c r="N94" s="41">
        <v>0</v>
      </c>
      <c r="O94" s="41">
        <v>0</v>
      </c>
      <c r="S94" s="41">
        <v>0</v>
      </c>
      <c r="T94" s="41">
        <v>0</v>
      </c>
      <c r="U94" s="41">
        <v>0</v>
      </c>
      <c r="V94" s="41">
        <v>0</v>
      </c>
      <c r="W94" s="41">
        <v>0</v>
      </c>
      <c r="X94" s="41">
        <v>0</v>
      </c>
    </row>
    <row r="95" spans="2:24">
      <c r="B95" t="s">
        <v>12</v>
      </c>
      <c r="D95" t="s">
        <v>108</v>
      </c>
      <c r="F95" s="80">
        <f t="shared" si="31"/>
        <v>0</v>
      </c>
      <c r="G95" s="41">
        <v>0</v>
      </c>
      <c r="H95" s="41">
        <v>0</v>
      </c>
      <c r="I95" s="81">
        <f t="shared" si="32"/>
        <v>0</v>
      </c>
      <c r="J95" s="81">
        <f t="shared" si="33"/>
        <v>0</v>
      </c>
      <c r="K95" s="81">
        <f>W95+X95</f>
        <v>0</v>
      </c>
      <c r="L95" s="41">
        <v>0</v>
      </c>
      <c r="M95" s="41">
        <v>0</v>
      </c>
      <c r="N95" s="41">
        <v>0</v>
      </c>
      <c r="O95" s="41">
        <v>0</v>
      </c>
      <c r="S95" s="41">
        <v>0</v>
      </c>
      <c r="T95" s="41">
        <v>0</v>
      </c>
      <c r="U95" s="41">
        <v>0</v>
      </c>
      <c r="V95" s="41">
        <v>0</v>
      </c>
      <c r="W95" s="41">
        <v>0</v>
      </c>
      <c r="X95" s="41">
        <v>0</v>
      </c>
    </row>
    <row r="96" spans="2:24">
      <c r="B96" t="s">
        <v>13</v>
      </c>
      <c r="D96" t="s">
        <v>108</v>
      </c>
      <c r="F96" s="80">
        <f t="shared" si="31"/>
        <v>0</v>
      </c>
      <c r="G96" s="41">
        <v>0</v>
      </c>
      <c r="H96" s="41">
        <v>0</v>
      </c>
      <c r="I96" s="81">
        <f t="shared" si="32"/>
        <v>0</v>
      </c>
      <c r="J96" s="81">
        <f t="shared" si="33"/>
        <v>0</v>
      </c>
      <c r="K96" s="81">
        <f t="shared" si="34"/>
        <v>0</v>
      </c>
      <c r="L96" s="41">
        <v>0</v>
      </c>
      <c r="M96" s="41">
        <v>0</v>
      </c>
      <c r="N96" s="41">
        <v>0</v>
      </c>
      <c r="O96" s="41">
        <v>0</v>
      </c>
      <c r="S96" s="41">
        <v>0</v>
      </c>
      <c r="T96" s="41">
        <v>0</v>
      </c>
      <c r="U96" s="41">
        <v>0</v>
      </c>
      <c r="V96" s="41">
        <v>0</v>
      </c>
      <c r="W96" s="41">
        <v>0</v>
      </c>
      <c r="X96" s="41">
        <v>0</v>
      </c>
    </row>
    <row r="97" spans="2:24">
      <c r="F97" s="67"/>
      <c r="G97" s="38"/>
      <c r="H97" s="38"/>
      <c r="I97" s="38"/>
      <c r="J97" s="38"/>
      <c r="K97" s="38"/>
      <c r="L97" s="38"/>
      <c r="M97" s="38"/>
      <c r="N97" s="38"/>
      <c r="O97" s="38"/>
    </row>
    <row r="98" spans="2:24">
      <c r="B98" t="s">
        <v>104</v>
      </c>
      <c r="D98" t="s">
        <v>108</v>
      </c>
      <c r="F98" s="81">
        <f t="shared" ref="F98:O98" si="35">SUM(F87:F96)</f>
        <v>7815861.8157681869</v>
      </c>
      <c r="G98" s="81">
        <f t="shared" si="35"/>
        <v>69593.889947687436</v>
      </c>
      <c r="H98" s="81">
        <f t="shared" si="35"/>
        <v>-362.09999999999997</v>
      </c>
      <c r="I98" s="81">
        <f t="shared" si="35"/>
        <v>72627.225294978271</v>
      </c>
      <c r="J98" s="81">
        <f t="shared" si="35"/>
        <v>1527124.6669318439</v>
      </c>
      <c r="K98" s="81">
        <f t="shared" si="35"/>
        <v>4455588.8409848958</v>
      </c>
      <c r="L98" s="81">
        <f t="shared" si="35"/>
        <v>103729</v>
      </c>
      <c r="M98" s="81">
        <f t="shared" si="35"/>
        <v>1568259.048894376</v>
      </c>
      <c r="N98" s="81">
        <f t="shared" si="35"/>
        <v>19301.243714404605</v>
      </c>
      <c r="O98" s="81">
        <f t="shared" si="35"/>
        <v>0</v>
      </c>
    </row>
    <row r="99" spans="2:24">
      <c r="B99" s="3"/>
    </row>
    <row r="100" spans="2:24">
      <c r="C100" s="28"/>
    </row>
    <row r="101" spans="2:24">
      <c r="B101" s="3" t="s">
        <v>663</v>
      </c>
      <c r="C101" s="28"/>
    </row>
    <row r="102" spans="2:24">
      <c r="B102" s="51" t="s">
        <v>677</v>
      </c>
      <c r="C102" s="28"/>
      <c r="D102" t="s">
        <v>108</v>
      </c>
      <c r="F102" s="80">
        <f>SUM(G102:O102)</f>
        <v>3000</v>
      </c>
      <c r="G102" s="41"/>
      <c r="H102" s="41"/>
      <c r="I102" s="474">
        <f t="shared" ref="I102" si="36">S102+T102</f>
        <v>3000</v>
      </c>
      <c r="J102" s="81">
        <f t="shared" ref="J102" si="37">U102+V102</f>
        <v>0</v>
      </c>
      <c r="K102" s="81">
        <f t="shared" ref="K102" si="38">W102+X102</f>
        <v>0</v>
      </c>
      <c r="L102" s="41"/>
      <c r="M102" s="41"/>
      <c r="N102" s="41"/>
      <c r="O102" s="41"/>
      <c r="S102" s="473">
        <f>'Aanpassing gegevens (aug. 2016)'!J25</f>
        <v>3000</v>
      </c>
      <c r="T102" s="41"/>
      <c r="U102" s="41"/>
      <c r="V102" s="41"/>
      <c r="W102" s="41"/>
      <c r="X102" s="41"/>
    </row>
    <row r="105" spans="2:24">
      <c r="B105" s="3" t="s">
        <v>31</v>
      </c>
    </row>
    <row r="106" spans="2:24">
      <c r="B106" t="s">
        <v>32</v>
      </c>
      <c r="D106" t="s">
        <v>108</v>
      </c>
      <c r="F106" s="80">
        <f>SUM(G106:O106)</f>
        <v>0</v>
      </c>
      <c r="G106" s="41"/>
      <c r="H106" s="41"/>
      <c r="I106" s="81">
        <f t="shared" ref="I106" si="39">S106+T106</f>
        <v>0</v>
      </c>
      <c r="J106" s="81">
        <f t="shared" ref="J106" si="40">U106+V106</f>
        <v>0</v>
      </c>
      <c r="K106" s="81">
        <f t="shared" ref="K106" si="41">W106+X106</f>
        <v>0</v>
      </c>
      <c r="L106" s="41"/>
      <c r="M106" s="41"/>
      <c r="N106" s="41"/>
      <c r="O106" s="41"/>
      <c r="S106" s="41"/>
      <c r="T106" s="41"/>
      <c r="U106" s="41"/>
      <c r="V106" s="41"/>
      <c r="W106" s="41"/>
      <c r="X106" s="41"/>
    </row>
    <row r="108" spans="2:24">
      <c r="B108" s="79"/>
    </row>
    <row r="109" spans="2:24" s="2" customFormat="1">
      <c r="B109" s="2" t="s">
        <v>19</v>
      </c>
      <c r="F109" s="49"/>
    </row>
    <row r="111" spans="2:24">
      <c r="B111" s="3" t="s">
        <v>5</v>
      </c>
      <c r="F111" s="219"/>
    </row>
    <row r="112" spans="2:24">
      <c r="B112" t="s">
        <v>6</v>
      </c>
      <c r="D112" t="s">
        <v>109</v>
      </c>
      <c r="F112" s="80">
        <f t="shared" ref="F112:F118" si="42">SUM(G112:O112)</f>
        <v>2667109.6364403474</v>
      </c>
      <c r="G112" s="41">
        <v>1459.79</v>
      </c>
      <c r="H112" s="41">
        <v>0</v>
      </c>
      <c r="I112" s="41">
        <v>560352.06000000006</v>
      </c>
      <c r="J112" s="81">
        <f t="shared" ref="J112:J118" si="43">U112+V112</f>
        <v>648606</v>
      </c>
      <c r="K112" s="41">
        <v>1102874.57</v>
      </c>
      <c r="L112" s="41">
        <v>0</v>
      </c>
      <c r="M112" s="41">
        <v>353817.21644034755</v>
      </c>
      <c r="N112" s="41">
        <v>0</v>
      </c>
      <c r="O112" s="41">
        <v>0</v>
      </c>
      <c r="U112" s="41">
        <v>6000</v>
      </c>
      <c r="V112" s="41">
        <v>642606</v>
      </c>
    </row>
    <row r="113" spans="2:22">
      <c r="B113" t="s">
        <v>665</v>
      </c>
      <c r="D113" t="s">
        <v>109</v>
      </c>
      <c r="F113" s="80">
        <f t="shared" si="42"/>
        <v>364240</v>
      </c>
      <c r="G113" s="41">
        <v>0</v>
      </c>
      <c r="H113" s="41">
        <v>0</v>
      </c>
      <c r="I113" s="41">
        <v>0</v>
      </c>
      <c r="J113" s="81">
        <f t="shared" si="43"/>
        <v>360000</v>
      </c>
      <c r="K113" s="41">
        <v>0</v>
      </c>
      <c r="L113" s="41">
        <v>4240</v>
      </c>
      <c r="M113" s="41">
        <v>0</v>
      </c>
      <c r="N113" s="41">
        <v>0</v>
      </c>
      <c r="O113" s="41">
        <v>0</v>
      </c>
      <c r="U113" s="41">
        <v>360000</v>
      </c>
      <c r="V113" s="41">
        <v>0</v>
      </c>
    </row>
    <row r="114" spans="2:22">
      <c r="B114" t="s">
        <v>9</v>
      </c>
      <c r="D114" t="s">
        <v>109</v>
      </c>
      <c r="F114" s="80">
        <f t="shared" si="42"/>
        <v>4863094.1416882351</v>
      </c>
      <c r="G114" s="41">
        <v>0</v>
      </c>
      <c r="H114" s="41">
        <v>0</v>
      </c>
      <c r="I114" s="41">
        <v>0</v>
      </c>
      <c r="J114" s="81">
        <f t="shared" si="43"/>
        <v>3930644</v>
      </c>
      <c r="K114" s="41">
        <v>870148.12168823532</v>
      </c>
      <c r="L114" s="41">
        <v>387</v>
      </c>
      <c r="M114" s="41">
        <v>61915.020000000004</v>
      </c>
      <c r="N114" s="41">
        <v>0</v>
      </c>
      <c r="O114" s="41">
        <v>0</v>
      </c>
      <c r="U114" s="41">
        <v>3480000</v>
      </c>
      <c r="V114" s="41">
        <v>450644</v>
      </c>
    </row>
    <row r="115" spans="2:22">
      <c r="B115" t="s">
        <v>10</v>
      </c>
      <c r="D115" t="s">
        <v>109</v>
      </c>
      <c r="F115" s="80">
        <f>SUM(G115:O115)</f>
        <v>27628.609999999997</v>
      </c>
      <c r="G115" s="41">
        <v>0</v>
      </c>
      <c r="H115" s="41">
        <v>0</v>
      </c>
      <c r="I115" s="41">
        <v>0</v>
      </c>
      <c r="J115" s="81">
        <f t="shared" si="43"/>
        <v>0</v>
      </c>
      <c r="K115" s="41">
        <v>27628.609999999997</v>
      </c>
      <c r="L115" s="41">
        <v>0</v>
      </c>
      <c r="M115" s="41">
        <v>0</v>
      </c>
      <c r="N115" s="41">
        <v>0</v>
      </c>
      <c r="O115" s="41">
        <v>0</v>
      </c>
      <c r="U115" s="41">
        <v>0</v>
      </c>
      <c r="V115" s="41">
        <v>0</v>
      </c>
    </row>
    <row r="116" spans="2:22">
      <c r="B116" t="s">
        <v>11</v>
      </c>
      <c r="D116" t="s">
        <v>109</v>
      </c>
      <c r="F116" s="80">
        <f t="shared" si="42"/>
        <v>0</v>
      </c>
      <c r="G116" s="41">
        <v>0</v>
      </c>
      <c r="H116" s="41">
        <v>0</v>
      </c>
      <c r="I116" s="41">
        <v>0</v>
      </c>
      <c r="J116" s="81">
        <f t="shared" si="43"/>
        <v>0</v>
      </c>
      <c r="K116" s="41">
        <v>0</v>
      </c>
      <c r="L116" s="41">
        <v>0</v>
      </c>
      <c r="M116" s="41">
        <v>0</v>
      </c>
      <c r="N116" s="41">
        <v>0</v>
      </c>
      <c r="O116" s="41">
        <v>0</v>
      </c>
      <c r="U116" s="41">
        <v>0</v>
      </c>
      <c r="V116" s="41">
        <v>0</v>
      </c>
    </row>
    <row r="117" spans="2:22">
      <c r="B117" t="s">
        <v>12</v>
      </c>
      <c r="D117" t="s">
        <v>109</v>
      </c>
      <c r="F117" s="80">
        <f t="shared" si="42"/>
        <v>0</v>
      </c>
      <c r="G117" s="41">
        <v>0</v>
      </c>
      <c r="H117" s="41">
        <v>0</v>
      </c>
      <c r="I117" s="41">
        <v>0</v>
      </c>
      <c r="J117" s="81">
        <f t="shared" si="43"/>
        <v>0</v>
      </c>
      <c r="K117" s="41">
        <v>0</v>
      </c>
      <c r="L117" s="41">
        <v>0</v>
      </c>
      <c r="M117" s="41">
        <v>0</v>
      </c>
      <c r="N117" s="41">
        <v>0</v>
      </c>
      <c r="O117" s="41">
        <v>0</v>
      </c>
      <c r="U117" s="41">
        <v>0</v>
      </c>
      <c r="V117" s="41">
        <v>0</v>
      </c>
    </row>
    <row r="118" spans="2:22">
      <c r="B118" t="s">
        <v>13</v>
      </c>
      <c r="D118" t="s">
        <v>109</v>
      </c>
      <c r="F118" s="80">
        <f t="shared" si="42"/>
        <v>0</v>
      </c>
      <c r="G118" s="41">
        <v>0</v>
      </c>
      <c r="H118" s="41">
        <v>0</v>
      </c>
      <c r="I118" s="41">
        <v>0</v>
      </c>
      <c r="J118" s="81">
        <f t="shared" si="43"/>
        <v>0</v>
      </c>
      <c r="K118" s="41">
        <v>0</v>
      </c>
      <c r="L118" s="41">
        <v>0</v>
      </c>
      <c r="M118" s="41">
        <v>0</v>
      </c>
      <c r="N118" s="41">
        <v>0</v>
      </c>
      <c r="O118" s="41">
        <v>0</v>
      </c>
      <c r="U118" s="41">
        <v>0</v>
      </c>
      <c r="V118" s="41">
        <v>0</v>
      </c>
    </row>
    <row r="119" spans="2:22">
      <c r="F119" s="67"/>
      <c r="G119" s="38"/>
      <c r="H119" s="38"/>
      <c r="I119" s="38"/>
      <c r="J119" s="38"/>
      <c r="K119" s="38"/>
      <c r="L119" s="38"/>
      <c r="M119" s="38"/>
      <c r="N119" s="38"/>
      <c r="O119" s="38"/>
    </row>
    <row r="120" spans="2:22">
      <c r="B120" t="s">
        <v>104</v>
      </c>
      <c r="D120" t="s">
        <v>109</v>
      </c>
      <c r="F120" s="81">
        <f t="shared" ref="F120:O120" si="44">SUM(F112:F118)</f>
        <v>7922072.3881285833</v>
      </c>
      <c r="G120" s="81">
        <f t="shared" si="44"/>
        <v>1459.79</v>
      </c>
      <c r="H120" s="81">
        <f t="shared" si="44"/>
        <v>0</v>
      </c>
      <c r="I120" s="81">
        <f t="shared" si="44"/>
        <v>560352.06000000006</v>
      </c>
      <c r="J120" s="81">
        <f t="shared" si="44"/>
        <v>4939250</v>
      </c>
      <c r="K120" s="81">
        <f t="shared" si="44"/>
        <v>2000651.3016882355</v>
      </c>
      <c r="L120" s="81">
        <f t="shared" si="44"/>
        <v>4627</v>
      </c>
      <c r="M120" s="81">
        <f t="shared" si="44"/>
        <v>415732.23644034757</v>
      </c>
      <c r="N120" s="81">
        <f t="shared" si="44"/>
        <v>0</v>
      </c>
      <c r="O120" s="81">
        <f t="shared" si="44"/>
        <v>0</v>
      </c>
    </row>
    <row r="122" spans="2:22">
      <c r="B122" s="3"/>
    </row>
    <row r="123" spans="2:22">
      <c r="B123" s="3" t="s">
        <v>14</v>
      </c>
    </row>
    <row r="124" spans="2:22">
      <c r="B124" t="s">
        <v>6</v>
      </c>
      <c r="D124" t="s">
        <v>109</v>
      </c>
      <c r="F124" s="80">
        <f t="shared" ref="F124:F130" si="45">SUM(G124:O124)</f>
        <v>3918735.23</v>
      </c>
      <c r="G124" s="41">
        <v>1075</v>
      </c>
      <c r="H124" s="41">
        <v>0</v>
      </c>
      <c r="I124" s="41">
        <v>560352.06000000006</v>
      </c>
      <c r="J124" s="81">
        <f t="shared" ref="J124:J130" si="46">U124+V124</f>
        <v>1869506</v>
      </c>
      <c r="K124" s="41">
        <v>1102874.57</v>
      </c>
      <c r="L124" s="41">
        <v>0</v>
      </c>
      <c r="M124" s="41">
        <v>384927.60000000003</v>
      </c>
      <c r="N124" s="41">
        <v>0</v>
      </c>
      <c r="O124" s="41">
        <v>0</v>
      </c>
      <c r="U124" s="41">
        <v>1226900</v>
      </c>
      <c r="V124" s="41">
        <v>642606</v>
      </c>
    </row>
    <row r="125" spans="2:22">
      <c r="B125" t="s">
        <v>8</v>
      </c>
      <c r="D125" t="s">
        <v>109</v>
      </c>
      <c r="F125" s="80">
        <f>SUM(G125:O125)</f>
        <v>360000</v>
      </c>
      <c r="G125" s="41">
        <v>0</v>
      </c>
      <c r="H125" s="41">
        <v>0</v>
      </c>
      <c r="I125" s="41">
        <v>0</v>
      </c>
      <c r="J125" s="81">
        <f t="shared" si="46"/>
        <v>360000</v>
      </c>
      <c r="K125" s="41">
        <v>0</v>
      </c>
      <c r="L125" s="41">
        <v>0</v>
      </c>
      <c r="M125" s="41">
        <v>0</v>
      </c>
      <c r="N125" s="41">
        <v>0</v>
      </c>
      <c r="O125" s="41">
        <v>0</v>
      </c>
      <c r="U125" s="41">
        <v>360000</v>
      </c>
      <c r="V125" s="41">
        <v>0</v>
      </c>
    </row>
    <row r="126" spans="2:22">
      <c r="B126" t="s">
        <v>9</v>
      </c>
      <c r="D126" t="s">
        <v>109</v>
      </c>
      <c r="F126" s="80">
        <f t="shared" si="45"/>
        <v>3930346.4750769003</v>
      </c>
      <c r="G126" s="41">
        <v>0</v>
      </c>
      <c r="H126" s="41">
        <v>0</v>
      </c>
      <c r="I126" s="41">
        <v>0</v>
      </c>
      <c r="J126" s="81">
        <f t="shared" si="46"/>
        <v>3930346.4750769003</v>
      </c>
      <c r="K126" s="41">
        <v>0</v>
      </c>
      <c r="L126" s="41">
        <v>0</v>
      </c>
      <c r="M126" s="41">
        <v>0</v>
      </c>
      <c r="N126" s="41">
        <v>0</v>
      </c>
      <c r="O126" s="41">
        <v>0</v>
      </c>
      <c r="U126" s="41">
        <v>3479702.4750769003</v>
      </c>
      <c r="V126" s="41">
        <v>450644</v>
      </c>
    </row>
    <row r="127" spans="2:22">
      <c r="B127" t="s">
        <v>10</v>
      </c>
      <c r="D127" t="s">
        <v>109</v>
      </c>
      <c r="F127" s="80">
        <f t="shared" si="45"/>
        <v>27628.609999999997</v>
      </c>
      <c r="G127" s="41">
        <v>0</v>
      </c>
      <c r="H127" s="41">
        <v>0</v>
      </c>
      <c r="I127" s="41">
        <v>0</v>
      </c>
      <c r="J127" s="81">
        <f t="shared" si="46"/>
        <v>0</v>
      </c>
      <c r="K127" s="41">
        <v>27628.609999999997</v>
      </c>
      <c r="L127" s="41">
        <v>0</v>
      </c>
      <c r="M127" s="41">
        <v>0</v>
      </c>
      <c r="N127" s="41">
        <v>0</v>
      </c>
      <c r="O127" s="41">
        <v>0</v>
      </c>
      <c r="U127" s="41">
        <v>0</v>
      </c>
      <c r="V127" s="41">
        <v>0</v>
      </c>
    </row>
    <row r="128" spans="2:22">
      <c r="B128" t="s">
        <v>11</v>
      </c>
      <c r="D128" t="s">
        <v>109</v>
      </c>
      <c r="F128" s="80">
        <f t="shared" si="45"/>
        <v>0</v>
      </c>
      <c r="G128" s="41">
        <v>0</v>
      </c>
      <c r="H128" s="41">
        <v>0</v>
      </c>
      <c r="I128" s="41">
        <v>0</v>
      </c>
      <c r="J128" s="81">
        <f t="shared" si="46"/>
        <v>0</v>
      </c>
      <c r="K128" s="41">
        <v>0</v>
      </c>
      <c r="L128" s="41">
        <v>0</v>
      </c>
      <c r="M128" s="41">
        <v>0</v>
      </c>
      <c r="N128" s="41">
        <v>0</v>
      </c>
      <c r="O128" s="41">
        <v>0</v>
      </c>
      <c r="U128" s="41">
        <v>0</v>
      </c>
      <c r="V128" s="41">
        <v>0</v>
      </c>
    </row>
    <row r="129" spans="2:22">
      <c r="B129" t="s">
        <v>12</v>
      </c>
      <c r="D129" t="s">
        <v>109</v>
      </c>
      <c r="F129" s="80">
        <f t="shared" si="45"/>
        <v>0</v>
      </c>
      <c r="G129" s="41">
        <v>0</v>
      </c>
      <c r="H129" s="41">
        <v>0</v>
      </c>
      <c r="I129" s="41">
        <v>0</v>
      </c>
      <c r="J129" s="81">
        <f t="shared" si="46"/>
        <v>0</v>
      </c>
      <c r="K129" s="41">
        <v>0</v>
      </c>
      <c r="L129" s="41">
        <v>0</v>
      </c>
      <c r="M129" s="41">
        <v>0</v>
      </c>
      <c r="N129" s="41">
        <v>0</v>
      </c>
      <c r="O129" s="41">
        <v>0</v>
      </c>
      <c r="U129" s="41">
        <v>0</v>
      </c>
      <c r="V129" s="41">
        <v>0</v>
      </c>
    </row>
    <row r="130" spans="2:22">
      <c r="B130" t="s">
        <v>13</v>
      </c>
      <c r="D130" t="s">
        <v>109</v>
      </c>
      <c r="F130" s="80">
        <f t="shared" si="45"/>
        <v>0</v>
      </c>
      <c r="G130" s="41">
        <v>0</v>
      </c>
      <c r="H130" s="41">
        <v>0</v>
      </c>
      <c r="I130" s="41">
        <v>0</v>
      </c>
      <c r="J130" s="81">
        <f t="shared" si="46"/>
        <v>0</v>
      </c>
      <c r="K130" s="41">
        <v>0</v>
      </c>
      <c r="L130" s="41">
        <v>0</v>
      </c>
      <c r="M130" s="41">
        <v>0</v>
      </c>
      <c r="N130" s="41">
        <v>0</v>
      </c>
      <c r="O130" s="41">
        <v>0</v>
      </c>
      <c r="U130" s="41">
        <v>0</v>
      </c>
      <c r="V130" s="41">
        <v>0</v>
      </c>
    </row>
    <row r="131" spans="2:22">
      <c r="F131" s="67"/>
      <c r="G131" s="38"/>
      <c r="H131" s="38"/>
      <c r="I131" s="38"/>
      <c r="J131" s="38"/>
      <c r="K131" s="38"/>
      <c r="L131" s="38"/>
      <c r="M131" s="38"/>
      <c r="N131" s="38"/>
      <c r="O131" s="38"/>
    </row>
    <row r="132" spans="2:22">
      <c r="B132" t="s">
        <v>104</v>
      </c>
      <c r="D132" t="s">
        <v>109</v>
      </c>
      <c r="F132" s="81">
        <f t="shared" ref="F132:O132" si="47">SUM(F124:F130)</f>
        <v>8236710.3150769016</v>
      </c>
      <c r="G132" s="81">
        <f t="shared" si="47"/>
        <v>1075</v>
      </c>
      <c r="H132" s="81">
        <f t="shared" si="47"/>
        <v>0</v>
      </c>
      <c r="I132" s="81">
        <f t="shared" si="47"/>
        <v>560352.06000000006</v>
      </c>
      <c r="J132" s="81">
        <f t="shared" si="47"/>
        <v>6159852.4750769008</v>
      </c>
      <c r="K132" s="81">
        <f t="shared" si="47"/>
        <v>1130503.1800000002</v>
      </c>
      <c r="L132" s="81">
        <f t="shared" si="47"/>
        <v>0</v>
      </c>
      <c r="M132" s="81">
        <f t="shared" si="47"/>
        <v>384927.60000000003</v>
      </c>
      <c r="N132" s="81">
        <f t="shared" si="47"/>
        <v>0</v>
      </c>
      <c r="O132" s="81">
        <f t="shared" si="47"/>
        <v>0</v>
      </c>
    </row>
    <row r="135" spans="2:22">
      <c r="B135" s="55" t="s">
        <v>15</v>
      </c>
    </row>
    <row r="136" spans="2:22">
      <c r="B136" s="28" t="s">
        <v>666</v>
      </c>
      <c r="D136" t="s">
        <v>109</v>
      </c>
      <c r="F136" s="80">
        <f t="shared" ref="F136:F145" si="48">SUM(G136:O136)</f>
        <v>13688.7</v>
      </c>
      <c r="G136" s="41">
        <v>13688.7</v>
      </c>
      <c r="H136" s="41">
        <v>0</v>
      </c>
      <c r="I136" s="41">
        <v>0</v>
      </c>
      <c r="J136" s="81">
        <f t="shared" ref="J136:J145" si="49">U136+V136</f>
        <v>0</v>
      </c>
      <c r="K136" s="41">
        <v>0</v>
      </c>
      <c r="L136" s="41">
        <v>0</v>
      </c>
      <c r="M136" s="41">
        <v>0</v>
      </c>
      <c r="N136" s="41">
        <v>0</v>
      </c>
      <c r="O136" s="41">
        <v>0</v>
      </c>
      <c r="U136" s="41">
        <v>0</v>
      </c>
      <c r="V136" s="41">
        <v>0</v>
      </c>
    </row>
    <row r="137" spans="2:22">
      <c r="B137" t="s">
        <v>16</v>
      </c>
      <c r="D137" t="s">
        <v>109</v>
      </c>
      <c r="F137" s="80">
        <f t="shared" si="48"/>
        <v>259630.45</v>
      </c>
      <c r="G137" s="41">
        <v>1229.5899999999999</v>
      </c>
      <c r="H137" s="41">
        <v>0</v>
      </c>
      <c r="I137" s="41">
        <v>0</v>
      </c>
      <c r="J137" s="81">
        <f t="shared" si="49"/>
        <v>0</v>
      </c>
      <c r="K137" s="41">
        <v>0</v>
      </c>
      <c r="L137" s="41">
        <v>0</v>
      </c>
      <c r="M137" s="41">
        <v>258400.86000000002</v>
      </c>
      <c r="N137" s="41">
        <v>0</v>
      </c>
      <c r="O137" s="41">
        <v>0</v>
      </c>
      <c r="U137" s="41">
        <v>0</v>
      </c>
      <c r="V137" s="41">
        <v>0</v>
      </c>
    </row>
    <row r="138" spans="2:22">
      <c r="B138" t="s">
        <v>17</v>
      </c>
      <c r="D138" t="s">
        <v>109</v>
      </c>
      <c r="F138" s="80">
        <f t="shared" si="48"/>
        <v>4037.0899999999997</v>
      </c>
      <c r="G138" s="41">
        <v>4037.0899999999997</v>
      </c>
      <c r="H138" s="41">
        <v>0</v>
      </c>
      <c r="I138" s="41">
        <v>0</v>
      </c>
      <c r="J138" s="81">
        <f t="shared" si="49"/>
        <v>0</v>
      </c>
      <c r="K138" s="41">
        <v>0</v>
      </c>
      <c r="L138" s="41">
        <v>0</v>
      </c>
      <c r="M138" s="41">
        <v>0</v>
      </c>
      <c r="N138" s="41">
        <v>0</v>
      </c>
      <c r="O138" s="41">
        <v>0</v>
      </c>
      <c r="U138" s="41">
        <v>0</v>
      </c>
      <c r="V138" s="41">
        <v>0</v>
      </c>
    </row>
    <row r="139" spans="2:22">
      <c r="B139" t="s">
        <v>667</v>
      </c>
      <c r="D139" t="s">
        <v>109</v>
      </c>
      <c r="F139" s="80">
        <f t="shared" si="48"/>
        <v>2112284.0059193922</v>
      </c>
      <c r="G139" s="41">
        <v>21497.539999999994</v>
      </c>
      <c r="H139" s="41">
        <v>0</v>
      </c>
      <c r="I139" s="41">
        <v>32305.809999999998</v>
      </c>
      <c r="J139" s="81">
        <f t="shared" si="49"/>
        <v>1006000</v>
      </c>
      <c r="K139" s="41">
        <v>526081.74</v>
      </c>
      <c r="L139" s="41">
        <v>43348</v>
      </c>
      <c r="M139" s="41">
        <v>470117.55640691519</v>
      </c>
      <c r="N139" s="41">
        <v>12933.35951247738</v>
      </c>
      <c r="O139" s="41">
        <v>0</v>
      </c>
      <c r="U139" s="41">
        <v>1006000</v>
      </c>
      <c r="V139" s="41">
        <v>0</v>
      </c>
    </row>
    <row r="140" spans="2:22">
      <c r="B140" t="s">
        <v>668</v>
      </c>
      <c r="D140" t="s">
        <v>109</v>
      </c>
      <c r="F140" s="80">
        <f t="shared" si="48"/>
        <v>6525843.2638212005</v>
      </c>
      <c r="G140" s="41">
        <v>0</v>
      </c>
      <c r="H140" s="41">
        <v>15379.611000000001</v>
      </c>
      <c r="I140" s="41">
        <v>115075.36442875302</v>
      </c>
      <c r="J140" s="81">
        <f t="shared" si="49"/>
        <v>1752353</v>
      </c>
      <c r="K140" s="41">
        <v>3280887</v>
      </c>
      <c r="L140" s="41">
        <v>39938</v>
      </c>
      <c r="M140" s="41">
        <v>1322210.2883924479</v>
      </c>
      <c r="N140" s="41">
        <v>0</v>
      </c>
      <c r="O140" s="41">
        <v>0</v>
      </c>
      <c r="U140" s="41">
        <v>1637100</v>
      </c>
      <c r="V140" s="41">
        <v>115253</v>
      </c>
    </row>
    <row r="141" spans="2:22">
      <c r="B141" t="s">
        <v>9</v>
      </c>
      <c r="D141" t="s">
        <v>109</v>
      </c>
      <c r="F141" s="80">
        <f t="shared" si="48"/>
        <v>33130.1</v>
      </c>
      <c r="G141" s="41">
        <v>33130.1</v>
      </c>
      <c r="H141" s="41">
        <v>0</v>
      </c>
      <c r="I141" s="41">
        <v>0</v>
      </c>
      <c r="J141" s="81">
        <f t="shared" si="49"/>
        <v>0</v>
      </c>
      <c r="K141" s="41">
        <v>0</v>
      </c>
      <c r="L141" s="41">
        <v>0</v>
      </c>
      <c r="M141" s="41">
        <v>0</v>
      </c>
      <c r="N141" s="41">
        <v>0</v>
      </c>
      <c r="O141" s="41">
        <v>0</v>
      </c>
      <c r="U141" s="41">
        <v>0</v>
      </c>
      <c r="V141" s="41">
        <v>0</v>
      </c>
    </row>
    <row r="142" spans="2:22">
      <c r="B142" t="s">
        <v>10</v>
      </c>
      <c r="D142" t="s">
        <v>109</v>
      </c>
      <c r="F142" s="80">
        <f t="shared" si="48"/>
        <v>0</v>
      </c>
      <c r="G142" s="41">
        <v>0</v>
      </c>
      <c r="H142" s="41">
        <v>0</v>
      </c>
      <c r="I142" s="41">
        <v>0</v>
      </c>
      <c r="J142" s="81">
        <f t="shared" si="49"/>
        <v>0</v>
      </c>
      <c r="K142" s="41">
        <v>0</v>
      </c>
      <c r="L142" s="41">
        <v>0</v>
      </c>
      <c r="M142" s="41">
        <v>0</v>
      </c>
      <c r="N142" s="41">
        <v>0</v>
      </c>
      <c r="O142" s="41">
        <v>0</v>
      </c>
      <c r="U142" s="41">
        <v>0</v>
      </c>
      <c r="V142" s="41">
        <v>0</v>
      </c>
    </row>
    <row r="143" spans="2:22">
      <c r="B143" t="s">
        <v>11</v>
      </c>
      <c r="D143" t="s">
        <v>109</v>
      </c>
      <c r="F143" s="80">
        <f t="shared" si="48"/>
        <v>0</v>
      </c>
      <c r="G143" s="41">
        <v>0</v>
      </c>
      <c r="H143" s="41">
        <v>0</v>
      </c>
      <c r="I143" s="41">
        <v>0</v>
      </c>
      <c r="J143" s="81">
        <f t="shared" si="49"/>
        <v>0</v>
      </c>
      <c r="K143" s="41">
        <v>0</v>
      </c>
      <c r="L143" s="41">
        <v>0</v>
      </c>
      <c r="M143" s="41">
        <v>0</v>
      </c>
      <c r="N143" s="41">
        <v>0</v>
      </c>
      <c r="O143" s="41">
        <v>0</v>
      </c>
      <c r="U143" s="41">
        <v>0</v>
      </c>
      <c r="V143" s="41">
        <v>0</v>
      </c>
    </row>
    <row r="144" spans="2:22">
      <c r="B144" t="s">
        <v>12</v>
      </c>
      <c r="D144" t="s">
        <v>109</v>
      </c>
      <c r="F144" s="80">
        <f t="shared" si="48"/>
        <v>0</v>
      </c>
      <c r="G144" s="41">
        <v>0</v>
      </c>
      <c r="H144" s="41">
        <v>0</v>
      </c>
      <c r="I144" s="41">
        <v>0</v>
      </c>
      <c r="J144" s="81">
        <f t="shared" si="49"/>
        <v>0</v>
      </c>
      <c r="K144" s="41">
        <v>0</v>
      </c>
      <c r="L144" s="41">
        <v>0</v>
      </c>
      <c r="M144" s="41">
        <v>0</v>
      </c>
      <c r="N144" s="41">
        <v>0</v>
      </c>
      <c r="O144" s="41">
        <v>0</v>
      </c>
      <c r="U144" s="41">
        <v>0</v>
      </c>
      <c r="V144" s="41">
        <v>0</v>
      </c>
    </row>
    <row r="145" spans="2:22">
      <c r="B145" t="s">
        <v>13</v>
      </c>
      <c r="D145" t="s">
        <v>109</v>
      </c>
      <c r="F145" s="80">
        <f t="shared" si="48"/>
        <v>0</v>
      </c>
      <c r="G145" s="41">
        <v>0</v>
      </c>
      <c r="H145" s="41">
        <v>0</v>
      </c>
      <c r="I145" s="41">
        <v>0</v>
      </c>
      <c r="J145" s="81">
        <f t="shared" si="49"/>
        <v>0</v>
      </c>
      <c r="K145" s="41">
        <v>0</v>
      </c>
      <c r="L145" s="41">
        <v>0</v>
      </c>
      <c r="M145" s="41">
        <v>0</v>
      </c>
      <c r="N145" s="41">
        <v>0</v>
      </c>
      <c r="O145" s="41">
        <v>0</v>
      </c>
      <c r="U145" s="41">
        <v>0</v>
      </c>
      <c r="V145" s="41">
        <v>0</v>
      </c>
    </row>
    <row r="146" spans="2:22">
      <c r="F146" s="67"/>
      <c r="G146" s="38"/>
      <c r="H146" s="38"/>
      <c r="I146" s="38"/>
      <c r="J146" s="38"/>
      <c r="K146" s="38"/>
      <c r="L146" s="38"/>
      <c r="M146" s="38"/>
      <c r="N146" s="38"/>
      <c r="O146" s="38"/>
    </row>
    <row r="147" spans="2:22">
      <c r="B147" t="s">
        <v>104</v>
      </c>
      <c r="D147" t="s">
        <v>109</v>
      </c>
      <c r="F147" s="81">
        <f t="shared" ref="F147:O147" si="50">SUM(F136:F145)</f>
        <v>8948613.6097405925</v>
      </c>
      <c r="G147" s="81">
        <f t="shared" si="50"/>
        <v>73583.01999999999</v>
      </c>
      <c r="H147" s="81">
        <f t="shared" si="50"/>
        <v>15379.611000000001</v>
      </c>
      <c r="I147" s="81">
        <f t="shared" si="50"/>
        <v>147381.17442875303</v>
      </c>
      <c r="J147" s="81">
        <f t="shared" si="50"/>
        <v>2758353</v>
      </c>
      <c r="K147" s="81">
        <f t="shared" si="50"/>
        <v>3806968.74</v>
      </c>
      <c r="L147" s="81">
        <f t="shared" si="50"/>
        <v>83286</v>
      </c>
      <c r="M147" s="81">
        <f t="shared" si="50"/>
        <v>2050728.7047993629</v>
      </c>
      <c r="N147" s="81">
        <f t="shared" si="50"/>
        <v>12933.35951247738</v>
      </c>
      <c r="O147" s="81">
        <f t="shared" si="50"/>
        <v>0</v>
      </c>
    </row>
    <row r="148" spans="2:22">
      <c r="B148" s="3"/>
    </row>
    <row r="149" spans="2:22">
      <c r="C149" s="28"/>
    </row>
    <row r="150" spans="2:22">
      <c r="B150" s="3" t="s">
        <v>663</v>
      </c>
      <c r="C150" s="28"/>
    </row>
    <row r="151" spans="2:22">
      <c r="B151" s="51" t="s">
        <v>677</v>
      </c>
      <c r="C151" s="28"/>
      <c r="D151" t="s">
        <v>109</v>
      </c>
      <c r="F151" s="80">
        <f>SUM(G151:O151)</f>
        <v>0</v>
      </c>
      <c r="G151" s="41"/>
      <c r="H151" s="41"/>
      <c r="I151" s="41"/>
      <c r="J151" s="81">
        <f t="shared" ref="J151" si="51">U151+V151</f>
        <v>0</v>
      </c>
      <c r="K151" s="41"/>
      <c r="L151" s="41"/>
      <c r="M151" s="41"/>
      <c r="N151" s="41"/>
      <c r="O151" s="41"/>
      <c r="U151" s="41"/>
      <c r="V151" s="41"/>
    </row>
    <row r="154" spans="2:22">
      <c r="B154" s="3" t="s">
        <v>31</v>
      </c>
    </row>
    <row r="155" spans="2:22">
      <c r="B155" t="s">
        <v>32</v>
      </c>
      <c r="D155" t="s">
        <v>109</v>
      </c>
      <c r="F155" s="80">
        <f>SUM(G155:O155)</f>
        <v>54584.01306896552</v>
      </c>
      <c r="G155" s="41">
        <v>0</v>
      </c>
      <c r="H155" s="41">
        <v>0</v>
      </c>
      <c r="I155" s="41">
        <v>50435.862068965514</v>
      </c>
      <c r="J155" s="81">
        <f t="shared" ref="J155" si="52">U155+V155</f>
        <v>1502.1959999999999</v>
      </c>
      <c r="K155" s="41">
        <v>0</v>
      </c>
      <c r="L155" s="41">
        <v>2645.9549999999999</v>
      </c>
      <c r="M155" s="41">
        <v>0</v>
      </c>
      <c r="N155" s="41">
        <v>0</v>
      </c>
      <c r="O155" s="41">
        <v>0</v>
      </c>
      <c r="U155" s="41">
        <v>1502.1959999999999</v>
      </c>
      <c r="V155" s="41">
        <v>0</v>
      </c>
    </row>
    <row r="157" spans="2:22">
      <c r="B157" s="79"/>
    </row>
    <row r="158" spans="2:22" s="2" customFormat="1">
      <c r="B158" s="2" t="s">
        <v>20</v>
      </c>
      <c r="F158" s="49"/>
    </row>
    <row r="160" spans="2:22">
      <c r="B160" s="3" t="s">
        <v>5</v>
      </c>
      <c r="F160" s="219"/>
    </row>
    <row r="161" spans="2:15">
      <c r="B161" t="s">
        <v>6</v>
      </c>
      <c r="D161" t="s">
        <v>110</v>
      </c>
      <c r="F161" s="80">
        <f t="shared" ref="F161:F167" si="53">SUM(G161:O161)</f>
        <v>1990152.09</v>
      </c>
      <c r="G161" s="41">
        <v>0</v>
      </c>
      <c r="H161" s="41">
        <v>0</v>
      </c>
      <c r="I161" s="41">
        <v>241355.76</v>
      </c>
      <c r="J161" s="41">
        <v>141000</v>
      </c>
      <c r="K161" s="41">
        <v>1416466.35</v>
      </c>
      <c r="L161" s="41">
        <v>0</v>
      </c>
      <c r="M161" s="41">
        <v>191329.98</v>
      </c>
      <c r="N161" s="41">
        <v>0</v>
      </c>
      <c r="O161" s="41">
        <v>0</v>
      </c>
    </row>
    <row r="162" spans="2:15">
      <c r="B162" t="s">
        <v>665</v>
      </c>
      <c r="D162" t="s">
        <v>110</v>
      </c>
      <c r="F162" s="80">
        <f t="shared" si="53"/>
        <v>439960.63491682807</v>
      </c>
      <c r="G162" s="41">
        <v>0</v>
      </c>
      <c r="H162" s="41">
        <v>0</v>
      </c>
      <c r="I162" s="41">
        <v>8977.43</v>
      </c>
      <c r="J162" s="41">
        <v>425430.30491682806</v>
      </c>
      <c r="K162" s="41">
        <v>0</v>
      </c>
      <c r="L162" s="41">
        <v>5552.9</v>
      </c>
      <c r="M162" s="41">
        <v>0</v>
      </c>
      <c r="N162" s="41">
        <v>0</v>
      </c>
      <c r="O162" s="41">
        <v>0</v>
      </c>
    </row>
    <row r="163" spans="2:15">
      <c r="B163" t="s">
        <v>9</v>
      </c>
      <c r="D163" t="s">
        <v>110</v>
      </c>
      <c r="F163" s="80">
        <f t="shared" si="53"/>
        <v>7615567.1399999997</v>
      </c>
      <c r="G163" s="41">
        <v>0</v>
      </c>
      <c r="H163" s="41">
        <v>0</v>
      </c>
      <c r="I163" s="41">
        <v>0</v>
      </c>
      <c r="J163" s="41">
        <v>7590000</v>
      </c>
      <c r="K163" s="41">
        <v>34830.61</v>
      </c>
      <c r="L163" s="41">
        <v>1266.8900000000001</v>
      </c>
      <c r="M163" s="41">
        <v>-10530.36</v>
      </c>
      <c r="N163" s="41">
        <v>0</v>
      </c>
      <c r="O163" s="41">
        <v>0</v>
      </c>
    </row>
    <row r="164" spans="2:15">
      <c r="B164" t="s">
        <v>10</v>
      </c>
      <c r="D164" t="s">
        <v>110</v>
      </c>
      <c r="F164" s="80">
        <f t="shared" si="53"/>
        <v>830178.35339234758</v>
      </c>
      <c r="G164" s="41">
        <v>0</v>
      </c>
      <c r="H164" s="41">
        <v>0</v>
      </c>
      <c r="I164" s="41">
        <v>0</v>
      </c>
      <c r="J164" s="41">
        <v>0</v>
      </c>
      <c r="K164" s="41">
        <v>830178.35339234758</v>
      </c>
      <c r="L164" s="41">
        <v>0</v>
      </c>
      <c r="M164" s="41">
        <v>0</v>
      </c>
      <c r="N164" s="41">
        <v>0</v>
      </c>
      <c r="O164" s="41">
        <v>0</v>
      </c>
    </row>
    <row r="165" spans="2:15">
      <c r="B165" t="s">
        <v>11</v>
      </c>
      <c r="D165" t="s">
        <v>110</v>
      </c>
      <c r="F165" s="80">
        <f t="shared" si="53"/>
        <v>1939392.3001598518</v>
      </c>
      <c r="G165" s="41">
        <v>0</v>
      </c>
      <c r="H165" s="41">
        <v>0</v>
      </c>
      <c r="I165" s="41">
        <v>0</v>
      </c>
      <c r="J165" s="41">
        <v>0</v>
      </c>
      <c r="K165" s="41">
        <v>1939392.3001598518</v>
      </c>
      <c r="L165" s="41">
        <v>0</v>
      </c>
      <c r="M165" s="41">
        <v>0</v>
      </c>
      <c r="N165" s="41">
        <v>0</v>
      </c>
      <c r="O165" s="41">
        <v>0</v>
      </c>
    </row>
    <row r="166" spans="2:15">
      <c r="B166" t="s">
        <v>12</v>
      </c>
      <c r="D166" t="s">
        <v>110</v>
      </c>
      <c r="F166" s="80">
        <f t="shared" si="53"/>
        <v>0</v>
      </c>
      <c r="G166" s="41">
        <v>0</v>
      </c>
      <c r="H166" s="41">
        <v>0</v>
      </c>
      <c r="I166" s="41">
        <v>0</v>
      </c>
      <c r="J166" s="41">
        <v>0</v>
      </c>
      <c r="K166" s="41">
        <v>0</v>
      </c>
      <c r="L166" s="41">
        <v>0</v>
      </c>
      <c r="M166" s="41">
        <v>0</v>
      </c>
      <c r="N166" s="41">
        <v>0</v>
      </c>
      <c r="O166" s="41">
        <v>0</v>
      </c>
    </row>
    <row r="167" spans="2:15">
      <c r="B167" t="s">
        <v>13</v>
      </c>
      <c r="D167" t="s">
        <v>110</v>
      </c>
      <c r="F167" s="80">
        <f t="shared" si="53"/>
        <v>0</v>
      </c>
      <c r="G167" s="41">
        <v>0</v>
      </c>
      <c r="H167" s="41">
        <v>0</v>
      </c>
      <c r="I167" s="41">
        <v>0</v>
      </c>
      <c r="J167" s="41">
        <v>0</v>
      </c>
      <c r="K167" s="41">
        <v>0</v>
      </c>
      <c r="L167" s="41">
        <v>0</v>
      </c>
      <c r="M167" s="41">
        <v>0</v>
      </c>
      <c r="N167" s="41">
        <v>0</v>
      </c>
      <c r="O167" s="41">
        <v>0</v>
      </c>
    </row>
    <row r="168" spans="2:15">
      <c r="F168" s="67"/>
      <c r="G168" s="38"/>
      <c r="H168" s="38"/>
      <c r="I168" s="38"/>
      <c r="J168" s="38"/>
      <c r="K168" s="38"/>
      <c r="L168" s="38"/>
      <c r="M168" s="38"/>
      <c r="N168" s="38"/>
      <c r="O168" s="38"/>
    </row>
    <row r="169" spans="2:15">
      <c r="B169" t="s">
        <v>104</v>
      </c>
      <c r="D169" t="s">
        <v>110</v>
      </c>
      <c r="F169" s="81">
        <f t="shared" ref="F169:O169" si="54">SUM(F161:F167)</f>
        <v>12815250.518469026</v>
      </c>
      <c r="G169" s="81">
        <f t="shared" si="54"/>
        <v>0</v>
      </c>
      <c r="H169" s="81">
        <f t="shared" si="54"/>
        <v>0</v>
      </c>
      <c r="I169" s="81">
        <f t="shared" si="54"/>
        <v>250333.19</v>
      </c>
      <c r="J169" s="81">
        <f t="shared" si="54"/>
        <v>8156430.3049168279</v>
      </c>
      <c r="K169" s="81">
        <f t="shared" si="54"/>
        <v>4220867.6135521997</v>
      </c>
      <c r="L169" s="81">
        <f t="shared" si="54"/>
        <v>6819.79</v>
      </c>
      <c r="M169" s="81">
        <f t="shared" si="54"/>
        <v>180799.62</v>
      </c>
      <c r="N169" s="81">
        <f t="shared" si="54"/>
        <v>0</v>
      </c>
      <c r="O169" s="81">
        <f t="shared" si="54"/>
        <v>0</v>
      </c>
    </row>
    <row r="171" spans="2:15">
      <c r="B171" s="3"/>
    </row>
    <row r="172" spans="2:15">
      <c r="B172" s="3" t="s">
        <v>14</v>
      </c>
    </row>
    <row r="173" spans="2:15">
      <c r="B173" t="s">
        <v>6</v>
      </c>
      <c r="D173" t="s">
        <v>110</v>
      </c>
      <c r="F173" s="80">
        <f t="shared" ref="F173:F179" si="55">SUM(G173:O173)</f>
        <v>2134600.1800000002</v>
      </c>
      <c r="G173" s="41">
        <v>0</v>
      </c>
      <c r="H173" s="41">
        <v>0</v>
      </c>
      <c r="I173" s="41">
        <v>241355.76</v>
      </c>
      <c r="J173" s="41">
        <v>141000</v>
      </c>
      <c r="K173" s="41">
        <v>1416466.35</v>
      </c>
      <c r="L173" s="41">
        <v>0</v>
      </c>
      <c r="M173" s="41">
        <v>335778.07000000007</v>
      </c>
      <c r="N173" s="41">
        <v>0</v>
      </c>
      <c r="O173" s="41">
        <v>0</v>
      </c>
    </row>
    <row r="174" spans="2:15">
      <c r="B174" t="s">
        <v>8</v>
      </c>
      <c r="D174" t="s">
        <v>110</v>
      </c>
      <c r="F174" s="80">
        <f t="shared" si="55"/>
        <v>434407.73491682805</v>
      </c>
      <c r="G174" s="41">
        <v>0</v>
      </c>
      <c r="H174" s="41">
        <v>0</v>
      </c>
      <c r="I174" s="41">
        <v>8977.43</v>
      </c>
      <c r="J174" s="41">
        <v>425430.30491682806</v>
      </c>
      <c r="K174" s="41">
        <v>0</v>
      </c>
      <c r="L174" s="41">
        <v>0</v>
      </c>
      <c r="M174" s="41">
        <v>0</v>
      </c>
      <c r="N174" s="41">
        <v>0</v>
      </c>
      <c r="O174" s="41">
        <v>0</v>
      </c>
    </row>
    <row r="175" spans="2:15">
      <c r="B175" t="s">
        <v>9</v>
      </c>
      <c r="D175" t="s">
        <v>110</v>
      </c>
      <c r="F175" s="80">
        <f t="shared" si="55"/>
        <v>7624830.6100000003</v>
      </c>
      <c r="G175" s="41">
        <v>0</v>
      </c>
      <c r="H175" s="41">
        <v>0</v>
      </c>
      <c r="I175" s="41">
        <v>0</v>
      </c>
      <c r="J175" s="41">
        <v>7590000</v>
      </c>
      <c r="K175" s="41">
        <v>34830.61</v>
      </c>
      <c r="L175" s="41">
        <v>0</v>
      </c>
      <c r="M175" s="41">
        <v>0</v>
      </c>
      <c r="N175" s="41">
        <v>0</v>
      </c>
      <c r="O175" s="41">
        <v>0</v>
      </c>
    </row>
    <row r="176" spans="2:15">
      <c r="B176" t="s">
        <v>10</v>
      </c>
      <c r="D176" t="s">
        <v>110</v>
      </c>
      <c r="F176" s="80">
        <f t="shared" si="55"/>
        <v>0</v>
      </c>
      <c r="G176" s="41">
        <v>0</v>
      </c>
      <c r="H176" s="41">
        <v>0</v>
      </c>
      <c r="I176" s="41">
        <v>0</v>
      </c>
      <c r="J176" s="41">
        <v>0</v>
      </c>
      <c r="K176" s="41">
        <v>0</v>
      </c>
      <c r="L176" s="41">
        <v>0</v>
      </c>
      <c r="M176" s="41">
        <v>0</v>
      </c>
      <c r="N176" s="41">
        <v>0</v>
      </c>
      <c r="O176" s="41">
        <v>0</v>
      </c>
    </row>
    <row r="177" spans="2:15">
      <c r="B177" t="s">
        <v>11</v>
      </c>
      <c r="D177" t="s">
        <v>110</v>
      </c>
      <c r="F177" s="80">
        <f t="shared" si="55"/>
        <v>0</v>
      </c>
      <c r="G177" s="41">
        <v>0</v>
      </c>
      <c r="H177" s="41">
        <v>0</v>
      </c>
      <c r="I177" s="41">
        <v>0</v>
      </c>
      <c r="J177" s="41">
        <v>0</v>
      </c>
      <c r="K177" s="41">
        <v>0</v>
      </c>
      <c r="L177" s="41">
        <v>0</v>
      </c>
      <c r="M177" s="41">
        <v>0</v>
      </c>
      <c r="N177" s="41">
        <v>0</v>
      </c>
      <c r="O177" s="41">
        <v>0</v>
      </c>
    </row>
    <row r="178" spans="2:15">
      <c r="B178" t="s">
        <v>12</v>
      </c>
      <c r="D178" t="s">
        <v>110</v>
      </c>
      <c r="F178" s="80">
        <f t="shared" si="55"/>
        <v>0</v>
      </c>
      <c r="G178" s="41">
        <v>0</v>
      </c>
      <c r="H178" s="41">
        <v>0</v>
      </c>
      <c r="I178" s="41">
        <v>0</v>
      </c>
      <c r="J178" s="41">
        <v>0</v>
      </c>
      <c r="K178" s="41">
        <v>0</v>
      </c>
      <c r="L178" s="41">
        <v>0</v>
      </c>
      <c r="M178" s="41">
        <v>0</v>
      </c>
      <c r="N178" s="41">
        <v>0</v>
      </c>
      <c r="O178" s="41">
        <v>0</v>
      </c>
    </row>
    <row r="179" spans="2:15">
      <c r="B179" t="s">
        <v>13</v>
      </c>
      <c r="D179" t="s">
        <v>110</v>
      </c>
      <c r="F179" s="80">
        <f t="shared" si="55"/>
        <v>0</v>
      </c>
      <c r="G179" s="41">
        <v>0</v>
      </c>
      <c r="H179" s="41">
        <v>0</v>
      </c>
      <c r="I179" s="41">
        <v>0</v>
      </c>
      <c r="J179" s="41">
        <v>0</v>
      </c>
      <c r="K179" s="41">
        <v>0</v>
      </c>
      <c r="L179" s="41">
        <v>0</v>
      </c>
      <c r="M179" s="41">
        <v>0</v>
      </c>
      <c r="N179" s="41">
        <v>0</v>
      </c>
      <c r="O179" s="41">
        <v>0</v>
      </c>
    </row>
    <row r="180" spans="2:15">
      <c r="F180" s="67"/>
      <c r="G180" s="38"/>
      <c r="H180" s="38"/>
      <c r="I180" s="38"/>
      <c r="J180" s="38"/>
      <c r="K180" s="38"/>
      <c r="L180" s="38"/>
      <c r="M180" s="38"/>
      <c r="N180" s="38"/>
      <c r="O180" s="38"/>
    </row>
    <row r="181" spans="2:15">
      <c r="B181" t="s">
        <v>104</v>
      </c>
      <c r="D181" t="s">
        <v>110</v>
      </c>
      <c r="F181" s="81">
        <f t="shared" ref="F181:O181" si="56">SUM(F173:F179)</f>
        <v>10193838.524916828</v>
      </c>
      <c r="G181" s="81">
        <f t="shared" si="56"/>
        <v>0</v>
      </c>
      <c r="H181" s="81">
        <f t="shared" si="56"/>
        <v>0</v>
      </c>
      <c r="I181" s="81">
        <f t="shared" si="56"/>
        <v>250333.19</v>
      </c>
      <c r="J181" s="81">
        <f t="shared" si="56"/>
        <v>8156430.3049168279</v>
      </c>
      <c r="K181" s="81">
        <f t="shared" si="56"/>
        <v>1451296.9600000002</v>
      </c>
      <c r="L181" s="81">
        <f t="shared" si="56"/>
        <v>0</v>
      </c>
      <c r="M181" s="81">
        <f t="shared" si="56"/>
        <v>335778.07000000007</v>
      </c>
      <c r="N181" s="81">
        <f t="shared" si="56"/>
        <v>0</v>
      </c>
      <c r="O181" s="81">
        <f t="shared" si="56"/>
        <v>0</v>
      </c>
    </row>
    <row r="184" spans="2:15">
      <c r="B184" s="55" t="s">
        <v>15</v>
      </c>
    </row>
    <row r="185" spans="2:15">
      <c r="B185" s="28" t="s">
        <v>666</v>
      </c>
      <c r="D185" t="s">
        <v>110</v>
      </c>
      <c r="F185" s="80">
        <f t="shared" ref="F185:F194" si="57">SUM(G185:O185)</f>
        <v>20136.39</v>
      </c>
      <c r="G185" s="41">
        <v>2737.49</v>
      </c>
      <c r="H185" s="41">
        <v>0</v>
      </c>
      <c r="I185" s="41">
        <v>17398.900000000001</v>
      </c>
      <c r="J185" s="41">
        <v>0</v>
      </c>
      <c r="K185" s="41">
        <v>0</v>
      </c>
      <c r="L185" s="41">
        <v>0</v>
      </c>
      <c r="M185" s="41">
        <v>0</v>
      </c>
      <c r="N185" s="41">
        <v>0</v>
      </c>
      <c r="O185" s="41">
        <v>0</v>
      </c>
    </row>
    <row r="186" spans="2:15">
      <c r="B186" t="s">
        <v>16</v>
      </c>
      <c r="D186" t="s">
        <v>110</v>
      </c>
      <c r="F186" s="80">
        <f t="shared" si="57"/>
        <v>643.95999999999992</v>
      </c>
      <c r="G186" s="41">
        <v>643.95999999999992</v>
      </c>
      <c r="H186" s="41">
        <v>0</v>
      </c>
      <c r="I186" s="41">
        <v>0</v>
      </c>
      <c r="J186" s="41">
        <v>0</v>
      </c>
      <c r="K186" s="41">
        <v>0</v>
      </c>
      <c r="L186" s="41">
        <v>0</v>
      </c>
      <c r="M186" s="41">
        <v>0</v>
      </c>
      <c r="N186" s="41">
        <v>0</v>
      </c>
      <c r="O186" s="41">
        <v>0</v>
      </c>
    </row>
    <row r="187" spans="2:15">
      <c r="B187" t="s">
        <v>17</v>
      </c>
      <c r="D187" t="s">
        <v>110</v>
      </c>
      <c r="F187" s="80">
        <f t="shared" si="57"/>
        <v>6281.8</v>
      </c>
      <c r="G187" s="41">
        <v>6281.8</v>
      </c>
      <c r="H187" s="41">
        <v>0</v>
      </c>
      <c r="I187" s="41">
        <v>0</v>
      </c>
      <c r="J187" s="41">
        <v>0</v>
      </c>
      <c r="K187" s="41">
        <v>0</v>
      </c>
      <c r="L187" s="41">
        <v>0</v>
      </c>
      <c r="M187" s="41">
        <v>0</v>
      </c>
      <c r="N187" s="41">
        <v>0</v>
      </c>
      <c r="O187" s="41">
        <v>0</v>
      </c>
    </row>
    <row r="188" spans="2:15">
      <c r="B188" t="s">
        <v>667</v>
      </c>
      <c r="D188" t="s">
        <v>110</v>
      </c>
      <c r="F188" s="80">
        <f t="shared" si="57"/>
        <v>3239712.6475471985</v>
      </c>
      <c r="G188" s="41">
        <v>40229</v>
      </c>
      <c r="H188" s="41">
        <v>0</v>
      </c>
      <c r="I188" s="41">
        <v>64786.619999999995</v>
      </c>
      <c r="J188" s="41">
        <v>1651000</v>
      </c>
      <c r="K188" s="41">
        <v>699564.58999999985</v>
      </c>
      <c r="L188" s="41">
        <v>53031.22</v>
      </c>
      <c r="M188" s="41">
        <v>694265.33999999985</v>
      </c>
      <c r="N188" s="41">
        <v>36835.877547198528</v>
      </c>
      <c r="O188" s="41">
        <v>0</v>
      </c>
    </row>
    <row r="189" spans="2:15">
      <c r="B189" t="s">
        <v>668</v>
      </c>
      <c r="D189" t="s">
        <v>110</v>
      </c>
      <c r="F189" s="80">
        <f t="shared" si="57"/>
        <v>4777419.8679517768</v>
      </c>
      <c r="G189" s="41">
        <v>0</v>
      </c>
      <c r="H189" s="41">
        <v>14641.045999999998</v>
      </c>
      <c r="I189" s="41">
        <v>58855.719809961374</v>
      </c>
      <c r="J189" s="41">
        <v>825000</v>
      </c>
      <c r="K189" s="41">
        <v>3142855.04</v>
      </c>
      <c r="L189" s="41">
        <v>20213.080000000002</v>
      </c>
      <c r="M189" s="41">
        <v>715854.98214181524</v>
      </c>
      <c r="N189" s="41">
        <v>0</v>
      </c>
      <c r="O189" s="41">
        <v>0</v>
      </c>
    </row>
    <row r="190" spans="2:15">
      <c r="B190" t="s">
        <v>9</v>
      </c>
      <c r="D190" t="s">
        <v>110</v>
      </c>
      <c r="F190" s="80">
        <f t="shared" si="57"/>
        <v>21529.479126017603</v>
      </c>
      <c r="G190" s="41">
        <v>0</v>
      </c>
      <c r="H190" s="41">
        <v>0</v>
      </c>
      <c r="I190" s="41">
        <v>0</v>
      </c>
      <c r="J190" s="41">
        <v>0</v>
      </c>
      <c r="K190" s="41">
        <v>21529.479126017603</v>
      </c>
      <c r="L190" s="41">
        <v>0</v>
      </c>
      <c r="M190" s="41">
        <v>0</v>
      </c>
      <c r="N190" s="41">
        <v>0</v>
      </c>
      <c r="O190" s="41">
        <v>0</v>
      </c>
    </row>
    <row r="191" spans="2:15">
      <c r="B191" t="s">
        <v>10</v>
      </c>
      <c r="D191" t="s">
        <v>110</v>
      </c>
      <c r="F191" s="80">
        <f t="shared" si="57"/>
        <v>159924.58087398252</v>
      </c>
      <c r="G191" s="41">
        <v>0</v>
      </c>
      <c r="H191" s="41">
        <v>0</v>
      </c>
      <c r="I191" s="41">
        <v>0</v>
      </c>
      <c r="J191" s="41">
        <v>0</v>
      </c>
      <c r="K191" s="41">
        <v>159924.58087398252</v>
      </c>
      <c r="L191" s="41">
        <v>0</v>
      </c>
      <c r="M191" s="41">
        <v>0</v>
      </c>
      <c r="N191" s="41">
        <v>0</v>
      </c>
      <c r="O191" s="41">
        <v>0</v>
      </c>
    </row>
    <row r="192" spans="2:15">
      <c r="B192" t="s">
        <v>11</v>
      </c>
      <c r="D192" t="s">
        <v>110</v>
      </c>
      <c r="F192" s="80">
        <f t="shared" si="57"/>
        <v>0</v>
      </c>
      <c r="G192" s="41">
        <v>0</v>
      </c>
      <c r="H192" s="41">
        <v>0</v>
      </c>
      <c r="I192" s="41">
        <v>0</v>
      </c>
      <c r="J192" s="41">
        <v>0</v>
      </c>
      <c r="K192" s="41">
        <v>0</v>
      </c>
      <c r="L192" s="41">
        <v>0</v>
      </c>
      <c r="M192" s="41">
        <v>0</v>
      </c>
      <c r="N192" s="41">
        <v>0</v>
      </c>
      <c r="O192" s="41">
        <v>0</v>
      </c>
    </row>
    <row r="193" spans="2:15">
      <c r="B193" t="s">
        <v>12</v>
      </c>
      <c r="D193" t="s">
        <v>110</v>
      </c>
      <c r="F193" s="80">
        <f t="shared" si="57"/>
        <v>0</v>
      </c>
      <c r="G193" s="41">
        <v>0</v>
      </c>
      <c r="H193" s="41">
        <v>0</v>
      </c>
      <c r="I193" s="41">
        <v>0</v>
      </c>
      <c r="J193" s="41">
        <v>0</v>
      </c>
      <c r="K193" s="41">
        <v>0</v>
      </c>
      <c r="L193" s="41">
        <v>0</v>
      </c>
      <c r="M193" s="41">
        <v>0</v>
      </c>
      <c r="N193" s="41">
        <v>0</v>
      </c>
      <c r="O193" s="41">
        <v>0</v>
      </c>
    </row>
    <row r="194" spans="2:15">
      <c r="B194" t="s">
        <v>13</v>
      </c>
      <c r="D194" t="s">
        <v>110</v>
      </c>
      <c r="F194" s="80">
        <f t="shared" si="57"/>
        <v>0</v>
      </c>
      <c r="G194" s="41">
        <v>0</v>
      </c>
      <c r="H194" s="41">
        <v>0</v>
      </c>
      <c r="I194" s="41">
        <v>0</v>
      </c>
      <c r="J194" s="41">
        <v>0</v>
      </c>
      <c r="K194" s="41">
        <v>0</v>
      </c>
      <c r="L194" s="41">
        <v>0</v>
      </c>
      <c r="M194" s="41">
        <v>0</v>
      </c>
      <c r="N194" s="41">
        <v>0</v>
      </c>
      <c r="O194" s="41">
        <v>0</v>
      </c>
    </row>
    <row r="195" spans="2:15">
      <c r="F195" s="67"/>
      <c r="G195" s="38"/>
      <c r="H195" s="38"/>
      <c r="I195" s="38"/>
      <c r="J195" s="38"/>
      <c r="K195" s="38"/>
      <c r="L195" s="38"/>
      <c r="M195" s="38"/>
      <c r="N195" s="38"/>
      <c r="O195" s="38"/>
    </row>
    <row r="196" spans="2:15">
      <c r="B196" t="s">
        <v>104</v>
      </c>
      <c r="D196" t="s">
        <v>110</v>
      </c>
      <c r="F196" s="81">
        <f t="shared" ref="F196:O196" si="58">SUM(F185:F194)</f>
        <v>8225648.7254989762</v>
      </c>
      <c r="G196" s="81">
        <f t="shared" si="58"/>
        <v>49892.25</v>
      </c>
      <c r="H196" s="81">
        <f t="shared" si="58"/>
        <v>14641.045999999998</v>
      </c>
      <c r="I196" s="81">
        <f t="shared" si="58"/>
        <v>141041.23980996135</v>
      </c>
      <c r="J196" s="81">
        <f t="shared" si="58"/>
        <v>2476000</v>
      </c>
      <c r="K196" s="81">
        <f t="shared" si="58"/>
        <v>4023873.69</v>
      </c>
      <c r="L196" s="81">
        <f t="shared" si="58"/>
        <v>73244.3</v>
      </c>
      <c r="M196" s="81">
        <f t="shared" si="58"/>
        <v>1410120.322141815</v>
      </c>
      <c r="N196" s="81">
        <f t="shared" si="58"/>
        <v>36835.877547198528</v>
      </c>
      <c r="O196" s="81">
        <f t="shared" si="58"/>
        <v>0</v>
      </c>
    </row>
    <row r="197" spans="2:15">
      <c r="B197" s="3"/>
    </row>
    <row r="198" spans="2:15">
      <c r="C198" s="28"/>
    </row>
    <row r="199" spans="2:15">
      <c r="B199" s="3" t="s">
        <v>663</v>
      </c>
      <c r="C199" s="28"/>
    </row>
    <row r="200" spans="2:15">
      <c r="B200" s="51" t="s">
        <v>677</v>
      </c>
      <c r="C200" s="28"/>
      <c r="D200" t="s">
        <v>110</v>
      </c>
      <c r="F200" s="80">
        <f>SUM(G200:O200)</f>
        <v>700</v>
      </c>
      <c r="G200" s="41"/>
      <c r="H200" s="41"/>
      <c r="I200" s="473">
        <f>'Aanpassing gegevens (aug. 2016)'!J26</f>
        <v>700</v>
      </c>
      <c r="J200" s="41"/>
      <c r="K200" s="41"/>
      <c r="L200" s="41"/>
      <c r="M200" s="41"/>
      <c r="N200" s="41"/>
      <c r="O200" s="41"/>
    </row>
    <row r="203" spans="2:15">
      <c r="B203" s="3" t="s">
        <v>31</v>
      </c>
    </row>
    <row r="204" spans="2:15">
      <c r="B204" t="s">
        <v>32</v>
      </c>
      <c r="D204" t="s">
        <v>110</v>
      </c>
      <c r="F204" s="80">
        <f>SUM(G204:O204)</f>
        <v>-4885.76</v>
      </c>
      <c r="G204" s="41">
        <v>0</v>
      </c>
      <c r="H204" s="41">
        <v>0</v>
      </c>
      <c r="I204" s="41">
        <v>0</v>
      </c>
      <c r="J204" s="41">
        <v>0</v>
      </c>
      <c r="K204" s="41">
        <v>0</v>
      </c>
      <c r="L204" s="41">
        <v>-4885.76</v>
      </c>
      <c r="M204" s="41">
        <v>0</v>
      </c>
      <c r="N204" s="41">
        <v>0</v>
      </c>
      <c r="O204" s="41">
        <v>0</v>
      </c>
    </row>
    <row r="206" spans="2:15">
      <c r="B206" s="79"/>
    </row>
    <row r="207" spans="2:15" s="2" customFormat="1">
      <c r="B207" s="2" t="s">
        <v>448</v>
      </c>
      <c r="F207" s="49"/>
    </row>
    <row r="209" spans="2:15">
      <c r="B209" s="3" t="s">
        <v>385</v>
      </c>
    </row>
    <row r="210" spans="2:15">
      <c r="B210" s="51" t="s">
        <v>5</v>
      </c>
      <c r="D210" t="s">
        <v>107</v>
      </c>
      <c r="F210" s="80">
        <f>SUM(G210:O210)</f>
        <v>0</v>
      </c>
      <c r="H210" s="95"/>
      <c r="J210" s="95"/>
      <c r="O210" s="95"/>
    </row>
    <row r="211" spans="2:15">
      <c r="B211" s="51" t="s">
        <v>14</v>
      </c>
      <c r="D211" t="s">
        <v>107</v>
      </c>
      <c r="F211" s="80">
        <f>SUM(G211:O211)</f>
        <v>0</v>
      </c>
      <c r="G211" s="28"/>
      <c r="H211" s="95"/>
      <c r="I211" s="28"/>
      <c r="J211" s="95"/>
      <c r="K211" s="28"/>
      <c r="L211" s="28"/>
      <c r="M211" s="28"/>
      <c r="N211" s="28"/>
      <c r="O211" s="95"/>
    </row>
    <row r="212" spans="2:15">
      <c r="B212" s="51" t="s">
        <v>15</v>
      </c>
      <c r="D212" t="s">
        <v>107</v>
      </c>
      <c r="F212" s="80">
        <f>SUM(G212:O212)</f>
        <v>0</v>
      </c>
      <c r="G212" s="28"/>
      <c r="H212" s="95"/>
      <c r="I212" s="28"/>
      <c r="J212" s="95"/>
      <c r="K212" s="28"/>
      <c r="L212" s="28"/>
      <c r="M212" s="28"/>
      <c r="N212" s="28"/>
      <c r="O212" s="95"/>
    </row>
    <row r="213" spans="2:15">
      <c r="B213" t="s">
        <v>32</v>
      </c>
      <c r="D213" t="s">
        <v>110</v>
      </c>
      <c r="F213" s="80">
        <f>SUM(G213:O213)</f>
        <v>0</v>
      </c>
      <c r="G213" s="38"/>
      <c r="H213" s="41"/>
      <c r="I213" s="38"/>
      <c r="J213" s="41"/>
      <c r="K213" s="38"/>
      <c r="L213" s="38"/>
      <c r="M213" s="38"/>
      <c r="N213" s="38"/>
      <c r="O213" s="41"/>
    </row>
    <row r="214" spans="2:15">
      <c r="G214" s="28"/>
      <c r="I214" s="28"/>
      <c r="K214" s="28"/>
      <c r="L214" s="28"/>
      <c r="M214" s="28"/>
      <c r="N214" s="28"/>
    </row>
    <row r="215" spans="2:15">
      <c r="B215" s="3" t="s">
        <v>386</v>
      </c>
      <c r="G215" s="28"/>
      <c r="I215" s="28"/>
      <c r="K215" s="28"/>
      <c r="L215" s="28"/>
      <c r="M215" s="28"/>
      <c r="N215" s="28"/>
    </row>
    <row r="216" spans="2:15">
      <c r="B216" s="51" t="s">
        <v>5</v>
      </c>
      <c r="D216" t="s">
        <v>108</v>
      </c>
      <c r="F216" s="80">
        <f>SUM(G216:O216)</f>
        <v>0</v>
      </c>
      <c r="G216" s="28"/>
      <c r="H216" s="95"/>
      <c r="I216" s="28"/>
      <c r="J216" s="95"/>
      <c r="K216" s="28"/>
      <c r="L216" s="28"/>
      <c r="M216" s="28"/>
      <c r="N216" s="28"/>
      <c r="O216" s="95"/>
    </row>
    <row r="217" spans="2:15">
      <c r="B217" s="51" t="s">
        <v>14</v>
      </c>
      <c r="D217" t="s">
        <v>108</v>
      </c>
      <c r="F217" s="80">
        <f>SUM(G217:O217)</f>
        <v>0</v>
      </c>
      <c r="G217" s="28"/>
      <c r="H217" s="95"/>
      <c r="I217" s="28"/>
      <c r="J217" s="95"/>
      <c r="K217" s="28"/>
      <c r="L217" s="28"/>
      <c r="M217" s="28"/>
      <c r="N217" s="28"/>
      <c r="O217" s="95"/>
    </row>
    <row r="218" spans="2:15">
      <c r="B218" s="51" t="s">
        <v>15</v>
      </c>
      <c r="D218" t="s">
        <v>108</v>
      </c>
      <c r="F218" s="80">
        <f>SUM(G218:O218)</f>
        <v>0</v>
      </c>
      <c r="G218" s="28"/>
      <c r="H218" s="95"/>
      <c r="I218" s="28"/>
      <c r="J218" s="95"/>
      <c r="K218" s="28"/>
      <c r="L218" s="28"/>
      <c r="M218" s="28"/>
      <c r="N218" s="28"/>
      <c r="O218" s="95"/>
    </row>
    <row r="219" spans="2:15">
      <c r="B219" t="s">
        <v>32</v>
      </c>
      <c r="D219" t="s">
        <v>110</v>
      </c>
      <c r="F219" s="80">
        <f>SUM(G219:O219)</f>
        <v>0</v>
      </c>
      <c r="G219" s="38"/>
      <c r="H219" s="41"/>
      <c r="I219" s="38"/>
      <c r="J219" s="41"/>
      <c r="K219" s="38"/>
      <c r="L219" s="38"/>
      <c r="M219" s="38"/>
      <c r="N219" s="38"/>
      <c r="O219" s="41"/>
    </row>
    <row r="220" spans="2:15">
      <c r="G220" s="28"/>
      <c r="I220" s="28"/>
      <c r="K220" s="28"/>
      <c r="L220" s="28"/>
      <c r="M220" s="28"/>
      <c r="N220" s="28"/>
    </row>
    <row r="221" spans="2:15">
      <c r="B221" s="3" t="s">
        <v>387</v>
      </c>
      <c r="G221" s="28"/>
      <c r="I221" s="28"/>
      <c r="K221" s="28"/>
      <c r="L221" s="28"/>
      <c r="M221" s="28"/>
      <c r="N221" s="28"/>
    </row>
    <row r="222" spans="2:15">
      <c r="B222" s="51" t="s">
        <v>5</v>
      </c>
      <c r="D222" t="s">
        <v>109</v>
      </c>
      <c r="F222" s="80">
        <f>SUM(G222:O222)</f>
        <v>0</v>
      </c>
      <c r="G222" s="28"/>
      <c r="H222" s="95"/>
      <c r="I222" s="28"/>
      <c r="J222" s="95"/>
      <c r="K222" s="28"/>
      <c r="L222" s="28"/>
      <c r="M222" s="28"/>
      <c r="N222" s="28"/>
      <c r="O222" s="95"/>
    </row>
    <row r="223" spans="2:15">
      <c r="B223" s="51" t="s">
        <v>14</v>
      </c>
      <c r="D223" t="s">
        <v>109</v>
      </c>
      <c r="F223" s="80">
        <f>SUM(G223:O223)</f>
        <v>0</v>
      </c>
      <c r="G223" s="28"/>
      <c r="H223" s="95"/>
      <c r="I223" s="28"/>
      <c r="J223" s="95"/>
      <c r="K223" s="28"/>
      <c r="L223" s="28"/>
      <c r="M223" s="28"/>
      <c r="N223" s="28"/>
      <c r="O223" s="95"/>
    </row>
    <row r="224" spans="2:15">
      <c r="B224" s="51" t="s">
        <v>15</v>
      </c>
      <c r="D224" t="s">
        <v>109</v>
      </c>
      <c r="F224" s="80">
        <f>SUM(G224:O224)</f>
        <v>0</v>
      </c>
      <c r="G224" s="28"/>
      <c r="H224" s="95"/>
      <c r="I224" s="28"/>
      <c r="J224" s="95"/>
      <c r="K224" s="28"/>
      <c r="L224" s="28"/>
      <c r="M224" s="28"/>
      <c r="N224" s="28"/>
      <c r="O224" s="95"/>
    </row>
    <row r="225" spans="2:15">
      <c r="B225" t="s">
        <v>32</v>
      </c>
      <c r="D225" t="s">
        <v>110</v>
      </c>
      <c r="F225" s="80">
        <f>SUM(G225:O225)</f>
        <v>0</v>
      </c>
      <c r="G225" s="38"/>
      <c r="H225" s="41"/>
      <c r="I225" s="38"/>
      <c r="J225" s="41"/>
      <c r="K225" s="38"/>
      <c r="L225" s="38"/>
      <c r="M225" s="38"/>
      <c r="N225" s="38"/>
      <c r="O225" s="41"/>
    </row>
    <row r="226" spans="2:15">
      <c r="G226" s="28"/>
      <c r="I226" s="28"/>
      <c r="K226" s="28"/>
      <c r="L226" s="28"/>
      <c r="M226" s="28"/>
      <c r="N226" s="28"/>
    </row>
    <row r="227" spans="2:15">
      <c r="B227" s="3" t="s">
        <v>388</v>
      </c>
      <c r="G227" s="28"/>
      <c r="I227" s="28"/>
      <c r="K227" s="28"/>
      <c r="L227" s="28"/>
      <c r="M227" s="28"/>
      <c r="N227" s="28"/>
    </row>
    <row r="228" spans="2:15">
      <c r="B228" s="51" t="s">
        <v>5</v>
      </c>
      <c r="D228" t="s">
        <v>110</v>
      </c>
      <c r="F228" s="80">
        <f>SUM(G228:O228)</f>
        <v>0</v>
      </c>
      <c r="G228" s="28"/>
      <c r="H228" s="95"/>
      <c r="I228" s="28"/>
      <c r="J228" s="95"/>
      <c r="K228" s="28"/>
      <c r="L228" s="28"/>
      <c r="M228" s="28"/>
      <c r="N228" s="28"/>
      <c r="O228" s="95"/>
    </row>
    <row r="229" spans="2:15">
      <c r="B229" s="51" t="s">
        <v>14</v>
      </c>
      <c r="D229" t="s">
        <v>110</v>
      </c>
      <c r="F229" s="80">
        <f>SUM(G229:O229)</f>
        <v>0</v>
      </c>
      <c r="G229" s="28"/>
      <c r="H229" s="95"/>
      <c r="I229" s="28"/>
      <c r="J229" s="95"/>
      <c r="K229" s="28"/>
      <c r="L229" s="28"/>
      <c r="M229" s="28"/>
      <c r="N229" s="28"/>
      <c r="O229" s="95"/>
    </row>
    <row r="230" spans="2:15">
      <c r="B230" s="51" t="s">
        <v>15</v>
      </c>
      <c r="D230" t="s">
        <v>110</v>
      </c>
      <c r="F230" s="80">
        <f>SUM(G230:O230)</f>
        <v>0</v>
      </c>
      <c r="G230" s="28"/>
      <c r="H230" s="95"/>
      <c r="I230" s="28"/>
      <c r="J230" s="95"/>
      <c r="K230" s="28"/>
      <c r="L230" s="28"/>
      <c r="M230" s="28"/>
      <c r="N230" s="28"/>
      <c r="O230" s="95"/>
    </row>
    <row r="231" spans="2:15">
      <c r="B231" t="s">
        <v>32</v>
      </c>
      <c r="D231" t="s">
        <v>110</v>
      </c>
      <c r="F231" s="80">
        <f>SUM(G231:O231)</f>
        <v>0</v>
      </c>
      <c r="G231" s="38"/>
      <c r="H231" s="41"/>
      <c r="I231" s="38"/>
      <c r="J231" s="41"/>
      <c r="K231" s="38"/>
      <c r="L231" s="38"/>
      <c r="M231" s="38"/>
      <c r="N231" s="38"/>
      <c r="O231" s="41"/>
    </row>
    <row r="232" spans="2:15">
      <c r="G232" s="28"/>
      <c r="I232" s="28"/>
      <c r="K232" s="28"/>
      <c r="L232" s="28"/>
      <c r="M232" s="28"/>
      <c r="N232" s="28"/>
    </row>
    <row r="233" spans="2:15">
      <c r="G233" s="28"/>
    </row>
  </sheetData>
  <phoneticPr fontId="4" type="noConversion"/>
  <pageMargins left="0.74803149606299213" right="0.74803149606299213" top="0.98425196850393704" bottom="0.98425196850393704" header="0.51181102362204722" footer="0.51181102362204722"/>
  <pageSetup paperSize="9" scale="16"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B1:AJ288"/>
  <sheetViews>
    <sheetView showGridLines="0" zoomScale="85" zoomScaleNormal="85" workbookViewId="0"/>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7" customWidth="1"/>
    <col min="7" max="15" width="14.85546875" customWidth="1"/>
    <col min="17" max="17" width="21.85546875" customWidth="1"/>
    <col min="19" max="24" width="14.85546875" customWidth="1"/>
  </cols>
  <sheetData>
    <row r="1" spans="2:24" ht="12" customHeight="1"/>
    <row r="2" spans="2:24" s="1" customFormat="1" ht="18">
      <c r="B2" s="1" t="s">
        <v>259</v>
      </c>
      <c r="F2" s="48" t="s">
        <v>105</v>
      </c>
      <c r="G2" s="5" t="s">
        <v>96</v>
      </c>
      <c r="H2" s="5" t="s">
        <v>97</v>
      </c>
      <c r="I2" s="5" t="s">
        <v>98</v>
      </c>
      <c r="J2" s="5" t="s">
        <v>99</v>
      </c>
      <c r="K2" s="5" t="s">
        <v>100</v>
      </c>
      <c r="L2" s="5" t="s">
        <v>101</v>
      </c>
      <c r="M2" s="5" t="s">
        <v>102</v>
      </c>
      <c r="N2" s="5" t="s">
        <v>103</v>
      </c>
      <c r="O2" s="5" t="s">
        <v>197</v>
      </c>
      <c r="Q2" s="5" t="s">
        <v>567</v>
      </c>
      <c r="S2" s="5" t="s">
        <v>653</v>
      </c>
      <c r="T2" s="5" t="s">
        <v>654</v>
      </c>
      <c r="U2" s="5" t="s">
        <v>655</v>
      </c>
      <c r="V2" s="5" t="s">
        <v>656</v>
      </c>
      <c r="W2" s="5" t="s">
        <v>657</v>
      </c>
      <c r="X2" s="5" t="s">
        <v>658</v>
      </c>
    </row>
    <row r="4" spans="2:24">
      <c r="B4" s="11" t="s">
        <v>260</v>
      </c>
    </row>
    <row r="5" spans="2:24">
      <c r="B5" s="28" t="s">
        <v>3</v>
      </c>
    </row>
    <row r="6" spans="2:24">
      <c r="B6" s="78" t="s">
        <v>995</v>
      </c>
    </row>
    <row r="9" spans="2:24" s="2" customFormat="1">
      <c r="B9" s="2" t="s">
        <v>21</v>
      </c>
      <c r="F9" s="65"/>
      <c r="G9" s="66"/>
      <c r="H9" s="66"/>
      <c r="I9" s="66"/>
      <c r="J9" s="66"/>
      <c r="K9" s="66"/>
      <c r="L9" s="66"/>
      <c r="M9" s="66"/>
      <c r="N9" s="66"/>
      <c r="O9" s="66"/>
      <c r="S9" s="2" t="s">
        <v>653</v>
      </c>
      <c r="T9" s="2" t="s">
        <v>654</v>
      </c>
      <c r="U9" s="2" t="s">
        <v>662</v>
      </c>
      <c r="V9" s="2" t="s">
        <v>656</v>
      </c>
      <c r="W9" s="2" t="s">
        <v>657</v>
      </c>
      <c r="X9" s="2" t="s">
        <v>658</v>
      </c>
    </row>
    <row r="10" spans="2:24">
      <c r="F10" s="64"/>
      <c r="G10" s="63"/>
      <c r="H10" s="63"/>
      <c r="I10" s="63"/>
      <c r="J10" s="63"/>
      <c r="K10" s="63"/>
      <c r="L10" s="63"/>
      <c r="M10" s="63"/>
      <c r="N10" s="63"/>
      <c r="O10" s="63"/>
    </row>
    <row r="11" spans="2:24">
      <c r="B11" s="3" t="s">
        <v>231</v>
      </c>
      <c r="F11" s="64"/>
      <c r="G11" s="63"/>
      <c r="H11" s="63"/>
      <c r="I11" s="63"/>
      <c r="J11" s="63"/>
      <c r="K11" s="63"/>
      <c r="L11" s="63"/>
      <c r="M11" s="63"/>
      <c r="N11" s="63"/>
      <c r="O11" s="63"/>
    </row>
    <row r="12" spans="2:24">
      <c r="B12" s="22"/>
      <c r="F12" s="64"/>
      <c r="G12" s="63"/>
      <c r="H12" s="63"/>
      <c r="I12" s="63"/>
      <c r="J12" s="63"/>
      <c r="K12" s="63"/>
      <c r="L12" s="63"/>
      <c r="M12" s="63"/>
      <c r="N12" s="63"/>
      <c r="O12" s="63"/>
    </row>
    <row r="13" spans="2:24">
      <c r="B13" s="22" t="s">
        <v>224</v>
      </c>
      <c r="F13" s="64"/>
      <c r="G13" s="63"/>
      <c r="H13" s="63"/>
      <c r="I13" s="63"/>
      <c r="J13" s="63"/>
      <c r="K13" s="63"/>
      <c r="L13" s="63"/>
      <c r="M13" s="63"/>
      <c r="N13" s="63"/>
      <c r="O13" s="63"/>
    </row>
    <row r="14" spans="2:24">
      <c r="B14" s="99" t="s">
        <v>225</v>
      </c>
      <c r="F14" s="102">
        <f>SUM(G14:O14)</f>
        <v>595595.72445101535</v>
      </c>
      <c r="G14" s="222">
        <v>3675</v>
      </c>
      <c r="H14" s="222">
        <v>10490.25</v>
      </c>
      <c r="I14" s="98">
        <f>S14+T14</f>
        <v>18962.738110824783</v>
      </c>
      <c r="J14" s="98">
        <f>U14+V14</f>
        <v>118457.33333333333</v>
      </c>
      <c r="K14" s="98">
        <f>W14+X14</f>
        <v>201308.18317437524</v>
      </c>
      <c r="L14" s="87">
        <v>4185</v>
      </c>
      <c r="M14" s="87">
        <v>235578.41265202375</v>
      </c>
      <c r="N14" s="87">
        <v>2938.8071804582778</v>
      </c>
      <c r="O14" s="223">
        <v>0</v>
      </c>
      <c r="S14" s="87">
        <v>11739.382216428028</v>
      </c>
      <c r="T14" s="87">
        <v>7223.3558943967546</v>
      </c>
      <c r="U14" s="87">
        <v>113655.5</v>
      </c>
      <c r="V14" s="87">
        <v>4801.833333333333</v>
      </c>
      <c r="W14" s="87">
        <v>198140.05958135216</v>
      </c>
      <c r="X14" s="87">
        <v>3168.1235930230646</v>
      </c>
    </row>
    <row r="15" spans="2:24">
      <c r="B15" s="99" t="s">
        <v>226</v>
      </c>
      <c r="F15" s="102">
        <f t="shared" ref="F15:F19" si="0">SUM(G15:O15)</f>
        <v>5847582.4097467856</v>
      </c>
      <c r="G15" s="222">
        <v>120861</v>
      </c>
      <c r="H15" s="222">
        <v>164679.33333333334</v>
      </c>
      <c r="I15" s="98">
        <f t="shared" ref="I15:I19" si="1">S15+T15</f>
        <v>332469.82930339855</v>
      </c>
      <c r="J15" s="98">
        <f t="shared" ref="J15:J19" si="2">U15+V15</f>
        <v>1738508.9166666665</v>
      </c>
      <c r="K15" s="98">
        <f t="shared" ref="K15:K19" si="3">W15+X15</f>
        <v>1830419.0114642808</v>
      </c>
      <c r="L15" s="87">
        <v>87480</v>
      </c>
      <c r="M15" s="87">
        <v>1529886.9992930542</v>
      </c>
      <c r="N15" s="87">
        <v>43277.319686051895</v>
      </c>
      <c r="O15" s="87">
        <v>0</v>
      </c>
      <c r="S15" s="87">
        <v>159827.13066967623</v>
      </c>
      <c r="T15" s="87">
        <v>172642.69863372232</v>
      </c>
      <c r="U15" s="87">
        <v>1608707.5833333333</v>
      </c>
      <c r="V15" s="87">
        <v>129801.33333333333</v>
      </c>
      <c r="W15" s="87">
        <v>1778177.4017909823</v>
      </c>
      <c r="X15" s="87">
        <v>52241.609673298437</v>
      </c>
    </row>
    <row r="16" spans="2:24">
      <c r="B16" s="99" t="s">
        <v>227</v>
      </c>
      <c r="F16" s="102">
        <f t="shared" si="0"/>
        <v>316763.10283601261</v>
      </c>
      <c r="G16" s="222">
        <v>7490</v>
      </c>
      <c r="H16" s="222">
        <v>5542.166666666667</v>
      </c>
      <c r="I16" s="98">
        <f t="shared" si="1"/>
        <v>20802.798365874041</v>
      </c>
      <c r="J16" s="98">
        <f t="shared" si="2"/>
        <v>101276.08333333334</v>
      </c>
      <c r="K16" s="98">
        <f t="shared" si="3"/>
        <v>111062.68030933678</v>
      </c>
      <c r="L16" s="87">
        <v>6059</v>
      </c>
      <c r="M16" s="87">
        <v>62899.406282954136</v>
      </c>
      <c r="N16" s="87">
        <v>1630.967877847695</v>
      </c>
      <c r="O16" s="87">
        <v>0</v>
      </c>
      <c r="S16" s="87">
        <v>9299.3420265182176</v>
      </c>
      <c r="T16" s="87">
        <v>11503.456339355826</v>
      </c>
      <c r="U16" s="87">
        <v>92523.666666666672</v>
      </c>
      <c r="V16" s="87">
        <v>8752.4166666666661</v>
      </c>
      <c r="W16" s="87">
        <v>109323.45529433231</v>
      </c>
      <c r="X16" s="87">
        <v>1739.2250150044727</v>
      </c>
    </row>
    <row r="17" spans="2:24">
      <c r="B17" s="100" t="s">
        <v>228</v>
      </c>
      <c r="F17" s="102">
        <f t="shared" si="0"/>
        <v>23553.248299400362</v>
      </c>
      <c r="G17" s="222">
        <v>2</v>
      </c>
      <c r="H17" s="222">
        <v>0</v>
      </c>
      <c r="I17" s="98">
        <f t="shared" si="1"/>
        <v>2347.2211340477929</v>
      </c>
      <c r="J17" s="98">
        <f t="shared" si="2"/>
        <v>4558.4166666666661</v>
      </c>
      <c r="K17" s="98">
        <f t="shared" si="3"/>
        <v>8295.6457425050194</v>
      </c>
      <c r="L17" s="87">
        <v>685</v>
      </c>
      <c r="M17" s="87">
        <v>7247.4544662309372</v>
      </c>
      <c r="N17" s="87">
        <v>417.51028994994761</v>
      </c>
      <c r="O17" s="87">
        <v>0</v>
      </c>
      <c r="S17" s="87">
        <v>3.9984271854318902</v>
      </c>
      <c r="T17" s="87">
        <v>2343.2227068623611</v>
      </c>
      <c r="U17" s="87">
        <v>4556.583333333333</v>
      </c>
      <c r="V17" s="87">
        <v>1.8333333333333333</v>
      </c>
      <c r="W17" s="87">
        <v>8017.25</v>
      </c>
      <c r="X17" s="87">
        <v>278.39574250501892</v>
      </c>
    </row>
    <row r="18" spans="2:24">
      <c r="B18" s="100" t="s">
        <v>229</v>
      </c>
      <c r="F18" s="102">
        <f t="shared" si="0"/>
        <v>77619.466139950338</v>
      </c>
      <c r="G18" s="222">
        <v>2296</v>
      </c>
      <c r="H18" s="222">
        <v>2801</v>
      </c>
      <c r="I18" s="98">
        <f t="shared" si="1"/>
        <v>5847.6094064193476</v>
      </c>
      <c r="J18" s="98">
        <f t="shared" si="2"/>
        <v>28066.75</v>
      </c>
      <c r="K18" s="98">
        <f t="shared" si="3"/>
        <v>20795.278490225199</v>
      </c>
      <c r="L18" s="87">
        <v>1135</v>
      </c>
      <c r="M18" s="87">
        <v>16278.454575163403</v>
      </c>
      <c r="N18" s="87">
        <v>399.37366814239169</v>
      </c>
      <c r="O18" s="87">
        <v>0</v>
      </c>
      <c r="S18" s="87">
        <v>3311.697316333963</v>
      </c>
      <c r="T18" s="87">
        <v>2535.9120900853841</v>
      </c>
      <c r="U18" s="87">
        <v>25779.083333333332</v>
      </c>
      <c r="V18" s="87">
        <v>2287.6666666666665</v>
      </c>
      <c r="W18" s="87">
        <v>20232.5</v>
      </c>
      <c r="X18" s="87">
        <v>562.77849022519945</v>
      </c>
    </row>
    <row r="19" spans="2:24">
      <c r="B19" s="100" t="s">
        <v>230</v>
      </c>
      <c r="F19" s="102">
        <f t="shared" si="0"/>
        <v>24905.357334909389</v>
      </c>
      <c r="G19" s="222">
        <v>716</v>
      </c>
      <c r="H19" s="222">
        <v>649.25</v>
      </c>
      <c r="I19" s="98">
        <f t="shared" si="1"/>
        <v>1986.9190059855314</v>
      </c>
      <c r="J19" s="98">
        <f t="shared" si="2"/>
        <v>8682</v>
      </c>
      <c r="K19" s="98">
        <f t="shared" si="3"/>
        <v>5353.851293787442</v>
      </c>
      <c r="L19" s="87">
        <v>416</v>
      </c>
      <c r="M19" s="87">
        <v>6818.5454291938995</v>
      </c>
      <c r="N19" s="87">
        <v>282.79160594252039</v>
      </c>
      <c r="O19" s="87">
        <v>0</v>
      </c>
      <c r="S19" s="87">
        <v>920.6378594456927</v>
      </c>
      <c r="T19" s="87">
        <v>1066.2811465398388</v>
      </c>
      <c r="U19" s="87">
        <v>8087.1666666666661</v>
      </c>
      <c r="V19" s="87">
        <v>594.83333333333337</v>
      </c>
      <c r="W19" s="87">
        <v>5016.583333333333</v>
      </c>
      <c r="X19" s="87">
        <v>337.2679604541089</v>
      </c>
    </row>
    <row r="20" spans="2:24">
      <c r="B20" s="22"/>
      <c r="F20" s="64"/>
      <c r="G20" s="224"/>
      <c r="H20" s="224"/>
      <c r="I20" s="63"/>
      <c r="J20" s="63"/>
      <c r="K20" s="63"/>
      <c r="L20" s="63"/>
      <c r="M20" s="63"/>
      <c r="N20" s="63"/>
      <c r="O20" s="63"/>
      <c r="S20" s="63"/>
      <c r="T20" s="63"/>
      <c r="U20" s="63"/>
      <c r="V20" s="63"/>
      <c r="W20" s="63"/>
      <c r="X20" s="63"/>
    </row>
    <row r="21" spans="2:24">
      <c r="B21" s="22" t="s">
        <v>232</v>
      </c>
      <c r="F21" s="64"/>
      <c r="G21" s="224"/>
      <c r="H21" s="224"/>
      <c r="I21" s="63"/>
      <c r="J21" s="63"/>
      <c r="K21" s="63"/>
      <c r="L21" s="63"/>
      <c r="M21" s="63"/>
      <c r="N21" s="63"/>
      <c r="O21" s="63"/>
      <c r="S21" s="63"/>
      <c r="T21" s="63"/>
      <c r="U21" s="63"/>
      <c r="V21" s="63"/>
      <c r="W21" s="63"/>
      <c r="X21" s="63"/>
    </row>
    <row r="22" spans="2:24">
      <c r="B22" s="23" t="s">
        <v>233</v>
      </c>
      <c r="F22" s="102">
        <f>SUM(G22:O22)</f>
        <v>9297.3714455389472</v>
      </c>
      <c r="G22" s="222">
        <v>240</v>
      </c>
      <c r="H22" s="222">
        <v>195</v>
      </c>
      <c r="I22" s="98">
        <f t="shared" ref="I22:I26" si="4">S22+T22</f>
        <v>785.07651010420466</v>
      </c>
      <c r="J22" s="98">
        <f t="shared" ref="J22:J26" si="5">U22+V22</f>
        <v>2728.483392899981</v>
      </c>
      <c r="K22" s="98">
        <f t="shared" ref="K22:K26" si="6">W22+X22</f>
        <v>3043.2748443614109</v>
      </c>
      <c r="L22" s="87">
        <v>152</v>
      </c>
      <c r="M22" s="87">
        <v>2031.8181699346405</v>
      </c>
      <c r="N22" s="87">
        <v>121.71852823870955</v>
      </c>
      <c r="O22" s="87">
        <v>0</v>
      </c>
      <c r="S22" s="87">
        <v>317.77481217415232</v>
      </c>
      <c r="T22" s="87">
        <v>467.30169793005234</v>
      </c>
      <c r="U22" s="87">
        <v>2708.3167262333145</v>
      </c>
      <c r="V22" s="87">
        <v>20.166666666666668</v>
      </c>
      <c r="W22" s="87">
        <v>2893.3708145948949</v>
      </c>
      <c r="X22" s="87">
        <v>149.90402976651583</v>
      </c>
    </row>
    <row r="23" spans="2:24">
      <c r="B23" s="23" t="s">
        <v>234</v>
      </c>
      <c r="F23" s="102">
        <f>SUM(G23:O23)</f>
        <v>12355.953403802407</v>
      </c>
      <c r="G23" s="222">
        <v>180</v>
      </c>
      <c r="H23" s="222">
        <v>255</v>
      </c>
      <c r="I23" s="98">
        <f t="shared" si="4"/>
        <v>541.53275746476083</v>
      </c>
      <c r="J23" s="98">
        <f t="shared" si="5"/>
        <v>3439.8273642696286</v>
      </c>
      <c r="K23" s="98">
        <f t="shared" si="6"/>
        <v>4344.6992273250107</v>
      </c>
      <c r="L23" s="87">
        <v>152</v>
      </c>
      <c r="M23" s="87">
        <v>3231.4545466733703</v>
      </c>
      <c r="N23" s="87">
        <v>211.43950806963542</v>
      </c>
      <c r="O23" s="87">
        <v>0</v>
      </c>
      <c r="S23" s="87">
        <v>237.58864461618865</v>
      </c>
      <c r="T23" s="87">
        <v>303.94411284857216</v>
      </c>
      <c r="U23" s="87">
        <v>3055.910697602962</v>
      </c>
      <c r="V23" s="87">
        <v>383.91666666666669</v>
      </c>
      <c r="W23" s="87">
        <v>4213.7830413289203</v>
      </c>
      <c r="X23" s="87">
        <v>130.91618599609049</v>
      </c>
    </row>
    <row r="24" spans="2:24">
      <c r="B24" s="23" t="s">
        <v>235</v>
      </c>
      <c r="F24" s="102">
        <f>SUM(G24:O24)</f>
        <v>5661.9114724136016</v>
      </c>
      <c r="G24" s="222">
        <v>59</v>
      </c>
      <c r="H24" s="222">
        <v>76</v>
      </c>
      <c r="I24" s="98">
        <f t="shared" si="4"/>
        <v>301.9499349804002</v>
      </c>
      <c r="J24" s="98">
        <f t="shared" si="5"/>
        <v>1501.0405745832918</v>
      </c>
      <c r="K24" s="98">
        <f t="shared" si="6"/>
        <v>1674.2561692454269</v>
      </c>
      <c r="L24" s="87">
        <v>41</v>
      </c>
      <c r="M24" s="87">
        <v>1884.9576078431373</v>
      </c>
      <c r="N24" s="87">
        <v>123.70718576134504</v>
      </c>
      <c r="O24" s="87">
        <v>0</v>
      </c>
      <c r="S24" s="87">
        <v>149.48285557101869</v>
      </c>
      <c r="T24" s="87">
        <v>152.46707940938151</v>
      </c>
      <c r="U24" s="87">
        <v>1422.5405745832918</v>
      </c>
      <c r="V24" s="87">
        <v>78.5</v>
      </c>
      <c r="W24" s="87">
        <v>1624.2881593232551</v>
      </c>
      <c r="X24" s="87">
        <v>49.968009922171952</v>
      </c>
    </row>
    <row r="25" spans="2:24">
      <c r="B25" s="23" t="s">
        <v>236</v>
      </c>
      <c r="F25" s="102">
        <f>SUM(G25:O25)</f>
        <v>1919.9460498590079</v>
      </c>
      <c r="G25" s="222">
        <v>43</v>
      </c>
      <c r="H25" s="222">
        <v>48</v>
      </c>
      <c r="I25" s="98">
        <f t="shared" si="4"/>
        <v>69.301258943265154</v>
      </c>
      <c r="J25" s="98">
        <f t="shared" si="5"/>
        <v>539.27442480381501</v>
      </c>
      <c r="K25" s="98">
        <f t="shared" si="6"/>
        <v>752.33025020323464</v>
      </c>
      <c r="L25" s="87">
        <v>20</v>
      </c>
      <c r="M25" s="87">
        <v>208.31933278867101</v>
      </c>
      <c r="N25" s="87">
        <v>239.72078312002225</v>
      </c>
      <c r="O25" s="87">
        <v>0</v>
      </c>
      <c r="S25" s="87">
        <v>20.789006403916506</v>
      </c>
      <c r="T25" s="87">
        <v>48.512252539348651</v>
      </c>
      <c r="U25" s="87">
        <v>484.52442480381501</v>
      </c>
      <c r="V25" s="87">
        <v>54.75</v>
      </c>
      <c r="W25" s="87">
        <v>736.34048702813959</v>
      </c>
      <c r="X25" s="87">
        <v>15.989763175095025</v>
      </c>
    </row>
    <row r="26" spans="2:24">
      <c r="B26" s="23" t="s">
        <v>237</v>
      </c>
      <c r="F26" s="102">
        <f>SUM(G26:O26)</f>
        <v>1788.8526076220141</v>
      </c>
      <c r="G26" s="222">
        <v>13</v>
      </c>
      <c r="H26" s="222">
        <v>8</v>
      </c>
      <c r="I26" s="98">
        <f t="shared" si="4"/>
        <v>26.72993521509126</v>
      </c>
      <c r="J26" s="98">
        <f t="shared" si="5"/>
        <v>445.14615787090509</v>
      </c>
      <c r="K26" s="98">
        <f t="shared" si="6"/>
        <v>240.37880465426579</v>
      </c>
      <c r="L26" s="87">
        <v>5</v>
      </c>
      <c r="M26" s="87">
        <v>951.9371154684095</v>
      </c>
      <c r="N26" s="87">
        <v>98.660594413342494</v>
      </c>
      <c r="O26" s="87">
        <v>0</v>
      </c>
      <c r="S26" s="87">
        <v>13.859337602611005</v>
      </c>
      <c r="T26" s="87">
        <v>12.870597612480255</v>
      </c>
      <c r="U26" s="87">
        <v>406.81282453757177</v>
      </c>
      <c r="V26" s="87">
        <v>38.333333333333329</v>
      </c>
      <c r="W26" s="87">
        <v>233.38328326516171</v>
      </c>
      <c r="X26" s="87">
        <v>6.9955213891040735</v>
      </c>
    </row>
    <row r="27" spans="2:24">
      <c r="B27" s="3"/>
      <c r="F27" s="64"/>
      <c r="G27" s="224"/>
      <c r="H27" s="224"/>
      <c r="I27" s="63"/>
      <c r="J27" s="63"/>
      <c r="K27" s="63"/>
      <c r="L27" s="63"/>
      <c r="M27" s="63"/>
      <c r="N27" s="63"/>
      <c r="O27" s="63"/>
      <c r="S27" s="63"/>
      <c r="T27" s="63"/>
      <c r="U27" s="63"/>
      <c r="V27" s="63"/>
      <c r="W27" s="63"/>
      <c r="X27" s="63"/>
    </row>
    <row r="28" spans="2:24">
      <c r="B28" s="3"/>
      <c r="F28" s="64"/>
      <c r="G28" s="224"/>
      <c r="H28" s="224"/>
      <c r="I28" s="63"/>
      <c r="J28" s="63"/>
      <c r="K28" s="63"/>
      <c r="L28" s="63"/>
      <c r="M28" s="63"/>
      <c r="N28" s="63"/>
      <c r="O28" s="63"/>
      <c r="S28" s="63"/>
      <c r="T28" s="63"/>
      <c r="U28" s="63"/>
      <c r="V28" s="63"/>
      <c r="W28" s="63"/>
      <c r="X28" s="63"/>
    </row>
    <row r="29" spans="2:24">
      <c r="B29" s="3" t="s">
        <v>238</v>
      </c>
      <c r="F29" s="64"/>
      <c r="G29" s="224"/>
      <c r="H29" s="224"/>
      <c r="I29" s="63"/>
      <c r="J29" s="63"/>
      <c r="K29" s="63"/>
      <c r="L29" s="63"/>
      <c r="M29" s="63"/>
      <c r="N29" s="63"/>
      <c r="O29" s="63"/>
      <c r="S29" s="63"/>
      <c r="T29" s="63"/>
      <c r="U29" s="63"/>
      <c r="V29" s="63"/>
      <c r="W29" s="63"/>
      <c r="X29" s="63"/>
    </row>
    <row r="30" spans="2:24">
      <c r="B30" s="22"/>
      <c r="F30" s="64"/>
      <c r="G30" s="224"/>
      <c r="H30" s="224"/>
      <c r="I30" s="63"/>
      <c r="J30" s="63"/>
      <c r="K30" s="63"/>
      <c r="L30" s="63"/>
      <c r="M30" s="63"/>
      <c r="N30" s="63"/>
      <c r="O30" s="63"/>
      <c r="S30" s="63"/>
      <c r="T30" s="63"/>
      <c r="U30" s="63"/>
      <c r="V30" s="63"/>
      <c r="W30" s="63"/>
      <c r="X30" s="63"/>
    </row>
    <row r="31" spans="2:24">
      <c r="B31" s="22" t="s">
        <v>239</v>
      </c>
      <c r="F31" s="64"/>
      <c r="G31" s="224"/>
      <c r="H31" s="224"/>
      <c r="I31" s="63"/>
      <c r="J31" s="63"/>
      <c r="K31" s="63"/>
      <c r="L31" s="63"/>
      <c r="M31" s="63"/>
      <c r="N31" s="63"/>
      <c r="O31" s="63"/>
      <c r="S31" s="63"/>
      <c r="T31" s="63"/>
      <c r="U31" s="63"/>
      <c r="V31" s="63"/>
      <c r="W31" s="63"/>
      <c r="X31" s="63"/>
    </row>
    <row r="32" spans="2:24">
      <c r="B32" s="99" t="s">
        <v>250</v>
      </c>
      <c r="F32" s="102">
        <f>SUM(G32:O32)</f>
        <v>1197.17</v>
      </c>
      <c r="G32" s="87">
        <v>56</v>
      </c>
      <c r="H32" s="87">
        <v>94</v>
      </c>
      <c r="I32" s="98">
        <f t="shared" ref="I32:I33" si="7">S32+T32</f>
        <v>0</v>
      </c>
      <c r="J32" s="98">
        <f t="shared" ref="J32:J33" si="8">U32+V32</f>
        <v>0</v>
      </c>
      <c r="K32" s="98">
        <f t="shared" ref="K32:K33" si="9">W32+X32</f>
        <v>989</v>
      </c>
      <c r="L32" s="87">
        <v>58.17</v>
      </c>
      <c r="M32" s="87">
        <v>0</v>
      </c>
      <c r="N32" s="87">
        <v>0</v>
      </c>
      <c r="O32" s="87">
        <v>0</v>
      </c>
      <c r="S32" s="87">
        <v>0</v>
      </c>
      <c r="T32" s="87">
        <v>0</v>
      </c>
      <c r="U32" s="87">
        <v>0</v>
      </c>
      <c r="V32" s="87">
        <v>0</v>
      </c>
      <c r="W32" s="87">
        <v>989</v>
      </c>
      <c r="X32" s="87">
        <v>0</v>
      </c>
    </row>
    <row r="33" spans="2:24">
      <c r="B33" s="99" t="s">
        <v>251</v>
      </c>
      <c r="F33" s="102">
        <f>SUM(G33:O33)</f>
        <v>1566.64</v>
      </c>
      <c r="G33" s="87">
        <v>44</v>
      </c>
      <c r="H33" s="87">
        <v>81</v>
      </c>
      <c r="I33" s="98">
        <f t="shared" si="7"/>
        <v>0</v>
      </c>
      <c r="J33" s="98">
        <f t="shared" si="8"/>
        <v>0</v>
      </c>
      <c r="K33" s="98">
        <f t="shared" si="9"/>
        <v>1409</v>
      </c>
      <c r="L33" s="87">
        <v>32.64</v>
      </c>
      <c r="M33" s="87">
        <v>0</v>
      </c>
      <c r="N33" s="87">
        <v>0</v>
      </c>
      <c r="O33" s="87">
        <v>0</v>
      </c>
      <c r="S33" s="87">
        <v>0</v>
      </c>
      <c r="T33" s="87">
        <v>0</v>
      </c>
      <c r="U33" s="87">
        <v>0</v>
      </c>
      <c r="V33" s="87">
        <v>0</v>
      </c>
      <c r="W33" s="87">
        <v>1409</v>
      </c>
      <c r="X33" s="87">
        <v>0</v>
      </c>
    </row>
    <row r="34" spans="2:24">
      <c r="B34" s="101"/>
      <c r="F34" s="64"/>
      <c r="G34" s="63"/>
      <c r="H34" s="63"/>
      <c r="I34" s="63"/>
      <c r="J34" s="63"/>
      <c r="K34" s="63"/>
      <c r="L34" s="63"/>
      <c r="M34" s="63"/>
      <c r="N34" s="63"/>
      <c r="O34" s="63"/>
      <c r="S34" s="63"/>
      <c r="T34" s="63"/>
      <c r="U34" s="63"/>
      <c r="V34" s="63"/>
      <c r="W34" s="63"/>
      <c r="X34" s="63"/>
    </row>
    <row r="35" spans="2:24">
      <c r="B35" s="100" t="s">
        <v>252</v>
      </c>
      <c r="F35" s="102">
        <f>SUM(G35:O35)</f>
        <v>6008.7404925310875</v>
      </c>
      <c r="G35" s="87">
        <v>0</v>
      </c>
      <c r="H35" s="87">
        <v>0</v>
      </c>
      <c r="I35" s="98">
        <f t="shared" ref="I35" si="10">S35+T35</f>
        <v>501.74054034192091</v>
      </c>
      <c r="J35" s="98">
        <f t="shared" ref="J35:J37" si="11">U35+V35</f>
        <v>2285.449351851852</v>
      </c>
      <c r="K35" s="98">
        <f t="shared" ref="K35" si="12">W35+X35</f>
        <v>99.349265871126391</v>
      </c>
      <c r="L35" s="87">
        <v>0</v>
      </c>
      <c r="M35" s="87">
        <v>2111.7272676776092</v>
      </c>
      <c r="N35" s="87">
        <v>1010.4740667885786</v>
      </c>
      <c r="O35" s="87">
        <v>0</v>
      </c>
      <c r="S35" s="87">
        <v>202.23637495605956</v>
      </c>
      <c r="T35" s="87">
        <v>299.50416538586131</v>
      </c>
      <c r="U35" s="87">
        <v>2082.6160185185186</v>
      </c>
      <c r="V35" s="87">
        <v>202.83333333333334</v>
      </c>
      <c r="W35" s="87">
        <v>0</v>
      </c>
      <c r="X35" s="87">
        <v>99.349265871126391</v>
      </c>
    </row>
    <row r="36" spans="2:24">
      <c r="B36" s="22"/>
      <c r="F36" s="64"/>
      <c r="G36" s="63"/>
      <c r="H36" s="63"/>
      <c r="I36" s="63"/>
      <c r="J36" s="63"/>
      <c r="K36" s="63"/>
      <c r="L36" s="63"/>
      <c r="M36" s="63"/>
      <c r="N36" s="63"/>
      <c r="O36" s="63"/>
      <c r="S36" s="63"/>
      <c r="T36" s="63"/>
      <c r="U36" s="63"/>
      <c r="V36" s="63"/>
      <c r="W36" s="63"/>
      <c r="X36" s="63"/>
    </row>
    <row r="37" spans="2:24">
      <c r="B37" s="22" t="s">
        <v>253</v>
      </c>
      <c r="F37" s="102">
        <f>SUM(G37:O37)</f>
        <v>16</v>
      </c>
      <c r="G37" s="29"/>
      <c r="H37" s="87">
        <v>13</v>
      </c>
      <c r="I37" s="29"/>
      <c r="J37" s="98">
        <f t="shared" si="11"/>
        <v>1</v>
      </c>
      <c r="K37" s="29"/>
      <c r="L37" s="29"/>
      <c r="M37" s="29"/>
      <c r="N37" s="29"/>
      <c r="O37" s="87">
        <v>2</v>
      </c>
      <c r="S37" s="29"/>
      <c r="T37" s="29"/>
      <c r="U37" s="87">
        <v>1</v>
      </c>
      <c r="V37" s="29"/>
      <c r="W37" s="29"/>
      <c r="X37" s="29"/>
    </row>
    <row r="38" spans="2:24">
      <c r="B38" s="22"/>
      <c r="F38" s="64"/>
      <c r="G38" s="63"/>
      <c r="H38" s="63"/>
      <c r="I38" s="63"/>
      <c r="J38" s="63"/>
      <c r="K38" s="63"/>
      <c r="L38" s="63"/>
      <c r="M38" s="63"/>
      <c r="N38" s="63"/>
      <c r="O38" s="63"/>
      <c r="S38" s="63"/>
      <c r="T38" s="63"/>
      <c r="U38" s="63"/>
      <c r="V38" s="63"/>
      <c r="W38" s="63"/>
      <c r="X38" s="63"/>
    </row>
    <row r="39" spans="2:24">
      <c r="B39" s="22"/>
      <c r="F39" s="64"/>
      <c r="G39" s="63"/>
      <c r="H39" s="63"/>
      <c r="I39" s="63"/>
      <c r="J39" s="63"/>
      <c r="K39" s="63"/>
      <c r="L39" s="63"/>
      <c r="M39" s="63"/>
      <c r="N39" s="63"/>
      <c r="O39" s="63"/>
      <c r="S39" s="63"/>
      <c r="T39" s="63"/>
      <c r="U39" s="63"/>
      <c r="V39" s="63"/>
      <c r="W39" s="63"/>
      <c r="X39" s="63"/>
    </row>
    <row r="40" spans="2:24">
      <c r="B40" s="3" t="s">
        <v>254</v>
      </c>
      <c r="F40" s="64"/>
      <c r="G40" s="63"/>
      <c r="H40" s="63"/>
      <c r="I40" s="63"/>
      <c r="J40" s="63"/>
      <c r="K40" s="63"/>
      <c r="L40" s="63"/>
      <c r="M40" s="63"/>
      <c r="N40" s="63"/>
      <c r="O40" s="63"/>
      <c r="S40" s="63"/>
      <c r="T40" s="63"/>
      <c r="U40" s="63"/>
      <c r="V40" s="63"/>
      <c r="W40" s="63"/>
      <c r="X40" s="63"/>
    </row>
    <row r="41" spans="2:24">
      <c r="B41" s="22"/>
      <c r="F41" s="64"/>
      <c r="G41" s="63"/>
      <c r="H41" s="63"/>
      <c r="I41" s="63"/>
      <c r="J41" s="63"/>
      <c r="K41" s="63"/>
      <c r="L41" s="63"/>
      <c r="M41" s="63"/>
      <c r="N41" s="63"/>
      <c r="O41" s="63"/>
      <c r="S41" s="63"/>
      <c r="T41" s="63"/>
      <c r="U41" s="63"/>
      <c r="V41" s="63"/>
      <c r="W41" s="63"/>
      <c r="X41" s="63"/>
    </row>
    <row r="42" spans="2:24">
      <c r="B42" s="22" t="s">
        <v>239</v>
      </c>
      <c r="F42" s="64"/>
      <c r="G42" s="63"/>
      <c r="H42" s="63"/>
      <c r="I42" s="63"/>
      <c r="J42" s="63"/>
      <c r="K42" s="63"/>
      <c r="L42" s="63"/>
      <c r="M42" s="63"/>
      <c r="N42" s="63"/>
      <c r="O42" s="63"/>
      <c r="S42" s="63"/>
      <c r="T42" s="63"/>
      <c r="U42" s="63"/>
      <c r="V42" s="63"/>
      <c r="W42" s="63"/>
      <c r="X42" s="63"/>
    </row>
    <row r="43" spans="2:24">
      <c r="B43" s="99" t="s">
        <v>250</v>
      </c>
      <c r="F43" s="102">
        <f>SUM(G43:O43)</f>
        <v>590420.88399753696</v>
      </c>
      <c r="G43" s="87">
        <v>21499</v>
      </c>
      <c r="H43" s="87">
        <v>37063</v>
      </c>
      <c r="I43" s="98">
        <f t="shared" ref="I43:I44" si="13">S43+T43</f>
        <v>0</v>
      </c>
      <c r="J43" s="98">
        <f t="shared" ref="J43:J44" si="14">U43+V43</f>
        <v>0</v>
      </c>
      <c r="K43" s="98">
        <f t="shared" ref="K43:K44" si="15">W43+X43</f>
        <v>505750.25</v>
      </c>
      <c r="L43" s="87">
        <v>26108.633997536999</v>
      </c>
      <c r="M43" s="87">
        <v>0</v>
      </c>
      <c r="N43" s="87">
        <v>0</v>
      </c>
      <c r="O43" s="87">
        <v>0</v>
      </c>
      <c r="S43" s="87">
        <v>0</v>
      </c>
      <c r="T43" s="87">
        <v>0</v>
      </c>
      <c r="U43" s="87">
        <v>0</v>
      </c>
      <c r="V43" s="87">
        <v>0</v>
      </c>
      <c r="W43" s="87">
        <v>505750.25</v>
      </c>
      <c r="X43" s="87">
        <v>0</v>
      </c>
    </row>
    <row r="44" spans="2:24">
      <c r="B44" s="99" t="s">
        <v>251</v>
      </c>
      <c r="F44" s="102">
        <f>SUM(G44:O44)</f>
        <v>159488.74999846399</v>
      </c>
      <c r="G44" s="87">
        <v>9712</v>
      </c>
      <c r="H44" s="87">
        <v>12131</v>
      </c>
      <c r="I44" s="98">
        <f t="shared" si="13"/>
        <v>0</v>
      </c>
      <c r="J44" s="98">
        <f t="shared" si="14"/>
        <v>0</v>
      </c>
      <c r="K44" s="98">
        <f t="shared" si="15"/>
        <v>133790.75</v>
      </c>
      <c r="L44" s="87">
        <v>3854.9999984640003</v>
      </c>
      <c r="M44" s="87">
        <v>0</v>
      </c>
      <c r="N44" s="87">
        <v>0</v>
      </c>
      <c r="O44" s="87">
        <v>0</v>
      </c>
      <c r="S44" s="87">
        <v>0</v>
      </c>
      <c r="T44" s="87">
        <v>0</v>
      </c>
      <c r="U44" s="87">
        <v>0</v>
      </c>
      <c r="V44" s="87">
        <v>0</v>
      </c>
      <c r="W44" s="87">
        <v>133790.75</v>
      </c>
      <c r="X44" s="87">
        <v>0</v>
      </c>
    </row>
    <row r="45" spans="2:24">
      <c r="B45" s="101"/>
      <c r="F45" s="64"/>
      <c r="G45" s="63"/>
      <c r="H45" s="63"/>
      <c r="I45" s="63"/>
      <c r="J45" s="63"/>
      <c r="K45" s="63"/>
      <c r="L45" s="63"/>
      <c r="M45" s="63"/>
      <c r="N45" s="63"/>
      <c r="O45" s="63"/>
      <c r="S45" s="63"/>
      <c r="T45" s="63"/>
      <c r="U45" s="63"/>
      <c r="V45" s="63"/>
      <c r="W45" s="63"/>
      <c r="X45" s="63"/>
    </row>
    <row r="46" spans="2:24">
      <c r="B46" s="100" t="s">
        <v>252</v>
      </c>
      <c r="F46" s="102">
        <f>SUM(G46:O46)</f>
        <v>1928034.8042803509</v>
      </c>
      <c r="G46" s="87">
        <v>0</v>
      </c>
      <c r="H46" s="87">
        <v>0</v>
      </c>
      <c r="I46" s="98">
        <f t="shared" ref="I46" si="16">S46+T46</f>
        <v>157330.2521667231</v>
      </c>
      <c r="J46" s="98">
        <f t="shared" ref="J46" si="17">U46+V46</f>
        <v>742494.48194444436</v>
      </c>
      <c r="K46" s="98">
        <f t="shared" ref="K46" si="18">W46+X46</f>
        <v>26459.960708187875</v>
      </c>
      <c r="L46" s="87">
        <v>0</v>
      </c>
      <c r="M46" s="87">
        <v>662945.27233115479</v>
      </c>
      <c r="N46" s="87">
        <v>338804.83712984051</v>
      </c>
      <c r="O46" s="87">
        <v>0</v>
      </c>
      <c r="S46" s="87">
        <v>60476.053081816521</v>
      </c>
      <c r="T46" s="87">
        <v>96854.199084906591</v>
      </c>
      <c r="U46" s="87">
        <v>683855.48194444436</v>
      </c>
      <c r="V46" s="87">
        <v>58639</v>
      </c>
      <c r="W46" s="87">
        <v>0</v>
      </c>
      <c r="X46" s="87">
        <v>26459.960708187875</v>
      </c>
    </row>
    <row r="47" spans="2:24">
      <c r="B47" s="22"/>
      <c r="F47" s="64"/>
      <c r="G47" s="63"/>
      <c r="H47" s="63"/>
      <c r="I47" s="63"/>
      <c r="J47" s="63"/>
      <c r="K47" s="63"/>
      <c r="L47" s="63"/>
      <c r="M47" s="63"/>
      <c r="N47" s="63"/>
      <c r="O47" s="63"/>
      <c r="S47" s="63"/>
      <c r="T47" s="63"/>
      <c r="U47" s="63"/>
      <c r="V47" s="63"/>
      <c r="W47" s="63"/>
      <c r="X47" s="63"/>
    </row>
    <row r="48" spans="2:24">
      <c r="B48" s="22" t="s">
        <v>253</v>
      </c>
      <c r="F48" s="102">
        <f>SUM(G48:O48)</f>
        <v>594731.5344327552</v>
      </c>
      <c r="G48" s="29"/>
      <c r="H48" s="87">
        <v>5463.5344327551884</v>
      </c>
      <c r="I48" s="29"/>
      <c r="J48" s="98">
        <f t="shared" ref="J48" si="19">U48+V48</f>
        <v>60000</v>
      </c>
      <c r="K48" s="29"/>
      <c r="L48" s="29"/>
      <c r="M48" s="29"/>
      <c r="N48" s="29"/>
      <c r="O48" s="87">
        <v>529268</v>
      </c>
      <c r="S48" s="29"/>
      <c r="T48" s="29"/>
      <c r="U48" s="87">
        <v>60000</v>
      </c>
      <c r="V48" s="29"/>
      <c r="W48" s="29"/>
      <c r="X48" s="29"/>
    </row>
    <row r="49" spans="2:24">
      <c r="B49" s="22"/>
      <c r="F49" s="64"/>
      <c r="G49" s="63"/>
      <c r="H49" s="63"/>
      <c r="I49" s="63"/>
      <c r="J49" s="63"/>
      <c r="K49" s="63"/>
      <c r="L49" s="63"/>
      <c r="M49" s="63"/>
      <c r="N49" s="63"/>
      <c r="O49" s="63"/>
    </row>
    <row r="50" spans="2:24">
      <c r="B50" s="22"/>
      <c r="F50" s="64"/>
      <c r="G50" s="63"/>
      <c r="H50" s="63"/>
      <c r="I50" s="63"/>
      <c r="J50" s="63"/>
      <c r="K50" s="63"/>
      <c r="L50" s="63"/>
      <c r="M50" s="63"/>
      <c r="N50" s="63"/>
      <c r="O50" s="63"/>
    </row>
    <row r="51" spans="2:24">
      <c r="B51" s="22"/>
      <c r="F51" s="64"/>
      <c r="G51" s="63"/>
      <c r="H51" s="63"/>
      <c r="I51" s="63"/>
      <c r="J51" s="63"/>
      <c r="K51" s="63"/>
      <c r="L51" s="63"/>
      <c r="M51" s="63"/>
      <c r="N51" s="63"/>
      <c r="O51" s="63"/>
    </row>
    <row r="52" spans="2:24" s="2" customFormat="1">
      <c r="B52" s="2" t="s">
        <v>22</v>
      </c>
      <c r="F52" s="65"/>
      <c r="G52" s="66"/>
      <c r="H52" s="66"/>
      <c r="I52" s="66"/>
      <c r="J52" s="66"/>
      <c r="K52" s="66"/>
      <c r="L52" s="66"/>
      <c r="M52" s="66"/>
      <c r="N52" s="66"/>
      <c r="O52" s="66"/>
      <c r="S52" s="2" t="s">
        <v>653</v>
      </c>
      <c r="T52" s="2" t="s">
        <v>654</v>
      </c>
      <c r="U52" s="2" t="s">
        <v>662</v>
      </c>
      <c r="V52" s="2" t="s">
        <v>656</v>
      </c>
      <c r="W52" s="2" t="s">
        <v>657</v>
      </c>
      <c r="X52" s="2" t="s">
        <v>658</v>
      </c>
    </row>
    <row r="53" spans="2:24">
      <c r="F53" s="64"/>
      <c r="G53" s="63"/>
      <c r="H53" s="63"/>
      <c r="I53" s="63"/>
      <c r="J53" s="63"/>
      <c r="K53" s="63"/>
      <c r="L53" s="63"/>
      <c r="M53" s="63"/>
      <c r="N53" s="63"/>
      <c r="O53" s="63"/>
    </row>
    <row r="54" spans="2:24">
      <c r="B54" s="3" t="s">
        <v>231</v>
      </c>
      <c r="F54" s="64"/>
      <c r="G54" s="63"/>
      <c r="H54" s="63"/>
      <c r="I54" s="63"/>
      <c r="J54" s="63"/>
      <c r="K54" s="63"/>
      <c r="L54" s="63"/>
      <c r="M54" s="63"/>
      <c r="N54" s="63"/>
      <c r="O54" s="63"/>
    </row>
    <row r="55" spans="2:24">
      <c r="B55" s="22"/>
      <c r="F55" s="64"/>
      <c r="G55" s="63"/>
      <c r="H55" s="63"/>
      <c r="I55" s="63"/>
      <c r="J55" s="63"/>
      <c r="K55" s="63"/>
      <c r="L55" s="63"/>
      <c r="M55" s="63"/>
      <c r="N55" s="63"/>
      <c r="O55" s="63"/>
    </row>
    <row r="56" spans="2:24">
      <c r="B56" s="22" t="s">
        <v>224</v>
      </c>
      <c r="F56" s="64"/>
      <c r="G56" s="63"/>
      <c r="H56" s="63"/>
      <c r="I56" s="63"/>
      <c r="J56" s="63"/>
      <c r="K56" s="63"/>
      <c r="L56" s="63"/>
      <c r="M56" s="63"/>
      <c r="N56" s="63"/>
      <c r="O56" s="63"/>
    </row>
    <row r="57" spans="2:24">
      <c r="B57" s="99" t="s">
        <v>225</v>
      </c>
      <c r="F57" s="102">
        <f>SUM(G57:O57)</f>
        <v>602006.1588817141</v>
      </c>
      <c r="G57" s="87">
        <v>3619.9230769230767</v>
      </c>
      <c r="H57" s="87">
        <v>9988.8333333333339</v>
      </c>
      <c r="I57" s="98">
        <f>S57+T57</f>
        <v>22365</v>
      </c>
      <c r="J57" s="98">
        <f>U57+V57</f>
        <v>118430.16867169866</v>
      </c>
      <c r="K57" s="98">
        <f>W57+X57</f>
        <v>207189.19916666666</v>
      </c>
      <c r="L57" s="87">
        <v>4160.6000000000004</v>
      </c>
      <c r="M57" s="87">
        <v>233183.22208503127</v>
      </c>
      <c r="N57" s="87">
        <v>3069.2125480610557</v>
      </c>
      <c r="O57" s="87">
        <v>0</v>
      </c>
      <c r="S57" s="87">
        <v>13271</v>
      </c>
      <c r="T57" s="87">
        <v>9094</v>
      </c>
      <c r="U57" s="87">
        <v>113570.00200503199</v>
      </c>
      <c r="V57" s="87">
        <v>4860.166666666667</v>
      </c>
      <c r="W57" s="87">
        <v>203758.19916666666</v>
      </c>
      <c r="X57" s="87">
        <v>3431</v>
      </c>
    </row>
    <row r="58" spans="2:24">
      <c r="B58" s="99" t="s">
        <v>226</v>
      </c>
      <c r="F58" s="102">
        <f t="shared" ref="F58:F62" si="20">SUM(G58:O58)</f>
        <v>5907564.0083256075</v>
      </c>
      <c r="G58" s="87">
        <v>121099.76923076923</v>
      </c>
      <c r="H58" s="87">
        <v>165961.16666666666</v>
      </c>
      <c r="I58" s="98">
        <f t="shared" ref="I58:I62" si="21">S58+T58</f>
        <v>334200</v>
      </c>
      <c r="J58" s="98">
        <f t="shared" ref="J58:J62" si="22">U58+V58</f>
        <v>1749600.5815414325</v>
      </c>
      <c r="K58" s="98">
        <f t="shared" ref="K58:K62" si="23">W58+X58</f>
        <v>1858700.2324166668</v>
      </c>
      <c r="L58" s="87">
        <v>88160.2</v>
      </c>
      <c r="M58" s="87">
        <v>1546257.3644275717</v>
      </c>
      <c r="N58" s="87">
        <v>43584.694042500676</v>
      </c>
      <c r="O58" s="87">
        <v>0</v>
      </c>
      <c r="S58" s="87">
        <v>160656</v>
      </c>
      <c r="T58" s="87">
        <v>173544</v>
      </c>
      <c r="U58" s="87">
        <v>1618855.8315414325</v>
      </c>
      <c r="V58" s="87">
        <v>130744.75</v>
      </c>
      <c r="W58" s="87">
        <v>1806281.2324166668</v>
      </c>
      <c r="X58" s="87">
        <v>52419</v>
      </c>
    </row>
    <row r="59" spans="2:24">
      <c r="B59" s="99" t="s">
        <v>227</v>
      </c>
      <c r="F59" s="102">
        <f t="shared" si="20"/>
        <v>298934.70523521939</v>
      </c>
      <c r="G59" s="87">
        <v>8367.7692307692305</v>
      </c>
      <c r="H59" s="87">
        <v>5466.333333333333</v>
      </c>
      <c r="I59" s="98">
        <f t="shared" si="21"/>
        <v>19803</v>
      </c>
      <c r="J59" s="98">
        <f t="shared" si="22"/>
        <v>99868.589608802242</v>
      </c>
      <c r="K59" s="98">
        <f t="shared" si="23"/>
        <v>93403.901750000005</v>
      </c>
      <c r="L59" s="87">
        <v>6055.8</v>
      </c>
      <c r="M59" s="87">
        <v>64290.496461535338</v>
      </c>
      <c r="N59" s="87">
        <v>1678.814850779268</v>
      </c>
      <c r="O59" s="87">
        <v>0</v>
      </c>
      <c r="S59" s="87">
        <v>9021</v>
      </c>
      <c r="T59" s="87">
        <v>10782</v>
      </c>
      <c r="U59" s="87">
        <v>91193.756275468913</v>
      </c>
      <c r="V59" s="87">
        <v>8674.8333333333339</v>
      </c>
      <c r="W59" s="87">
        <v>91643.901750000005</v>
      </c>
      <c r="X59" s="87">
        <v>1760</v>
      </c>
    </row>
    <row r="60" spans="2:24">
      <c r="B60" s="100" t="s">
        <v>228</v>
      </c>
      <c r="F60" s="102">
        <f t="shared" si="20"/>
        <v>23716.842111599781</v>
      </c>
      <c r="G60" s="87">
        <v>2</v>
      </c>
      <c r="H60" s="87">
        <v>6</v>
      </c>
      <c r="I60" s="98">
        <f t="shared" si="21"/>
        <v>2378</v>
      </c>
      <c r="J60" s="98">
        <f t="shared" si="22"/>
        <v>4670.6247993213483</v>
      </c>
      <c r="K60" s="98">
        <f t="shared" si="23"/>
        <v>8513</v>
      </c>
      <c r="L60" s="87">
        <v>675.2</v>
      </c>
      <c r="M60" s="87">
        <v>7057.9165948275859</v>
      </c>
      <c r="N60" s="87">
        <v>414.10071745084508</v>
      </c>
      <c r="O60" s="87">
        <v>0</v>
      </c>
      <c r="S60" s="87">
        <v>25</v>
      </c>
      <c r="T60" s="87">
        <v>2353</v>
      </c>
      <c r="U60" s="87">
        <v>4670.3747993213483</v>
      </c>
      <c r="V60" s="87">
        <v>0.25</v>
      </c>
      <c r="W60" s="87">
        <v>8228</v>
      </c>
      <c r="X60" s="87">
        <v>285</v>
      </c>
    </row>
    <row r="61" spans="2:24">
      <c r="B61" s="100" t="s">
        <v>229</v>
      </c>
      <c r="F61" s="102">
        <f t="shared" si="20"/>
        <v>77582.306892558699</v>
      </c>
      <c r="G61" s="87">
        <v>2290.6153846153848</v>
      </c>
      <c r="H61" s="87">
        <v>2794.25</v>
      </c>
      <c r="I61" s="98">
        <f t="shared" si="21"/>
        <v>5817</v>
      </c>
      <c r="J61" s="98">
        <f t="shared" si="22"/>
        <v>27993.299319686648</v>
      </c>
      <c r="K61" s="98">
        <f t="shared" si="23"/>
        <v>20948.416666666668</v>
      </c>
      <c r="L61" s="87">
        <v>1114.2</v>
      </c>
      <c r="M61" s="87">
        <v>16234.333351293106</v>
      </c>
      <c r="N61" s="87">
        <v>390.19217029687979</v>
      </c>
      <c r="O61" s="87">
        <v>0</v>
      </c>
      <c r="S61" s="87">
        <v>3292</v>
      </c>
      <c r="T61" s="87">
        <v>2525</v>
      </c>
      <c r="U61" s="87">
        <v>25688.88265301998</v>
      </c>
      <c r="V61" s="87">
        <v>2304.4166666666665</v>
      </c>
      <c r="W61" s="87">
        <v>20380.416666666668</v>
      </c>
      <c r="X61" s="87">
        <v>568</v>
      </c>
    </row>
    <row r="62" spans="2:24">
      <c r="B62" s="100" t="s">
        <v>230</v>
      </c>
      <c r="F62" s="102">
        <f t="shared" si="20"/>
        <v>25317.070381314014</v>
      </c>
      <c r="G62" s="87">
        <v>721.61538461538464</v>
      </c>
      <c r="H62" s="87">
        <v>653.91666666666663</v>
      </c>
      <c r="I62" s="98">
        <f t="shared" si="21"/>
        <v>1973</v>
      </c>
      <c r="J62" s="98">
        <f t="shared" si="22"/>
        <v>8681.5452318976131</v>
      </c>
      <c r="K62" s="98">
        <f t="shared" si="23"/>
        <v>5815.5</v>
      </c>
      <c r="L62" s="87">
        <v>414.6</v>
      </c>
      <c r="M62" s="87">
        <v>6774.5277758620687</v>
      </c>
      <c r="N62" s="87">
        <v>282.36532227228099</v>
      </c>
      <c r="O62" s="87">
        <v>0</v>
      </c>
      <c r="S62" s="87">
        <v>915</v>
      </c>
      <c r="T62" s="87">
        <v>1058</v>
      </c>
      <c r="U62" s="87">
        <v>8102.2952318976131</v>
      </c>
      <c r="V62" s="87">
        <v>579.25</v>
      </c>
      <c r="W62" s="87">
        <v>5466.5</v>
      </c>
      <c r="X62" s="87">
        <v>349</v>
      </c>
    </row>
    <row r="63" spans="2:24">
      <c r="B63" s="22"/>
      <c r="F63" s="64"/>
      <c r="G63" s="63"/>
      <c r="H63" s="63"/>
      <c r="I63" s="63"/>
      <c r="J63" s="63"/>
      <c r="K63" s="63"/>
      <c r="L63" s="63"/>
      <c r="M63" s="63"/>
      <c r="N63" s="63"/>
      <c r="O63" s="63"/>
      <c r="S63" s="63"/>
      <c r="T63" s="63"/>
      <c r="U63" s="63"/>
      <c r="V63" s="63"/>
      <c r="W63" s="63"/>
      <c r="X63" s="63"/>
    </row>
    <row r="64" spans="2:24">
      <c r="B64" s="22" t="s">
        <v>232</v>
      </c>
      <c r="F64" s="64"/>
      <c r="G64" s="63"/>
      <c r="H64" s="63"/>
      <c r="I64" s="63"/>
      <c r="J64" s="63"/>
      <c r="K64" s="63"/>
      <c r="L64" s="63"/>
      <c r="M64" s="63"/>
      <c r="N64" s="63"/>
      <c r="O64" s="63"/>
      <c r="S64" s="63"/>
      <c r="T64" s="63"/>
      <c r="U64" s="63"/>
      <c r="V64" s="63"/>
      <c r="W64" s="63"/>
      <c r="X64" s="63"/>
    </row>
    <row r="65" spans="2:24">
      <c r="B65" s="23" t="s">
        <v>233</v>
      </c>
      <c r="F65" s="102">
        <f t="shared" ref="F65:F69" si="24">SUM(G65:O65)</f>
        <v>9612.9652641595621</v>
      </c>
      <c r="G65" s="87">
        <v>231.38461538461539</v>
      </c>
      <c r="H65" s="87">
        <v>186</v>
      </c>
      <c r="I65" s="98">
        <f t="shared" ref="I65:I69" si="25">S65+T65</f>
        <v>782</v>
      </c>
      <c r="J65" s="98">
        <f t="shared" ref="J65:J69" si="26">U65+V65</f>
        <v>2739.8333195514379</v>
      </c>
      <c r="K65" s="98">
        <f t="shared" ref="K65:K69" si="27">W65+X65</f>
        <v>3062.25</v>
      </c>
      <c r="L65" s="87">
        <v>143.80000000000001</v>
      </c>
      <c r="M65" s="87">
        <v>2352.2777801724137</v>
      </c>
      <c r="N65" s="87">
        <v>115.41954905109613</v>
      </c>
      <c r="O65" s="87">
        <v>0</v>
      </c>
      <c r="S65" s="87">
        <v>316</v>
      </c>
      <c r="T65" s="87">
        <v>466</v>
      </c>
      <c r="U65" s="87">
        <v>2715.4166528847713</v>
      </c>
      <c r="V65" s="87">
        <v>24.416666666666668</v>
      </c>
      <c r="W65" s="87">
        <v>2911.25</v>
      </c>
      <c r="X65" s="87">
        <v>151</v>
      </c>
    </row>
    <row r="66" spans="2:24">
      <c r="B66" s="23" t="s">
        <v>234</v>
      </c>
      <c r="F66" s="102">
        <f t="shared" si="24"/>
        <v>12474.415002070171</v>
      </c>
      <c r="G66" s="87">
        <v>174.07692307692307</v>
      </c>
      <c r="H66" s="87">
        <v>247</v>
      </c>
      <c r="I66" s="98">
        <f t="shared" si="25"/>
        <v>525</v>
      </c>
      <c r="J66" s="98">
        <f t="shared" si="26"/>
        <v>3369.7173207952019</v>
      </c>
      <c r="K66" s="98">
        <f t="shared" si="27"/>
        <v>4274.25</v>
      </c>
      <c r="L66" s="87">
        <v>148.80000000000001</v>
      </c>
      <c r="M66" s="87">
        <v>3537.0833355437667</v>
      </c>
      <c r="N66" s="87">
        <v>198.48742265428058</v>
      </c>
      <c r="O66" s="87">
        <v>0</v>
      </c>
      <c r="S66" s="87">
        <v>230</v>
      </c>
      <c r="T66" s="87">
        <v>295</v>
      </c>
      <c r="U66" s="87">
        <v>3000.3006541285354</v>
      </c>
      <c r="V66" s="87">
        <v>369.41666666666669</v>
      </c>
      <c r="W66" s="87">
        <v>4148.25</v>
      </c>
      <c r="X66" s="87">
        <v>126</v>
      </c>
    </row>
    <row r="67" spans="2:24">
      <c r="B67" s="23" t="s">
        <v>235</v>
      </c>
      <c r="F67" s="102">
        <f t="shared" si="24"/>
        <v>5433.5266244283648</v>
      </c>
      <c r="G67" s="87">
        <v>55.15384615384616</v>
      </c>
      <c r="H67" s="87">
        <v>76</v>
      </c>
      <c r="I67" s="98">
        <f t="shared" si="25"/>
        <v>290</v>
      </c>
      <c r="J67" s="98">
        <f t="shared" si="26"/>
        <v>1479.1434815260877</v>
      </c>
      <c r="K67" s="98">
        <f t="shared" si="27"/>
        <v>1648.5</v>
      </c>
      <c r="L67" s="87">
        <v>37.6</v>
      </c>
      <c r="M67" s="87">
        <v>1731.0000043103448</v>
      </c>
      <c r="N67" s="87">
        <v>116.12929243808581</v>
      </c>
      <c r="O67" s="87">
        <v>0</v>
      </c>
      <c r="S67" s="87">
        <v>149</v>
      </c>
      <c r="T67" s="87">
        <v>141</v>
      </c>
      <c r="U67" s="87">
        <v>1398.976814859421</v>
      </c>
      <c r="V67" s="87">
        <v>80.166666666666671</v>
      </c>
      <c r="W67" s="87">
        <v>1596.5</v>
      </c>
      <c r="X67" s="87">
        <v>52</v>
      </c>
    </row>
    <row r="68" spans="2:24">
      <c r="B68" s="23" t="s">
        <v>236</v>
      </c>
      <c r="F68" s="102">
        <f t="shared" si="24"/>
        <v>1809.2023238622953</v>
      </c>
      <c r="G68" s="87">
        <v>40.692307692307693</v>
      </c>
      <c r="H68" s="87">
        <v>48</v>
      </c>
      <c r="I68" s="98">
        <f t="shared" si="25"/>
        <v>70</v>
      </c>
      <c r="J68" s="98">
        <f t="shared" si="26"/>
        <v>525.06450731614939</v>
      </c>
      <c r="K68" s="98">
        <f t="shared" si="27"/>
        <v>701.41666666666663</v>
      </c>
      <c r="L68" s="87">
        <v>19</v>
      </c>
      <c r="M68" s="87">
        <v>187.70833351293103</v>
      </c>
      <c r="N68" s="87">
        <v>217.32050867424081</v>
      </c>
      <c r="O68" s="87">
        <v>0</v>
      </c>
      <c r="S68" s="87">
        <v>22</v>
      </c>
      <c r="T68" s="87">
        <v>48</v>
      </c>
      <c r="U68" s="87">
        <v>468.81450731614939</v>
      </c>
      <c r="V68" s="87">
        <v>56.25</v>
      </c>
      <c r="W68" s="87">
        <v>685.41666666666663</v>
      </c>
      <c r="X68" s="87">
        <v>16</v>
      </c>
    </row>
    <row r="69" spans="2:24">
      <c r="B69" s="23" t="s">
        <v>237</v>
      </c>
      <c r="F69" s="102">
        <f t="shared" si="24"/>
        <v>1635.3868350157693</v>
      </c>
      <c r="G69" s="87">
        <v>8.4615384615384599</v>
      </c>
      <c r="H69" s="87">
        <v>5</v>
      </c>
      <c r="I69" s="98">
        <f t="shared" si="25"/>
        <v>21</v>
      </c>
      <c r="J69" s="98">
        <f t="shared" si="26"/>
        <v>403.17275075808817</v>
      </c>
      <c r="K69" s="98">
        <f t="shared" si="27"/>
        <v>220.33333333333337</v>
      </c>
      <c r="L69" s="87">
        <v>7</v>
      </c>
      <c r="M69" s="87">
        <v>880.97777862068972</v>
      </c>
      <c r="N69" s="87">
        <v>89.441433842119523</v>
      </c>
      <c r="O69" s="87">
        <v>0</v>
      </c>
      <c r="S69" s="87">
        <v>12</v>
      </c>
      <c r="T69" s="87">
        <v>9</v>
      </c>
      <c r="U69" s="87">
        <v>365.58941742475486</v>
      </c>
      <c r="V69" s="87">
        <v>37.583333333333329</v>
      </c>
      <c r="W69" s="87">
        <v>217.33333333333337</v>
      </c>
      <c r="X69" s="87">
        <v>3</v>
      </c>
    </row>
    <row r="70" spans="2:24">
      <c r="B70" s="3"/>
      <c r="F70" s="64"/>
      <c r="G70" s="63"/>
      <c r="H70" s="63"/>
      <c r="I70" s="63"/>
      <c r="J70" s="63"/>
      <c r="K70" s="63"/>
      <c r="L70" s="63"/>
      <c r="M70" s="63"/>
      <c r="N70" s="63"/>
      <c r="O70" s="63"/>
      <c r="S70" s="63"/>
      <c r="T70" s="63"/>
      <c r="U70" s="63"/>
      <c r="V70" s="63"/>
      <c r="W70" s="63"/>
      <c r="X70" s="63"/>
    </row>
    <row r="71" spans="2:24">
      <c r="B71" s="3"/>
      <c r="F71" s="64"/>
      <c r="G71" s="63"/>
      <c r="H71" s="63"/>
      <c r="I71" s="63"/>
      <c r="J71" s="63"/>
      <c r="K71" s="63"/>
      <c r="L71" s="63"/>
      <c r="M71" s="63"/>
      <c r="N71" s="63"/>
      <c r="O71" s="63"/>
      <c r="S71" s="63"/>
      <c r="T71" s="63"/>
      <c r="U71" s="63"/>
      <c r="V71" s="63"/>
      <c r="W71" s="63"/>
      <c r="X71" s="63"/>
    </row>
    <row r="72" spans="2:24">
      <c r="B72" s="3" t="s">
        <v>238</v>
      </c>
      <c r="F72" s="64"/>
      <c r="G72" s="63"/>
      <c r="H72" s="63"/>
      <c r="I72" s="63"/>
      <c r="J72" s="63"/>
      <c r="K72" s="63"/>
      <c r="L72" s="63"/>
      <c r="M72" s="63"/>
      <c r="N72" s="63"/>
      <c r="O72" s="63"/>
      <c r="S72" s="63"/>
      <c r="T72" s="63"/>
      <c r="U72" s="63"/>
      <c r="V72" s="63"/>
      <c r="W72" s="63"/>
      <c r="X72" s="63"/>
    </row>
    <row r="73" spans="2:24">
      <c r="B73" s="22"/>
      <c r="F73" s="64"/>
      <c r="G73" s="63"/>
      <c r="H73" s="63"/>
      <c r="I73" s="63"/>
      <c r="J73" s="63"/>
      <c r="K73" s="63"/>
      <c r="L73" s="63"/>
      <c r="M73" s="63"/>
      <c r="N73" s="63"/>
      <c r="O73" s="63"/>
      <c r="S73" s="63"/>
      <c r="T73" s="63"/>
      <c r="U73" s="63"/>
      <c r="V73" s="63"/>
      <c r="W73" s="63"/>
      <c r="X73" s="63"/>
    </row>
    <row r="74" spans="2:24">
      <c r="B74" s="22" t="s">
        <v>239</v>
      </c>
      <c r="F74" s="64"/>
      <c r="G74" s="63"/>
      <c r="H74" s="63"/>
      <c r="I74" s="63"/>
      <c r="J74" s="63"/>
      <c r="K74" s="63"/>
      <c r="L74" s="63"/>
      <c r="M74" s="63"/>
      <c r="N74" s="63"/>
      <c r="O74" s="63"/>
      <c r="S74" s="63"/>
      <c r="T74" s="63"/>
      <c r="U74" s="63"/>
      <c r="V74" s="63"/>
      <c r="W74" s="63"/>
      <c r="X74" s="63"/>
    </row>
    <row r="75" spans="2:24">
      <c r="B75" s="99" t="s">
        <v>250</v>
      </c>
      <c r="F75" s="102">
        <f t="shared" ref="F75:F76" si="28">SUM(G75:O75)</f>
        <v>1688.9166666666667</v>
      </c>
      <c r="G75" s="87">
        <v>59</v>
      </c>
      <c r="H75" s="87">
        <v>102</v>
      </c>
      <c r="I75" s="98">
        <f t="shared" ref="I75:I76" si="29">S75+T75</f>
        <v>0</v>
      </c>
      <c r="J75" s="98">
        <f t="shared" ref="J75:J76" si="30">U75+V75</f>
        <v>0</v>
      </c>
      <c r="K75" s="98">
        <f t="shared" ref="K75:K76" si="31">W75+X75</f>
        <v>1472.9166666666667</v>
      </c>
      <c r="L75" s="87">
        <v>55</v>
      </c>
      <c r="M75" s="87">
        <v>0</v>
      </c>
      <c r="N75" s="87">
        <v>0</v>
      </c>
      <c r="O75" s="87">
        <v>0</v>
      </c>
      <c r="S75" s="87">
        <v>0</v>
      </c>
      <c r="T75" s="87">
        <v>0</v>
      </c>
      <c r="U75" s="87">
        <v>0</v>
      </c>
      <c r="V75" s="87">
        <v>0</v>
      </c>
      <c r="W75" s="87">
        <v>1398.9166666666667</v>
      </c>
      <c r="X75" s="87">
        <v>74</v>
      </c>
    </row>
    <row r="76" spans="2:24">
      <c r="B76" s="99" t="s">
        <v>251</v>
      </c>
      <c r="F76" s="102">
        <f t="shared" si="28"/>
        <v>1221.3499999999999</v>
      </c>
      <c r="G76" s="87">
        <v>52</v>
      </c>
      <c r="H76" s="87">
        <v>80</v>
      </c>
      <c r="I76" s="98">
        <f t="shared" si="29"/>
        <v>0</v>
      </c>
      <c r="J76" s="98">
        <f t="shared" si="30"/>
        <v>0</v>
      </c>
      <c r="K76" s="98">
        <f t="shared" si="31"/>
        <v>1052.75</v>
      </c>
      <c r="L76" s="87">
        <v>36.6</v>
      </c>
      <c r="M76" s="87">
        <v>0</v>
      </c>
      <c r="N76" s="87">
        <v>0</v>
      </c>
      <c r="O76" s="87">
        <v>0</v>
      </c>
      <c r="S76" s="87">
        <v>0</v>
      </c>
      <c r="T76" s="87">
        <v>0</v>
      </c>
      <c r="U76" s="87">
        <v>0</v>
      </c>
      <c r="V76" s="87">
        <v>0</v>
      </c>
      <c r="W76" s="87">
        <v>1018.75</v>
      </c>
      <c r="X76" s="87">
        <v>34</v>
      </c>
    </row>
    <row r="77" spans="2:24">
      <c r="B77" s="101"/>
      <c r="F77" s="64"/>
      <c r="G77" s="63"/>
      <c r="H77" s="63"/>
      <c r="I77" s="63"/>
      <c r="J77" s="63"/>
      <c r="K77" s="63"/>
      <c r="L77" s="63"/>
      <c r="M77" s="63"/>
      <c r="N77" s="63"/>
      <c r="O77" s="63"/>
      <c r="S77" s="63"/>
      <c r="T77" s="63"/>
      <c r="U77" s="63"/>
      <c r="V77" s="63"/>
      <c r="W77" s="63"/>
      <c r="X77" s="63"/>
    </row>
    <row r="78" spans="2:24">
      <c r="B78" s="100" t="s">
        <v>252</v>
      </c>
      <c r="F78" s="102">
        <f t="shared" ref="F78" si="32">SUM(G78:O78)</f>
        <v>5829.3521311089689</v>
      </c>
      <c r="G78" s="87">
        <v>0</v>
      </c>
      <c r="H78" s="87">
        <v>0</v>
      </c>
      <c r="I78" s="98">
        <f>S78+T78</f>
        <v>513</v>
      </c>
      <c r="J78" s="98">
        <f t="shared" ref="J78" si="33">U78+V78</f>
        <v>2270.9508641975308</v>
      </c>
      <c r="K78" s="98">
        <f t="shared" ref="K78" si="34">W78+X78</f>
        <v>0</v>
      </c>
      <c r="L78" s="87">
        <v>0</v>
      </c>
      <c r="M78" s="87">
        <v>2044.1272669114376</v>
      </c>
      <c r="N78" s="87">
        <v>1001.274</v>
      </c>
      <c r="O78" s="87">
        <v>0</v>
      </c>
      <c r="S78" s="87">
        <v>203</v>
      </c>
      <c r="T78" s="87">
        <v>310</v>
      </c>
      <c r="U78" s="87">
        <v>2072.4508641975308</v>
      </c>
      <c r="V78" s="87">
        <v>198.5</v>
      </c>
      <c r="W78" s="87">
        <v>0</v>
      </c>
      <c r="X78" s="87">
        <v>0</v>
      </c>
    </row>
    <row r="79" spans="2:24">
      <c r="B79" s="22"/>
      <c r="F79" s="64"/>
      <c r="G79" s="63"/>
      <c r="H79" s="63"/>
      <c r="I79" s="63"/>
      <c r="J79" s="63"/>
      <c r="K79" s="63"/>
      <c r="L79" s="63"/>
      <c r="M79" s="63"/>
      <c r="N79" s="63"/>
      <c r="O79" s="63"/>
      <c r="S79" s="63"/>
      <c r="T79" s="63"/>
      <c r="U79" s="63"/>
      <c r="V79" s="63"/>
      <c r="W79" s="63"/>
      <c r="X79" s="63"/>
    </row>
    <row r="80" spans="2:24">
      <c r="B80" s="22" t="s">
        <v>253</v>
      </c>
      <c r="F80" s="102">
        <f t="shared" ref="F80" si="35">SUM(G80:O80)</f>
        <v>7</v>
      </c>
      <c r="G80" s="29"/>
      <c r="H80" s="87">
        <v>4</v>
      </c>
      <c r="I80" s="29"/>
      <c r="J80" s="98">
        <f t="shared" ref="J80" si="36">U80+V80</f>
        <v>1</v>
      </c>
      <c r="K80" s="29"/>
      <c r="L80" s="29"/>
      <c r="M80" s="29"/>
      <c r="N80" s="29"/>
      <c r="O80" s="87">
        <v>2</v>
      </c>
      <c r="S80" s="29"/>
      <c r="T80" s="29"/>
      <c r="U80" s="87">
        <v>1</v>
      </c>
      <c r="V80" s="29"/>
      <c r="W80" s="29"/>
      <c r="X80" s="29"/>
    </row>
    <row r="81" spans="2:24">
      <c r="B81" s="22"/>
      <c r="F81" s="64"/>
      <c r="G81" s="63"/>
      <c r="H81" s="63"/>
      <c r="I81" s="63"/>
      <c r="J81" s="63"/>
      <c r="K81" s="63"/>
      <c r="L81" s="63"/>
      <c r="M81" s="63"/>
      <c r="N81" s="63"/>
      <c r="O81" s="63"/>
      <c r="S81" s="63"/>
      <c r="T81" s="63"/>
      <c r="U81" s="63"/>
      <c r="V81" s="63"/>
      <c r="W81" s="63"/>
      <c r="X81" s="63"/>
    </row>
    <row r="82" spans="2:24">
      <c r="B82" s="22"/>
      <c r="F82" s="64"/>
      <c r="G82" s="63"/>
      <c r="H82" s="63"/>
      <c r="I82" s="63"/>
      <c r="J82" s="63"/>
      <c r="K82" s="63"/>
      <c r="L82" s="63"/>
      <c r="M82" s="63"/>
      <c r="N82" s="63"/>
      <c r="O82" s="63"/>
      <c r="S82" s="63"/>
      <c r="T82" s="63"/>
      <c r="U82" s="63"/>
      <c r="V82" s="63"/>
      <c r="W82" s="63"/>
      <c r="X82" s="63"/>
    </row>
    <row r="83" spans="2:24">
      <c r="B83" s="3" t="s">
        <v>254</v>
      </c>
      <c r="F83" s="64"/>
      <c r="G83" s="63"/>
      <c r="H83" s="63"/>
      <c r="I83" s="63"/>
      <c r="J83" s="63"/>
      <c r="K83" s="63"/>
      <c r="L83" s="63"/>
      <c r="M83" s="63"/>
      <c r="N83" s="63"/>
      <c r="O83" s="63"/>
      <c r="S83" s="63"/>
      <c r="T83" s="63"/>
      <c r="U83" s="63"/>
      <c r="V83" s="63"/>
      <c r="W83" s="63"/>
      <c r="X83" s="63"/>
    </row>
    <row r="84" spans="2:24">
      <c r="B84" s="22"/>
      <c r="F84" s="64"/>
      <c r="G84" s="63"/>
      <c r="H84" s="63"/>
      <c r="I84" s="63"/>
      <c r="J84" s="63"/>
      <c r="K84" s="63"/>
      <c r="L84" s="63"/>
      <c r="M84" s="63"/>
      <c r="N84" s="63"/>
      <c r="O84" s="63"/>
      <c r="S84" s="63"/>
      <c r="T84" s="63"/>
      <c r="U84" s="63"/>
      <c r="V84" s="63"/>
      <c r="W84" s="63"/>
      <c r="X84" s="63"/>
    </row>
    <row r="85" spans="2:24">
      <c r="B85" s="22" t="s">
        <v>239</v>
      </c>
      <c r="F85" s="64"/>
      <c r="G85" s="63"/>
      <c r="H85" s="63"/>
      <c r="I85" s="63"/>
      <c r="J85" s="63"/>
      <c r="K85" s="63"/>
      <c r="L85" s="63"/>
      <c r="M85" s="63"/>
      <c r="N85" s="63"/>
      <c r="O85" s="63"/>
      <c r="S85" s="63"/>
      <c r="T85" s="63"/>
      <c r="U85" s="63"/>
      <c r="V85" s="63"/>
      <c r="W85" s="63"/>
      <c r="X85" s="63"/>
    </row>
    <row r="86" spans="2:24">
      <c r="B86" s="99" t="s">
        <v>250</v>
      </c>
      <c r="F86" s="102">
        <f t="shared" ref="F86:F87" si="37">SUM(G86:O86)</f>
        <v>632401.83145202091</v>
      </c>
      <c r="G86" s="87">
        <v>22291</v>
      </c>
      <c r="H86" s="87">
        <v>50996.044355985214</v>
      </c>
      <c r="I86" s="98">
        <f t="shared" ref="I86:I87" si="38">S86+T86</f>
        <v>0</v>
      </c>
      <c r="J86" s="98">
        <f t="shared" ref="J86:J87" si="39">U86+V86</f>
        <v>0</v>
      </c>
      <c r="K86" s="98">
        <f t="shared" ref="K86:K87" si="40">W86+X86</f>
        <v>532955.98709603562</v>
      </c>
      <c r="L86" s="87">
        <v>26158.799999999999</v>
      </c>
      <c r="M86" s="87">
        <v>0</v>
      </c>
      <c r="N86" s="87">
        <v>0</v>
      </c>
      <c r="O86" s="87">
        <v>0</v>
      </c>
      <c r="S86" s="87">
        <v>0</v>
      </c>
      <c r="T86" s="87">
        <v>0</v>
      </c>
      <c r="U86" s="87">
        <v>0</v>
      </c>
      <c r="V86" s="87">
        <v>0</v>
      </c>
      <c r="W86" s="87">
        <v>510050.41666666669</v>
      </c>
      <c r="X86" s="87">
        <v>22905.570429368905</v>
      </c>
    </row>
    <row r="87" spans="2:24">
      <c r="B87" s="99" t="s">
        <v>251</v>
      </c>
      <c r="F87" s="102">
        <f t="shared" si="37"/>
        <v>157943.93333333335</v>
      </c>
      <c r="G87" s="87">
        <v>7034</v>
      </c>
      <c r="H87" s="87">
        <v>11560</v>
      </c>
      <c r="I87" s="98">
        <f t="shared" si="38"/>
        <v>0</v>
      </c>
      <c r="J87" s="98">
        <f t="shared" si="39"/>
        <v>0</v>
      </c>
      <c r="K87" s="98">
        <f t="shared" si="40"/>
        <v>135339.83333333334</v>
      </c>
      <c r="L87" s="87">
        <v>4010.1</v>
      </c>
      <c r="M87" s="87">
        <v>0</v>
      </c>
      <c r="N87" s="87">
        <v>0</v>
      </c>
      <c r="O87" s="87">
        <v>0</v>
      </c>
      <c r="S87" s="87">
        <v>0</v>
      </c>
      <c r="T87" s="87">
        <v>0</v>
      </c>
      <c r="U87" s="87">
        <v>0</v>
      </c>
      <c r="V87" s="87">
        <v>0</v>
      </c>
      <c r="W87" s="87">
        <v>131138.83333333334</v>
      </c>
      <c r="X87" s="87">
        <v>4201</v>
      </c>
    </row>
    <row r="88" spans="2:24">
      <c r="B88" s="101"/>
      <c r="F88" s="64"/>
      <c r="G88" s="63"/>
      <c r="H88" s="63"/>
      <c r="I88" s="63"/>
      <c r="J88" s="63"/>
      <c r="K88" s="63"/>
      <c r="L88" s="63"/>
      <c r="M88" s="63"/>
      <c r="N88" s="63"/>
      <c r="O88" s="63"/>
      <c r="S88" s="63"/>
      <c r="T88" s="63"/>
      <c r="U88" s="63"/>
      <c r="V88" s="63"/>
      <c r="W88" s="63"/>
      <c r="X88" s="63"/>
    </row>
    <row r="89" spans="2:24">
      <c r="B89" s="100" t="s">
        <v>252</v>
      </c>
      <c r="F89" s="102">
        <f t="shared" ref="F89" si="41">SUM(G89:O89)</f>
        <v>1907998.2640985553</v>
      </c>
      <c r="G89" s="87">
        <v>0</v>
      </c>
      <c r="H89" s="87">
        <v>0</v>
      </c>
      <c r="I89" s="98">
        <f t="shared" ref="I89" si="42">S89+T89</f>
        <v>159593.81868478365</v>
      </c>
      <c r="J89" s="98">
        <f t="shared" ref="J89" si="43">U89+V89</f>
        <v>746929.2473636365</v>
      </c>
      <c r="K89" s="98">
        <f t="shared" ref="K89" si="44">W89+X89</f>
        <v>0</v>
      </c>
      <c r="L89" s="87">
        <v>0</v>
      </c>
      <c r="M89" s="87">
        <v>665703.64110297267</v>
      </c>
      <c r="N89" s="87">
        <v>335771.55694716237</v>
      </c>
      <c r="O89" s="87">
        <v>0</v>
      </c>
      <c r="S89" s="87">
        <v>59431.96495359869</v>
      </c>
      <c r="T89" s="87">
        <v>100161.85373118496</v>
      </c>
      <c r="U89" s="87">
        <v>687257.2473636365</v>
      </c>
      <c r="V89" s="87">
        <v>59672</v>
      </c>
      <c r="W89" s="87">
        <v>0</v>
      </c>
      <c r="X89" s="87">
        <v>0</v>
      </c>
    </row>
    <row r="90" spans="2:24">
      <c r="B90" s="22"/>
      <c r="F90" s="64"/>
      <c r="G90" s="63"/>
      <c r="H90" s="63"/>
      <c r="I90" s="63"/>
      <c r="J90" s="63"/>
      <c r="K90" s="63"/>
      <c r="L90" s="63"/>
      <c r="M90" s="63"/>
      <c r="N90" s="63"/>
      <c r="O90" s="63"/>
      <c r="S90" s="63"/>
      <c r="T90" s="63"/>
      <c r="U90" s="63"/>
      <c r="V90" s="63"/>
      <c r="W90" s="63"/>
      <c r="X90" s="63"/>
    </row>
    <row r="91" spans="2:24">
      <c r="B91" s="22" t="s">
        <v>253</v>
      </c>
      <c r="F91" s="102">
        <f t="shared" ref="F91" si="45">SUM(G91:O91)</f>
        <v>679912</v>
      </c>
      <c r="G91" s="29"/>
      <c r="H91" s="87">
        <v>74591</v>
      </c>
      <c r="I91" s="29"/>
      <c r="J91" s="98">
        <f t="shared" ref="J91" si="46">U91+V91</f>
        <v>60000</v>
      </c>
      <c r="K91" s="29"/>
      <c r="L91" s="29"/>
      <c r="M91" s="29"/>
      <c r="N91" s="29"/>
      <c r="O91" s="87">
        <v>545321</v>
      </c>
      <c r="S91" s="29"/>
      <c r="T91" s="29"/>
      <c r="U91" s="87">
        <v>60000</v>
      </c>
      <c r="V91" s="29"/>
      <c r="W91" s="29"/>
      <c r="X91" s="29"/>
    </row>
    <row r="92" spans="2:24">
      <c r="B92" s="22"/>
      <c r="F92" s="64"/>
      <c r="G92" s="63"/>
      <c r="H92" s="63"/>
      <c r="I92" s="63"/>
      <c r="J92" s="63"/>
      <c r="K92" s="63"/>
      <c r="L92" s="63"/>
      <c r="M92" s="63"/>
      <c r="N92" s="63"/>
      <c r="O92" s="63"/>
    </row>
    <row r="93" spans="2:24">
      <c r="B93" s="22"/>
      <c r="F93" s="64"/>
      <c r="G93" s="63"/>
      <c r="H93" s="63"/>
      <c r="I93" s="63"/>
      <c r="J93" s="63"/>
      <c r="K93" s="63"/>
      <c r="L93" s="63"/>
      <c r="M93" s="63"/>
      <c r="N93" s="63"/>
      <c r="O93" s="63"/>
    </row>
    <row r="94" spans="2:24" s="2" customFormat="1">
      <c r="B94" s="2" t="s">
        <v>23</v>
      </c>
      <c r="F94" s="65"/>
      <c r="G94" s="66"/>
      <c r="H94" s="66"/>
      <c r="I94" s="66"/>
      <c r="J94" s="66"/>
      <c r="K94" s="66"/>
      <c r="L94" s="66"/>
      <c r="M94" s="66"/>
      <c r="N94" s="66"/>
      <c r="O94" s="66"/>
      <c r="S94" s="2" t="s">
        <v>653</v>
      </c>
      <c r="T94" s="2" t="s">
        <v>654</v>
      </c>
      <c r="U94" s="2" t="s">
        <v>662</v>
      </c>
      <c r="V94" s="2" t="s">
        <v>656</v>
      </c>
      <c r="W94" s="2" t="s">
        <v>657</v>
      </c>
      <c r="X94" s="2" t="s">
        <v>658</v>
      </c>
    </row>
    <row r="95" spans="2:24">
      <c r="F95" s="64"/>
      <c r="G95" s="63"/>
      <c r="H95" s="63"/>
      <c r="I95" s="63"/>
      <c r="J95" s="63"/>
      <c r="K95" s="63"/>
      <c r="L95" s="63"/>
      <c r="M95" s="63"/>
      <c r="N95" s="63"/>
      <c r="O95" s="63"/>
    </row>
    <row r="96" spans="2:24">
      <c r="B96" s="3" t="s">
        <v>231</v>
      </c>
      <c r="F96" s="64"/>
      <c r="G96" s="63"/>
      <c r="H96" s="63"/>
      <c r="I96" s="63"/>
      <c r="J96" s="63"/>
      <c r="K96" s="63"/>
      <c r="L96" s="63"/>
      <c r="M96" s="63"/>
      <c r="N96" s="63"/>
      <c r="O96" s="63"/>
    </row>
    <row r="97" spans="2:22">
      <c r="B97" s="22"/>
      <c r="F97" s="64"/>
      <c r="G97" s="63"/>
      <c r="H97" s="63"/>
      <c r="I97" s="63"/>
      <c r="J97" s="63"/>
      <c r="K97" s="63"/>
      <c r="L97" s="63"/>
      <c r="M97" s="63"/>
      <c r="N97" s="63"/>
      <c r="O97" s="63"/>
    </row>
    <row r="98" spans="2:22">
      <c r="B98" s="22" t="s">
        <v>224</v>
      </c>
      <c r="F98" s="64"/>
      <c r="G98" s="63"/>
      <c r="H98" s="63"/>
      <c r="I98" s="63"/>
      <c r="J98" s="63"/>
      <c r="K98" s="63"/>
      <c r="L98" s="63"/>
      <c r="M98" s="63"/>
      <c r="N98" s="63"/>
      <c r="O98" s="63"/>
    </row>
    <row r="99" spans="2:22">
      <c r="B99" s="99" t="s">
        <v>225</v>
      </c>
      <c r="F99" s="102">
        <f t="shared" ref="F99:F104" si="47">SUM(G99:O99)</f>
        <v>609282.22287454095</v>
      </c>
      <c r="G99" s="87">
        <v>3957</v>
      </c>
      <c r="H99" s="87">
        <v>10369.75</v>
      </c>
      <c r="I99" s="87">
        <v>23471</v>
      </c>
      <c r="J99" s="98">
        <f t="shared" ref="J99:J104" si="48">U99+V99</f>
        <v>121081.68499947319</v>
      </c>
      <c r="K99" s="87">
        <v>211040.34796249997</v>
      </c>
      <c r="L99" s="87">
        <v>4158.6000000000004</v>
      </c>
      <c r="M99" s="87">
        <v>231991.23058738315</v>
      </c>
      <c r="N99" s="87">
        <v>3212.6093251846291</v>
      </c>
      <c r="O99" s="87">
        <v>0</v>
      </c>
      <c r="U99" s="87">
        <v>115992.51833280652</v>
      </c>
      <c r="V99" s="87">
        <v>5089.166666666667</v>
      </c>
    </row>
    <row r="100" spans="2:22">
      <c r="B100" s="99" t="s">
        <v>226</v>
      </c>
      <c r="F100" s="102">
        <f t="shared" si="47"/>
        <v>5950340.1522690561</v>
      </c>
      <c r="G100" s="87">
        <v>119836</v>
      </c>
      <c r="H100" s="87">
        <v>165737.66666666666</v>
      </c>
      <c r="I100" s="87">
        <v>337167</v>
      </c>
      <c r="J100" s="98">
        <f t="shared" si="48"/>
        <v>1757746.867959498</v>
      </c>
      <c r="K100" s="87">
        <v>1870836.2233587501</v>
      </c>
      <c r="L100" s="87">
        <v>88723.4</v>
      </c>
      <c r="M100" s="87">
        <v>1566852.9604899252</v>
      </c>
      <c r="N100" s="87">
        <v>43440.033794215597</v>
      </c>
      <c r="O100" s="87">
        <v>0</v>
      </c>
      <c r="U100" s="87">
        <v>1627318.5346261647</v>
      </c>
      <c r="V100" s="87">
        <v>130428.33333333334</v>
      </c>
    </row>
    <row r="101" spans="2:22">
      <c r="B101" s="99" t="s">
        <v>227</v>
      </c>
      <c r="F101" s="102">
        <f t="shared" si="47"/>
        <v>296483.59977646131</v>
      </c>
      <c r="G101" s="87">
        <v>9851</v>
      </c>
      <c r="H101" s="87">
        <v>5164.083333333333</v>
      </c>
      <c r="I101" s="87">
        <v>19364</v>
      </c>
      <c r="J101" s="98">
        <f t="shared" si="48"/>
        <v>98218.392894218647</v>
      </c>
      <c r="K101" s="87">
        <v>94919.178678750002</v>
      </c>
      <c r="L101" s="87">
        <v>6101.4</v>
      </c>
      <c r="M101" s="87">
        <v>61155.758856841829</v>
      </c>
      <c r="N101" s="87">
        <v>1709.7860133174461</v>
      </c>
      <c r="O101" s="87">
        <v>0</v>
      </c>
      <c r="U101" s="87">
        <v>90012.976227551975</v>
      </c>
      <c r="V101" s="87">
        <v>8205.4166666666661</v>
      </c>
    </row>
    <row r="102" spans="2:22">
      <c r="B102" s="100" t="s">
        <v>228</v>
      </c>
      <c r="F102" s="102">
        <f t="shared" si="47"/>
        <v>24797.65695388295</v>
      </c>
      <c r="G102" s="87">
        <v>2</v>
      </c>
      <c r="H102" s="87">
        <v>17.916666666666668</v>
      </c>
      <c r="I102" s="87">
        <v>2406</v>
      </c>
      <c r="J102" s="98">
        <f t="shared" si="48"/>
        <v>4816.5970748578384</v>
      </c>
      <c r="K102" s="87">
        <v>8678.9166666666661</v>
      </c>
      <c r="L102" s="87">
        <v>672.6</v>
      </c>
      <c r="M102" s="87">
        <v>7780.1666534966425</v>
      </c>
      <c r="N102" s="87">
        <v>423.45989219513632</v>
      </c>
      <c r="O102" s="87">
        <v>0</v>
      </c>
      <c r="U102" s="87">
        <v>4816.5970748578384</v>
      </c>
      <c r="V102" s="87">
        <v>0</v>
      </c>
    </row>
    <row r="103" spans="2:22">
      <c r="B103" s="100" t="s">
        <v>229</v>
      </c>
      <c r="F103" s="102">
        <f t="shared" si="47"/>
        <v>76894.782424062563</v>
      </c>
      <c r="G103" s="87">
        <v>2282</v>
      </c>
      <c r="H103" s="87">
        <v>2736.0833333333335</v>
      </c>
      <c r="I103" s="87">
        <v>5762</v>
      </c>
      <c r="J103" s="98">
        <f t="shared" si="48"/>
        <v>27508.215926321798</v>
      </c>
      <c r="K103" s="87">
        <v>20913</v>
      </c>
      <c r="L103" s="87">
        <v>1111.8</v>
      </c>
      <c r="M103" s="87">
        <v>16186.333341564601</v>
      </c>
      <c r="N103" s="87">
        <v>395.34982284282597</v>
      </c>
      <c r="O103" s="87">
        <v>0</v>
      </c>
      <c r="U103" s="87">
        <v>25208.965926321798</v>
      </c>
      <c r="V103" s="87">
        <v>2299.25</v>
      </c>
    </row>
    <row r="104" spans="2:22">
      <c r="B104" s="100" t="s">
        <v>230</v>
      </c>
      <c r="F104" s="102">
        <f t="shared" si="47"/>
        <v>25302.692315133863</v>
      </c>
      <c r="G104" s="87">
        <v>722</v>
      </c>
      <c r="H104" s="87">
        <v>665.5</v>
      </c>
      <c r="I104" s="87">
        <v>1951</v>
      </c>
      <c r="J104" s="98">
        <f t="shared" si="48"/>
        <v>8459.1176753988875</v>
      </c>
      <c r="K104" s="87">
        <v>6028.583333333333</v>
      </c>
      <c r="L104" s="87">
        <v>410.2</v>
      </c>
      <c r="M104" s="87">
        <v>6784.5075780323978</v>
      </c>
      <c r="N104" s="87">
        <v>281.78372836924723</v>
      </c>
      <c r="O104" s="87">
        <v>0</v>
      </c>
      <c r="U104" s="87">
        <v>7882.7010087322205</v>
      </c>
      <c r="V104" s="87">
        <v>576.41666666666663</v>
      </c>
    </row>
    <row r="105" spans="2:22">
      <c r="B105" s="22"/>
      <c r="F105" s="64"/>
      <c r="G105" s="63"/>
      <c r="H105" s="63"/>
      <c r="I105" s="63"/>
      <c r="J105" s="63"/>
      <c r="K105" s="63"/>
      <c r="L105" s="63"/>
      <c r="M105" s="63"/>
      <c r="N105" s="63"/>
      <c r="O105" s="63"/>
      <c r="U105" s="63"/>
      <c r="V105" s="63"/>
    </row>
    <row r="106" spans="2:22">
      <c r="B106" s="22" t="s">
        <v>232</v>
      </c>
      <c r="F106" s="64"/>
      <c r="G106" s="63"/>
      <c r="H106" s="63"/>
      <c r="I106" s="63"/>
      <c r="J106" s="63"/>
      <c r="K106" s="63"/>
      <c r="L106" s="63"/>
      <c r="M106" s="63"/>
      <c r="N106" s="63"/>
      <c r="O106" s="63"/>
      <c r="U106" s="63"/>
      <c r="V106" s="63"/>
    </row>
    <row r="107" spans="2:22">
      <c r="B107" s="23" t="s">
        <v>233</v>
      </c>
      <c r="F107" s="102">
        <f t="shared" ref="F107:F111" si="49">SUM(G107:O107)</f>
        <v>9674.8316510636942</v>
      </c>
      <c r="G107" s="87">
        <v>230</v>
      </c>
      <c r="H107" s="87">
        <v>190.41666666666666</v>
      </c>
      <c r="I107" s="87">
        <v>777</v>
      </c>
      <c r="J107" s="98">
        <f t="shared" ref="J107:J111" si="50">U107+V107</f>
        <v>2774.4896120133712</v>
      </c>
      <c r="K107" s="87">
        <v>3089.75</v>
      </c>
      <c r="L107" s="87">
        <v>141.80000000000001</v>
      </c>
      <c r="M107" s="87">
        <v>2346.3636408534185</v>
      </c>
      <c r="N107" s="87">
        <v>125.01173153023764</v>
      </c>
      <c r="O107" s="87">
        <v>0</v>
      </c>
      <c r="U107" s="87">
        <v>2744.7396120133712</v>
      </c>
      <c r="V107" s="87">
        <v>29.75</v>
      </c>
    </row>
    <row r="108" spans="2:22">
      <c r="B108" s="23" t="s">
        <v>234</v>
      </c>
      <c r="F108" s="102">
        <f t="shared" si="49"/>
        <v>12315.578513919869</v>
      </c>
      <c r="G108" s="87">
        <v>173</v>
      </c>
      <c r="H108" s="87">
        <v>246.58333333333334</v>
      </c>
      <c r="I108" s="87">
        <v>533</v>
      </c>
      <c r="J108" s="98">
        <f t="shared" si="50"/>
        <v>3348.6566718270383</v>
      </c>
      <c r="K108" s="87">
        <v>4226.916666666667</v>
      </c>
      <c r="L108" s="87">
        <v>147.19999999999999</v>
      </c>
      <c r="M108" s="87">
        <v>3423.5454517825128</v>
      </c>
      <c r="N108" s="87">
        <v>216.67639031031712</v>
      </c>
      <c r="O108" s="87">
        <v>0</v>
      </c>
      <c r="U108" s="87">
        <v>2987.2400051603718</v>
      </c>
      <c r="V108" s="87">
        <v>361.41666666666669</v>
      </c>
    </row>
    <row r="109" spans="2:22">
      <c r="B109" s="23" t="s">
        <v>235</v>
      </c>
      <c r="F109" s="102">
        <f t="shared" si="49"/>
        <v>5393.1306312971647</v>
      </c>
      <c r="G109" s="87">
        <v>58</v>
      </c>
      <c r="H109" s="87">
        <v>74.5</v>
      </c>
      <c r="I109" s="87">
        <v>288</v>
      </c>
      <c r="J109" s="98">
        <f t="shared" si="50"/>
        <v>1454.9337381522973</v>
      </c>
      <c r="K109" s="87">
        <v>1631.4166666666667</v>
      </c>
      <c r="L109" s="87">
        <v>38.6</v>
      </c>
      <c r="M109" s="87">
        <v>1720.9090912682734</v>
      </c>
      <c r="N109" s="87">
        <v>126.77113520992653</v>
      </c>
      <c r="O109" s="87">
        <v>0</v>
      </c>
      <c r="U109" s="87">
        <v>1377.7670714856306</v>
      </c>
      <c r="V109" s="87">
        <v>77.166666666666671</v>
      </c>
    </row>
    <row r="110" spans="2:22">
      <c r="B110" s="23" t="s">
        <v>236</v>
      </c>
      <c r="F110" s="102">
        <f t="shared" si="49"/>
        <v>1665.7623463422035</v>
      </c>
      <c r="G110" s="87">
        <v>42</v>
      </c>
      <c r="H110" s="87">
        <v>47</v>
      </c>
      <c r="I110" s="87">
        <v>68</v>
      </c>
      <c r="J110" s="98">
        <f t="shared" si="50"/>
        <v>506.30250095309236</v>
      </c>
      <c r="K110" s="87">
        <v>649.41666666666663</v>
      </c>
      <c r="L110" s="87">
        <v>18.600000000000001</v>
      </c>
      <c r="M110" s="87">
        <v>151.62136369024097</v>
      </c>
      <c r="N110" s="87">
        <v>182.82181503220357</v>
      </c>
      <c r="O110" s="87">
        <v>0</v>
      </c>
      <c r="U110" s="87">
        <v>457.13583428642568</v>
      </c>
      <c r="V110" s="87">
        <v>49.166666666666664</v>
      </c>
    </row>
    <row r="111" spans="2:22">
      <c r="B111" s="23" t="s">
        <v>237</v>
      </c>
      <c r="F111" s="102">
        <f t="shared" si="49"/>
        <v>1383.9849176929213</v>
      </c>
      <c r="G111" s="87">
        <v>13</v>
      </c>
      <c r="H111" s="87">
        <v>5</v>
      </c>
      <c r="I111" s="87">
        <v>21</v>
      </c>
      <c r="J111" s="98">
        <f t="shared" si="50"/>
        <v>353.13232553904811</v>
      </c>
      <c r="K111" s="87">
        <v>200</v>
      </c>
      <c r="L111" s="87">
        <v>5</v>
      </c>
      <c r="M111" s="87">
        <v>711.60960025286431</v>
      </c>
      <c r="N111" s="87">
        <v>75.242991901008949</v>
      </c>
      <c r="O111" s="87">
        <v>0</v>
      </c>
      <c r="U111" s="87">
        <v>314.88232553904811</v>
      </c>
      <c r="V111" s="87">
        <v>38.25</v>
      </c>
    </row>
    <row r="112" spans="2:22">
      <c r="B112" s="3"/>
      <c r="F112" s="64"/>
      <c r="G112" s="63"/>
      <c r="H112" s="63"/>
      <c r="I112" s="63"/>
      <c r="J112" s="63"/>
      <c r="K112" s="63"/>
      <c r="L112" s="63"/>
      <c r="M112" s="63"/>
      <c r="N112" s="63"/>
      <c r="O112" s="63"/>
      <c r="U112" s="63"/>
      <c r="V112" s="63"/>
    </row>
    <row r="113" spans="2:22">
      <c r="B113" s="3"/>
      <c r="F113" s="64"/>
      <c r="G113" s="63"/>
      <c r="H113" s="63"/>
      <c r="I113" s="63"/>
      <c r="J113" s="63"/>
      <c r="K113" s="63"/>
      <c r="L113" s="63"/>
      <c r="M113" s="63"/>
      <c r="N113" s="63"/>
      <c r="O113" s="63"/>
      <c r="U113" s="63"/>
      <c r="V113" s="63"/>
    </row>
    <row r="114" spans="2:22">
      <c r="B114" s="3" t="s">
        <v>256</v>
      </c>
      <c r="F114" s="64"/>
      <c r="G114" s="63"/>
      <c r="H114" s="63"/>
      <c r="I114" s="63"/>
      <c r="J114" s="63"/>
      <c r="K114" s="63"/>
      <c r="L114" s="63"/>
      <c r="M114" s="63"/>
      <c r="N114" s="63"/>
      <c r="O114" s="63"/>
      <c r="U114" s="63"/>
      <c r="V114" s="63"/>
    </row>
    <row r="115" spans="2:22">
      <c r="B115" s="22"/>
      <c r="F115" s="64"/>
      <c r="G115" s="63"/>
      <c r="H115" s="63"/>
      <c r="I115" s="63"/>
      <c r="J115" s="63"/>
      <c r="K115" s="63"/>
      <c r="L115" s="63"/>
      <c r="M115" s="63"/>
      <c r="N115" s="63"/>
      <c r="O115" s="63"/>
      <c r="U115" s="63"/>
      <c r="V115" s="63"/>
    </row>
    <row r="116" spans="2:22">
      <c r="B116" s="22" t="s">
        <v>255</v>
      </c>
      <c r="F116" s="102">
        <f t="shared" ref="F116" si="51">SUM(G116:O116)</f>
        <v>8816.1249670846391</v>
      </c>
      <c r="G116" s="87">
        <v>114</v>
      </c>
      <c r="H116" s="87">
        <v>182.66666666666666</v>
      </c>
      <c r="I116" s="87">
        <v>500</v>
      </c>
      <c r="J116" s="98">
        <f t="shared" ref="J116" si="52">U116+V116</f>
        <v>2344.8861337513063</v>
      </c>
      <c r="K116" s="87">
        <v>2556</v>
      </c>
      <c r="L116" s="87">
        <v>91.72</v>
      </c>
      <c r="M116" s="87">
        <v>2062</v>
      </c>
      <c r="N116" s="87">
        <v>964.85216666666679</v>
      </c>
      <c r="O116" s="87">
        <v>0</v>
      </c>
      <c r="U116" s="87">
        <v>2135.3028004179728</v>
      </c>
      <c r="V116" s="87">
        <v>209.58333333333334</v>
      </c>
    </row>
    <row r="117" spans="2:22">
      <c r="B117" s="22"/>
      <c r="F117" s="64"/>
      <c r="G117" s="63"/>
      <c r="H117" s="63"/>
      <c r="I117" s="63"/>
      <c r="J117" s="63"/>
      <c r="K117" s="63"/>
      <c r="L117" s="63"/>
      <c r="M117" s="63"/>
      <c r="N117" s="63"/>
      <c r="O117" s="63"/>
      <c r="U117" s="63"/>
      <c r="V117" s="63"/>
    </row>
    <row r="118" spans="2:22">
      <c r="B118" s="22" t="s">
        <v>257</v>
      </c>
      <c r="F118" s="64"/>
      <c r="G118" s="63"/>
      <c r="H118" s="63"/>
      <c r="I118" s="63"/>
      <c r="J118" s="63"/>
      <c r="K118" s="63"/>
      <c r="L118" s="63"/>
      <c r="M118" s="63"/>
      <c r="N118" s="63"/>
      <c r="O118" s="63"/>
      <c r="U118" s="63"/>
      <c r="V118" s="63"/>
    </row>
    <row r="119" spans="2:22">
      <c r="B119" s="99" t="s">
        <v>250</v>
      </c>
      <c r="F119" s="102">
        <f t="shared" ref="F119:F120" si="53">SUM(G119:O119)</f>
        <v>626191.79666666663</v>
      </c>
      <c r="G119" s="87">
        <v>23809.916666666668</v>
      </c>
      <c r="H119" s="87">
        <v>46805</v>
      </c>
      <c r="I119" s="87">
        <v>0</v>
      </c>
      <c r="J119" s="98">
        <f t="shared" ref="J119:J120" si="54">U119+V119</f>
        <v>0</v>
      </c>
      <c r="K119" s="87">
        <v>528939.5</v>
      </c>
      <c r="L119" s="87">
        <v>26637.38</v>
      </c>
      <c r="M119" s="87">
        <v>0</v>
      </c>
      <c r="N119" s="87">
        <v>0</v>
      </c>
      <c r="O119" s="87">
        <v>0</v>
      </c>
      <c r="U119" s="87">
        <v>0</v>
      </c>
      <c r="V119" s="87">
        <v>0</v>
      </c>
    </row>
    <row r="120" spans="2:22">
      <c r="B120" s="99" t="s">
        <v>251</v>
      </c>
      <c r="F120" s="102">
        <f t="shared" si="53"/>
        <v>159620.33666666667</v>
      </c>
      <c r="G120" s="87">
        <v>7409.833333333333</v>
      </c>
      <c r="H120" s="87">
        <v>13288.166666666666</v>
      </c>
      <c r="I120" s="87">
        <v>0</v>
      </c>
      <c r="J120" s="98">
        <f t="shared" si="54"/>
        <v>0</v>
      </c>
      <c r="K120" s="87">
        <v>135029.16666666666</v>
      </c>
      <c r="L120" s="87">
        <v>3893.17</v>
      </c>
      <c r="M120" s="87">
        <v>0</v>
      </c>
      <c r="N120" s="87">
        <v>0</v>
      </c>
      <c r="O120" s="87">
        <v>0</v>
      </c>
      <c r="U120" s="87">
        <v>0</v>
      </c>
      <c r="V120" s="87">
        <v>0</v>
      </c>
    </row>
    <row r="121" spans="2:22">
      <c r="B121" s="101"/>
      <c r="F121" s="64"/>
      <c r="G121" s="63"/>
      <c r="H121" s="63"/>
      <c r="I121" s="63"/>
      <c r="J121" s="63"/>
      <c r="K121" s="63"/>
      <c r="L121" s="63"/>
      <c r="M121" s="63"/>
      <c r="N121" s="63"/>
      <c r="O121" s="63"/>
      <c r="U121" s="63"/>
      <c r="V121" s="63"/>
    </row>
    <row r="122" spans="2:22">
      <c r="B122" s="100" t="s">
        <v>252</v>
      </c>
      <c r="F122" s="102">
        <f t="shared" ref="F122" si="55">SUM(G122:O122)</f>
        <v>1870475.5332564777</v>
      </c>
      <c r="G122" s="87">
        <v>0</v>
      </c>
      <c r="H122" s="87">
        <v>0</v>
      </c>
      <c r="I122" s="87">
        <v>151001.82915258064</v>
      </c>
      <c r="J122" s="98">
        <f t="shared" ref="J122" si="56">U122+V122</f>
        <v>749533.67469287384</v>
      </c>
      <c r="K122" s="87">
        <v>0</v>
      </c>
      <c r="L122" s="87">
        <v>0</v>
      </c>
      <c r="M122" s="87">
        <v>642927.54563413677</v>
      </c>
      <c r="N122" s="87">
        <v>327012.4837768866</v>
      </c>
      <c r="O122" s="87">
        <v>0</v>
      </c>
      <c r="U122" s="87">
        <v>687198.67469287384</v>
      </c>
      <c r="V122" s="87">
        <v>62335</v>
      </c>
    </row>
    <row r="123" spans="2:22">
      <c r="B123" s="22"/>
      <c r="F123" s="64"/>
      <c r="G123" s="63"/>
      <c r="H123" s="63"/>
      <c r="I123" s="63"/>
      <c r="J123" s="63"/>
      <c r="K123" s="63"/>
      <c r="L123" s="63"/>
      <c r="M123" s="63"/>
      <c r="N123" s="63"/>
      <c r="O123" s="63"/>
      <c r="U123" s="63"/>
    </row>
    <row r="124" spans="2:22">
      <c r="B124" s="22"/>
      <c r="F124" s="64"/>
      <c r="G124" s="63"/>
      <c r="H124" s="63"/>
      <c r="I124" s="63"/>
      <c r="J124" s="63"/>
      <c r="K124" s="63"/>
      <c r="L124" s="63"/>
      <c r="M124" s="63"/>
      <c r="N124" s="63"/>
      <c r="O124" s="63"/>
      <c r="U124" s="63"/>
    </row>
    <row r="125" spans="2:22">
      <c r="B125" s="3" t="s">
        <v>258</v>
      </c>
      <c r="F125" s="64"/>
      <c r="G125" s="29"/>
      <c r="H125" s="63"/>
      <c r="I125" s="29"/>
      <c r="J125" s="63"/>
      <c r="K125" s="29"/>
      <c r="L125" s="29"/>
      <c r="M125" s="29"/>
      <c r="N125" s="29"/>
      <c r="O125" s="63"/>
      <c r="U125" s="63"/>
    </row>
    <row r="126" spans="2:22">
      <c r="B126" s="22"/>
      <c r="F126" s="64"/>
      <c r="G126" s="29"/>
      <c r="H126" s="63"/>
      <c r="I126" s="29"/>
      <c r="J126" s="63"/>
      <c r="K126" s="29"/>
      <c r="L126" s="29"/>
      <c r="M126" s="29"/>
      <c r="N126" s="29"/>
      <c r="O126" s="63"/>
      <c r="U126" s="63"/>
    </row>
    <row r="127" spans="2:22">
      <c r="B127" s="22" t="s">
        <v>255</v>
      </c>
      <c r="F127" s="102">
        <f t="shared" ref="F127" si="57">SUM(G127:O127)</f>
        <v>7</v>
      </c>
      <c r="G127" s="29"/>
      <c r="H127" s="87">
        <v>4</v>
      </c>
      <c r="I127" s="29"/>
      <c r="J127" s="98">
        <f t="shared" ref="J127" si="58">U127+V127</f>
        <v>1</v>
      </c>
      <c r="K127" s="29"/>
      <c r="L127" s="29"/>
      <c r="M127" s="29"/>
      <c r="N127" s="29"/>
      <c r="O127" s="87">
        <v>2</v>
      </c>
      <c r="U127" s="87">
        <v>1</v>
      </c>
    </row>
    <row r="128" spans="2:22">
      <c r="B128" s="22"/>
      <c r="F128" s="64"/>
      <c r="G128" s="29"/>
      <c r="H128" s="63"/>
      <c r="I128" s="29"/>
      <c r="J128" s="63"/>
      <c r="K128" s="29"/>
      <c r="L128" s="29"/>
      <c r="M128" s="29"/>
      <c r="N128" s="29"/>
      <c r="O128" s="63"/>
      <c r="U128" s="63"/>
    </row>
    <row r="129" spans="2:36">
      <c r="B129" s="22" t="s">
        <v>257</v>
      </c>
      <c r="F129" s="102">
        <f t="shared" ref="F129" si="59">SUM(G129:O129)</f>
        <v>803683</v>
      </c>
      <c r="G129" s="29"/>
      <c r="H129" s="87">
        <v>76941</v>
      </c>
      <c r="I129" s="29"/>
      <c r="J129" s="98">
        <f t="shared" ref="J129" si="60">U129+V129</f>
        <v>60000</v>
      </c>
      <c r="K129" s="29"/>
      <c r="L129" s="29"/>
      <c r="M129" s="29"/>
      <c r="N129" s="29"/>
      <c r="O129" s="87">
        <v>666742</v>
      </c>
      <c r="U129" s="87">
        <v>60000</v>
      </c>
    </row>
    <row r="130" spans="2:36">
      <c r="B130" s="22"/>
      <c r="F130" s="64"/>
      <c r="G130" s="29"/>
      <c r="H130" s="63"/>
      <c r="I130" s="29"/>
      <c r="J130" s="63"/>
      <c r="K130" s="29"/>
      <c r="L130" s="29"/>
      <c r="M130" s="29"/>
      <c r="N130" s="29"/>
      <c r="O130" s="63"/>
    </row>
    <row r="131" spans="2:36">
      <c r="B131" s="22"/>
      <c r="F131" s="64"/>
      <c r="G131" s="63"/>
      <c r="H131" s="63"/>
      <c r="I131" s="29"/>
      <c r="J131" s="63"/>
      <c r="K131" s="63"/>
      <c r="L131" s="63"/>
      <c r="M131" s="63"/>
      <c r="N131" s="63"/>
      <c r="O131" s="63"/>
    </row>
    <row r="132" spans="2:36" s="2" customFormat="1">
      <c r="B132" s="2" t="s">
        <v>24</v>
      </c>
      <c r="F132" s="65"/>
      <c r="G132" s="66"/>
      <c r="H132" s="66"/>
      <c r="I132" s="66"/>
      <c r="J132" s="66"/>
      <c r="K132" s="66"/>
      <c r="L132" s="66"/>
      <c r="M132" s="66"/>
      <c r="N132" s="66"/>
      <c r="O132" s="66"/>
    </row>
    <row r="133" spans="2:36">
      <c r="F133" s="64"/>
      <c r="G133" s="63"/>
      <c r="H133" s="63"/>
      <c r="I133" s="63"/>
      <c r="J133" s="63"/>
      <c r="K133" s="63"/>
      <c r="L133" s="63"/>
      <c r="M133" s="63"/>
      <c r="N133" s="63"/>
      <c r="O133" s="63"/>
    </row>
    <row r="134" spans="2:36">
      <c r="B134" s="3" t="s">
        <v>231</v>
      </c>
      <c r="F134" s="64"/>
      <c r="G134" s="63"/>
      <c r="H134" s="63"/>
      <c r="I134" s="63"/>
      <c r="J134" s="63"/>
      <c r="K134" s="63"/>
      <c r="L134" s="63"/>
      <c r="M134" s="63"/>
      <c r="N134" s="63"/>
      <c r="O134" s="63"/>
    </row>
    <row r="135" spans="2:36">
      <c r="B135" s="22"/>
      <c r="F135" s="64"/>
      <c r="G135" s="63"/>
      <c r="H135" s="63"/>
      <c r="I135" s="63"/>
      <c r="J135" s="63"/>
      <c r="K135" s="63"/>
      <c r="L135" s="63"/>
      <c r="M135" s="63"/>
      <c r="N135" s="63"/>
      <c r="O135" s="63"/>
    </row>
    <row r="136" spans="2:36">
      <c r="B136" s="22" t="s">
        <v>224</v>
      </c>
      <c r="F136" s="64"/>
      <c r="G136" s="63"/>
      <c r="H136" s="63"/>
      <c r="I136" s="63"/>
      <c r="J136" s="63"/>
      <c r="K136" s="63"/>
      <c r="L136" s="63"/>
      <c r="M136" s="63"/>
      <c r="N136" s="63"/>
      <c r="O136" s="63"/>
    </row>
    <row r="137" spans="2:36">
      <c r="B137" s="99" t="s">
        <v>225</v>
      </c>
      <c r="F137" s="102">
        <f t="shared" ref="F137:F142" si="61">SUM(G137:O137)</f>
        <v>645335.48480519932</v>
      </c>
      <c r="G137" s="87">
        <v>4706.0769230769229</v>
      </c>
      <c r="H137" s="87">
        <v>11524.25</v>
      </c>
      <c r="I137" s="87">
        <v>25502</v>
      </c>
      <c r="J137" s="87">
        <v>128937.73537808127</v>
      </c>
      <c r="K137" s="87">
        <v>226746.69763581268</v>
      </c>
      <c r="L137" s="87">
        <v>4431.2</v>
      </c>
      <c r="M137" s="87">
        <v>239929.89778149559</v>
      </c>
      <c r="N137" s="146">
        <v>3557.627086732773</v>
      </c>
      <c r="O137" s="87">
        <v>0</v>
      </c>
      <c r="Q137" s="172"/>
      <c r="R137" s="172"/>
      <c r="S137" s="172"/>
      <c r="T137" s="172"/>
      <c r="U137" s="172"/>
      <c r="V137" s="172"/>
      <c r="W137" s="172"/>
      <c r="X137" s="172"/>
      <c r="Y137" s="172"/>
      <c r="Z137" s="172"/>
      <c r="AA137" s="172"/>
      <c r="AB137" s="172"/>
      <c r="AC137" s="172"/>
      <c r="AD137" s="172"/>
      <c r="AE137" s="172"/>
      <c r="AF137" s="172"/>
      <c r="AG137" s="172"/>
      <c r="AH137" s="151"/>
      <c r="AI137" s="151"/>
      <c r="AJ137" s="151"/>
    </row>
    <row r="138" spans="2:36">
      <c r="B138" s="99" t="s">
        <v>226</v>
      </c>
      <c r="F138" s="102">
        <f t="shared" si="61"/>
        <v>5958451.9827040853</v>
      </c>
      <c r="G138" s="87">
        <v>119731.46153846153</v>
      </c>
      <c r="H138" s="87">
        <v>166635.33333333334</v>
      </c>
      <c r="I138" s="87">
        <v>339004</v>
      </c>
      <c r="J138" s="87">
        <v>1767977.9133737893</v>
      </c>
      <c r="K138" s="87">
        <v>1875559.6630083306</v>
      </c>
      <c r="L138" s="87">
        <v>89459.6</v>
      </c>
      <c r="M138" s="87">
        <v>1555811.7362042542</v>
      </c>
      <c r="N138" s="87">
        <v>44272.275245916433</v>
      </c>
      <c r="O138" s="87">
        <v>0</v>
      </c>
      <c r="Q138" s="172"/>
      <c r="R138" s="172"/>
      <c r="S138" s="172"/>
      <c r="T138" s="172"/>
      <c r="U138" s="172"/>
      <c r="V138" s="172"/>
      <c r="W138" s="172"/>
      <c r="X138" s="172"/>
      <c r="Y138" s="172"/>
      <c r="Z138" s="172"/>
      <c r="AA138" s="172"/>
      <c r="AB138" s="172"/>
      <c r="AC138" s="172"/>
      <c r="AD138" s="172"/>
      <c r="AE138" s="172"/>
      <c r="AF138" s="172"/>
      <c r="AG138" s="172"/>
      <c r="AH138" s="151"/>
      <c r="AI138" s="151"/>
      <c r="AJ138" s="151"/>
    </row>
    <row r="139" spans="2:36">
      <c r="B139" s="99" t="s">
        <v>227</v>
      </c>
      <c r="F139" s="102">
        <f t="shared" si="61"/>
        <v>267499.46984195517</v>
      </c>
      <c r="G139" s="87">
        <v>9831.3846153846152</v>
      </c>
      <c r="H139" s="87">
        <v>4721.75</v>
      </c>
      <c r="I139" s="87">
        <v>17992</v>
      </c>
      <c r="J139" s="87">
        <v>91078.148063461005</v>
      </c>
      <c r="K139" s="87">
        <v>84223.546807119419</v>
      </c>
      <c r="L139" s="87">
        <v>5656.4</v>
      </c>
      <c r="M139" s="87">
        <v>52316.439847584108</v>
      </c>
      <c r="N139" s="87">
        <v>1679.8005084060314</v>
      </c>
      <c r="O139" s="87">
        <v>0</v>
      </c>
      <c r="Q139" s="172"/>
      <c r="R139" s="172"/>
      <c r="S139" s="172"/>
      <c r="T139" s="172"/>
      <c r="U139" s="172"/>
      <c r="V139" s="172"/>
      <c r="W139" s="172"/>
      <c r="X139" s="172"/>
      <c r="Y139" s="172"/>
      <c r="Z139" s="172"/>
      <c r="AA139" s="172"/>
      <c r="AB139" s="172"/>
      <c r="AC139" s="172"/>
      <c r="AD139" s="172"/>
      <c r="AE139" s="172"/>
      <c r="AF139" s="172"/>
      <c r="AG139" s="172"/>
      <c r="AH139" s="151"/>
      <c r="AI139" s="151"/>
      <c r="AJ139" s="151"/>
    </row>
    <row r="140" spans="2:36">
      <c r="B140" s="100" t="s">
        <v>228</v>
      </c>
      <c r="F140" s="102">
        <f t="shared" si="61"/>
        <v>27116.823607593011</v>
      </c>
      <c r="G140" s="87">
        <v>5.4615384615384617</v>
      </c>
      <c r="H140" s="87">
        <v>39.833333333333336</v>
      </c>
      <c r="I140" s="87">
        <v>2414</v>
      </c>
      <c r="J140" s="87">
        <v>5057.2961147389278</v>
      </c>
      <c r="K140" s="87">
        <v>10688.651921390165</v>
      </c>
      <c r="L140" s="87">
        <v>659</v>
      </c>
      <c r="M140" s="87">
        <v>7824.666666666667</v>
      </c>
      <c r="N140" s="87">
        <v>427.91403300237721</v>
      </c>
      <c r="O140" s="87">
        <v>0</v>
      </c>
      <c r="Q140" s="172"/>
      <c r="R140" s="172"/>
      <c r="S140" s="172"/>
      <c r="T140" s="172"/>
      <c r="U140" s="172"/>
      <c r="V140" s="172"/>
      <c r="W140" s="172"/>
      <c r="X140" s="172"/>
      <c r="Y140" s="172"/>
      <c r="Z140" s="172"/>
      <c r="AA140" s="172"/>
      <c r="AB140" s="172"/>
      <c r="AC140" s="172"/>
      <c r="AD140" s="172"/>
      <c r="AE140" s="172"/>
      <c r="AF140" s="172"/>
      <c r="AG140" s="172"/>
      <c r="AH140" s="151"/>
      <c r="AI140" s="151"/>
      <c r="AJ140" s="151"/>
    </row>
    <row r="141" spans="2:36">
      <c r="B141" s="100" t="s">
        <v>229</v>
      </c>
      <c r="F141" s="102">
        <f t="shared" si="61"/>
        <v>77609.274799681094</v>
      </c>
      <c r="G141" s="87">
        <v>2262.0769230769229</v>
      </c>
      <c r="H141" s="87">
        <v>2716.5833333333335</v>
      </c>
      <c r="I141" s="87">
        <v>5701</v>
      </c>
      <c r="J141" s="87">
        <v>27323.848373488549</v>
      </c>
      <c r="K141" s="87">
        <v>22043.070050282378</v>
      </c>
      <c r="L141" s="87">
        <v>1087.5999999999999</v>
      </c>
      <c r="M141" s="87">
        <v>16067.083333333334</v>
      </c>
      <c r="N141" s="87">
        <v>408.0127861665855</v>
      </c>
      <c r="O141" s="87">
        <v>0</v>
      </c>
      <c r="Q141" s="172"/>
      <c r="R141" s="172"/>
      <c r="S141" s="172"/>
      <c r="T141" s="172"/>
      <c r="U141" s="172"/>
      <c r="V141" s="172"/>
      <c r="W141" s="172"/>
      <c r="X141" s="172"/>
      <c r="Y141" s="172"/>
      <c r="Z141" s="172"/>
      <c r="AA141" s="172"/>
      <c r="AB141" s="172"/>
      <c r="AC141" s="172"/>
      <c r="AD141" s="172"/>
      <c r="AE141" s="172"/>
      <c r="AF141" s="172"/>
      <c r="AG141" s="172"/>
      <c r="AH141" s="151"/>
      <c r="AI141" s="151"/>
      <c r="AJ141" s="151"/>
    </row>
    <row r="142" spans="2:36">
      <c r="B142" s="100" t="s">
        <v>230</v>
      </c>
      <c r="F142" s="102">
        <f t="shared" si="61"/>
        <v>28073.773905619753</v>
      </c>
      <c r="G142" s="87">
        <v>712.53846153846155</v>
      </c>
      <c r="H142" s="87">
        <v>675.58333333333337</v>
      </c>
      <c r="I142" s="87">
        <v>1937</v>
      </c>
      <c r="J142" s="87">
        <v>8462.8841155718292</v>
      </c>
      <c r="K142" s="87">
        <v>8824.0870913819799</v>
      </c>
      <c r="L142" s="87">
        <v>403.2</v>
      </c>
      <c r="M142" s="87">
        <v>6768.833333333333</v>
      </c>
      <c r="N142" s="87">
        <v>289.64757046081792</v>
      </c>
      <c r="O142" s="87">
        <v>0</v>
      </c>
      <c r="Q142" s="172"/>
      <c r="R142" s="172"/>
      <c r="S142" s="172"/>
      <c r="T142" s="172"/>
      <c r="U142" s="172"/>
      <c r="V142" s="172"/>
      <c r="W142" s="172"/>
      <c r="X142" s="172"/>
      <c r="Y142" s="172"/>
      <c r="Z142" s="172"/>
      <c r="AA142" s="172"/>
      <c r="AB142" s="172"/>
      <c r="AC142" s="172"/>
      <c r="AD142" s="172"/>
      <c r="AE142" s="172"/>
      <c r="AF142" s="172"/>
      <c r="AG142" s="172"/>
      <c r="AH142" s="151"/>
      <c r="AI142" s="151"/>
      <c r="AJ142" s="151"/>
    </row>
    <row r="143" spans="2:36">
      <c r="B143" s="22"/>
      <c r="F143" s="64"/>
      <c r="G143" s="63"/>
      <c r="H143" s="63"/>
      <c r="I143" s="63"/>
      <c r="J143" s="63"/>
      <c r="K143" s="63"/>
      <c r="L143" s="63"/>
      <c r="M143" s="63"/>
      <c r="N143" s="63"/>
      <c r="O143" s="63"/>
      <c r="Q143" s="172"/>
      <c r="R143" s="172"/>
      <c r="S143" s="172"/>
      <c r="T143" s="172"/>
      <c r="U143" s="172"/>
      <c r="V143" s="172"/>
      <c r="W143" s="172"/>
      <c r="X143" s="172"/>
      <c r="Y143" s="172"/>
      <c r="Z143" s="172"/>
      <c r="AA143" s="172"/>
      <c r="AB143" s="172"/>
      <c r="AC143" s="172"/>
      <c r="AD143" s="172"/>
      <c r="AE143" s="172"/>
      <c r="AF143" s="172"/>
      <c r="AG143" s="172"/>
      <c r="AH143" s="151"/>
      <c r="AI143" s="151"/>
      <c r="AJ143" s="151"/>
    </row>
    <row r="144" spans="2:36">
      <c r="B144" s="22" t="s">
        <v>232</v>
      </c>
      <c r="F144" s="64"/>
      <c r="G144" s="63"/>
      <c r="H144" s="63"/>
      <c r="I144" s="63"/>
      <c r="J144" s="63"/>
      <c r="K144" s="63"/>
      <c r="L144" s="63"/>
      <c r="M144" s="63"/>
      <c r="N144" s="63"/>
      <c r="O144" s="63"/>
      <c r="Q144" s="172"/>
      <c r="R144" s="172"/>
      <c r="S144" s="172"/>
      <c r="T144" s="172"/>
      <c r="U144" s="172"/>
      <c r="V144" s="172"/>
      <c r="W144" s="172"/>
      <c r="X144" s="172"/>
      <c r="Y144" s="172"/>
      <c r="Z144" s="172"/>
      <c r="AA144" s="172"/>
      <c r="AB144" s="172"/>
      <c r="AC144" s="172"/>
      <c r="AD144" s="172"/>
      <c r="AE144" s="172"/>
      <c r="AF144" s="172"/>
      <c r="AG144" s="172"/>
      <c r="AH144" s="151"/>
      <c r="AI144" s="151"/>
      <c r="AJ144" s="151"/>
    </row>
    <row r="145" spans="2:36">
      <c r="B145" s="23" t="s">
        <v>233</v>
      </c>
      <c r="F145" s="102">
        <f t="shared" ref="F145:F149" si="62">SUM(G145:O145)</f>
        <v>9527.6206988211725</v>
      </c>
      <c r="G145" s="87">
        <v>225.30769230769232</v>
      </c>
      <c r="H145" s="87">
        <v>192.66751412429332</v>
      </c>
      <c r="I145" s="87">
        <v>758</v>
      </c>
      <c r="J145" s="87">
        <v>2773.3032963784185</v>
      </c>
      <c r="K145" s="87">
        <v>3085.5095458204605</v>
      </c>
      <c r="L145" s="87">
        <v>137.4</v>
      </c>
      <c r="M145" s="87">
        <v>2220.7272727272725</v>
      </c>
      <c r="N145" s="87">
        <v>134.70537746303603</v>
      </c>
      <c r="O145" s="87">
        <v>0</v>
      </c>
      <c r="Q145" s="172"/>
      <c r="R145" s="172"/>
      <c r="S145" s="172"/>
      <c r="T145" s="172"/>
      <c r="U145" s="172"/>
      <c r="V145" s="172"/>
      <c r="W145" s="172"/>
      <c r="X145" s="172"/>
      <c r="Y145" s="172"/>
      <c r="Z145" s="172"/>
      <c r="AA145" s="172"/>
      <c r="AB145" s="172"/>
      <c r="AC145" s="172"/>
      <c r="AD145" s="172"/>
      <c r="AE145" s="172"/>
      <c r="AF145" s="172"/>
      <c r="AG145" s="172"/>
      <c r="AH145" s="151"/>
      <c r="AI145" s="151"/>
      <c r="AJ145" s="151"/>
    </row>
    <row r="146" spans="2:36">
      <c r="B146" s="23" t="s">
        <v>234</v>
      </c>
      <c r="F146" s="102">
        <f t="shared" si="62"/>
        <v>12045.536013769941</v>
      </c>
      <c r="G146" s="87">
        <v>171.30769230769232</v>
      </c>
      <c r="H146" s="87">
        <v>245.99999999999963</v>
      </c>
      <c r="I146" s="87">
        <v>537</v>
      </c>
      <c r="J146" s="87">
        <v>3341.1999454204329</v>
      </c>
      <c r="K146" s="87">
        <v>4131.9564445619781</v>
      </c>
      <c r="L146" s="87">
        <v>146.80000000000001</v>
      </c>
      <c r="M146" s="87">
        <v>3237.2727272727275</v>
      </c>
      <c r="N146" s="87">
        <v>233.99920420711169</v>
      </c>
      <c r="O146" s="87">
        <v>0</v>
      </c>
      <c r="Q146" s="172"/>
      <c r="R146" s="172"/>
      <c r="S146" s="172"/>
      <c r="T146" s="172"/>
      <c r="U146" s="172"/>
      <c r="V146" s="172"/>
      <c r="W146" s="172"/>
      <c r="X146" s="172"/>
      <c r="Y146" s="172"/>
      <c r="Z146" s="172"/>
      <c r="AA146" s="172"/>
      <c r="AB146" s="172"/>
      <c r="AC146" s="172"/>
      <c r="AD146" s="172"/>
      <c r="AE146" s="172"/>
      <c r="AF146" s="172"/>
      <c r="AG146" s="172"/>
      <c r="AH146" s="151"/>
      <c r="AI146" s="151"/>
      <c r="AJ146" s="151"/>
    </row>
    <row r="147" spans="2:36">
      <c r="B147" s="23" t="s">
        <v>235</v>
      </c>
      <c r="F147" s="102">
        <f t="shared" si="62"/>
        <v>5210.7205675765154</v>
      </c>
      <c r="G147" s="87">
        <v>55.307692307692307</v>
      </c>
      <c r="H147" s="87">
        <v>70.583333333333343</v>
      </c>
      <c r="I147" s="87">
        <v>288</v>
      </c>
      <c r="J147" s="87">
        <v>1444.4640172835298</v>
      </c>
      <c r="K147" s="87">
        <v>1575.7138538220715</v>
      </c>
      <c r="L147" s="87">
        <v>41.2</v>
      </c>
      <c r="M147" s="87">
        <v>1598.5454545454543</v>
      </c>
      <c r="N147" s="87">
        <v>136.90621628443512</v>
      </c>
      <c r="O147" s="87">
        <v>0</v>
      </c>
      <c r="Q147" s="172"/>
      <c r="R147" s="172"/>
      <c r="S147" s="172"/>
      <c r="T147" s="172"/>
      <c r="U147" s="172"/>
      <c r="V147" s="172"/>
      <c r="W147" s="172"/>
      <c r="X147" s="172"/>
      <c r="Y147" s="172"/>
      <c r="Z147" s="172"/>
      <c r="AA147" s="172"/>
      <c r="AB147" s="172"/>
      <c r="AC147" s="172"/>
      <c r="AD147" s="172"/>
      <c r="AE147" s="172"/>
      <c r="AF147" s="172"/>
      <c r="AG147" s="172"/>
      <c r="AH147" s="151"/>
      <c r="AI147" s="151"/>
      <c r="AJ147" s="151"/>
    </row>
    <row r="148" spans="2:36">
      <c r="B148" s="23" t="s">
        <v>236</v>
      </c>
      <c r="F148" s="102">
        <f t="shared" si="62"/>
        <v>1838.9756129164998</v>
      </c>
      <c r="G148" s="87">
        <v>42.07692307692308</v>
      </c>
      <c r="H148" s="87">
        <v>43.58333333333335</v>
      </c>
      <c r="I148" s="87">
        <v>72</v>
      </c>
      <c r="J148" s="87">
        <v>490.05280118255735</v>
      </c>
      <c r="K148" s="87">
        <v>596.93413010060613</v>
      </c>
      <c r="L148" s="87">
        <v>22.6</v>
      </c>
      <c r="M148" s="87">
        <v>422.81818181818176</v>
      </c>
      <c r="N148" s="87">
        <v>148.91024340489815</v>
      </c>
      <c r="O148" s="87">
        <v>0</v>
      </c>
      <c r="Q148" s="172"/>
      <c r="R148" s="172"/>
      <c r="S148" s="172"/>
      <c r="T148" s="172"/>
      <c r="U148" s="172"/>
      <c r="V148" s="172"/>
      <c r="W148" s="172"/>
      <c r="X148" s="172"/>
      <c r="Y148" s="172"/>
      <c r="Z148" s="172"/>
      <c r="AA148" s="172"/>
      <c r="AB148" s="172"/>
      <c r="AC148" s="172"/>
      <c r="AD148" s="172"/>
      <c r="AE148" s="172"/>
      <c r="AF148" s="172"/>
      <c r="AG148" s="172"/>
      <c r="AH148" s="151"/>
      <c r="AI148" s="151"/>
      <c r="AJ148" s="151"/>
    </row>
    <row r="149" spans="2:36">
      <c r="B149" s="23" t="s">
        <v>237</v>
      </c>
      <c r="F149" s="102">
        <f t="shared" si="62"/>
        <v>1076.3278298017647</v>
      </c>
      <c r="G149" s="87">
        <v>8.6923076923076934</v>
      </c>
      <c r="H149" s="87">
        <v>5</v>
      </c>
      <c r="I149" s="87">
        <v>23</v>
      </c>
      <c r="J149" s="87">
        <v>330.22357609869806</v>
      </c>
      <c r="K149" s="87">
        <v>162.67121194399337</v>
      </c>
      <c r="L149" s="87">
        <v>5</v>
      </c>
      <c r="M149" s="87">
        <v>480.45454545454544</v>
      </c>
      <c r="N149" s="87">
        <v>61.286188612219988</v>
      </c>
      <c r="O149" s="87">
        <v>0</v>
      </c>
      <c r="Q149" s="172"/>
      <c r="R149" s="172"/>
      <c r="S149" s="172"/>
      <c r="T149" s="172"/>
      <c r="U149" s="172"/>
      <c r="V149" s="172"/>
      <c r="W149" s="172"/>
      <c r="X149" s="172"/>
      <c r="Y149" s="172"/>
      <c r="Z149" s="172"/>
      <c r="AA149" s="172"/>
      <c r="AB149" s="172"/>
      <c r="AC149" s="172"/>
      <c r="AD149" s="172"/>
      <c r="AE149" s="172"/>
      <c r="AF149" s="172"/>
      <c r="AG149" s="172"/>
      <c r="AH149" s="151"/>
      <c r="AI149" s="151"/>
      <c r="AJ149" s="151"/>
    </row>
    <row r="150" spans="2:36">
      <c r="B150" s="3"/>
      <c r="F150" s="64"/>
      <c r="G150" s="63"/>
      <c r="H150" s="63"/>
      <c r="I150" s="63"/>
      <c r="J150" s="63"/>
      <c r="K150" s="63"/>
      <c r="L150" s="63"/>
      <c r="M150" s="63"/>
      <c r="N150" s="63"/>
      <c r="O150" s="63"/>
      <c r="Q150" s="172"/>
      <c r="R150" s="172"/>
      <c r="S150" s="172"/>
      <c r="T150" s="172"/>
      <c r="U150" s="172"/>
      <c r="V150" s="172"/>
      <c r="W150" s="172"/>
      <c r="X150" s="172"/>
      <c r="Y150" s="172"/>
      <c r="Z150" s="172"/>
      <c r="AA150" s="172"/>
      <c r="AB150" s="172"/>
      <c r="AC150" s="172"/>
      <c r="AD150" s="172"/>
      <c r="AE150" s="172"/>
      <c r="AF150" s="172"/>
      <c r="AG150" s="172"/>
      <c r="AH150" s="151"/>
      <c r="AI150" s="151"/>
      <c r="AJ150" s="151"/>
    </row>
    <row r="151" spans="2:36">
      <c r="B151" s="3"/>
      <c r="F151" s="64"/>
      <c r="G151" s="63"/>
      <c r="H151" s="63"/>
      <c r="I151" s="63"/>
      <c r="J151" s="63"/>
      <c r="K151" s="63"/>
      <c r="L151" s="63"/>
      <c r="M151" s="63"/>
      <c r="N151" s="63"/>
      <c r="O151" s="63"/>
      <c r="Q151" s="172"/>
      <c r="R151" s="172"/>
      <c r="S151" s="172"/>
      <c r="T151" s="172"/>
      <c r="U151" s="172"/>
      <c r="V151" s="172"/>
      <c r="W151" s="172"/>
      <c r="X151" s="172"/>
      <c r="Y151" s="172"/>
      <c r="Z151" s="172"/>
      <c r="AA151" s="172"/>
      <c r="AB151" s="172"/>
      <c r="AC151" s="172"/>
      <c r="AD151" s="172"/>
      <c r="AE151" s="172"/>
      <c r="AF151" s="172"/>
      <c r="AG151" s="172"/>
      <c r="AH151" s="151"/>
      <c r="AI151" s="151"/>
      <c r="AJ151" s="151"/>
    </row>
    <row r="152" spans="2:36">
      <c r="B152" s="3" t="s">
        <v>256</v>
      </c>
      <c r="F152" s="64"/>
      <c r="G152" s="63"/>
      <c r="H152" s="63"/>
      <c r="I152" s="63"/>
      <c r="J152" s="63"/>
      <c r="K152" s="63"/>
      <c r="L152" s="63"/>
      <c r="M152" s="63"/>
      <c r="N152" s="63"/>
      <c r="O152" s="63"/>
      <c r="Q152" s="172"/>
      <c r="R152" s="172"/>
      <c r="S152" s="172"/>
      <c r="T152" s="172"/>
      <c r="U152" s="172"/>
      <c r="V152" s="172"/>
      <c r="W152" s="172"/>
      <c r="X152" s="172"/>
      <c r="Y152" s="172"/>
      <c r="Z152" s="172"/>
      <c r="AA152" s="172"/>
      <c r="AB152" s="172"/>
      <c r="AC152" s="172"/>
      <c r="AD152" s="172"/>
      <c r="AE152" s="172"/>
      <c r="AF152" s="172"/>
      <c r="AG152" s="172"/>
      <c r="AH152" s="151"/>
      <c r="AI152" s="151"/>
      <c r="AJ152" s="151"/>
    </row>
    <row r="153" spans="2:36">
      <c r="B153" s="22"/>
      <c r="F153" s="64"/>
      <c r="G153" s="63"/>
      <c r="H153" s="63"/>
      <c r="I153" s="63"/>
      <c r="J153" s="63"/>
      <c r="K153" s="63"/>
      <c r="L153" s="63"/>
      <c r="M153" s="63"/>
      <c r="N153" s="63"/>
      <c r="O153" s="63"/>
      <c r="Q153" s="172"/>
      <c r="R153" s="172"/>
      <c r="S153" s="172"/>
      <c r="T153" s="172"/>
      <c r="U153" s="172"/>
      <c r="V153" s="172"/>
      <c r="W153" s="172"/>
      <c r="X153" s="172"/>
      <c r="Y153" s="172"/>
      <c r="Z153" s="172"/>
      <c r="AA153" s="172"/>
      <c r="AB153" s="172"/>
      <c r="AC153" s="172"/>
      <c r="AD153" s="172"/>
      <c r="AE153" s="172"/>
      <c r="AF153" s="172"/>
      <c r="AG153" s="172"/>
      <c r="AH153" s="151"/>
      <c r="AI153" s="151"/>
      <c r="AJ153" s="151"/>
    </row>
    <row r="154" spans="2:36">
      <c r="B154" s="22" t="s">
        <v>255</v>
      </c>
      <c r="F154" s="102">
        <f t="shared" ref="F154" si="63">SUM(G154:O154)</f>
        <v>8913.0798070285382</v>
      </c>
      <c r="G154" s="87">
        <v>115</v>
      </c>
      <c r="H154" s="87">
        <v>187.91666666666666</v>
      </c>
      <c r="I154" s="87">
        <v>490</v>
      </c>
      <c r="J154" s="87">
        <v>2338.3301880877743</v>
      </c>
      <c r="K154" s="87">
        <v>2665.3304394474262</v>
      </c>
      <c r="L154" s="87">
        <v>86.5</v>
      </c>
      <c r="M154" s="87">
        <v>2093.8181818181815</v>
      </c>
      <c r="N154" s="87">
        <v>936.18433100848983</v>
      </c>
      <c r="O154" s="87">
        <v>0</v>
      </c>
      <c r="Q154" s="172"/>
      <c r="R154" s="172"/>
      <c r="S154" s="172"/>
      <c r="T154" s="172"/>
      <c r="U154" s="172"/>
      <c r="V154" s="172"/>
      <c r="W154" s="172"/>
      <c r="X154" s="172"/>
      <c r="Y154" s="172"/>
      <c r="Z154" s="172"/>
      <c r="AA154" s="172"/>
      <c r="AB154" s="172"/>
      <c r="AC154" s="172"/>
      <c r="AD154" s="172"/>
      <c r="AE154" s="172"/>
      <c r="AF154" s="172"/>
      <c r="AG154" s="172"/>
      <c r="AH154" s="151"/>
      <c r="AI154" s="151"/>
      <c r="AJ154" s="151"/>
    </row>
    <row r="155" spans="2:36">
      <c r="B155" s="22"/>
      <c r="F155" s="64"/>
      <c r="G155" s="63"/>
      <c r="H155" s="63"/>
      <c r="I155" s="63"/>
      <c r="J155" s="63"/>
      <c r="K155" s="63"/>
      <c r="L155" s="63"/>
      <c r="M155" s="63"/>
      <c r="N155" s="63"/>
      <c r="O155" s="63"/>
      <c r="Q155" s="172"/>
      <c r="R155" s="172"/>
      <c r="S155" s="172"/>
      <c r="T155" s="172"/>
      <c r="U155" s="172"/>
      <c r="V155" s="172"/>
      <c r="W155" s="172"/>
      <c r="X155" s="172"/>
      <c r="Y155" s="172"/>
      <c r="Z155" s="172"/>
      <c r="AA155" s="172"/>
      <c r="AB155" s="172"/>
      <c r="AC155" s="172"/>
      <c r="AD155" s="172"/>
      <c r="AE155" s="172"/>
      <c r="AF155" s="172"/>
      <c r="AG155" s="172"/>
      <c r="AH155" s="151"/>
      <c r="AI155" s="151"/>
      <c r="AJ155" s="151"/>
    </row>
    <row r="156" spans="2:36">
      <c r="B156" s="22" t="s">
        <v>257</v>
      </c>
      <c r="F156" s="64"/>
      <c r="G156" s="63"/>
      <c r="H156" s="63"/>
      <c r="I156" s="63"/>
      <c r="J156" s="63"/>
      <c r="K156" s="63"/>
      <c r="L156" s="63"/>
      <c r="M156" s="63"/>
      <c r="N156" s="63"/>
      <c r="O156" s="63"/>
      <c r="Q156" s="172"/>
      <c r="R156" s="172"/>
      <c r="S156" s="172"/>
      <c r="T156" s="172"/>
      <c r="U156" s="172"/>
      <c r="V156" s="172"/>
      <c r="W156" s="172"/>
      <c r="X156" s="172"/>
      <c r="Y156" s="172"/>
      <c r="Z156" s="172"/>
      <c r="AA156" s="172"/>
      <c r="AB156" s="172"/>
      <c r="AC156" s="172"/>
      <c r="AD156" s="172"/>
      <c r="AE156" s="172"/>
      <c r="AF156" s="172"/>
      <c r="AG156" s="172"/>
      <c r="AH156" s="151"/>
      <c r="AI156" s="151"/>
      <c r="AJ156" s="151"/>
    </row>
    <row r="157" spans="2:36">
      <c r="B157" s="99" t="s">
        <v>250</v>
      </c>
      <c r="F157" s="102">
        <f t="shared" ref="F157:F158" si="64">SUM(G157:O157)</f>
        <v>625966.16666666674</v>
      </c>
      <c r="G157" s="87">
        <v>23924</v>
      </c>
      <c r="H157" s="87">
        <v>48013.083333333336</v>
      </c>
      <c r="I157" s="87">
        <v>0</v>
      </c>
      <c r="J157" s="87">
        <v>0</v>
      </c>
      <c r="K157" s="87">
        <v>527648.08333333337</v>
      </c>
      <c r="L157" s="87">
        <v>26381</v>
      </c>
      <c r="M157" s="87">
        <v>0</v>
      </c>
      <c r="N157" s="87">
        <v>0</v>
      </c>
      <c r="O157" s="87">
        <v>0</v>
      </c>
      <c r="Q157" s="172"/>
      <c r="R157" s="172"/>
      <c r="S157" s="172"/>
      <c r="T157" s="172"/>
      <c r="U157" s="172"/>
      <c r="V157" s="172"/>
      <c r="W157" s="172"/>
      <c r="X157" s="172"/>
      <c r="Y157" s="172"/>
      <c r="Z157" s="172"/>
      <c r="AA157" s="172"/>
      <c r="AB157" s="172"/>
      <c r="AC157" s="172"/>
      <c r="AD157" s="172"/>
      <c r="AE157" s="172"/>
      <c r="AF157" s="172"/>
      <c r="AG157" s="172"/>
      <c r="AH157" s="151"/>
      <c r="AI157" s="151"/>
      <c r="AJ157" s="151"/>
    </row>
    <row r="158" spans="2:36">
      <c r="B158" s="99" t="s">
        <v>251</v>
      </c>
      <c r="F158" s="102">
        <f t="shared" si="64"/>
        <v>160815.33333333334</v>
      </c>
      <c r="G158" s="87">
        <v>7655.333333333333</v>
      </c>
      <c r="H158" s="87">
        <v>11773.916666666666</v>
      </c>
      <c r="I158" s="87">
        <v>0</v>
      </c>
      <c r="J158" s="87">
        <v>0</v>
      </c>
      <c r="K158" s="87">
        <v>137935.08333333334</v>
      </c>
      <c r="L158" s="87">
        <v>3451</v>
      </c>
      <c r="M158" s="87">
        <v>0</v>
      </c>
      <c r="N158" s="87">
        <v>0</v>
      </c>
      <c r="O158" s="87">
        <v>0</v>
      </c>
      <c r="Q158" s="172"/>
      <c r="R158" s="172"/>
      <c r="S158" s="172"/>
      <c r="T158" s="172"/>
      <c r="U158" s="172"/>
      <c r="V158" s="172"/>
      <c r="W158" s="172"/>
      <c r="X158" s="172"/>
      <c r="Y158" s="172"/>
      <c r="Z158" s="172"/>
      <c r="AA158" s="172"/>
      <c r="AB158" s="172"/>
      <c r="AC158" s="172"/>
      <c r="AD158" s="172"/>
      <c r="AE158" s="172"/>
      <c r="AF158" s="172"/>
      <c r="AG158" s="172"/>
      <c r="AH158" s="151"/>
      <c r="AI158" s="151"/>
      <c r="AJ158" s="151"/>
    </row>
    <row r="159" spans="2:36">
      <c r="B159" s="101"/>
      <c r="F159" s="64"/>
      <c r="G159" s="63"/>
      <c r="H159" s="63"/>
      <c r="I159" s="63"/>
      <c r="J159" s="63"/>
      <c r="K159" s="63"/>
      <c r="L159" s="63"/>
      <c r="M159" s="63"/>
      <c r="N159" s="63"/>
      <c r="O159" s="63"/>
      <c r="Q159" s="172"/>
      <c r="R159" s="172"/>
      <c r="S159" s="172"/>
      <c r="T159" s="172"/>
      <c r="U159" s="172"/>
      <c r="V159" s="172"/>
      <c r="W159" s="172"/>
      <c r="X159" s="172"/>
      <c r="Y159" s="172"/>
      <c r="Z159" s="172"/>
      <c r="AA159" s="172"/>
      <c r="AB159" s="172"/>
      <c r="AC159" s="172"/>
      <c r="AD159" s="172"/>
      <c r="AE159" s="172"/>
      <c r="AF159" s="172"/>
      <c r="AG159" s="172"/>
      <c r="AH159" s="151"/>
      <c r="AI159" s="151"/>
      <c r="AJ159" s="151"/>
    </row>
    <row r="160" spans="2:36">
      <c r="B160" s="100" t="s">
        <v>252</v>
      </c>
      <c r="F160" s="102">
        <f t="shared" ref="F160" si="65">SUM(G160:O160)</f>
        <v>1856844.4938276657</v>
      </c>
      <c r="G160" s="87">
        <v>0</v>
      </c>
      <c r="H160" s="87">
        <v>0</v>
      </c>
      <c r="I160" s="87">
        <v>149664</v>
      </c>
      <c r="J160" s="87">
        <v>743261.09777915606</v>
      </c>
      <c r="K160" s="87">
        <v>0</v>
      </c>
      <c r="L160" s="87">
        <v>0</v>
      </c>
      <c r="M160" s="87">
        <v>642638.36363636365</v>
      </c>
      <c r="N160" s="87">
        <v>321281.03241214604</v>
      </c>
      <c r="O160" s="87">
        <v>0</v>
      </c>
      <c r="Q160" s="172"/>
      <c r="R160" s="172"/>
      <c r="S160" s="172"/>
      <c r="T160" s="172"/>
      <c r="U160" s="172"/>
      <c r="V160" s="172"/>
      <c r="W160" s="172"/>
      <c r="X160" s="172"/>
      <c r="Y160" s="172"/>
      <c r="Z160" s="172"/>
      <c r="AA160" s="172"/>
      <c r="AB160" s="172"/>
      <c r="AC160" s="172"/>
      <c r="AD160" s="172"/>
      <c r="AE160" s="172"/>
      <c r="AF160" s="172"/>
      <c r="AG160" s="172"/>
      <c r="AH160" s="151"/>
      <c r="AI160" s="151"/>
      <c r="AJ160" s="151"/>
    </row>
    <row r="161" spans="2:36">
      <c r="B161" s="22"/>
      <c r="F161" s="64"/>
      <c r="G161" s="63"/>
      <c r="H161" s="63"/>
      <c r="I161" s="63"/>
      <c r="J161" s="63"/>
      <c r="K161" s="63"/>
      <c r="L161" s="63"/>
      <c r="M161" s="63"/>
      <c r="N161" s="63"/>
      <c r="O161" s="63"/>
      <c r="Q161" s="172"/>
      <c r="R161" s="172"/>
      <c r="S161" s="172"/>
      <c r="T161" s="172"/>
      <c r="U161" s="172"/>
      <c r="V161" s="172"/>
      <c r="W161" s="172"/>
      <c r="X161" s="172"/>
      <c r="Y161" s="172"/>
      <c r="Z161" s="172"/>
      <c r="AA161" s="172"/>
      <c r="AB161" s="172"/>
      <c r="AC161" s="172"/>
      <c r="AD161" s="172"/>
      <c r="AE161" s="172"/>
      <c r="AF161" s="172"/>
      <c r="AG161" s="172"/>
      <c r="AH161" s="151"/>
      <c r="AI161" s="151"/>
      <c r="AJ161" s="151"/>
    </row>
    <row r="162" spans="2:36">
      <c r="B162" s="22"/>
      <c r="F162" s="64"/>
      <c r="G162" s="63"/>
      <c r="H162" s="63"/>
      <c r="I162" s="63"/>
      <c r="J162" s="63"/>
      <c r="K162" s="63"/>
      <c r="L162" s="63"/>
      <c r="M162" s="63"/>
      <c r="N162" s="63"/>
      <c r="O162" s="63"/>
      <c r="Q162" s="172"/>
      <c r="R162" s="172"/>
      <c r="S162" s="172"/>
      <c r="T162" s="172"/>
      <c r="U162" s="172"/>
      <c r="V162" s="172"/>
      <c r="W162" s="172"/>
      <c r="X162" s="172"/>
      <c r="Y162" s="172"/>
      <c r="Z162" s="172"/>
      <c r="AA162" s="172"/>
      <c r="AB162" s="172"/>
      <c r="AC162" s="172"/>
      <c r="AD162" s="172"/>
      <c r="AE162" s="172"/>
      <c r="AF162" s="172"/>
      <c r="AG162" s="172"/>
      <c r="AH162" s="151"/>
      <c r="AI162" s="151"/>
      <c r="AJ162" s="151"/>
    </row>
    <row r="163" spans="2:36">
      <c r="B163" s="3" t="s">
        <v>258</v>
      </c>
      <c r="F163" s="64"/>
      <c r="G163" s="29"/>
      <c r="H163" s="63"/>
      <c r="I163" s="29"/>
      <c r="J163" s="63"/>
      <c r="K163" s="29"/>
      <c r="L163" s="29"/>
      <c r="M163" s="29"/>
      <c r="N163" s="29"/>
      <c r="O163" s="63"/>
      <c r="Q163" s="172"/>
      <c r="R163" s="172"/>
      <c r="S163" s="172"/>
      <c r="T163" s="172"/>
      <c r="U163" s="172"/>
      <c r="V163" s="172"/>
      <c r="W163" s="172"/>
      <c r="X163" s="172"/>
      <c r="Y163" s="172"/>
      <c r="Z163" s="172"/>
      <c r="AA163" s="172"/>
      <c r="AB163" s="172"/>
      <c r="AC163" s="172"/>
      <c r="AD163" s="172"/>
      <c r="AE163" s="172"/>
      <c r="AF163" s="172"/>
      <c r="AG163" s="172"/>
      <c r="AH163" s="151"/>
      <c r="AI163" s="151"/>
      <c r="AJ163" s="151"/>
    </row>
    <row r="164" spans="2:36">
      <c r="B164" s="22"/>
      <c r="F164" s="64"/>
      <c r="G164" s="29"/>
      <c r="H164" s="63"/>
      <c r="I164" s="29"/>
      <c r="J164" s="63"/>
      <c r="K164" s="29"/>
      <c r="L164" s="29"/>
      <c r="M164" s="29"/>
      <c r="N164" s="29"/>
      <c r="O164" s="63"/>
      <c r="Q164" s="172"/>
      <c r="R164" s="172"/>
      <c r="S164" s="172"/>
      <c r="T164" s="172"/>
      <c r="U164" s="172"/>
      <c r="V164" s="172"/>
      <c r="W164" s="172"/>
      <c r="X164" s="172"/>
      <c r="Y164" s="172"/>
      <c r="Z164" s="172"/>
      <c r="AA164" s="172"/>
      <c r="AB164" s="172"/>
      <c r="AC164" s="172"/>
      <c r="AD164" s="172"/>
      <c r="AE164" s="172"/>
      <c r="AF164" s="172"/>
      <c r="AG164" s="172"/>
      <c r="AH164" s="151"/>
      <c r="AI164" s="151"/>
      <c r="AJ164" s="151"/>
    </row>
    <row r="165" spans="2:36">
      <c r="B165" s="22" t="s">
        <v>255</v>
      </c>
      <c r="F165" s="102">
        <f t="shared" ref="F165" si="66">SUM(G165:O165)</f>
        <v>7</v>
      </c>
      <c r="G165" s="29"/>
      <c r="H165" s="87">
        <v>4</v>
      </c>
      <c r="I165" s="29"/>
      <c r="J165" s="87">
        <v>1</v>
      </c>
      <c r="K165" s="29"/>
      <c r="L165" s="29"/>
      <c r="M165" s="29"/>
      <c r="N165" s="29"/>
      <c r="O165" s="87">
        <v>2</v>
      </c>
      <c r="Q165" s="172"/>
      <c r="R165" s="172"/>
      <c r="S165" s="172"/>
      <c r="T165" s="172"/>
      <c r="U165" s="172"/>
      <c r="V165" s="172"/>
      <c r="W165" s="172"/>
      <c r="X165" s="172"/>
      <c r="Y165" s="172"/>
      <c r="Z165" s="172"/>
      <c r="AA165" s="172"/>
      <c r="AB165" s="172"/>
      <c r="AC165" s="172"/>
      <c r="AD165" s="172"/>
      <c r="AE165" s="172"/>
      <c r="AF165" s="172"/>
      <c r="AG165" s="172"/>
      <c r="AH165" s="151"/>
      <c r="AI165" s="151"/>
      <c r="AJ165" s="151"/>
    </row>
    <row r="166" spans="2:36">
      <c r="B166" s="22"/>
      <c r="F166" s="64"/>
      <c r="G166" s="29"/>
      <c r="H166" s="63"/>
      <c r="I166" s="29"/>
      <c r="J166" s="63"/>
      <c r="K166" s="29"/>
      <c r="L166" s="29"/>
      <c r="M166" s="29"/>
      <c r="N166" s="29"/>
      <c r="O166" s="63"/>
      <c r="Q166" s="172"/>
      <c r="R166" s="172"/>
      <c r="S166" s="172"/>
      <c r="T166" s="172"/>
      <c r="U166" s="172"/>
      <c r="V166" s="172"/>
      <c r="W166" s="172"/>
      <c r="X166" s="172"/>
      <c r="Y166" s="172"/>
      <c r="Z166" s="172"/>
      <c r="AA166" s="172"/>
      <c r="AB166" s="172"/>
      <c r="AC166" s="172"/>
      <c r="AD166" s="172"/>
      <c r="AE166" s="172"/>
      <c r="AF166" s="172"/>
      <c r="AG166" s="172"/>
      <c r="AH166" s="151"/>
      <c r="AI166" s="151"/>
      <c r="AJ166" s="151"/>
    </row>
    <row r="167" spans="2:36">
      <c r="B167" s="22" t="s">
        <v>257</v>
      </c>
      <c r="F167" s="102">
        <f t="shared" ref="F167" si="67">SUM(G167:O167)</f>
        <v>875303.3763</v>
      </c>
      <c r="G167" s="29"/>
      <c r="H167" s="87">
        <v>76941</v>
      </c>
      <c r="I167" s="29"/>
      <c r="J167" s="87">
        <v>60000</v>
      </c>
      <c r="K167" s="29"/>
      <c r="L167" s="29"/>
      <c r="M167" s="29"/>
      <c r="N167" s="29"/>
      <c r="O167" s="87">
        <v>738362.3763</v>
      </c>
      <c r="Q167" s="172"/>
      <c r="R167" s="172"/>
      <c r="S167" s="172"/>
      <c r="T167" s="172"/>
      <c r="U167" s="172"/>
      <c r="V167" s="172"/>
      <c r="W167" s="172"/>
      <c r="X167" s="172"/>
      <c r="Y167" s="172"/>
      <c r="Z167" s="172"/>
      <c r="AA167" s="172"/>
      <c r="AB167" s="172"/>
      <c r="AC167" s="172"/>
      <c r="AD167" s="172"/>
      <c r="AE167" s="172"/>
      <c r="AF167" s="172"/>
      <c r="AG167" s="172"/>
      <c r="AH167" s="151"/>
      <c r="AI167" s="151"/>
      <c r="AJ167" s="151"/>
    </row>
    <row r="168" spans="2:36">
      <c r="B168" s="22"/>
      <c r="G168" s="28"/>
      <c r="I168" s="28"/>
      <c r="K168" s="28"/>
      <c r="L168" s="28"/>
      <c r="M168" s="28"/>
      <c r="N168" s="28"/>
      <c r="Q168" s="28"/>
      <c r="R168" s="28"/>
      <c r="S168" s="28"/>
      <c r="T168" s="28"/>
      <c r="U168" s="28"/>
      <c r="V168" s="28"/>
      <c r="W168" s="28"/>
      <c r="X168" s="28"/>
      <c r="Y168" s="28"/>
      <c r="Z168" s="28"/>
      <c r="AA168" s="28"/>
      <c r="AB168" s="28"/>
      <c r="AC168" s="28"/>
      <c r="AD168" s="28"/>
      <c r="AE168" s="28"/>
      <c r="AF168" s="28"/>
      <c r="AG168" s="28"/>
    </row>
    <row r="169" spans="2:36">
      <c r="B169" s="22"/>
      <c r="I169" s="28"/>
      <c r="Q169" s="28"/>
      <c r="R169" s="28"/>
      <c r="S169" s="28"/>
      <c r="T169" s="28"/>
      <c r="U169" s="28"/>
      <c r="V169" s="28"/>
      <c r="W169" s="28"/>
      <c r="X169" s="28"/>
      <c r="Y169" s="28"/>
      <c r="Z169" s="28"/>
      <c r="AA169" s="28"/>
      <c r="AB169" s="28"/>
      <c r="AC169" s="28"/>
      <c r="AD169" s="28"/>
      <c r="AE169" s="28"/>
      <c r="AF169" s="28"/>
      <c r="AG169" s="28"/>
    </row>
    <row r="170" spans="2:36">
      <c r="B170" s="22"/>
      <c r="Q170" s="28"/>
      <c r="R170" s="28"/>
      <c r="S170" s="28"/>
      <c r="T170" s="28"/>
      <c r="U170" s="28"/>
      <c r="V170" s="28"/>
      <c r="W170" s="28"/>
      <c r="X170" s="28"/>
      <c r="Y170" s="28"/>
      <c r="Z170" s="28"/>
      <c r="AA170" s="28"/>
      <c r="AB170" s="28"/>
      <c r="AC170" s="28"/>
      <c r="AD170" s="28"/>
      <c r="AE170" s="28"/>
      <c r="AF170" s="28"/>
      <c r="AG170" s="28"/>
    </row>
    <row r="171" spans="2:36">
      <c r="B171" s="22"/>
      <c r="Q171" s="28"/>
      <c r="R171" s="28"/>
      <c r="S171" s="28"/>
      <c r="T171" s="28"/>
      <c r="U171" s="28"/>
      <c r="V171" s="28"/>
      <c r="W171" s="28"/>
      <c r="X171" s="28"/>
      <c r="Y171" s="28"/>
      <c r="Z171" s="28"/>
      <c r="AA171" s="28"/>
      <c r="AB171" s="28"/>
      <c r="AC171" s="28"/>
      <c r="AD171" s="28"/>
      <c r="AE171" s="28"/>
      <c r="AF171" s="28"/>
      <c r="AG171" s="28"/>
    </row>
    <row r="172" spans="2:36">
      <c r="B172" s="22"/>
    </row>
    <row r="173" spans="2:36">
      <c r="B173" s="22"/>
    </row>
    <row r="174" spans="2:36">
      <c r="B174" s="22"/>
      <c r="G174" s="36"/>
      <c r="H174" s="36"/>
      <c r="I174" s="36"/>
      <c r="J174" s="36"/>
      <c r="K174" s="36"/>
      <c r="L174" s="36"/>
      <c r="M174" s="36"/>
      <c r="N174" s="36"/>
      <c r="O174" s="36"/>
    </row>
    <row r="175" spans="2:36">
      <c r="B175" s="22"/>
      <c r="G175" s="36"/>
      <c r="H175" s="36"/>
      <c r="I175" s="36"/>
      <c r="J175" s="36"/>
      <c r="K175" s="36"/>
      <c r="L175" s="36"/>
      <c r="M175" s="36"/>
      <c r="N175" s="36"/>
      <c r="O175" s="36"/>
    </row>
    <row r="176" spans="2:36">
      <c r="B176" s="22"/>
      <c r="G176" s="36"/>
      <c r="H176" s="36"/>
      <c r="I176" s="36"/>
      <c r="J176" s="36"/>
      <c r="K176" s="36"/>
      <c r="L176" s="36"/>
      <c r="M176" s="36"/>
      <c r="N176" s="36"/>
      <c r="O176" s="36"/>
    </row>
    <row r="177" spans="2:15">
      <c r="B177" s="22"/>
      <c r="G177" s="36"/>
      <c r="H177" s="36"/>
      <c r="I177" s="36"/>
      <c r="J177" s="36"/>
      <c r="K177" s="36"/>
      <c r="L177" s="36"/>
      <c r="M177" s="36"/>
      <c r="N177" s="36"/>
      <c r="O177" s="36"/>
    </row>
    <row r="178" spans="2:15">
      <c r="B178" s="22"/>
      <c r="G178" s="36"/>
      <c r="H178" s="36"/>
      <c r="I178" s="36"/>
      <c r="J178" s="36"/>
      <c r="K178" s="36"/>
      <c r="L178" s="36"/>
      <c r="M178" s="36"/>
      <c r="N178" s="36"/>
      <c r="O178" s="36"/>
    </row>
    <row r="179" spans="2:15">
      <c r="B179" s="22"/>
      <c r="G179" s="36"/>
      <c r="H179" s="36"/>
      <c r="I179" s="36"/>
      <c r="J179" s="36"/>
      <c r="K179" s="36"/>
      <c r="L179" s="36"/>
      <c r="M179" s="36"/>
      <c r="N179" s="36"/>
      <c r="O179" s="36"/>
    </row>
    <row r="180" spans="2:15">
      <c r="B180" s="22"/>
      <c r="G180" s="36"/>
      <c r="H180" s="36"/>
      <c r="I180" s="36"/>
      <c r="J180" s="36"/>
      <c r="K180" s="36"/>
      <c r="L180" s="36"/>
      <c r="M180" s="36"/>
      <c r="N180" s="36"/>
      <c r="O180" s="36"/>
    </row>
    <row r="181" spans="2:15">
      <c r="B181" s="22"/>
      <c r="G181" s="36"/>
      <c r="H181" s="36"/>
      <c r="I181" s="36"/>
      <c r="J181" s="36"/>
      <c r="K181" s="36"/>
      <c r="L181" s="36"/>
      <c r="M181" s="36"/>
      <c r="N181" s="36"/>
      <c r="O181" s="36"/>
    </row>
    <row r="182" spans="2:15">
      <c r="B182" s="22"/>
      <c r="G182" s="36"/>
      <c r="H182" s="36"/>
      <c r="I182" s="36"/>
      <c r="J182" s="36"/>
      <c r="K182" s="36"/>
      <c r="L182" s="36"/>
      <c r="M182" s="36"/>
      <c r="N182" s="36"/>
      <c r="O182" s="36"/>
    </row>
    <row r="183" spans="2:15">
      <c r="B183" s="22"/>
      <c r="G183" s="36"/>
      <c r="H183" s="36"/>
      <c r="I183" s="36"/>
      <c r="J183" s="36"/>
      <c r="K183" s="36"/>
      <c r="L183" s="36"/>
      <c r="M183" s="36"/>
      <c r="N183" s="36"/>
      <c r="O183" s="36"/>
    </row>
    <row r="184" spans="2:15">
      <c r="B184" s="22"/>
      <c r="G184" s="36"/>
      <c r="H184" s="36"/>
      <c r="I184" s="36"/>
      <c r="J184" s="36"/>
      <c r="K184" s="36"/>
      <c r="L184" s="36"/>
      <c r="M184" s="36"/>
      <c r="N184" s="36"/>
      <c r="O184" s="36"/>
    </row>
    <row r="185" spans="2:15">
      <c r="B185" s="22"/>
      <c r="G185" s="36"/>
      <c r="H185" s="36"/>
      <c r="I185" s="36"/>
      <c r="J185" s="36"/>
      <c r="K185" s="36"/>
      <c r="L185" s="36"/>
      <c r="M185" s="36"/>
      <c r="N185" s="36"/>
      <c r="O185" s="36"/>
    </row>
    <row r="186" spans="2:15">
      <c r="B186" s="22"/>
      <c r="G186" s="36"/>
      <c r="H186" s="36"/>
      <c r="I186" s="36"/>
      <c r="J186" s="36"/>
      <c r="K186" s="36"/>
      <c r="L186" s="36"/>
      <c r="M186" s="36"/>
      <c r="N186" s="36"/>
      <c r="O186" s="36"/>
    </row>
    <row r="187" spans="2:15">
      <c r="B187" s="22"/>
      <c r="G187" s="36"/>
      <c r="H187" s="36"/>
      <c r="I187" s="36"/>
      <c r="J187" s="36"/>
      <c r="K187" s="36"/>
      <c r="L187" s="36"/>
      <c r="M187" s="36"/>
      <c r="N187" s="36"/>
      <c r="O187" s="36"/>
    </row>
    <row r="188" spans="2:15">
      <c r="B188" s="22"/>
      <c r="G188" s="36"/>
      <c r="H188" s="36"/>
      <c r="I188" s="36"/>
      <c r="J188" s="36"/>
      <c r="K188" s="36"/>
      <c r="L188" s="36"/>
      <c r="M188" s="36"/>
      <c r="N188" s="36"/>
      <c r="O188" s="36"/>
    </row>
    <row r="189" spans="2:15">
      <c r="B189" s="22"/>
      <c r="G189" s="36"/>
      <c r="H189" s="36"/>
      <c r="I189" s="36"/>
      <c r="J189" s="36"/>
      <c r="K189" s="36"/>
      <c r="L189" s="36"/>
      <c r="M189" s="36"/>
      <c r="N189" s="36"/>
      <c r="O189" s="36"/>
    </row>
    <row r="190" spans="2:15">
      <c r="B190" s="22"/>
      <c r="G190" s="36"/>
      <c r="H190" s="36"/>
      <c r="I190" s="36"/>
      <c r="J190" s="36"/>
      <c r="K190" s="36"/>
      <c r="L190" s="36"/>
      <c r="M190" s="36"/>
      <c r="N190" s="36"/>
      <c r="O190" s="36"/>
    </row>
    <row r="191" spans="2:15">
      <c r="B191" s="22"/>
      <c r="G191" s="36"/>
      <c r="H191" s="36"/>
      <c r="I191" s="36"/>
      <c r="J191" s="36"/>
      <c r="K191" s="36"/>
      <c r="L191" s="36"/>
      <c r="M191" s="36"/>
      <c r="N191" s="36"/>
      <c r="O191" s="36"/>
    </row>
    <row r="192" spans="2:15">
      <c r="B192" s="22"/>
      <c r="G192" s="36"/>
      <c r="H192" s="36"/>
      <c r="I192" s="36"/>
      <c r="J192" s="36"/>
      <c r="K192" s="36"/>
      <c r="L192" s="36"/>
      <c r="M192" s="36"/>
      <c r="N192" s="36"/>
      <c r="O192" s="36"/>
    </row>
    <row r="193" spans="2:15">
      <c r="B193" s="22"/>
      <c r="G193" s="36"/>
      <c r="H193" s="36"/>
      <c r="I193" s="36"/>
      <c r="J193" s="36"/>
      <c r="K193" s="36"/>
      <c r="L193" s="36"/>
      <c r="M193" s="36"/>
      <c r="N193" s="36"/>
      <c r="O193" s="36"/>
    </row>
    <row r="194" spans="2:15">
      <c r="B194" s="22"/>
      <c r="G194" s="36"/>
      <c r="H194" s="36"/>
      <c r="I194" s="36"/>
      <c r="J194" s="36"/>
      <c r="K194" s="36"/>
      <c r="L194" s="36"/>
      <c r="M194" s="36"/>
      <c r="N194" s="36"/>
      <c r="O194" s="36"/>
    </row>
    <row r="195" spans="2:15">
      <c r="B195" s="22"/>
      <c r="G195" s="36"/>
      <c r="H195" s="36"/>
      <c r="I195" s="36"/>
      <c r="J195" s="36"/>
      <c r="K195" s="36"/>
      <c r="L195" s="36"/>
      <c r="M195" s="36"/>
      <c r="N195" s="36"/>
      <c r="O195" s="36"/>
    </row>
    <row r="196" spans="2:15">
      <c r="B196" s="22"/>
      <c r="G196" s="36"/>
      <c r="H196" s="36"/>
      <c r="I196" s="36"/>
      <c r="J196" s="36"/>
      <c r="K196" s="36"/>
      <c r="L196" s="36"/>
      <c r="M196" s="36"/>
      <c r="N196" s="36"/>
      <c r="O196" s="36"/>
    </row>
    <row r="197" spans="2:15">
      <c r="B197" s="22"/>
      <c r="G197" s="36"/>
      <c r="H197" s="36"/>
      <c r="I197" s="36"/>
      <c r="J197" s="36"/>
      <c r="K197" s="36"/>
      <c r="L197" s="36"/>
      <c r="M197" s="36"/>
      <c r="N197" s="36"/>
      <c r="O197" s="36"/>
    </row>
    <row r="198" spans="2:15">
      <c r="B198" s="22"/>
      <c r="G198" s="36"/>
      <c r="H198" s="36"/>
      <c r="I198" s="36"/>
      <c r="J198" s="36"/>
      <c r="K198" s="36"/>
      <c r="L198" s="36"/>
      <c r="M198" s="36"/>
      <c r="N198" s="36"/>
      <c r="O198" s="36"/>
    </row>
    <row r="199" spans="2:15">
      <c r="B199" s="22"/>
      <c r="G199" s="36"/>
      <c r="H199" s="36"/>
      <c r="I199" s="36"/>
      <c r="J199" s="36"/>
      <c r="K199" s="36"/>
      <c r="L199" s="36"/>
      <c r="M199" s="36"/>
      <c r="N199" s="36"/>
      <c r="O199" s="36"/>
    </row>
    <row r="200" spans="2:15">
      <c r="B200" s="22"/>
      <c r="G200" s="36"/>
      <c r="H200" s="36"/>
      <c r="I200" s="36"/>
      <c r="J200" s="36"/>
      <c r="K200" s="36"/>
      <c r="L200" s="36"/>
      <c r="M200" s="36"/>
      <c r="N200" s="36"/>
      <c r="O200" s="36"/>
    </row>
    <row r="201" spans="2:15">
      <c r="B201" s="22"/>
      <c r="G201" s="36"/>
      <c r="H201" s="36"/>
      <c r="I201" s="36"/>
      <c r="J201" s="36"/>
      <c r="K201" s="36"/>
      <c r="L201" s="36"/>
      <c r="M201" s="36"/>
      <c r="N201" s="36"/>
      <c r="O201" s="36"/>
    </row>
    <row r="202" spans="2:15">
      <c r="B202" s="22"/>
      <c r="G202" s="36"/>
      <c r="H202" s="36"/>
      <c r="I202" s="36"/>
      <c r="J202" s="36"/>
      <c r="K202" s="36"/>
      <c r="L202" s="36"/>
      <c r="M202" s="36"/>
      <c r="N202" s="36"/>
      <c r="O202" s="36"/>
    </row>
    <row r="203" spans="2:15">
      <c r="B203" s="22"/>
      <c r="G203" s="36"/>
      <c r="H203" s="36"/>
      <c r="I203" s="36"/>
      <c r="J203" s="36"/>
      <c r="K203" s="36"/>
      <c r="L203" s="36"/>
      <c r="M203" s="36"/>
      <c r="N203" s="36"/>
      <c r="O203" s="36"/>
    </row>
    <row r="204" spans="2:15">
      <c r="B204" s="22"/>
      <c r="G204" s="36"/>
      <c r="H204" s="36"/>
      <c r="I204" s="36"/>
      <c r="J204" s="36"/>
      <c r="K204" s="36"/>
      <c r="L204" s="36"/>
      <c r="M204" s="36"/>
      <c r="N204" s="36"/>
      <c r="O204" s="36"/>
    </row>
    <row r="205" spans="2:15">
      <c r="B205" s="22"/>
    </row>
    <row r="206" spans="2:15">
      <c r="B206" s="22"/>
    </row>
    <row r="207" spans="2:15">
      <c r="B207" s="22"/>
    </row>
    <row r="208" spans="2:15">
      <c r="B208" s="22"/>
    </row>
    <row r="209" spans="2:2">
      <c r="B209" s="22"/>
    </row>
    <row r="210" spans="2:2">
      <c r="B210" s="22"/>
    </row>
    <row r="211" spans="2:2">
      <c r="B211" s="22"/>
    </row>
    <row r="212" spans="2:2">
      <c r="B212" s="22"/>
    </row>
    <row r="213" spans="2:2">
      <c r="B213" s="22"/>
    </row>
    <row r="214" spans="2:2">
      <c r="B214" s="22"/>
    </row>
    <row r="215" spans="2:2">
      <c r="B215" s="22"/>
    </row>
    <row r="216" spans="2:2">
      <c r="B216" s="22"/>
    </row>
    <row r="217" spans="2:2">
      <c r="B217" s="22"/>
    </row>
    <row r="218" spans="2:2">
      <c r="B218" s="22"/>
    </row>
    <row r="219" spans="2:2">
      <c r="B219" s="22"/>
    </row>
    <row r="220" spans="2:2">
      <c r="B220" s="22"/>
    </row>
    <row r="221" spans="2:2">
      <c r="B221" s="22"/>
    </row>
    <row r="222" spans="2:2">
      <c r="B222" s="22"/>
    </row>
    <row r="223" spans="2:2">
      <c r="B223" s="22"/>
    </row>
    <row r="224" spans="2:2">
      <c r="B224" s="22"/>
    </row>
    <row r="225" spans="2:2">
      <c r="B225" s="22"/>
    </row>
    <row r="226" spans="2:2">
      <c r="B226" s="22"/>
    </row>
    <row r="227" spans="2:2">
      <c r="B227" s="22"/>
    </row>
    <row r="228" spans="2:2">
      <c r="B228" s="22"/>
    </row>
    <row r="229" spans="2:2">
      <c r="B229" s="22"/>
    </row>
    <row r="230" spans="2:2">
      <c r="B230" s="22"/>
    </row>
    <row r="231" spans="2:2">
      <c r="B231" s="22"/>
    </row>
    <row r="232" spans="2:2">
      <c r="B232" s="22"/>
    </row>
    <row r="233" spans="2:2">
      <c r="B233" s="22"/>
    </row>
    <row r="234" spans="2:2">
      <c r="B234" s="22"/>
    </row>
    <row r="235" spans="2:2">
      <c r="B235" s="22"/>
    </row>
    <row r="236" spans="2:2">
      <c r="B236" s="22"/>
    </row>
    <row r="237" spans="2:2">
      <c r="B237" s="22"/>
    </row>
    <row r="238" spans="2:2">
      <c r="B238" s="22"/>
    </row>
    <row r="239" spans="2:2">
      <c r="B239" s="22"/>
    </row>
    <row r="240" spans="2:2">
      <c r="B240" s="22"/>
    </row>
    <row r="241" spans="2:2">
      <c r="B241" s="22"/>
    </row>
    <row r="242" spans="2:2">
      <c r="B242" s="22"/>
    </row>
    <row r="243" spans="2:2">
      <c r="B243" s="22"/>
    </row>
    <row r="244" spans="2:2">
      <c r="B244" s="22"/>
    </row>
    <row r="245" spans="2:2">
      <c r="B245" s="22"/>
    </row>
    <row r="246" spans="2:2">
      <c r="B246" s="22"/>
    </row>
    <row r="247" spans="2:2">
      <c r="B247" s="22"/>
    </row>
    <row r="248" spans="2:2">
      <c r="B248" s="22"/>
    </row>
    <row r="249" spans="2:2">
      <c r="B249" s="22"/>
    </row>
    <row r="250" spans="2:2">
      <c r="B250" s="22"/>
    </row>
    <row r="251" spans="2:2">
      <c r="B251" s="22"/>
    </row>
    <row r="252" spans="2:2">
      <c r="B252" s="22"/>
    </row>
    <row r="253" spans="2:2">
      <c r="B253" s="22"/>
    </row>
    <row r="254" spans="2:2">
      <c r="B254" s="22"/>
    </row>
    <row r="255" spans="2:2">
      <c r="B255" s="22"/>
    </row>
    <row r="256" spans="2:2">
      <c r="B256" s="22"/>
    </row>
    <row r="257" spans="2:2">
      <c r="B257" s="22"/>
    </row>
    <row r="258" spans="2:2">
      <c r="B258" s="22"/>
    </row>
    <row r="259" spans="2:2">
      <c r="B259" s="22"/>
    </row>
    <row r="260" spans="2:2">
      <c r="B260" s="22"/>
    </row>
    <row r="261" spans="2:2">
      <c r="B261" s="22"/>
    </row>
    <row r="262" spans="2:2">
      <c r="B262" s="22"/>
    </row>
    <row r="263" spans="2:2">
      <c r="B263" s="22"/>
    </row>
    <row r="264" spans="2:2">
      <c r="B264" s="22"/>
    </row>
    <row r="265" spans="2:2">
      <c r="B265" s="22"/>
    </row>
    <row r="266" spans="2:2">
      <c r="B266" s="22"/>
    </row>
    <row r="267" spans="2:2">
      <c r="B267" s="22"/>
    </row>
    <row r="268" spans="2:2">
      <c r="B268" s="22"/>
    </row>
    <row r="269" spans="2:2">
      <c r="B269" s="22"/>
    </row>
    <row r="270" spans="2:2">
      <c r="B270" s="22"/>
    </row>
    <row r="271" spans="2:2">
      <c r="B271" s="22"/>
    </row>
    <row r="272" spans="2:2">
      <c r="B272" s="22"/>
    </row>
    <row r="273" spans="2:2">
      <c r="B273" s="22"/>
    </row>
    <row r="274" spans="2:2">
      <c r="B274" s="22"/>
    </row>
    <row r="275" spans="2:2">
      <c r="B275" s="22"/>
    </row>
    <row r="276" spans="2:2">
      <c r="B276" s="22"/>
    </row>
    <row r="277" spans="2:2">
      <c r="B277" s="22"/>
    </row>
    <row r="278" spans="2:2">
      <c r="B278" s="22"/>
    </row>
    <row r="279" spans="2:2">
      <c r="B279" s="22"/>
    </row>
    <row r="280" spans="2:2">
      <c r="B280" s="22"/>
    </row>
    <row r="281" spans="2:2">
      <c r="B281" s="22"/>
    </row>
    <row r="282" spans="2:2">
      <c r="B282" s="22"/>
    </row>
    <row r="283" spans="2:2">
      <c r="B283" s="22"/>
    </row>
    <row r="284" spans="2:2">
      <c r="B284" s="22"/>
    </row>
    <row r="285" spans="2:2">
      <c r="B285" s="22"/>
    </row>
    <row r="286" spans="2:2">
      <c r="B286" s="22"/>
    </row>
    <row r="287" spans="2:2">
      <c r="B287" s="22"/>
    </row>
    <row r="288" spans="2:2">
      <c r="B288" s="22"/>
    </row>
  </sheetData>
  <phoneticPr fontId="4"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B1:Q28"/>
  <sheetViews>
    <sheetView showGridLines="0" zoomScale="85" zoomScaleNormal="85" workbookViewId="0"/>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7" customWidth="1"/>
    <col min="7" max="15" width="14.85546875" customWidth="1"/>
    <col min="17" max="17" width="23.28515625" customWidth="1"/>
  </cols>
  <sheetData>
    <row r="1" spans="2:17" ht="12" customHeight="1"/>
    <row r="2" spans="2:17" s="1" customFormat="1" ht="18">
      <c r="B2" s="1" t="s">
        <v>261</v>
      </c>
      <c r="F2" s="48" t="s">
        <v>105</v>
      </c>
      <c r="G2" s="5" t="s">
        <v>96</v>
      </c>
      <c r="H2" s="5" t="s">
        <v>97</v>
      </c>
      <c r="I2" s="5" t="s">
        <v>98</v>
      </c>
      <c r="J2" s="5" t="s">
        <v>99</v>
      </c>
      <c r="K2" s="5" t="s">
        <v>100</v>
      </c>
      <c r="L2" s="5" t="s">
        <v>101</v>
      </c>
      <c r="M2" s="5" t="s">
        <v>102</v>
      </c>
      <c r="N2" s="5" t="s">
        <v>103</v>
      </c>
      <c r="O2" s="5" t="s">
        <v>197</v>
      </c>
      <c r="Q2" s="5" t="s">
        <v>567</v>
      </c>
    </row>
    <row r="4" spans="2:17">
      <c r="B4" s="78" t="s">
        <v>563</v>
      </c>
    </row>
    <row r="5" spans="2:17">
      <c r="B5" s="28" t="s">
        <v>25</v>
      </c>
    </row>
    <row r="6" spans="2:17">
      <c r="B6" s="28"/>
    </row>
    <row r="8" spans="2:17" s="2" customFormat="1">
      <c r="B8" s="2" t="s">
        <v>26</v>
      </c>
      <c r="F8" s="49"/>
    </row>
    <row r="10" spans="2:17">
      <c r="B10" s="103" t="s">
        <v>265</v>
      </c>
    </row>
    <row r="11" spans="2:17">
      <c r="B11" s="89" t="s">
        <v>201</v>
      </c>
      <c r="D11" s="13" t="s">
        <v>186</v>
      </c>
      <c r="G11" s="96">
        <v>18</v>
      </c>
      <c r="H11" s="96">
        <v>18</v>
      </c>
      <c r="I11" s="96">
        <v>18</v>
      </c>
      <c r="J11" s="96">
        <v>18</v>
      </c>
      <c r="K11" s="96">
        <v>18</v>
      </c>
      <c r="L11" s="96">
        <v>18</v>
      </c>
      <c r="M11" s="96">
        <v>18</v>
      </c>
      <c r="N11" s="96">
        <v>18</v>
      </c>
      <c r="O11" s="96">
        <v>0</v>
      </c>
    </row>
    <row r="12" spans="2:17">
      <c r="B12" s="90" t="s">
        <v>202</v>
      </c>
      <c r="D12" s="13" t="s">
        <v>186</v>
      </c>
      <c r="G12" s="96">
        <v>30.01</v>
      </c>
      <c r="H12" s="96">
        <v>29.52</v>
      </c>
      <c r="I12" s="96">
        <v>28.798499999999997</v>
      </c>
      <c r="J12" s="96">
        <v>28.7456</v>
      </c>
      <c r="K12" s="96">
        <v>30.36</v>
      </c>
      <c r="L12" s="96">
        <v>35.75</v>
      </c>
      <c r="M12" s="96">
        <v>30.387999999999998</v>
      </c>
      <c r="N12" s="96">
        <v>23.27</v>
      </c>
      <c r="O12" s="96">
        <v>0</v>
      </c>
    </row>
    <row r="13" spans="2:17">
      <c r="B13" s="90"/>
      <c r="G13" s="82"/>
      <c r="H13" s="82"/>
      <c r="I13" s="82"/>
      <c r="J13" s="82"/>
      <c r="K13" s="82"/>
      <c r="L13" s="82"/>
      <c r="M13" s="82"/>
      <c r="N13" s="82"/>
      <c r="O13" s="82"/>
    </row>
    <row r="14" spans="2:17">
      <c r="B14" s="91" t="s">
        <v>266</v>
      </c>
      <c r="G14" s="82"/>
      <c r="H14" s="82"/>
      <c r="I14" s="82"/>
      <c r="J14" s="82"/>
      <c r="K14" s="82"/>
      <c r="L14" s="82"/>
      <c r="M14" s="82"/>
      <c r="N14" s="82"/>
      <c r="O14" s="82"/>
    </row>
    <row r="15" spans="2:17">
      <c r="B15" s="89" t="s">
        <v>201</v>
      </c>
      <c r="D15" s="13" t="s">
        <v>186</v>
      </c>
      <c r="G15" s="96">
        <v>18</v>
      </c>
      <c r="H15" s="96">
        <v>18</v>
      </c>
      <c r="I15" s="96">
        <v>18</v>
      </c>
      <c r="J15" s="96">
        <v>18</v>
      </c>
      <c r="K15" s="96">
        <v>18</v>
      </c>
      <c r="L15" s="96">
        <v>18</v>
      </c>
      <c r="M15" s="96">
        <v>18</v>
      </c>
      <c r="N15" s="96">
        <v>18</v>
      </c>
      <c r="O15" s="96">
        <v>0</v>
      </c>
    </row>
    <row r="16" spans="2:17">
      <c r="B16" s="90" t="s">
        <v>202</v>
      </c>
      <c r="D16" s="13" t="s">
        <v>186</v>
      </c>
      <c r="G16" s="96">
        <v>30.01</v>
      </c>
      <c r="H16" s="96">
        <v>29.52</v>
      </c>
      <c r="I16" s="96">
        <v>28.798499999999997</v>
      </c>
      <c r="J16" s="96">
        <v>28.7456</v>
      </c>
      <c r="K16" s="96">
        <v>30.36</v>
      </c>
      <c r="L16" s="96">
        <v>35.75</v>
      </c>
      <c r="M16" s="96">
        <v>30.387999999999998</v>
      </c>
      <c r="N16" s="96">
        <v>23.27</v>
      </c>
      <c r="O16" s="96">
        <v>0</v>
      </c>
    </row>
    <row r="17" spans="2:17">
      <c r="B17" s="104"/>
      <c r="G17" s="82"/>
      <c r="H17" s="82"/>
      <c r="I17" s="82"/>
      <c r="J17" s="82"/>
      <c r="K17" s="82"/>
      <c r="L17" s="82"/>
      <c r="M17" s="82"/>
      <c r="N17" s="82"/>
      <c r="O17" s="82"/>
    </row>
    <row r="18" spans="2:17">
      <c r="B18" s="88" t="s">
        <v>204</v>
      </c>
      <c r="G18" s="82"/>
      <c r="H18" s="82"/>
      <c r="I18" s="82"/>
      <c r="J18" s="82"/>
      <c r="K18" s="82"/>
      <c r="L18" s="82"/>
      <c r="M18" s="82"/>
      <c r="N18" s="82"/>
      <c r="O18" s="82"/>
    </row>
    <row r="19" spans="2:17">
      <c r="B19" s="89" t="s">
        <v>201</v>
      </c>
      <c r="D19" s="13" t="s">
        <v>186</v>
      </c>
      <c r="G19" s="96">
        <v>283.11</v>
      </c>
      <c r="H19" s="96">
        <v>578.52</v>
      </c>
      <c r="I19" s="96">
        <v>828</v>
      </c>
      <c r="J19" s="96">
        <v>1044</v>
      </c>
      <c r="K19" s="96">
        <v>828</v>
      </c>
      <c r="L19" s="96">
        <v>687</v>
      </c>
      <c r="M19" s="96">
        <v>795</v>
      </c>
      <c r="N19" s="96">
        <v>60</v>
      </c>
      <c r="O19" s="96">
        <v>0</v>
      </c>
    </row>
    <row r="20" spans="2:17">
      <c r="B20" s="90" t="s">
        <v>262</v>
      </c>
      <c r="D20" s="13" t="s">
        <v>186</v>
      </c>
      <c r="G20" s="96">
        <v>32.76</v>
      </c>
      <c r="H20" s="96">
        <v>24.72</v>
      </c>
      <c r="I20" s="96">
        <v>0</v>
      </c>
      <c r="J20" s="96">
        <v>0</v>
      </c>
      <c r="K20" s="96">
        <v>29.88</v>
      </c>
      <c r="L20" s="96">
        <v>38.049999999999997</v>
      </c>
      <c r="M20" s="96">
        <v>0</v>
      </c>
      <c r="N20" s="96">
        <v>0</v>
      </c>
      <c r="O20" s="96">
        <v>0</v>
      </c>
      <c r="Q20" s="28"/>
    </row>
    <row r="21" spans="2:17">
      <c r="B21" s="89" t="s">
        <v>263</v>
      </c>
      <c r="D21" s="13" t="s">
        <v>186</v>
      </c>
      <c r="G21" s="96">
        <v>21.89</v>
      </c>
      <c r="H21" s="96">
        <v>24.72</v>
      </c>
      <c r="I21" s="96">
        <v>0</v>
      </c>
      <c r="J21" s="96">
        <v>0</v>
      </c>
      <c r="K21" s="96">
        <v>17.16</v>
      </c>
      <c r="L21" s="96">
        <v>27.66</v>
      </c>
      <c r="M21" s="96">
        <v>0</v>
      </c>
      <c r="N21" s="96">
        <v>0</v>
      </c>
      <c r="O21" s="96">
        <v>0</v>
      </c>
      <c r="Q21" s="28"/>
    </row>
    <row r="22" spans="2:17">
      <c r="B22" s="90" t="s">
        <v>264</v>
      </c>
      <c r="D22" s="13" t="s">
        <v>186</v>
      </c>
      <c r="G22" s="96">
        <v>0</v>
      </c>
      <c r="H22" s="96">
        <v>0</v>
      </c>
      <c r="I22" s="96">
        <v>24.564499999999999</v>
      </c>
      <c r="J22" s="96">
        <v>26</v>
      </c>
      <c r="K22" s="96">
        <v>0</v>
      </c>
      <c r="L22" s="96">
        <v>0</v>
      </c>
      <c r="M22" s="96">
        <v>30.387999999999998</v>
      </c>
      <c r="N22" s="96">
        <v>31.06</v>
      </c>
      <c r="O22" s="96">
        <v>0</v>
      </c>
      <c r="Q22" s="11"/>
    </row>
    <row r="23" spans="2:17">
      <c r="B23" s="105"/>
      <c r="G23" s="82"/>
      <c r="H23" s="82"/>
      <c r="I23" s="82"/>
      <c r="J23" s="82"/>
      <c r="K23" s="82"/>
      <c r="L23" s="82"/>
      <c r="M23" s="82"/>
      <c r="N23" s="82"/>
      <c r="O23" s="82"/>
      <c r="Q23" s="28"/>
    </row>
    <row r="24" spans="2:17">
      <c r="B24" s="88" t="s">
        <v>206</v>
      </c>
      <c r="G24" s="82"/>
      <c r="H24" s="82"/>
      <c r="I24" s="82"/>
      <c r="J24" s="82"/>
      <c r="K24" s="82"/>
      <c r="L24" s="82"/>
      <c r="M24" s="82"/>
      <c r="N24" s="82"/>
      <c r="O24" s="82"/>
      <c r="Q24" s="28"/>
    </row>
    <row r="25" spans="2:17">
      <c r="B25" s="89" t="s">
        <v>201</v>
      </c>
      <c r="D25" s="13" t="s">
        <v>186</v>
      </c>
      <c r="G25" s="112"/>
      <c r="H25" s="96">
        <v>578.52</v>
      </c>
      <c r="I25" s="112"/>
      <c r="J25" s="96">
        <v>1044</v>
      </c>
      <c r="K25" s="112"/>
      <c r="L25" s="112"/>
      <c r="M25" s="112"/>
      <c r="N25" s="112"/>
      <c r="O25" s="96">
        <v>830</v>
      </c>
      <c r="Q25" s="28"/>
    </row>
    <row r="26" spans="2:17">
      <c r="B26" s="90" t="s">
        <v>202</v>
      </c>
      <c r="D26" s="13" t="s">
        <v>186</v>
      </c>
      <c r="G26" s="112"/>
      <c r="H26" s="96">
        <v>24.72</v>
      </c>
      <c r="I26" s="112"/>
      <c r="J26" s="96">
        <v>14</v>
      </c>
      <c r="K26" s="112"/>
      <c r="L26" s="112"/>
      <c r="M26" s="112"/>
      <c r="N26" s="112"/>
      <c r="O26" s="96">
        <v>9.9030000000000005</v>
      </c>
      <c r="Q26" s="28"/>
    </row>
    <row r="27" spans="2:17">
      <c r="Q27" s="28"/>
    </row>
    <row r="28" spans="2:17">
      <c r="Q28" s="28"/>
    </row>
  </sheetData>
  <phoneticPr fontId="4"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57</vt:i4>
      </vt:variant>
      <vt:variant>
        <vt:lpstr>Benoemde bereiken</vt:lpstr>
      </vt:variant>
      <vt:variant>
        <vt:i4>2</vt:i4>
      </vt:variant>
    </vt:vector>
  </HeadingPairs>
  <TitlesOfParts>
    <vt:vector size="59" baseType="lpstr">
      <vt:lpstr>Toel. wijziging NG5R (aug.2016)</vt:lpstr>
      <vt:lpstr>Aanpassing gegevens (aug. 2016)</vt:lpstr>
      <vt:lpstr>Toel. herstel NG5R (sep. 2014)</vt:lpstr>
      <vt:lpstr>Aanpassing gegevens (sep.2014)</vt:lpstr>
      <vt:lpstr>Input transportdienst --&gt;</vt:lpstr>
      <vt:lpstr>PRD OPEX TD (2009-2012)</vt:lpstr>
      <vt:lpstr>PRD Ov.Opbrengst TD (2009-2012)</vt:lpstr>
      <vt:lpstr>PRD Volumes TD (2009-2012)</vt:lpstr>
      <vt:lpstr>TAR2013 Tarieven TD</vt:lpstr>
      <vt:lpstr>Input aansluitdienst --&gt;</vt:lpstr>
      <vt:lpstr>PRD OPEX AD (2009-2012)</vt:lpstr>
      <vt:lpstr>PRD Ov.Opbrengst AD (2009-2012)</vt:lpstr>
      <vt:lpstr>PRD Volumes AD (2009-2012)</vt:lpstr>
      <vt:lpstr>TAR2013 Tarieven AD</vt:lpstr>
      <vt:lpstr>Overige input --&gt;</vt:lpstr>
      <vt:lpstr>Import GAW-sheet</vt:lpstr>
      <vt:lpstr>Data marktmodel</vt:lpstr>
      <vt:lpstr>Data Netverliezen</vt:lpstr>
      <vt:lpstr>Data dubieuze debiteuren</vt:lpstr>
      <vt:lpstr>WACC</vt:lpstr>
      <vt:lpstr>CPI</vt:lpstr>
      <vt:lpstr>Tussenberekeningen --&gt;</vt:lpstr>
      <vt:lpstr>Aggregatie Volumes TD</vt:lpstr>
      <vt:lpstr>Berekening rekenvolumes</vt:lpstr>
      <vt:lpstr>Berekeningen netverliezen</vt:lpstr>
      <vt:lpstr>Berekening vergoedingen EAV</vt:lpstr>
      <vt:lpstr>Berekening OPEX TD</vt:lpstr>
      <vt:lpstr>Berekening OPEX AD</vt:lpstr>
      <vt:lpstr>Berekening kapitaalkosten TD</vt:lpstr>
      <vt:lpstr>Berekening kapitaalkosten AD</vt:lpstr>
      <vt:lpstr>Berekening kosten dub. deb.</vt:lpstr>
      <vt:lpstr>Berekeningen --&gt;</vt:lpstr>
      <vt:lpstr>Genormaliseerde totale kosten</vt:lpstr>
      <vt:lpstr>Berekening wegingsfactoren</vt:lpstr>
      <vt:lpstr>Standaardisatie Output</vt:lpstr>
      <vt:lpstr>Productiviteitsverandering</vt:lpstr>
      <vt:lpstr>berekeningen one-off --&gt;</vt:lpstr>
      <vt:lpstr>BeginInkomsten (obv RV&amp;Tar2013)</vt:lpstr>
      <vt:lpstr>Kostenbasis Eff.Kosten 2013</vt:lpstr>
      <vt:lpstr>Efficiënte kosten 2013</vt:lpstr>
      <vt:lpstr>Inschatting kosten 2013</vt:lpstr>
      <vt:lpstr>Toetsen toepassing one-off</vt:lpstr>
      <vt:lpstr>Output --&gt;</vt:lpstr>
      <vt:lpstr>X-factorberekening</vt:lpstr>
      <vt:lpstr>TI bedragen 2014-2016</vt:lpstr>
      <vt:lpstr>Bijlage 1 - Resultaten</vt:lpstr>
      <vt:lpstr>Bijlage 1 - Resultaten Oorspr.</vt:lpstr>
      <vt:lpstr>Rekenvolumes --&gt;</vt:lpstr>
      <vt:lpstr>Rekenvolumes Cogas NG5R</vt:lpstr>
      <vt:lpstr>Rekenvolumes DNWB NG5R</vt:lpstr>
      <vt:lpstr>Rekenvolumes Endinet NG5R</vt:lpstr>
      <vt:lpstr>Rekenvolumes Enexis NG5R</vt:lpstr>
      <vt:lpstr>Rekenvolumes Liander NG5R</vt:lpstr>
      <vt:lpstr>Rekenvolumes RENDO NG5R</vt:lpstr>
      <vt:lpstr>Rekenvolumes Stedin NG5R</vt:lpstr>
      <vt:lpstr>Rekenvolumes Westland NG5R</vt:lpstr>
      <vt:lpstr>Rekenvolumes Zebra NG5R</vt:lpstr>
      <vt:lpstr>'Bijlage 1 - Resultaten'!Afdrukbereik</vt:lpstr>
      <vt:lpstr>'Bijlage 1 - Resultaten Oorspr.'!Afdrukbereik</vt:lpstr>
    </vt:vector>
  </TitlesOfParts>
  <Company>Autoriteit Consument &amp; Markt (ACM)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Regionale netbeheerders Gas 2014-2016 Berekening x-factor NG5R (11-9-2014)</dc:title>
  <dc:creator>Autoriteit Consument &amp; Markt (ACM)</dc:creator>
  <cp:keywords>gas, regulering, x-factor, besluit, energie, NG5R, 14.0731.52, 14.0733.52, 14.0735.52, 14.0737.52, 14.0739.52, 14.0741.52, 14.0743.52, 14.0745.52, 14.0746.52</cp:keywords>
  <cp:lastModifiedBy>Vaanhold, Jorieke</cp:lastModifiedBy>
  <cp:lastPrinted>2014-09-10T15:39:52Z</cp:lastPrinted>
  <dcterms:created xsi:type="dcterms:W3CDTF">2012-11-12T13:29:01Z</dcterms:created>
  <dcterms:modified xsi:type="dcterms:W3CDTF">2016-08-25T07:27:54Z</dcterms:modified>
</cp:coreProperties>
</file>